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drawings/drawing4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480" yWindow="120" windowWidth="8505" windowHeight="4530" tabRatio="731" activeTab="6"/>
  </bookViews>
  <sheets>
    <sheet name="目录" sheetId="57" r:id="rId1"/>
    <sheet name="银行存款余额调节表" sheetId="13" state="hidden" r:id="rId2"/>
    <sheet name="会计科目表" sheetId="4" r:id="rId3"/>
    <sheet name="凭证录入" sheetId="7" r:id="rId4"/>
    <sheet name="科目余额表" sheetId="72" r:id="rId5"/>
    <sheet name="汇总凭证" sheetId="74" r:id="rId6"/>
    <sheet name="总账" sheetId="75" r:id="rId7"/>
    <sheet name="明细分类账" sheetId="76" r:id="rId8"/>
    <sheet name="资产负债表" sheetId="68" r:id="rId9"/>
    <sheet name="利润表" sheetId="69" r:id="rId10"/>
    <sheet name="通用记账凭证" sheetId="70" r:id="rId11"/>
    <sheet name="分数记账凭证" sheetId="77" r:id="rId12"/>
  </sheets>
  <definedNames>
    <definedName name="_xlnm._FilterDatabase" localSheetId="11" hidden="1">分数记账凭证!$A$2:$F$216</definedName>
    <definedName name="_xlnm._FilterDatabase" localSheetId="5" hidden="1">汇总凭证!$AE$4:$AF$94</definedName>
    <definedName name="_xlnm._FilterDatabase" localSheetId="2" hidden="1">会计科目表!$A$4:$G$410</definedName>
    <definedName name="_xlnm._FilterDatabase" localSheetId="4" hidden="1">科目余额表!$A$4:$I$4</definedName>
    <definedName name="_xlnm._FilterDatabase" localSheetId="3" hidden="1">凭证录入!$A$4:$L$1438</definedName>
    <definedName name="_xlnm._FilterDatabase" localSheetId="10" hidden="1">通用记账凭证!$A$2:$F$216</definedName>
    <definedName name="Co">"远大开发有限公司"</definedName>
    <definedName name="贷方金额">OFFSET(记账月份,,MATCH("贷方金额",凭证录入!$3:$3,)-1)</definedName>
    <definedName name="会计科目">OFFSET(会计科目表!$A$4:$B$4,1,,COUNTA(会计科目表!$A:$A)-2)</definedName>
    <definedName name="记账行号" localSheetId="11">SMALL(IF((记账月份=分数记账凭证!$AF$1)*(凭证序号=分数记账凭证!凭证编号)*((借方金额+贷方金额)&lt;&gt;""),ROW(记账月份)),ROW(分数记账凭证!$1:$6))</definedName>
    <definedName name="记账行号">SMALL(IF((记账月份=通用记账凭证!$AF$1)*(凭证序号=凭证编号)*((借方金额+贷方金额)&lt;&gt;""),ROW(记账月份)),ROW(通用记账凭证!$1:$6))</definedName>
    <definedName name="记账月份">OFFSET(凭证录入!$A$4,1,,COUNTA(凭证录入!$A:$A)-2)</definedName>
    <definedName name="借方金额">OFFSET(记账月份,,MATCH("借方金额",凭证录入!$3:$3,)-1)</definedName>
    <definedName name="科目编号">OFFSET(记账月份,,MATCH("科目编号",凭证录入!$3:$3,)-1)</definedName>
    <definedName name="科目代码">OFFSET(会计科目表!$A$4,1,,COUNTA(会计科目表!$A:$A)-1)</definedName>
    <definedName name="凭证编号" localSheetId="11">OFFSET(分数记账凭证!$AC$1,FLOOR(ROW(),12)+1,)</definedName>
    <definedName name="凭证编号">OFFSET(通用记账凭证!$AC$1,FLOOR(ROW(),12)+1,)</definedName>
    <definedName name="凭证号" comment="凭证录入">OFFSET(记账月份,,MATCH("凭证号",凭证录入!$3:$3,)-1)</definedName>
    <definedName name="凭证序号">OFFSET(记账月份,,MATCH("凭证序号",凭证录入!$3:$3,)-1)</definedName>
    <definedName name="账户查询">OFFSET(会计科目表!$H$4,1,,COUNTA(会计科目表!$A:$A)-1)</definedName>
    <definedName name="账户名称">OFFSET(凭证录入!$J$5,,,COUNTA(凭证录入!$A:$A)-2)</definedName>
    <definedName name="总账科目">OFFSET(科目余额表!$A$4,1,,COUNTA(科目余额表!$A:$A)-2)</definedName>
  </definedNames>
  <calcPr calcId="145621" fullPrecision="0"/>
</workbook>
</file>

<file path=xl/calcChain.xml><?xml version="1.0" encoding="utf-8"?>
<calcChain xmlns="http://schemas.openxmlformats.org/spreadsheetml/2006/main">
  <c r="AC62" i="70" l="1"/>
  <c r="AC50" i="70"/>
  <c r="AC38" i="70"/>
  <c r="H1200" i="77"/>
  <c r="H1199" i="77"/>
  <c r="H1198" i="77"/>
  <c r="F1198" i="77" s="1"/>
  <c r="E1198" i="77"/>
  <c r="A1198" i="77"/>
  <c r="H1197" i="77"/>
  <c r="F1197" i="77"/>
  <c r="E1197" i="77"/>
  <c r="B1197" i="77"/>
  <c r="D1197" i="77" s="1"/>
  <c r="A1197" i="77"/>
  <c r="H1196" i="77"/>
  <c r="E1196" i="77" s="1"/>
  <c r="F1196" i="77"/>
  <c r="B1196" i="77"/>
  <c r="D1196" i="77" s="1"/>
  <c r="H1195" i="77"/>
  <c r="F1195" i="77" s="1"/>
  <c r="E1195" i="77"/>
  <c r="A1195" i="77"/>
  <c r="H1194" i="77"/>
  <c r="F1194" i="77"/>
  <c r="E1194" i="77"/>
  <c r="B1194" i="77"/>
  <c r="D1194" i="77" s="1"/>
  <c r="A1194" i="77"/>
  <c r="H1193" i="77"/>
  <c r="G1196" i="77" s="1"/>
  <c r="E1193" i="77"/>
  <c r="E1199" i="77" s="1"/>
  <c r="A1193" i="77"/>
  <c r="H1192" i="77"/>
  <c r="H1191" i="77"/>
  <c r="H1190" i="77"/>
  <c r="H1189" i="77"/>
  <c r="H1188" i="77"/>
  <c r="H1187" i="77"/>
  <c r="H1186" i="77"/>
  <c r="F1186" i="77"/>
  <c r="E1186" i="77"/>
  <c r="B1186" i="77"/>
  <c r="D1186" i="77" s="1"/>
  <c r="A1186" i="77"/>
  <c r="H1185" i="77"/>
  <c r="F1185" i="77" s="1"/>
  <c r="E1185" i="77"/>
  <c r="A1185" i="77"/>
  <c r="H1184" i="77"/>
  <c r="G1184" i="77"/>
  <c r="F1184" i="77"/>
  <c r="E1184" i="77"/>
  <c r="C1184" i="77"/>
  <c r="B1184" i="77"/>
  <c r="D1184" i="77" s="1"/>
  <c r="A1184" i="77"/>
  <c r="H1183" i="77"/>
  <c r="F1183" i="77"/>
  <c r="E1183" i="77"/>
  <c r="B1183" i="77"/>
  <c r="D1183" i="77" s="1"/>
  <c r="A1183" i="77"/>
  <c r="H1182" i="77"/>
  <c r="F1182" i="77" s="1"/>
  <c r="E1182" i="77"/>
  <c r="A1182" i="77"/>
  <c r="H1181" i="77"/>
  <c r="F1181" i="77"/>
  <c r="F1187" i="77" s="1"/>
  <c r="E1181" i="77"/>
  <c r="E1187" i="77" s="1"/>
  <c r="B1181" i="77"/>
  <c r="D1181" i="77" s="1"/>
  <c r="A1181" i="77"/>
  <c r="H1180" i="77"/>
  <c r="H1179" i="77"/>
  <c r="H1178" i="77"/>
  <c r="C1178" i="77"/>
  <c r="H1177" i="77"/>
  <c r="H1176" i="77"/>
  <c r="H1175" i="77"/>
  <c r="H1174" i="77"/>
  <c r="F1174" i="77" s="1"/>
  <c r="E1174" i="77"/>
  <c r="A1174" i="77"/>
  <c r="H1173" i="77"/>
  <c r="F1173" i="77"/>
  <c r="E1173" i="77"/>
  <c r="B1173" i="77"/>
  <c r="D1173" i="77" s="1"/>
  <c r="A1173" i="77"/>
  <c r="H1172" i="77"/>
  <c r="E1172" i="77" s="1"/>
  <c r="F1172" i="77"/>
  <c r="B1172" i="77"/>
  <c r="D1172" i="77" s="1"/>
  <c r="H1171" i="77"/>
  <c r="F1171" i="77" s="1"/>
  <c r="E1171" i="77"/>
  <c r="A1171" i="77"/>
  <c r="H1170" i="77"/>
  <c r="F1170" i="77"/>
  <c r="E1170" i="77"/>
  <c r="B1170" i="77"/>
  <c r="D1170" i="77" s="1"/>
  <c r="A1170" i="77"/>
  <c r="H1169" i="77"/>
  <c r="G1172" i="77" s="1"/>
  <c r="E1169" i="77"/>
  <c r="E1175" i="77" s="1"/>
  <c r="A1169" i="77"/>
  <c r="H1168" i="77"/>
  <c r="H1167" i="77"/>
  <c r="H1166" i="77"/>
  <c r="H1165" i="77"/>
  <c r="H1164" i="77"/>
  <c r="H1163" i="77"/>
  <c r="H1162" i="77"/>
  <c r="F1162" i="77"/>
  <c r="E1162" i="77"/>
  <c r="B1162" i="77"/>
  <c r="D1162" i="77" s="1"/>
  <c r="A1162" i="77"/>
  <c r="H1161" i="77"/>
  <c r="F1161" i="77" s="1"/>
  <c r="E1161" i="77"/>
  <c r="A1161" i="77"/>
  <c r="H1160" i="77"/>
  <c r="G1160" i="77"/>
  <c r="F1160" i="77"/>
  <c r="E1160" i="77"/>
  <c r="C1160" i="77"/>
  <c r="B1160" i="77"/>
  <c r="D1160" i="77" s="1"/>
  <c r="A1160" i="77"/>
  <c r="H1159" i="77"/>
  <c r="F1159" i="77"/>
  <c r="E1159" i="77"/>
  <c r="B1159" i="77"/>
  <c r="C1159" i="77" s="1"/>
  <c r="A1159" i="77"/>
  <c r="H1158" i="77"/>
  <c r="E1158" i="77" s="1"/>
  <c r="H1157" i="77"/>
  <c r="F1157" i="77"/>
  <c r="E1157" i="77"/>
  <c r="B1157" i="77"/>
  <c r="C1157" i="77" s="1"/>
  <c r="A1157" i="77"/>
  <c r="H1156" i="77"/>
  <c r="H1155" i="77"/>
  <c r="H1154" i="77"/>
  <c r="C1154" i="77"/>
  <c r="H1153" i="77"/>
  <c r="H1152" i="77"/>
  <c r="H1151" i="77"/>
  <c r="H1150" i="77"/>
  <c r="E1150" i="77" s="1"/>
  <c r="H1149" i="77"/>
  <c r="F1149" i="77"/>
  <c r="E1149" i="77"/>
  <c r="B1149" i="77"/>
  <c r="C1149" i="77" s="1"/>
  <c r="A1149" i="77"/>
  <c r="H1148" i="77"/>
  <c r="F1148" i="77" s="1"/>
  <c r="H1147" i="77"/>
  <c r="E1147" i="77" s="1"/>
  <c r="H1146" i="77"/>
  <c r="F1146" i="77"/>
  <c r="E1146" i="77"/>
  <c r="B1146" i="77"/>
  <c r="C1146" i="77" s="1"/>
  <c r="A1146" i="77"/>
  <c r="H1145" i="77"/>
  <c r="E1145" i="77" s="1"/>
  <c r="H1144" i="77"/>
  <c r="H1143" i="77"/>
  <c r="H1142" i="77"/>
  <c r="H1141" i="77"/>
  <c r="H1140" i="77"/>
  <c r="H1139" i="77"/>
  <c r="H1138" i="77"/>
  <c r="F1138" i="77"/>
  <c r="E1138" i="77"/>
  <c r="B1138" i="77"/>
  <c r="C1138" i="77" s="1"/>
  <c r="A1138" i="77"/>
  <c r="H1137" i="77"/>
  <c r="F1137" i="77" s="1"/>
  <c r="A1137" i="77"/>
  <c r="H1136" i="77"/>
  <c r="G1136" i="77"/>
  <c r="F1136" i="77"/>
  <c r="E1136" i="77"/>
  <c r="C1136" i="77"/>
  <c r="B1136" i="77"/>
  <c r="D1136" i="77" s="1"/>
  <c r="A1136" i="77"/>
  <c r="H1135" i="77"/>
  <c r="F1135" i="77"/>
  <c r="E1135" i="77"/>
  <c r="B1135" i="77"/>
  <c r="D1135" i="77" s="1"/>
  <c r="A1135" i="77"/>
  <c r="H1134" i="77"/>
  <c r="F1134" i="77" s="1"/>
  <c r="E1134" i="77"/>
  <c r="A1134" i="77"/>
  <c r="H1133" i="77"/>
  <c r="F1133" i="77"/>
  <c r="F1139" i="77" s="1"/>
  <c r="E1133" i="77"/>
  <c r="B1133" i="77"/>
  <c r="D1133" i="77" s="1"/>
  <c r="A1133" i="77"/>
  <c r="H1132" i="77"/>
  <c r="H1131" i="77"/>
  <c r="H1130" i="77"/>
  <c r="C1130" i="77"/>
  <c r="H1129" i="77"/>
  <c r="H1128" i="77"/>
  <c r="H1127" i="77"/>
  <c r="H1126" i="77"/>
  <c r="F1126" i="77" s="1"/>
  <c r="E1126" i="77"/>
  <c r="A1126" i="77"/>
  <c r="H1125" i="77"/>
  <c r="F1125" i="77"/>
  <c r="E1125" i="77"/>
  <c r="B1125" i="77"/>
  <c r="D1125" i="77" s="1"/>
  <c r="A1125" i="77"/>
  <c r="H1124" i="77"/>
  <c r="E1124" i="77" s="1"/>
  <c r="F1124" i="77"/>
  <c r="B1124" i="77"/>
  <c r="D1124" i="77" s="1"/>
  <c r="H1123" i="77"/>
  <c r="F1123" i="77" s="1"/>
  <c r="E1123" i="77"/>
  <c r="A1123" i="77"/>
  <c r="H1122" i="77"/>
  <c r="F1122" i="77"/>
  <c r="E1122" i="77"/>
  <c r="B1122" i="77"/>
  <c r="D1122" i="77" s="1"/>
  <c r="A1122" i="77"/>
  <c r="H1121" i="77"/>
  <c r="G1124" i="77" s="1"/>
  <c r="E1121" i="77"/>
  <c r="E1127" i="77" s="1"/>
  <c r="A1121" i="77"/>
  <c r="H1120" i="77"/>
  <c r="H1119" i="77"/>
  <c r="H1118" i="77"/>
  <c r="H1117" i="77"/>
  <c r="H1116" i="77"/>
  <c r="H1115" i="77"/>
  <c r="H1114" i="77"/>
  <c r="F1114" i="77"/>
  <c r="E1114" i="77"/>
  <c r="B1114" i="77"/>
  <c r="D1114" i="77" s="1"/>
  <c r="A1114" i="77"/>
  <c r="H1113" i="77"/>
  <c r="F1113" i="77" s="1"/>
  <c r="E1113" i="77"/>
  <c r="A1113" i="77"/>
  <c r="H1112" i="77"/>
  <c r="G1112" i="77"/>
  <c r="F1112" i="77"/>
  <c r="E1112" i="77"/>
  <c r="C1112" i="77"/>
  <c r="B1112" i="77"/>
  <c r="D1112" i="77" s="1"/>
  <c r="A1112" i="77"/>
  <c r="H1111" i="77"/>
  <c r="F1111" i="77"/>
  <c r="E1111" i="77"/>
  <c r="B1111" i="77"/>
  <c r="D1111" i="77" s="1"/>
  <c r="A1111" i="77"/>
  <c r="H1110" i="77"/>
  <c r="F1110" i="77" s="1"/>
  <c r="E1110" i="77"/>
  <c r="A1110" i="77"/>
  <c r="H1109" i="77"/>
  <c r="F1109" i="77"/>
  <c r="E1109" i="77"/>
  <c r="E1115" i="77" s="1"/>
  <c r="B1109" i="77"/>
  <c r="D1109" i="77" s="1"/>
  <c r="A1109" i="77"/>
  <c r="H1108" i="77"/>
  <c r="H1107" i="77"/>
  <c r="H1106" i="77"/>
  <c r="C1106" i="77"/>
  <c r="H1105" i="77"/>
  <c r="H1104" i="77"/>
  <c r="H1103" i="77"/>
  <c r="H1102" i="77"/>
  <c r="F1102" i="77" s="1"/>
  <c r="E1102" i="77"/>
  <c r="A1102" i="77"/>
  <c r="H1101" i="77"/>
  <c r="F1101" i="77"/>
  <c r="E1101" i="77"/>
  <c r="B1101" i="77"/>
  <c r="D1101" i="77" s="1"/>
  <c r="A1101" i="77"/>
  <c r="H1100" i="77"/>
  <c r="E1100" i="77" s="1"/>
  <c r="F1100" i="77"/>
  <c r="B1100" i="77"/>
  <c r="D1100" i="77" s="1"/>
  <c r="H1099" i="77"/>
  <c r="F1099" i="77" s="1"/>
  <c r="E1099" i="77"/>
  <c r="A1099" i="77"/>
  <c r="H1098" i="77"/>
  <c r="F1098" i="77"/>
  <c r="E1098" i="77"/>
  <c r="B1098" i="77"/>
  <c r="D1098" i="77" s="1"/>
  <c r="A1098" i="77"/>
  <c r="H1097" i="77"/>
  <c r="G1100" i="77" s="1"/>
  <c r="E1097" i="77"/>
  <c r="E1103" i="77" s="1"/>
  <c r="A1097" i="77"/>
  <c r="H1096" i="77"/>
  <c r="H1095" i="77"/>
  <c r="H1094" i="77"/>
  <c r="H1093" i="77"/>
  <c r="H1092" i="77"/>
  <c r="H1091" i="77"/>
  <c r="H1090" i="77"/>
  <c r="F1090" i="77"/>
  <c r="E1090" i="77"/>
  <c r="B1090" i="77"/>
  <c r="D1090" i="77" s="1"/>
  <c r="A1090" i="77"/>
  <c r="H1089" i="77"/>
  <c r="F1089" i="77" s="1"/>
  <c r="E1089" i="77"/>
  <c r="A1089" i="77"/>
  <c r="H1088" i="77"/>
  <c r="G1088" i="77"/>
  <c r="F1088" i="77"/>
  <c r="E1088" i="77"/>
  <c r="C1088" i="77"/>
  <c r="B1088" i="77"/>
  <c r="D1088" i="77" s="1"/>
  <c r="A1088" i="77"/>
  <c r="H1087" i="77"/>
  <c r="F1087" i="77"/>
  <c r="E1087" i="77"/>
  <c r="B1087" i="77"/>
  <c r="D1087" i="77" s="1"/>
  <c r="A1087" i="77"/>
  <c r="H1086" i="77"/>
  <c r="F1086" i="77" s="1"/>
  <c r="E1086" i="77"/>
  <c r="A1086" i="77"/>
  <c r="H1085" i="77"/>
  <c r="F1085" i="77"/>
  <c r="F1091" i="77" s="1"/>
  <c r="E1085" i="77"/>
  <c r="E1091" i="77" s="1"/>
  <c r="B1085" i="77"/>
  <c r="D1085" i="77" s="1"/>
  <c r="A1085" i="77"/>
  <c r="H1084" i="77"/>
  <c r="H1083" i="77"/>
  <c r="H1082" i="77"/>
  <c r="C1082" i="77"/>
  <c r="H1081" i="77"/>
  <c r="H1080" i="77"/>
  <c r="H1079" i="77"/>
  <c r="H1078" i="77"/>
  <c r="H1077" i="77"/>
  <c r="F1077" i="77"/>
  <c r="E1077" i="77"/>
  <c r="B1077" i="77"/>
  <c r="C1077" i="77" s="1"/>
  <c r="A1077" i="77"/>
  <c r="H1076" i="77"/>
  <c r="H1075" i="77"/>
  <c r="H1074" i="77"/>
  <c r="F1074" i="77"/>
  <c r="E1074" i="77"/>
  <c r="B1074" i="77"/>
  <c r="C1074" i="77" s="1"/>
  <c r="A1074" i="77"/>
  <c r="H1073" i="77"/>
  <c r="H1072" i="77"/>
  <c r="H1071" i="77"/>
  <c r="H1070" i="77"/>
  <c r="H1069" i="77"/>
  <c r="H1068" i="77"/>
  <c r="H1067" i="77"/>
  <c r="H1066" i="77"/>
  <c r="F1066" i="77"/>
  <c r="E1066" i="77"/>
  <c r="B1066" i="77"/>
  <c r="C1066" i="77" s="1"/>
  <c r="A1066" i="77"/>
  <c r="H1065" i="77"/>
  <c r="H1064" i="77"/>
  <c r="G1064" i="77"/>
  <c r="F1064" i="77"/>
  <c r="E1064" i="77"/>
  <c r="C1064" i="77"/>
  <c r="B1064" i="77"/>
  <c r="D1064" i="77" s="1"/>
  <c r="A1064" i="77"/>
  <c r="H1063" i="77"/>
  <c r="F1063" i="77"/>
  <c r="E1063" i="77"/>
  <c r="D1063" i="77"/>
  <c r="B1063" i="77"/>
  <c r="C1063" i="77" s="1"/>
  <c r="A1063" i="77"/>
  <c r="H1062" i="77"/>
  <c r="E1062" i="77"/>
  <c r="A1062" i="77"/>
  <c r="H1061" i="77"/>
  <c r="F1061" i="77"/>
  <c r="E1061" i="77"/>
  <c r="D1061" i="77"/>
  <c r="B1061" i="77"/>
  <c r="C1061" i="77" s="1"/>
  <c r="A1061" i="77"/>
  <c r="H1060" i="77"/>
  <c r="H1059" i="77"/>
  <c r="H1058" i="77"/>
  <c r="C1058" i="77"/>
  <c r="H1057" i="77"/>
  <c r="H1056" i="77"/>
  <c r="H1055" i="77"/>
  <c r="H1054" i="77"/>
  <c r="E1054" i="77"/>
  <c r="A1054" i="77"/>
  <c r="H1053" i="77"/>
  <c r="F1053" i="77"/>
  <c r="E1053" i="77"/>
  <c r="D1053" i="77"/>
  <c r="B1053" i="77"/>
  <c r="C1053" i="77" s="1"/>
  <c r="A1053" i="77"/>
  <c r="H1052" i="77"/>
  <c r="F1052" i="77"/>
  <c r="B1052" i="77"/>
  <c r="C1052" i="77" s="1"/>
  <c r="H1051" i="77"/>
  <c r="E1051" i="77"/>
  <c r="A1051" i="77"/>
  <c r="H1050" i="77"/>
  <c r="F1050" i="77"/>
  <c r="E1050" i="77"/>
  <c r="D1050" i="77"/>
  <c r="B1050" i="77"/>
  <c r="C1050" i="77" s="1"/>
  <c r="A1050" i="77"/>
  <c r="H1049" i="77"/>
  <c r="E1049" i="77"/>
  <c r="A1049" i="77"/>
  <c r="H1048" i="77"/>
  <c r="H1047" i="77"/>
  <c r="H1046" i="77"/>
  <c r="H1045" i="77"/>
  <c r="H1044" i="77"/>
  <c r="H1043" i="77"/>
  <c r="H1042" i="77"/>
  <c r="F1042" i="77"/>
  <c r="E1042" i="77"/>
  <c r="D1042" i="77"/>
  <c r="B1042" i="77"/>
  <c r="C1042" i="77" s="1"/>
  <c r="A1042" i="77"/>
  <c r="H1041" i="77"/>
  <c r="E1041" i="77"/>
  <c r="A1041" i="77"/>
  <c r="H1040" i="77"/>
  <c r="G1040" i="77"/>
  <c r="F1040" i="77"/>
  <c r="E1040" i="77"/>
  <c r="C1040" i="77"/>
  <c r="B1040" i="77"/>
  <c r="D1040" i="77" s="1"/>
  <c r="A1040" i="77"/>
  <c r="H1039" i="77"/>
  <c r="F1039" i="77"/>
  <c r="E1039" i="77"/>
  <c r="B1039" i="77"/>
  <c r="C1039" i="77" s="1"/>
  <c r="A1039" i="77"/>
  <c r="H1038" i="77"/>
  <c r="H1037" i="77"/>
  <c r="F1037" i="77"/>
  <c r="E1037" i="77"/>
  <c r="B1037" i="77"/>
  <c r="C1037" i="77" s="1"/>
  <c r="A1037" i="77"/>
  <c r="H1036" i="77"/>
  <c r="H1035" i="77"/>
  <c r="H1034" i="77"/>
  <c r="C1034" i="77"/>
  <c r="H1033" i="77"/>
  <c r="H1032" i="77"/>
  <c r="H1031" i="77"/>
  <c r="H1030" i="77"/>
  <c r="H1029" i="77"/>
  <c r="F1029" i="77"/>
  <c r="E1029" i="77"/>
  <c r="B1029" i="77"/>
  <c r="C1029" i="77" s="1"/>
  <c r="A1029" i="77"/>
  <c r="H1028" i="77"/>
  <c r="H1027" i="77"/>
  <c r="H1026" i="77"/>
  <c r="F1026" i="77"/>
  <c r="E1026" i="77"/>
  <c r="B1026" i="77"/>
  <c r="C1026" i="77" s="1"/>
  <c r="A1026" i="77"/>
  <c r="H1025" i="77"/>
  <c r="A1025" i="77"/>
  <c r="H1024" i="77"/>
  <c r="H1023" i="77"/>
  <c r="H1022" i="77"/>
  <c r="H1021" i="77"/>
  <c r="H1020" i="77"/>
  <c r="H1019" i="77"/>
  <c r="H1018" i="77"/>
  <c r="F1018" i="77"/>
  <c r="E1018" i="77"/>
  <c r="B1018" i="77"/>
  <c r="C1018" i="77" s="1"/>
  <c r="A1018" i="77"/>
  <c r="H1017" i="77"/>
  <c r="F1017" i="77" s="1"/>
  <c r="E1017" i="77"/>
  <c r="A1017" i="77"/>
  <c r="H1016" i="77"/>
  <c r="G1016" i="77"/>
  <c r="F1016" i="77"/>
  <c r="E1016" i="77"/>
  <c r="C1016" i="77"/>
  <c r="B1016" i="77"/>
  <c r="D1016" i="77" s="1"/>
  <c r="A1016" i="77"/>
  <c r="H1015" i="77"/>
  <c r="F1015" i="77"/>
  <c r="E1015" i="77"/>
  <c r="B1015" i="77"/>
  <c r="C1015" i="77" s="1"/>
  <c r="A1015" i="77"/>
  <c r="H1014" i="77"/>
  <c r="H1013" i="77"/>
  <c r="F1013" i="77"/>
  <c r="E1013" i="77"/>
  <c r="B1013" i="77"/>
  <c r="C1013" i="77" s="1"/>
  <c r="A1013" i="77"/>
  <c r="H1012" i="77"/>
  <c r="H1011" i="77"/>
  <c r="H1010" i="77"/>
  <c r="C1010" i="77"/>
  <c r="H1009" i="77"/>
  <c r="H1008" i="77"/>
  <c r="H1007" i="77"/>
  <c r="H1006" i="77"/>
  <c r="H1005" i="77"/>
  <c r="F1005" i="77"/>
  <c r="E1005" i="77"/>
  <c r="B1005" i="77"/>
  <c r="C1005" i="77" s="1"/>
  <c r="A1005" i="77"/>
  <c r="H1004" i="77"/>
  <c r="H1003" i="77"/>
  <c r="H1002" i="77"/>
  <c r="F1002" i="77"/>
  <c r="E1002" i="77"/>
  <c r="B1002" i="77"/>
  <c r="C1002" i="77" s="1"/>
  <c r="A1002" i="77"/>
  <c r="H1001" i="77"/>
  <c r="H1000" i="77"/>
  <c r="H999" i="77"/>
  <c r="H998" i="77"/>
  <c r="H997" i="77"/>
  <c r="H996" i="77"/>
  <c r="H995" i="77"/>
  <c r="H994" i="77"/>
  <c r="F994" i="77"/>
  <c r="E994" i="77"/>
  <c r="B994" i="77"/>
  <c r="C994" i="77" s="1"/>
  <c r="A994" i="77"/>
  <c r="H993" i="77"/>
  <c r="H992" i="77"/>
  <c r="F992" i="77"/>
  <c r="E992" i="77"/>
  <c r="C992" i="77"/>
  <c r="B992" i="77"/>
  <c r="D992" i="77" s="1"/>
  <c r="A992" i="77"/>
  <c r="H991" i="77"/>
  <c r="F991" i="77"/>
  <c r="E991" i="77"/>
  <c r="D991" i="77"/>
  <c r="B991" i="77"/>
  <c r="C991" i="77" s="1"/>
  <c r="A991" i="77"/>
  <c r="H990" i="77"/>
  <c r="F990" i="77" s="1"/>
  <c r="E990" i="77"/>
  <c r="B990" i="77"/>
  <c r="D990" i="77" s="1"/>
  <c r="A990" i="77"/>
  <c r="H989" i="77"/>
  <c r="G992" i="77" s="1"/>
  <c r="E989" i="77"/>
  <c r="A989" i="77"/>
  <c r="H988" i="77"/>
  <c r="H987" i="77"/>
  <c r="H986" i="77"/>
  <c r="H985" i="77"/>
  <c r="H984" i="77"/>
  <c r="H983" i="77"/>
  <c r="H982" i="77"/>
  <c r="F982" i="77"/>
  <c r="E982" i="77"/>
  <c r="B982" i="77"/>
  <c r="C982" i="77" s="1"/>
  <c r="A982" i="77"/>
  <c r="H981" i="77"/>
  <c r="F981" i="77" s="1"/>
  <c r="E981" i="77"/>
  <c r="A981" i="77"/>
  <c r="H980" i="77"/>
  <c r="G980" i="77"/>
  <c r="F980" i="77"/>
  <c r="E980" i="77"/>
  <c r="C980" i="77"/>
  <c r="B980" i="77"/>
  <c r="D980" i="77" s="1"/>
  <c r="A980" i="77"/>
  <c r="H979" i="77"/>
  <c r="F979" i="77"/>
  <c r="E979" i="77"/>
  <c r="B979" i="77"/>
  <c r="C979" i="77" s="1"/>
  <c r="A979" i="77"/>
  <c r="H978" i="77"/>
  <c r="F978" i="77" s="1"/>
  <c r="E978" i="77"/>
  <c r="A978" i="77"/>
  <c r="H977" i="77"/>
  <c r="F977" i="77"/>
  <c r="F983" i="77" s="1"/>
  <c r="E977" i="77"/>
  <c r="E983" i="77" s="1"/>
  <c r="B977" i="77"/>
  <c r="C977" i="77" s="1"/>
  <c r="A977" i="77"/>
  <c r="H976" i="77"/>
  <c r="H975" i="77"/>
  <c r="H974" i="77"/>
  <c r="C974" i="77"/>
  <c r="H973" i="77"/>
  <c r="H972" i="77"/>
  <c r="H971" i="77"/>
  <c r="H970" i="77"/>
  <c r="F970" i="77" s="1"/>
  <c r="E970" i="77"/>
  <c r="A970" i="77"/>
  <c r="H969" i="77"/>
  <c r="F969" i="77"/>
  <c r="E969" i="77"/>
  <c r="B969" i="77"/>
  <c r="C969" i="77" s="1"/>
  <c r="A969" i="77"/>
  <c r="H968" i="77"/>
  <c r="E968" i="77" s="1"/>
  <c r="F968" i="77"/>
  <c r="B968" i="77"/>
  <c r="C968" i="77" s="1"/>
  <c r="H967" i="77"/>
  <c r="F967" i="77" s="1"/>
  <c r="E967" i="77"/>
  <c r="A967" i="77"/>
  <c r="H966" i="77"/>
  <c r="F966" i="77"/>
  <c r="E966" i="77"/>
  <c r="B966" i="77"/>
  <c r="C966" i="77" s="1"/>
  <c r="A966" i="77"/>
  <c r="H965" i="77"/>
  <c r="G968" i="77" s="1"/>
  <c r="E965" i="77"/>
  <c r="E971" i="77" s="1"/>
  <c r="A965" i="77"/>
  <c r="H964" i="77"/>
  <c r="H963" i="77"/>
  <c r="H962" i="77"/>
  <c r="H961" i="77"/>
  <c r="H960" i="77"/>
  <c r="H959" i="77"/>
  <c r="H958" i="77"/>
  <c r="F958" i="77"/>
  <c r="E958" i="77"/>
  <c r="B958" i="77"/>
  <c r="C958" i="77" s="1"/>
  <c r="A958" i="77"/>
  <c r="H957" i="77"/>
  <c r="F957" i="77" s="1"/>
  <c r="E957" i="77"/>
  <c r="A957" i="77"/>
  <c r="H956" i="77"/>
  <c r="G956" i="77"/>
  <c r="F956" i="77"/>
  <c r="E956" i="77"/>
  <c r="C956" i="77"/>
  <c r="B956" i="77"/>
  <c r="D956" i="77" s="1"/>
  <c r="A956" i="77"/>
  <c r="H955" i="77"/>
  <c r="F955" i="77"/>
  <c r="E955" i="77"/>
  <c r="B955" i="77"/>
  <c r="C955" i="77" s="1"/>
  <c r="A955" i="77"/>
  <c r="H954" i="77"/>
  <c r="F954" i="77" s="1"/>
  <c r="E954" i="77"/>
  <c r="A954" i="77"/>
  <c r="H953" i="77"/>
  <c r="F953" i="77"/>
  <c r="F959" i="77" s="1"/>
  <c r="E953" i="77"/>
  <c r="E959" i="77" s="1"/>
  <c r="B953" i="77"/>
  <c r="C953" i="77" s="1"/>
  <c r="A953" i="77"/>
  <c r="H952" i="77"/>
  <c r="H951" i="77"/>
  <c r="H950" i="77"/>
  <c r="C950" i="77"/>
  <c r="H949" i="77"/>
  <c r="H948" i="77"/>
  <c r="H947" i="77"/>
  <c r="H946" i="77"/>
  <c r="F946" i="77" s="1"/>
  <c r="E946" i="77"/>
  <c r="A946" i="77"/>
  <c r="H945" i="77"/>
  <c r="F945" i="77"/>
  <c r="E945" i="77"/>
  <c r="B945" i="77"/>
  <c r="C945" i="77" s="1"/>
  <c r="A945" i="77"/>
  <c r="H944" i="77"/>
  <c r="E944" i="77" s="1"/>
  <c r="F944" i="77"/>
  <c r="B944" i="77"/>
  <c r="C944" i="77" s="1"/>
  <c r="H943" i="77"/>
  <c r="F943" i="77" s="1"/>
  <c r="E943" i="77"/>
  <c r="A943" i="77"/>
  <c r="H942" i="77"/>
  <c r="F942" i="77"/>
  <c r="E942" i="77"/>
  <c r="B942" i="77"/>
  <c r="C942" i="77" s="1"/>
  <c r="A942" i="77"/>
  <c r="H941" i="77"/>
  <c r="G944" i="77" s="1"/>
  <c r="E941" i="77"/>
  <c r="E947" i="77" s="1"/>
  <c r="A941" i="77"/>
  <c r="H940" i="77"/>
  <c r="H939" i="77"/>
  <c r="H938" i="77"/>
  <c r="H937" i="77"/>
  <c r="H936" i="77"/>
  <c r="H935" i="77"/>
  <c r="H934" i="77"/>
  <c r="F934" i="77"/>
  <c r="E934" i="77"/>
  <c r="B934" i="77"/>
  <c r="C934" i="77" s="1"/>
  <c r="A934" i="77"/>
  <c r="H933" i="77"/>
  <c r="F933" i="77" s="1"/>
  <c r="E933" i="77"/>
  <c r="A933" i="77"/>
  <c r="H932" i="77"/>
  <c r="G932" i="77"/>
  <c r="F932" i="77"/>
  <c r="E932" i="77"/>
  <c r="C932" i="77"/>
  <c r="B932" i="77"/>
  <c r="D932" i="77" s="1"/>
  <c r="A932" i="77"/>
  <c r="H931" i="77"/>
  <c r="F931" i="77"/>
  <c r="E931" i="77"/>
  <c r="B931" i="77"/>
  <c r="C931" i="77" s="1"/>
  <c r="A931" i="77"/>
  <c r="H930" i="77"/>
  <c r="F930" i="77" s="1"/>
  <c r="E930" i="77"/>
  <c r="A930" i="77"/>
  <c r="H929" i="77"/>
  <c r="F929" i="77"/>
  <c r="F935" i="77" s="1"/>
  <c r="E929" i="77"/>
  <c r="E935" i="77" s="1"/>
  <c r="B929" i="77"/>
  <c r="C929" i="77" s="1"/>
  <c r="A929" i="77"/>
  <c r="H928" i="77"/>
  <c r="H927" i="77"/>
  <c r="H926" i="77"/>
  <c r="C926" i="77"/>
  <c r="H925" i="77"/>
  <c r="H924" i="77"/>
  <c r="H923" i="77"/>
  <c r="H922" i="77"/>
  <c r="F922" i="77" s="1"/>
  <c r="E922" i="77"/>
  <c r="A922" i="77"/>
  <c r="H921" i="77"/>
  <c r="F921" i="77"/>
  <c r="E921" i="77"/>
  <c r="D921" i="77"/>
  <c r="B921" i="77"/>
  <c r="C921" i="77" s="1"/>
  <c r="A921" i="77"/>
  <c r="H920" i="77"/>
  <c r="F920" i="77"/>
  <c r="B920" i="77"/>
  <c r="C920" i="77" s="1"/>
  <c r="H919" i="77"/>
  <c r="E919" i="77"/>
  <c r="A919" i="77"/>
  <c r="H918" i="77"/>
  <c r="F918" i="77"/>
  <c r="E918" i="77"/>
  <c r="D918" i="77"/>
  <c r="B918" i="77"/>
  <c r="C918" i="77" s="1"/>
  <c r="A918" i="77"/>
  <c r="H917" i="77"/>
  <c r="E917" i="77"/>
  <c r="A917" i="77"/>
  <c r="H916" i="77"/>
  <c r="H915" i="77"/>
  <c r="H914" i="77"/>
  <c r="H913" i="77"/>
  <c r="H912" i="77"/>
  <c r="H911" i="77"/>
  <c r="H910" i="77"/>
  <c r="F910" i="77"/>
  <c r="E910" i="77"/>
  <c r="D910" i="77"/>
  <c r="B910" i="77"/>
  <c r="C910" i="77" s="1"/>
  <c r="A910" i="77"/>
  <c r="H909" i="77"/>
  <c r="E909" i="77"/>
  <c r="A909" i="77"/>
  <c r="H908" i="77"/>
  <c r="G908" i="77"/>
  <c r="F908" i="77"/>
  <c r="E908" i="77"/>
  <c r="C908" i="77"/>
  <c r="B908" i="77"/>
  <c r="D908" i="77" s="1"/>
  <c r="A908" i="77"/>
  <c r="H907" i="77"/>
  <c r="F907" i="77"/>
  <c r="E907" i="77"/>
  <c r="B907" i="77"/>
  <c r="C907" i="77" s="1"/>
  <c r="A907" i="77"/>
  <c r="H906" i="77"/>
  <c r="E906" i="77" s="1"/>
  <c r="H905" i="77"/>
  <c r="F905" i="77"/>
  <c r="E905" i="77"/>
  <c r="B905" i="77"/>
  <c r="C905" i="77" s="1"/>
  <c r="A905" i="77"/>
  <c r="H904" i="77"/>
  <c r="H903" i="77"/>
  <c r="H902" i="77"/>
  <c r="C902" i="77"/>
  <c r="H901" i="77"/>
  <c r="H900" i="77"/>
  <c r="H899" i="77"/>
  <c r="H898" i="77"/>
  <c r="E898" i="77" s="1"/>
  <c r="H897" i="77"/>
  <c r="F897" i="77"/>
  <c r="E897" i="77"/>
  <c r="B897" i="77"/>
  <c r="C897" i="77" s="1"/>
  <c r="A897" i="77"/>
  <c r="H896" i="77"/>
  <c r="F896" i="77" s="1"/>
  <c r="H895" i="77"/>
  <c r="E895" i="77" s="1"/>
  <c r="H894" i="77"/>
  <c r="F894" i="77"/>
  <c r="E894" i="77"/>
  <c r="B894" i="77"/>
  <c r="C894" i="77" s="1"/>
  <c r="A894" i="77"/>
  <c r="H893" i="77"/>
  <c r="E893" i="77" s="1"/>
  <c r="H892" i="77"/>
  <c r="H891" i="77"/>
  <c r="H890" i="77"/>
  <c r="H889" i="77"/>
  <c r="H888" i="77"/>
  <c r="H887" i="77"/>
  <c r="H886" i="77"/>
  <c r="F886" i="77"/>
  <c r="E886" i="77"/>
  <c r="B886" i="77"/>
  <c r="C886" i="77" s="1"/>
  <c r="A886" i="77"/>
  <c r="H885" i="77"/>
  <c r="E885" i="77" s="1"/>
  <c r="H884" i="77"/>
  <c r="G884" i="77"/>
  <c r="F884" i="77"/>
  <c r="E884" i="77"/>
  <c r="C884" i="77"/>
  <c r="B884" i="77"/>
  <c r="D884" i="77" s="1"/>
  <c r="A884" i="77"/>
  <c r="H883" i="77"/>
  <c r="F883" i="77"/>
  <c r="E883" i="77"/>
  <c r="D883" i="77"/>
  <c r="B883" i="77"/>
  <c r="C883" i="77" s="1"/>
  <c r="A883" i="77"/>
  <c r="H882" i="77"/>
  <c r="E882" i="77"/>
  <c r="A882" i="77"/>
  <c r="H881" i="77"/>
  <c r="F881" i="77"/>
  <c r="E881" i="77"/>
  <c r="D881" i="77"/>
  <c r="B881" i="77"/>
  <c r="C881" i="77" s="1"/>
  <c r="A881" i="77"/>
  <c r="H880" i="77"/>
  <c r="H879" i="77"/>
  <c r="H878" i="77"/>
  <c r="C878" i="77"/>
  <c r="H877" i="77"/>
  <c r="H876" i="77"/>
  <c r="H875" i="77"/>
  <c r="H874" i="77"/>
  <c r="E874" i="77"/>
  <c r="A874" i="77"/>
  <c r="H873" i="77"/>
  <c r="F873" i="77"/>
  <c r="E873" i="77"/>
  <c r="B873" i="77"/>
  <c r="D873" i="77" s="1"/>
  <c r="A873" i="77"/>
  <c r="H872" i="77"/>
  <c r="E872" i="77" s="1"/>
  <c r="F872" i="77"/>
  <c r="B872" i="77"/>
  <c r="D872" i="77" s="1"/>
  <c r="H871" i="77"/>
  <c r="F871" i="77" s="1"/>
  <c r="E871" i="77"/>
  <c r="A871" i="77"/>
  <c r="H870" i="77"/>
  <c r="F870" i="77"/>
  <c r="E870" i="77"/>
  <c r="B870" i="77"/>
  <c r="D870" i="77" s="1"/>
  <c r="A870" i="77"/>
  <c r="H869" i="77"/>
  <c r="G872" i="77" s="1"/>
  <c r="E869" i="77"/>
  <c r="E875" i="77" s="1"/>
  <c r="A869" i="77"/>
  <c r="H868" i="77"/>
  <c r="H867" i="77"/>
  <c r="H866" i="77"/>
  <c r="H865" i="77"/>
  <c r="H864" i="77"/>
  <c r="H863" i="77"/>
  <c r="H862" i="77"/>
  <c r="F862" i="77"/>
  <c r="E862" i="77"/>
  <c r="B862" i="77"/>
  <c r="D862" i="77" s="1"/>
  <c r="A862" i="77"/>
  <c r="H861" i="77"/>
  <c r="F861" i="77" s="1"/>
  <c r="E861" i="77"/>
  <c r="A861" i="77"/>
  <c r="H860" i="77"/>
  <c r="G860" i="77"/>
  <c r="F860" i="77"/>
  <c r="E860" i="77"/>
  <c r="C860" i="77"/>
  <c r="B860" i="77"/>
  <c r="D860" i="77" s="1"/>
  <c r="A860" i="77"/>
  <c r="H859" i="77"/>
  <c r="F859" i="77"/>
  <c r="E859" i="77"/>
  <c r="B859" i="77"/>
  <c r="D859" i="77" s="1"/>
  <c r="A859" i="77"/>
  <c r="H858" i="77"/>
  <c r="F858" i="77" s="1"/>
  <c r="E858" i="77"/>
  <c r="A858" i="77"/>
  <c r="H857" i="77"/>
  <c r="F857" i="77"/>
  <c r="F863" i="77" s="1"/>
  <c r="E857" i="77"/>
  <c r="E863" i="77" s="1"/>
  <c r="B857" i="77"/>
  <c r="D857" i="77" s="1"/>
  <c r="A857" i="77"/>
  <c r="H856" i="77"/>
  <c r="H855" i="77"/>
  <c r="H854" i="77"/>
  <c r="C854" i="77"/>
  <c r="H853" i="77"/>
  <c r="H852" i="77"/>
  <c r="H851" i="77"/>
  <c r="H850" i="77"/>
  <c r="F850" i="77" s="1"/>
  <c r="E850" i="77"/>
  <c r="A850" i="77"/>
  <c r="H849" i="77"/>
  <c r="F849" i="77"/>
  <c r="E849" i="77"/>
  <c r="B849" i="77"/>
  <c r="D849" i="77" s="1"/>
  <c r="A849" i="77"/>
  <c r="H848" i="77"/>
  <c r="E848" i="77" s="1"/>
  <c r="F848" i="77"/>
  <c r="B848" i="77"/>
  <c r="D848" i="77" s="1"/>
  <c r="H847" i="77"/>
  <c r="F847" i="77" s="1"/>
  <c r="E847" i="77"/>
  <c r="A847" i="77"/>
  <c r="H846" i="77"/>
  <c r="F846" i="77"/>
  <c r="E846" i="77"/>
  <c r="B846" i="77"/>
  <c r="D846" i="77" s="1"/>
  <c r="A846" i="77"/>
  <c r="H845" i="77"/>
  <c r="G848" i="77" s="1"/>
  <c r="E845" i="77"/>
  <c r="E851" i="77" s="1"/>
  <c r="A845" i="77"/>
  <c r="H844" i="77"/>
  <c r="H843" i="77"/>
  <c r="H842" i="77"/>
  <c r="H841" i="77"/>
  <c r="H840" i="77"/>
  <c r="H839" i="77"/>
  <c r="H838" i="77"/>
  <c r="F838" i="77"/>
  <c r="E838" i="77"/>
  <c r="B838" i="77"/>
  <c r="D838" i="77" s="1"/>
  <c r="A838" i="77"/>
  <c r="H837" i="77"/>
  <c r="F837" i="77" s="1"/>
  <c r="E837" i="77"/>
  <c r="A837" i="77"/>
  <c r="H836" i="77"/>
  <c r="G836" i="77"/>
  <c r="F836" i="77"/>
  <c r="E836" i="77"/>
  <c r="C836" i="77"/>
  <c r="B836" i="77"/>
  <c r="D836" i="77" s="1"/>
  <c r="A836" i="77"/>
  <c r="H835" i="77"/>
  <c r="F835" i="77"/>
  <c r="E835" i="77"/>
  <c r="B835" i="77"/>
  <c r="D835" i="77" s="1"/>
  <c r="A835" i="77"/>
  <c r="H834" i="77"/>
  <c r="F834" i="77" s="1"/>
  <c r="E834" i="77"/>
  <c r="A834" i="77"/>
  <c r="H833" i="77"/>
  <c r="F833" i="77"/>
  <c r="E833" i="77"/>
  <c r="E839" i="77" s="1"/>
  <c r="B833" i="77"/>
  <c r="D833" i="77" s="1"/>
  <c r="A833" i="77"/>
  <c r="H832" i="77"/>
  <c r="H831" i="77"/>
  <c r="H830" i="77"/>
  <c r="C830" i="77"/>
  <c r="H829" i="77"/>
  <c r="H828" i="77"/>
  <c r="H827" i="77"/>
  <c r="H826" i="77"/>
  <c r="F826" i="77" s="1"/>
  <c r="E826" i="77"/>
  <c r="A826" i="77"/>
  <c r="H825" i="77"/>
  <c r="F825" i="77"/>
  <c r="E825" i="77"/>
  <c r="B825" i="77"/>
  <c r="D825" i="77" s="1"/>
  <c r="A825" i="77"/>
  <c r="H824" i="77"/>
  <c r="E824" i="77" s="1"/>
  <c r="F824" i="77"/>
  <c r="B824" i="77"/>
  <c r="D824" i="77" s="1"/>
  <c r="H823" i="77"/>
  <c r="F823" i="77" s="1"/>
  <c r="E823" i="77"/>
  <c r="A823" i="77"/>
  <c r="H822" i="77"/>
  <c r="F822" i="77"/>
  <c r="E822" i="77"/>
  <c r="B822" i="77"/>
  <c r="D822" i="77" s="1"/>
  <c r="A822" i="77"/>
  <c r="H821" i="77"/>
  <c r="G824" i="77" s="1"/>
  <c r="E821" i="77"/>
  <c r="E827" i="77" s="1"/>
  <c r="A821" i="77"/>
  <c r="H820" i="77"/>
  <c r="H819" i="77"/>
  <c r="H818" i="77"/>
  <c r="H817" i="77"/>
  <c r="H816" i="77"/>
  <c r="H815" i="77"/>
  <c r="H814" i="77"/>
  <c r="F814" i="77"/>
  <c r="E814" i="77"/>
  <c r="B814" i="77"/>
  <c r="D814" i="77" s="1"/>
  <c r="A814" i="77"/>
  <c r="H813" i="77"/>
  <c r="F813" i="77" s="1"/>
  <c r="E813" i="77"/>
  <c r="A813" i="77"/>
  <c r="H812" i="77"/>
  <c r="G812" i="77"/>
  <c r="F812" i="77"/>
  <c r="E812" i="77"/>
  <c r="C812" i="77"/>
  <c r="B812" i="77"/>
  <c r="D812" i="77" s="1"/>
  <c r="A812" i="77"/>
  <c r="H811" i="77"/>
  <c r="F811" i="77"/>
  <c r="E811" i="77"/>
  <c r="B811" i="77"/>
  <c r="D811" i="77" s="1"/>
  <c r="A811" i="77"/>
  <c r="H810" i="77"/>
  <c r="F810" i="77" s="1"/>
  <c r="E810" i="77"/>
  <c r="A810" i="77"/>
  <c r="H809" i="77"/>
  <c r="F809" i="77"/>
  <c r="F815" i="77" s="1"/>
  <c r="E809" i="77"/>
  <c r="E815" i="77" s="1"/>
  <c r="B809" i="77"/>
  <c r="D809" i="77" s="1"/>
  <c r="A809" i="77"/>
  <c r="H808" i="77"/>
  <c r="H807" i="77"/>
  <c r="H806" i="77"/>
  <c r="C806" i="77"/>
  <c r="H805" i="77"/>
  <c r="H804" i="77"/>
  <c r="H803" i="77"/>
  <c r="H802" i="77"/>
  <c r="F802" i="77" s="1"/>
  <c r="E802" i="77"/>
  <c r="A802" i="77"/>
  <c r="H801" i="77"/>
  <c r="F801" i="77"/>
  <c r="E801" i="77"/>
  <c r="B801" i="77"/>
  <c r="D801" i="77" s="1"/>
  <c r="A801" i="77"/>
  <c r="H800" i="77"/>
  <c r="E800" i="77" s="1"/>
  <c r="F800" i="77"/>
  <c r="B800" i="77"/>
  <c r="D800" i="77" s="1"/>
  <c r="H799" i="77"/>
  <c r="F799" i="77" s="1"/>
  <c r="E799" i="77"/>
  <c r="A799" i="77"/>
  <c r="H798" i="77"/>
  <c r="F798" i="77"/>
  <c r="E798" i="77"/>
  <c r="B798" i="77"/>
  <c r="D798" i="77" s="1"/>
  <c r="A798" i="77"/>
  <c r="H797" i="77"/>
  <c r="G800" i="77" s="1"/>
  <c r="E797" i="77"/>
  <c r="E803" i="77" s="1"/>
  <c r="A797" i="77"/>
  <c r="H796" i="77"/>
  <c r="H795" i="77"/>
  <c r="H794" i="77"/>
  <c r="H793" i="77"/>
  <c r="H792" i="77"/>
  <c r="H791" i="77"/>
  <c r="H790" i="77"/>
  <c r="F790" i="77"/>
  <c r="E790" i="77"/>
  <c r="B790" i="77"/>
  <c r="D790" i="77" s="1"/>
  <c r="A790" i="77"/>
  <c r="H789" i="77"/>
  <c r="F789" i="77" s="1"/>
  <c r="E789" i="77"/>
  <c r="A789" i="77"/>
  <c r="H788" i="77"/>
  <c r="G788" i="77"/>
  <c r="F788" i="77"/>
  <c r="E788" i="77"/>
  <c r="C788" i="77"/>
  <c r="B788" i="77"/>
  <c r="D788" i="77" s="1"/>
  <c r="A788" i="77"/>
  <c r="H787" i="77"/>
  <c r="F787" i="77"/>
  <c r="E787" i="77"/>
  <c r="B787" i="77"/>
  <c r="D787" i="77" s="1"/>
  <c r="A787" i="77"/>
  <c r="H786" i="77"/>
  <c r="F786" i="77" s="1"/>
  <c r="E786" i="77"/>
  <c r="A786" i="77"/>
  <c r="H785" i="77"/>
  <c r="F785" i="77"/>
  <c r="E785" i="77"/>
  <c r="E791" i="77" s="1"/>
  <c r="B785" i="77"/>
  <c r="D785" i="77" s="1"/>
  <c r="A785" i="77"/>
  <c r="H784" i="77"/>
  <c r="H783" i="77"/>
  <c r="H782" i="77"/>
  <c r="C782" i="77"/>
  <c r="H781" i="77"/>
  <c r="H780" i="77"/>
  <c r="H779" i="77"/>
  <c r="H778" i="77"/>
  <c r="F778" i="77" s="1"/>
  <c r="E778" i="77"/>
  <c r="A778" i="77"/>
  <c r="H777" i="77"/>
  <c r="F777" i="77"/>
  <c r="E777" i="77"/>
  <c r="B777" i="77"/>
  <c r="D777" i="77" s="1"/>
  <c r="A777" i="77"/>
  <c r="H776" i="77"/>
  <c r="E776" i="77" s="1"/>
  <c r="F776" i="77"/>
  <c r="B776" i="77"/>
  <c r="D776" i="77" s="1"/>
  <c r="H775" i="77"/>
  <c r="F775" i="77" s="1"/>
  <c r="E775" i="77"/>
  <c r="A775" i="77"/>
  <c r="H774" i="77"/>
  <c r="F774" i="77"/>
  <c r="E774" i="77"/>
  <c r="B774" i="77"/>
  <c r="D774" i="77" s="1"/>
  <c r="A774" i="77"/>
  <c r="H773" i="77"/>
  <c r="G776" i="77" s="1"/>
  <c r="E773" i="77"/>
  <c r="E779" i="77" s="1"/>
  <c r="A773" i="77"/>
  <c r="H772" i="77"/>
  <c r="H771" i="77"/>
  <c r="H770" i="77"/>
  <c r="H769" i="77"/>
  <c r="H768" i="77"/>
  <c r="H767" i="77"/>
  <c r="H766" i="77"/>
  <c r="F766" i="77"/>
  <c r="E766" i="77"/>
  <c r="B766" i="77"/>
  <c r="D766" i="77" s="1"/>
  <c r="A766" i="77"/>
  <c r="H765" i="77"/>
  <c r="F765" i="77" s="1"/>
  <c r="E765" i="77"/>
  <c r="A765" i="77"/>
  <c r="H764" i="77"/>
  <c r="G764" i="77"/>
  <c r="F764" i="77"/>
  <c r="E764" i="77"/>
  <c r="C764" i="77"/>
  <c r="B764" i="77"/>
  <c r="D764" i="77" s="1"/>
  <c r="A764" i="77"/>
  <c r="H763" i="77"/>
  <c r="F763" i="77"/>
  <c r="E763" i="77"/>
  <c r="B763" i="77"/>
  <c r="D763" i="77" s="1"/>
  <c r="A763" i="77"/>
  <c r="H762" i="77"/>
  <c r="F762" i="77" s="1"/>
  <c r="E762" i="77"/>
  <c r="A762" i="77"/>
  <c r="H761" i="77"/>
  <c r="F761" i="77"/>
  <c r="F767" i="77" s="1"/>
  <c r="E761" i="77"/>
  <c r="E767" i="77" s="1"/>
  <c r="B761" i="77"/>
  <c r="D761" i="77" s="1"/>
  <c r="A761" i="77"/>
  <c r="H760" i="77"/>
  <c r="H759" i="77"/>
  <c r="H758" i="77"/>
  <c r="C758" i="77"/>
  <c r="H757" i="77"/>
  <c r="H756" i="77"/>
  <c r="H755" i="77"/>
  <c r="H754" i="77"/>
  <c r="F754" i="77" s="1"/>
  <c r="E754" i="77"/>
  <c r="A754" i="77"/>
  <c r="H753" i="77"/>
  <c r="F753" i="77"/>
  <c r="E753" i="77"/>
  <c r="B753" i="77"/>
  <c r="D753" i="77" s="1"/>
  <c r="A753" i="77"/>
  <c r="H752" i="77"/>
  <c r="E752" i="77" s="1"/>
  <c r="F752" i="77"/>
  <c r="B752" i="77"/>
  <c r="D752" i="77" s="1"/>
  <c r="H751" i="77"/>
  <c r="F751" i="77" s="1"/>
  <c r="E751" i="77"/>
  <c r="A751" i="77"/>
  <c r="H750" i="77"/>
  <c r="F750" i="77"/>
  <c r="E750" i="77"/>
  <c r="B750" i="77"/>
  <c r="D750" i="77" s="1"/>
  <c r="A750" i="77"/>
  <c r="H749" i="77"/>
  <c r="G752" i="77" s="1"/>
  <c r="E749" i="77"/>
  <c r="E755" i="77" s="1"/>
  <c r="A749" i="77"/>
  <c r="H748" i="77"/>
  <c r="H747" i="77"/>
  <c r="H746" i="77"/>
  <c r="H745" i="77"/>
  <c r="H744" i="77"/>
  <c r="H743" i="77"/>
  <c r="H742" i="77"/>
  <c r="F742" i="77"/>
  <c r="E742" i="77"/>
  <c r="B742" i="77"/>
  <c r="D742" i="77" s="1"/>
  <c r="A742" i="77"/>
  <c r="H741" i="77"/>
  <c r="F741" i="77" s="1"/>
  <c r="E741" i="77"/>
  <c r="A741" i="77"/>
  <c r="H740" i="77"/>
  <c r="G740" i="77"/>
  <c r="F740" i="77"/>
  <c r="E740" i="77"/>
  <c r="C740" i="77"/>
  <c r="B740" i="77"/>
  <c r="D740" i="77" s="1"/>
  <c r="A740" i="77"/>
  <c r="H739" i="77"/>
  <c r="F739" i="77"/>
  <c r="E739" i="77"/>
  <c r="B739" i="77"/>
  <c r="D739" i="77" s="1"/>
  <c r="A739" i="77"/>
  <c r="H738" i="77"/>
  <c r="F738" i="77" s="1"/>
  <c r="E738" i="77"/>
  <c r="A738" i="77"/>
  <c r="H737" i="77"/>
  <c r="F737" i="77"/>
  <c r="E737" i="77"/>
  <c r="E743" i="77" s="1"/>
  <c r="B737" i="77"/>
  <c r="D737" i="77" s="1"/>
  <c r="A737" i="77"/>
  <c r="H736" i="77"/>
  <c r="H735" i="77"/>
  <c r="H734" i="77"/>
  <c r="C734" i="77"/>
  <c r="H733" i="77"/>
  <c r="H732" i="77"/>
  <c r="H731" i="77"/>
  <c r="H730" i="77"/>
  <c r="F730" i="77" s="1"/>
  <c r="E730" i="77"/>
  <c r="A730" i="77"/>
  <c r="H729" i="77"/>
  <c r="F729" i="77"/>
  <c r="E729" i="77"/>
  <c r="B729" i="77"/>
  <c r="D729" i="77" s="1"/>
  <c r="A729" i="77"/>
  <c r="H728" i="77"/>
  <c r="E728" i="77" s="1"/>
  <c r="F728" i="77"/>
  <c r="B728" i="77"/>
  <c r="D728" i="77" s="1"/>
  <c r="H727" i="77"/>
  <c r="F727" i="77" s="1"/>
  <c r="E727" i="77"/>
  <c r="A727" i="77"/>
  <c r="H726" i="77"/>
  <c r="F726" i="77"/>
  <c r="E726" i="77"/>
  <c r="B726" i="77"/>
  <c r="D726" i="77" s="1"/>
  <c r="A726" i="77"/>
  <c r="H725" i="77"/>
  <c r="G728" i="77" s="1"/>
  <c r="E725" i="77"/>
  <c r="E731" i="77" s="1"/>
  <c r="A725" i="77"/>
  <c r="H724" i="77"/>
  <c r="H723" i="77"/>
  <c r="H722" i="77"/>
  <c r="H721" i="77"/>
  <c r="H720" i="77"/>
  <c r="H719" i="77"/>
  <c r="H718" i="77"/>
  <c r="F718" i="77"/>
  <c r="E718" i="77"/>
  <c r="B718" i="77"/>
  <c r="D718" i="77" s="1"/>
  <c r="A718" i="77"/>
  <c r="H717" i="77"/>
  <c r="F717" i="77" s="1"/>
  <c r="E717" i="77"/>
  <c r="A717" i="77"/>
  <c r="H716" i="77"/>
  <c r="G716" i="77"/>
  <c r="F716" i="77"/>
  <c r="E716" i="77"/>
  <c r="C716" i="77"/>
  <c r="B716" i="77"/>
  <c r="D716" i="77" s="1"/>
  <c r="A716" i="77"/>
  <c r="H715" i="77"/>
  <c r="F715" i="77"/>
  <c r="E715" i="77"/>
  <c r="B715" i="77"/>
  <c r="D715" i="77" s="1"/>
  <c r="A715" i="77"/>
  <c r="H714" i="77"/>
  <c r="F714" i="77" s="1"/>
  <c r="E714" i="77"/>
  <c r="A714" i="77"/>
  <c r="H713" i="77"/>
  <c r="F713" i="77"/>
  <c r="E713" i="77"/>
  <c r="E719" i="77" s="1"/>
  <c r="B713" i="77"/>
  <c r="C713" i="77" s="1"/>
  <c r="A713" i="77"/>
  <c r="H712" i="77"/>
  <c r="H711" i="77"/>
  <c r="H710" i="77"/>
  <c r="C710" i="77"/>
  <c r="H709" i="77"/>
  <c r="H708" i="77"/>
  <c r="H707" i="77"/>
  <c r="H706" i="77"/>
  <c r="E706" i="77" s="1"/>
  <c r="H705" i="77"/>
  <c r="F705" i="77"/>
  <c r="E705" i="77"/>
  <c r="B705" i="77"/>
  <c r="C705" i="77" s="1"/>
  <c r="A705" i="77"/>
  <c r="H704" i="77"/>
  <c r="F704" i="77" s="1"/>
  <c r="H703" i="77"/>
  <c r="E703" i="77" s="1"/>
  <c r="H702" i="77"/>
  <c r="F702" i="77"/>
  <c r="E702" i="77"/>
  <c r="B702" i="77"/>
  <c r="C702" i="77" s="1"/>
  <c r="A702" i="77"/>
  <c r="H701" i="77"/>
  <c r="E701" i="77" s="1"/>
  <c r="H700" i="77"/>
  <c r="H699" i="77"/>
  <c r="H698" i="77"/>
  <c r="H697" i="77"/>
  <c r="H696" i="77"/>
  <c r="H695" i="77"/>
  <c r="H694" i="77"/>
  <c r="F694" i="77"/>
  <c r="E694" i="77"/>
  <c r="B694" i="77"/>
  <c r="C694" i="77" s="1"/>
  <c r="A694" i="77"/>
  <c r="H693" i="77"/>
  <c r="E693" i="77" s="1"/>
  <c r="H692" i="77"/>
  <c r="G692" i="77"/>
  <c r="F692" i="77"/>
  <c r="E692" i="77"/>
  <c r="C692" i="77"/>
  <c r="B692" i="77"/>
  <c r="D692" i="77" s="1"/>
  <c r="A692" i="77"/>
  <c r="H691" i="77"/>
  <c r="F691" i="77"/>
  <c r="E691" i="77"/>
  <c r="D691" i="77"/>
  <c r="B691" i="77"/>
  <c r="C691" i="77" s="1"/>
  <c r="A691" i="77"/>
  <c r="H690" i="77"/>
  <c r="E690" i="77"/>
  <c r="A690" i="77"/>
  <c r="H689" i="77"/>
  <c r="F689" i="77"/>
  <c r="E689" i="77"/>
  <c r="D689" i="77"/>
  <c r="B689" i="77"/>
  <c r="C689" i="77" s="1"/>
  <c r="A689" i="77"/>
  <c r="H688" i="77"/>
  <c r="H687" i="77"/>
  <c r="H686" i="77"/>
  <c r="C686" i="77"/>
  <c r="H685" i="77"/>
  <c r="H684" i="77"/>
  <c r="H683" i="77"/>
  <c r="H682" i="77"/>
  <c r="E682" i="77"/>
  <c r="A682" i="77"/>
  <c r="H681" i="77"/>
  <c r="F681" i="77"/>
  <c r="E681" i="77"/>
  <c r="D681" i="77"/>
  <c r="B681" i="77"/>
  <c r="C681" i="77" s="1"/>
  <c r="A681" i="77"/>
  <c r="H680" i="77"/>
  <c r="F680" i="77"/>
  <c r="B680" i="77"/>
  <c r="C680" i="77" s="1"/>
  <c r="H679" i="77"/>
  <c r="E679" i="77"/>
  <c r="A679" i="77"/>
  <c r="H678" i="77"/>
  <c r="F678" i="77"/>
  <c r="E678" i="77"/>
  <c r="D678" i="77"/>
  <c r="B678" i="77"/>
  <c r="C678" i="77" s="1"/>
  <c r="A678" i="77"/>
  <c r="H677" i="77"/>
  <c r="E677" i="77"/>
  <c r="A677" i="77"/>
  <c r="H676" i="77"/>
  <c r="H675" i="77"/>
  <c r="H674" i="77"/>
  <c r="H673" i="77"/>
  <c r="H672" i="77"/>
  <c r="H671" i="77"/>
  <c r="H670" i="77"/>
  <c r="F670" i="77"/>
  <c r="E670" i="77"/>
  <c r="D670" i="77"/>
  <c r="B670" i="77"/>
  <c r="C670" i="77" s="1"/>
  <c r="A670" i="77"/>
  <c r="H669" i="77"/>
  <c r="E669" i="77"/>
  <c r="A669" i="77"/>
  <c r="H668" i="77"/>
  <c r="G668" i="77"/>
  <c r="F668" i="77"/>
  <c r="E668" i="77"/>
  <c r="C668" i="77"/>
  <c r="B668" i="77"/>
  <c r="D668" i="77" s="1"/>
  <c r="A668" i="77"/>
  <c r="H667" i="77"/>
  <c r="F667" i="77"/>
  <c r="E667" i="77"/>
  <c r="B667" i="77"/>
  <c r="C667" i="77" s="1"/>
  <c r="A667" i="77"/>
  <c r="H666" i="77"/>
  <c r="E666" i="77" s="1"/>
  <c r="H665" i="77"/>
  <c r="F665" i="77"/>
  <c r="E665" i="77"/>
  <c r="B665" i="77"/>
  <c r="C665" i="77" s="1"/>
  <c r="A665" i="77"/>
  <c r="H664" i="77"/>
  <c r="H663" i="77"/>
  <c r="H662" i="77"/>
  <c r="C662" i="77"/>
  <c r="H661" i="77"/>
  <c r="H660" i="77"/>
  <c r="H659" i="77"/>
  <c r="H658" i="77"/>
  <c r="E658" i="77" s="1"/>
  <c r="H657" i="77"/>
  <c r="F657" i="77"/>
  <c r="E657" i="77"/>
  <c r="B657" i="77"/>
  <c r="C657" i="77" s="1"/>
  <c r="A657" i="77"/>
  <c r="H656" i="77"/>
  <c r="F656" i="77" s="1"/>
  <c r="H655" i="77"/>
  <c r="E655" i="77" s="1"/>
  <c r="H654" i="77"/>
  <c r="F654" i="77"/>
  <c r="E654" i="77"/>
  <c r="B654" i="77"/>
  <c r="C654" i="77" s="1"/>
  <c r="A654" i="77"/>
  <c r="H653" i="77"/>
  <c r="E653" i="77" s="1"/>
  <c r="H652" i="77"/>
  <c r="H651" i="77"/>
  <c r="H650" i="77"/>
  <c r="H649" i="77"/>
  <c r="H648" i="77"/>
  <c r="H647" i="77"/>
  <c r="H646" i="77"/>
  <c r="F646" i="77"/>
  <c r="E646" i="77"/>
  <c r="B646" i="77"/>
  <c r="C646" i="77" s="1"/>
  <c r="A646" i="77"/>
  <c r="H645" i="77"/>
  <c r="E645" i="77" s="1"/>
  <c r="H644" i="77"/>
  <c r="G644" i="77"/>
  <c r="F644" i="77"/>
  <c r="E644" i="77"/>
  <c r="C644" i="77"/>
  <c r="B644" i="77"/>
  <c r="D644" i="77" s="1"/>
  <c r="A644" i="77"/>
  <c r="H643" i="77"/>
  <c r="F643" i="77"/>
  <c r="E643" i="77"/>
  <c r="D643" i="77"/>
  <c r="B643" i="77"/>
  <c r="C643" i="77" s="1"/>
  <c r="A643" i="77"/>
  <c r="H642" i="77"/>
  <c r="E642" i="77"/>
  <c r="A642" i="77"/>
  <c r="H641" i="77"/>
  <c r="F641" i="77"/>
  <c r="E641" i="77"/>
  <c r="D641" i="77"/>
  <c r="B641" i="77"/>
  <c r="C641" i="77" s="1"/>
  <c r="A641" i="77"/>
  <c r="H640" i="77"/>
  <c r="H639" i="77"/>
  <c r="H638" i="77"/>
  <c r="C638" i="77"/>
  <c r="H637" i="77"/>
  <c r="H636" i="77"/>
  <c r="H635" i="77"/>
  <c r="H634" i="77"/>
  <c r="F634" i="77" s="1"/>
  <c r="E634" i="77"/>
  <c r="C634" i="77"/>
  <c r="B634" i="77"/>
  <c r="D634" i="77" s="1"/>
  <c r="A634" i="77"/>
  <c r="H633" i="77"/>
  <c r="F633" i="77"/>
  <c r="E633" i="77"/>
  <c r="B633" i="77"/>
  <c r="D633" i="77" s="1"/>
  <c r="A633" i="77"/>
  <c r="H632" i="77"/>
  <c r="E632" i="77" s="1"/>
  <c r="F632" i="77"/>
  <c r="B632" i="77"/>
  <c r="D632" i="77" s="1"/>
  <c r="H631" i="77"/>
  <c r="F631" i="77" s="1"/>
  <c r="E631" i="77"/>
  <c r="A631" i="77"/>
  <c r="H630" i="77"/>
  <c r="F630" i="77"/>
  <c r="E630" i="77"/>
  <c r="B630" i="77"/>
  <c r="D630" i="77" s="1"/>
  <c r="A630" i="77"/>
  <c r="H629" i="77"/>
  <c r="G632" i="77" s="1"/>
  <c r="E629" i="77"/>
  <c r="E635" i="77" s="1"/>
  <c r="A629" i="77"/>
  <c r="H628" i="77"/>
  <c r="H627" i="77"/>
  <c r="H626" i="77"/>
  <c r="H625" i="77"/>
  <c r="H624" i="77"/>
  <c r="H623" i="77"/>
  <c r="H622" i="77"/>
  <c r="F622" i="77"/>
  <c r="E622" i="77"/>
  <c r="B622" i="77"/>
  <c r="D622" i="77" s="1"/>
  <c r="A622" i="77"/>
  <c r="H621" i="77"/>
  <c r="F621" i="77" s="1"/>
  <c r="E621" i="77"/>
  <c r="A621" i="77"/>
  <c r="H620" i="77"/>
  <c r="G620" i="77"/>
  <c r="F620" i="77"/>
  <c r="E620" i="77"/>
  <c r="C620" i="77"/>
  <c r="B620" i="77"/>
  <c r="D620" i="77" s="1"/>
  <c r="A620" i="77"/>
  <c r="H619" i="77"/>
  <c r="F619" i="77"/>
  <c r="E619" i="77"/>
  <c r="B619" i="77"/>
  <c r="D619" i="77" s="1"/>
  <c r="A619" i="77"/>
  <c r="H618" i="77"/>
  <c r="F618" i="77" s="1"/>
  <c r="E618" i="77"/>
  <c r="A618" i="77"/>
  <c r="H617" i="77"/>
  <c r="F617" i="77"/>
  <c r="E617" i="77"/>
  <c r="E623" i="77" s="1"/>
  <c r="B617" i="77"/>
  <c r="D617" i="77" s="1"/>
  <c r="A617" i="77"/>
  <c r="H616" i="77"/>
  <c r="H615" i="77"/>
  <c r="H614" i="77"/>
  <c r="C614" i="77"/>
  <c r="H613" i="77"/>
  <c r="H612" i="77"/>
  <c r="H611" i="77"/>
  <c r="H610" i="77"/>
  <c r="F610" i="77" s="1"/>
  <c r="E610" i="77"/>
  <c r="A610" i="77"/>
  <c r="H609" i="77"/>
  <c r="F609" i="77"/>
  <c r="E609" i="77"/>
  <c r="B609" i="77"/>
  <c r="D609" i="77" s="1"/>
  <c r="A609" i="77"/>
  <c r="H608" i="77"/>
  <c r="E608" i="77" s="1"/>
  <c r="F608" i="77"/>
  <c r="B608" i="77"/>
  <c r="D608" i="77" s="1"/>
  <c r="H607" i="77"/>
  <c r="F607" i="77" s="1"/>
  <c r="E607" i="77"/>
  <c r="A607" i="77"/>
  <c r="H606" i="77"/>
  <c r="F606" i="77"/>
  <c r="E606" i="77"/>
  <c r="B606" i="77"/>
  <c r="D606" i="77" s="1"/>
  <c r="A606" i="77"/>
  <c r="H605" i="77"/>
  <c r="G608" i="77" s="1"/>
  <c r="E605" i="77"/>
  <c r="E611" i="77" s="1"/>
  <c r="A605" i="77"/>
  <c r="H604" i="77"/>
  <c r="H603" i="77"/>
  <c r="H602" i="77"/>
  <c r="H601" i="77"/>
  <c r="H600" i="77"/>
  <c r="H599" i="77"/>
  <c r="H598" i="77"/>
  <c r="F598" i="77"/>
  <c r="E598" i="77"/>
  <c r="B598" i="77"/>
  <c r="D598" i="77" s="1"/>
  <c r="A598" i="77"/>
  <c r="H597" i="77"/>
  <c r="F597" i="77" s="1"/>
  <c r="E597" i="77"/>
  <c r="A597" i="77"/>
  <c r="H596" i="77"/>
  <c r="G596" i="77"/>
  <c r="F596" i="77"/>
  <c r="E596" i="77"/>
  <c r="C596" i="77"/>
  <c r="B596" i="77"/>
  <c r="D596" i="77" s="1"/>
  <c r="A596" i="77"/>
  <c r="H595" i="77"/>
  <c r="F595" i="77"/>
  <c r="E595" i="77"/>
  <c r="B595" i="77"/>
  <c r="D595" i="77" s="1"/>
  <c r="A595" i="77"/>
  <c r="H594" i="77"/>
  <c r="F594" i="77" s="1"/>
  <c r="E594" i="77"/>
  <c r="A594" i="77"/>
  <c r="H593" i="77"/>
  <c r="F593" i="77"/>
  <c r="F599" i="77" s="1"/>
  <c r="E593" i="77"/>
  <c r="E599" i="77" s="1"/>
  <c r="B593" i="77"/>
  <c r="D593" i="77" s="1"/>
  <c r="A593" i="77"/>
  <c r="H592" i="77"/>
  <c r="H591" i="77"/>
  <c r="H590" i="77"/>
  <c r="C590" i="77"/>
  <c r="H589" i="77"/>
  <c r="H588" i="77"/>
  <c r="H587" i="77"/>
  <c r="H586" i="77"/>
  <c r="F586" i="77" s="1"/>
  <c r="E586" i="77"/>
  <c r="A586" i="77"/>
  <c r="H585" i="77"/>
  <c r="F585" i="77"/>
  <c r="E585" i="77"/>
  <c r="B585" i="77"/>
  <c r="D585" i="77" s="1"/>
  <c r="A585" i="77"/>
  <c r="H584" i="77"/>
  <c r="E584" i="77" s="1"/>
  <c r="F584" i="77"/>
  <c r="B584" i="77"/>
  <c r="D584" i="77" s="1"/>
  <c r="H583" i="77"/>
  <c r="F583" i="77" s="1"/>
  <c r="E583" i="77"/>
  <c r="A583" i="77"/>
  <c r="H582" i="77"/>
  <c r="F582" i="77"/>
  <c r="E582" i="77"/>
  <c r="B582" i="77"/>
  <c r="D582" i="77" s="1"/>
  <c r="A582" i="77"/>
  <c r="H581" i="77"/>
  <c r="G584" i="77" s="1"/>
  <c r="E581" i="77"/>
  <c r="E587" i="77" s="1"/>
  <c r="A581" i="77"/>
  <c r="H580" i="77"/>
  <c r="H579" i="77"/>
  <c r="H578" i="77"/>
  <c r="H577" i="77"/>
  <c r="H576" i="77"/>
  <c r="H575" i="77"/>
  <c r="H574" i="77"/>
  <c r="F574" i="77"/>
  <c r="E574" i="77"/>
  <c r="B574" i="77"/>
  <c r="D574" i="77" s="1"/>
  <c r="A574" i="77"/>
  <c r="H573" i="77"/>
  <c r="F573" i="77" s="1"/>
  <c r="E573" i="77"/>
  <c r="A573" i="77"/>
  <c r="H572" i="77"/>
  <c r="G572" i="77"/>
  <c r="F572" i="77"/>
  <c r="E572" i="77"/>
  <c r="C572" i="77"/>
  <c r="B572" i="77"/>
  <c r="D572" i="77" s="1"/>
  <c r="A572" i="77"/>
  <c r="H571" i="77"/>
  <c r="F571" i="77"/>
  <c r="E571" i="77"/>
  <c r="B571" i="77"/>
  <c r="D571" i="77" s="1"/>
  <c r="A571" i="77"/>
  <c r="H570" i="77"/>
  <c r="F570" i="77" s="1"/>
  <c r="E570" i="77"/>
  <c r="A570" i="77"/>
  <c r="H569" i="77"/>
  <c r="F569" i="77"/>
  <c r="E569" i="77"/>
  <c r="E575" i="77" s="1"/>
  <c r="B569" i="77"/>
  <c r="D569" i="77" s="1"/>
  <c r="A569" i="77"/>
  <c r="H568" i="77"/>
  <c r="H567" i="77"/>
  <c r="H566" i="77"/>
  <c r="C566" i="77"/>
  <c r="H565" i="77"/>
  <c r="H564" i="77"/>
  <c r="H563" i="77"/>
  <c r="H562" i="77"/>
  <c r="F562" i="77" s="1"/>
  <c r="E562" i="77"/>
  <c r="A562" i="77"/>
  <c r="H561" i="77"/>
  <c r="F561" i="77"/>
  <c r="E561" i="77"/>
  <c r="B561" i="77"/>
  <c r="D561" i="77" s="1"/>
  <c r="A561" i="77"/>
  <c r="H560" i="77"/>
  <c r="E560" i="77" s="1"/>
  <c r="F560" i="77"/>
  <c r="B560" i="77"/>
  <c r="D560" i="77" s="1"/>
  <c r="H559" i="77"/>
  <c r="F559" i="77" s="1"/>
  <c r="E559" i="77"/>
  <c r="A559" i="77"/>
  <c r="H558" i="77"/>
  <c r="F558" i="77"/>
  <c r="E558" i="77"/>
  <c r="B558" i="77"/>
  <c r="D558" i="77" s="1"/>
  <c r="A558" i="77"/>
  <c r="H557" i="77"/>
  <c r="G560" i="77" s="1"/>
  <c r="E557" i="77"/>
  <c r="E563" i="77" s="1"/>
  <c r="A557" i="77"/>
  <c r="H556" i="77"/>
  <c r="H555" i="77"/>
  <c r="H554" i="77"/>
  <c r="H553" i="77"/>
  <c r="H552" i="77"/>
  <c r="H551" i="77"/>
  <c r="H550" i="77"/>
  <c r="F550" i="77"/>
  <c r="E550" i="77"/>
  <c r="B550" i="77"/>
  <c r="D550" i="77" s="1"/>
  <c r="A550" i="77"/>
  <c r="H549" i="77"/>
  <c r="F549" i="77" s="1"/>
  <c r="E549" i="77"/>
  <c r="A549" i="77"/>
  <c r="H548" i="77"/>
  <c r="G548" i="77"/>
  <c r="F548" i="77"/>
  <c r="E548" i="77"/>
  <c r="C548" i="77"/>
  <c r="B548" i="77"/>
  <c r="D548" i="77" s="1"/>
  <c r="A548" i="77"/>
  <c r="H547" i="77"/>
  <c r="F547" i="77"/>
  <c r="E547" i="77"/>
  <c r="B547" i="77"/>
  <c r="D547" i="77" s="1"/>
  <c r="A547" i="77"/>
  <c r="H546" i="77"/>
  <c r="F546" i="77" s="1"/>
  <c r="E546" i="77"/>
  <c r="A546" i="77"/>
  <c r="H545" i="77"/>
  <c r="F545" i="77"/>
  <c r="F551" i="77" s="1"/>
  <c r="E545" i="77"/>
  <c r="E551" i="77" s="1"/>
  <c r="B545" i="77"/>
  <c r="D545" i="77" s="1"/>
  <c r="A545" i="77"/>
  <c r="H544" i="77"/>
  <c r="H543" i="77"/>
  <c r="H542" i="77"/>
  <c r="C542" i="77"/>
  <c r="H541" i="77"/>
  <c r="H540" i="77"/>
  <c r="H539" i="77"/>
  <c r="H538" i="77"/>
  <c r="F538" i="77" s="1"/>
  <c r="E538" i="77"/>
  <c r="A538" i="77"/>
  <c r="H537" i="77"/>
  <c r="F537" i="77"/>
  <c r="E537" i="77"/>
  <c r="B537" i="77"/>
  <c r="D537" i="77" s="1"/>
  <c r="A537" i="77"/>
  <c r="H536" i="77"/>
  <c r="E536" i="77" s="1"/>
  <c r="F536" i="77"/>
  <c r="B536" i="77"/>
  <c r="D536" i="77" s="1"/>
  <c r="H535" i="77"/>
  <c r="F535" i="77" s="1"/>
  <c r="E535" i="77"/>
  <c r="A535" i="77"/>
  <c r="H534" i="77"/>
  <c r="F534" i="77"/>
  <c r="E534" i="77"/>
  <c r="B534" i="77"/>
  <c r="D534" i="77" s="1"/>
  <c r="A534" i="77"/>
  <c r="H533" i="77"/>
  <c r="G536" i="77" s="1"/>
  <c r="E533" i="77"/>
  <c r="E539" i="77" s="1"/>
  <c r="A533" i="77"/>
  <c r="H532" i="77"/>
  <c r="H531" i="77"/>
  <c r="H530" i="77"/>
  <c r="H529" i="77"/>
  <c r="H528" i="77"/>
  <c r="H527" i="77"/>
  <c r="H526" i="77"/>
  <c r="F526" i="77"/>
  <c r="E526" i="77"/>
  <c r="B526" i="77"/>
  <c r="D526" i="77" s="1"/>
  <c r="A526" i="77"/>
  <c r="H525" i="77"/>
  <c r="F525" i="77" s="1"/>
  <c r="E525" i="77"/>
  <c r="A525" i="77"/>
  <c r="H524" i="77"/>
  <c r="G524" i="77"/>
  <c r="F524" i="77"/>
  <c r="E524" i="77"/>
  <c r="C524" i="77"/>
  <c r="B524" i="77"/>
  <c r="D524" i="77" s="1"/>
  <c r="A524" i="77"/>
  <c r="H523" i="77"/>
  <c r="F523" i="77"/>
  <c r="E523" i="77"/>
  <c r="B523" i="77"/>
  <c r="D523" i="77" s="1"/>
  <c r="A523" i="77"/>
  <c r="H522" i="77"/>
  <c r="F522" i="77" s="1"/>
  <c r="E522" i="77"/>
  <c r="A522" i="77"/>
  <c r="H521" i="77"/>
  <c r="F521" i="77"/>
  <c r="E521" i="77"/>
  <c r="E527" i="77" s="1"/>
  <c r="B521" i="77"/>
  <c r="D521" i="77" s="1"/>
  <c r="A521" i="77"/>
  <c r="H520" i="77"/>
  <c r="H519" i="77"/>
  <c r="H518" i="77"/>
  <c r="C518" i="77"/>
  <c r="H517" i="77"/>
  <c r="H516" i="77"/>
  <c r="H515" i="77"/>
  <c r="H514" i="77"/>
  <c r="F514" i="77" s="1"/>
  <c r="E514" i="77"/>
  <c r="A514" i="77"/>
  <c r="H513" i="77"/>
  <c r="F513" i="77"/>
  <c r="E513" i="77"/>
  <c r="B513" i="77"/>
  <c r="D513" i="77" s="1"/>
  <c r="A513" i="77"/>
  <c r="H512" i="77"/>
  <c r="E512" i="77" s="1"/>
  <c r="F512" i="77"/>
  <c r="B512" i="77"/>
  <c r="D512" i="77" s="1"/>
  <c r="H511" i="77"/>
  <c r="F511" i="77" s="1"/>
  <c r="E511" i="77"/>
  <c r="A511" i="77"/>
  <c r="H510" i="77"/>
  <c r="F510" i="77"/>
  <c r="E510" i="77"/>
  <c r="B510" i="77"/>
  <c r="D510" i="77" s="1"/>
  <c r="A510" i="77"/>
  <c r="H509" i="77"/>
  <c r="G512" i="77" s="1"/>
  <c r="E509" i="77"/>
  <c r="E515" i="77" s="1"/>
  <c r="A509" i="77"/>
  <c r="H508" i="77"/>
  <c r="H507" i="77"/>
  <c r="H506" i="77"/>
  <c r="H505" i="77"/>
  <c r="H504" i="77"/>
  <c r="H503" i="77"/>
  <c r="H502" i="77"/>
  <c r="F502" i="77"/>
  <c r="E502" i="77"/>
  <c r="B502" i="77"/>
  <c r="D502" i="77" s="1"/>
  <c r="A502" i="77"/>
  <c r="H501" i="77"/>
  <c r="F501" i="77" s="1"/>
  <c r="E501" i="77"/>
  <c r="A501" i="77"/>
  <c r="H500" i="77"/>
  <c r="G500" i="77"/>
  <c r="F500" i="77"/>
  <c r="E500" i="77"/>
  <c r="C500" i="77"/>
  <c r="B500" i="77"/>
  <c r="D500" i="77" s="1"/>
  <c r="A500" i="77"/>
  <c r="H499" i="77"/>
  <c r="F499" i="77"/>
  <c r="E499" i="77"/>
  <c r="B499" i="77"/>
  <c r="D499" i="77" s="1"/>
  <c r="A499" i="77"/>
  <c r="H498" i="77"/>
  <c r="F498" i="77" s="1"/>
  <c r="E498" i="77"/>
  <c r="A498" i="77"/>
  <c r="H497" i="77"/>
  <c r="F497" i="77"/>
  <c r="F503" i="77" s="1"/>
  <c r="E497" i="77"/>
  <c r="E503" i="77" s="1"/>
  <c r="B497" i="77"/>
  <c r="D497" i="77" s="1"/>
  <c r="A497" i="77"/>
  <c r="H496" i="77"/>
  <c r="H495" i="77"/>
  <c r="H494" i="77"/>
  <c r="C494" i="77"/>
  <c r="H493" i="77"/>
  <c r="H492" i="77"/>
  <c r="H491" i="77"/>
  <c r="H490" i="77"/>
  <c r="F490" i="77" s="1"/>
  <c r="E490" i="77"/>
  <c r="A490" i="77"/>
  <c r="H489" i="77"/>
  <c r="F489" i="77"/>
  <c r="E489" i="77"/>
  <c r="B489" i="77"/>
  <c r="D489" i="77" s="1"/>
  <c r="A489" i="77"/>
  <c r="H488" i="77"/>
  <c r="E488" i="77" s="1"/>
  <c r="F488" i="77"/>
  <c r="B488" i="77"/>
  <c r="D488" i="77" s="1"/>
  <c r="H487" i="77"/>
  <c r="F487" i="77" s="1"/>
  <c r="E487" i="77"/>
  <c r="A487" i="77"/>
  <c r="H486" i="77"/>
  <c r="F486" i="77"/>
  <c r="E486" i="77"/>
  <c r="B486" i="77"/>
  <c r="D486" i="77" s="1"/>
  <c r="A486" i="77"/>
  <c r="H485" i="77"/>
  <c r="G488" i="77" s="1"/>
  <c r="E485" i="77"/>
  <c r="E491" i="77" s="1"/>
  <c r="A485" i="77"/>
  <c r="H484" i="77"/>
  <c r="H483" i="77"/>
  <c r="H482" i="77"/>
  <c r="H481" i="77"/>
  <c r="H480" i="77"/>
  <c r="H479" i="77"/>
  <c r="H478" i="77"/>
  <c r="F478" i="77"/>
  <c r="E478" i="77"/>
  <c r="B478" i="77"/>
  <c r="D478" i="77" s="1"/>
  <c r="A478" i="77"/>
  <c r="H477" i="77"/>
  <c r="F477" i="77" s="1"/>
  <c r="E477" i="77"/>
  <c r="A477" i="77"/>
  <c r="H476" i="77"/>
  <c r="G476" i="77"/>
  <c r="F476" i="77"/>
  <c r="E476" i="77"/>
  <c r="C476" i="77"/>
  <c r="B476" i="77"/>
  <c r="D476" i="77" s="1"/>
  <c r="A476" i="77"/>
  <c r="H475" i="77"/>
  <c r="F475" i="77"/>
  <c r="E475" i="77"/>
  <c r="B475" i="77"/>
  <c r="D475" i="77" s="1"/>
  <c r="A475" i="77"/>
  <c r="H474" i="77"/>
  <c r="F474" i="77" s="1"/>
  <c r="E474" i="77"/>
  <c r="A474" i="77"/>
  <c r="H473" i="77"/>
  <c r="F473" i="77"/>
  <c r="E473" i="77"/>
  <c r="E479" i="77" s="1"/>
  <c r="B473" i="77"/>
  <c r="D473" i="77" s="1"/>
  <c r="A473" i="77"/>
  <c r="H472" i="77"/>
  <c r="H471" i="77"/>
  <c r="H470" i="77"/>
  <c r="C470" i="77"/>
  <c r="H469" i="77"/>
  <c r="H468" i="77"/>
  <c r="H467" i="77"/>
  <c r="H466" i="77"/>
  <c r="F466" i="77" s="1"/>
  <c r="E466" i="77"/>
  <c r="A466" i="77"/>
  <c r="H465" i="77"/>
  <c r="F465" i="77"/>
  <c r="E465" i="77"/>
  <c r="B465" i="77"/>
  <c r="D465" i="77" s="1"/>
  <c r="A465" i="77"/>
  <c r="H464" i="77"/>
  <c r="E464" i="77" s="1"/>
  <c r="F464" i="77"/>
  <c r="B464" i="77"/>
  <c r="D464" i="77" s="1"/>
  <c r="H463" i="77"/>
  <c r="F463" i="77" s="1"/>
  <c r="E463" i="77"/>
  <c r="A463" i="77"/>
  <c r="H462" i="77"/>
  <c r="F462" i="77"/>
  <c r="E462" i="77"/>
  <c r="B462" i="77"/>
  <c r="D462" i="77" s="1"/>
  <c r="A462" i="77"/>
  <c r="H461" i="77"/>
  <c r="G464" i="77" s="1"/>
  <c r="E461" i="77"/>
  <c r="E467" i="77" s="1"/>
  <c r="A461" i="77"/>
  <c r="H460" i="77"/>
  <c r="H459" i="77"/>
  <c r="H458" i="77"/>
  <c r="H457" i="77"/>
  <c r="H456" i="77"/>
  <c r="H455" i="77"/>
  <c r="H454" i="77"/>
  <c r="F454" i="77"/>
  <c r="E454" i="77"/>
  <c r="B454" i="77"/>
  <c r="D454" i="77" s="1"/>
  <c r="A454" i="77"/>
  <c r="H453" i="77"/>
  <c r="F453" i="77" s="1"/>
  <c r="E453" i="77"/>
  <c r="A453" i="77"/>
  <c r="H452" i="77"/>
  <c r="G452" i="77"/>
  <c r="F452" i="77"/>
  <c r="E452" i="77"/>
  <c r="C452" i="77"/>
  <c r="B452" i="77"/>
  <c r="D452" i="77" s="1"/>
  <c r="A452" i="77"/>
  <c r="H451" i="77"/>
  <c r="F451" i="77"/>
  <c r="E451" i="77"/>
  <c r="D451" i="77"/>
  <c r="B451" i="77"/>
  <c r="C451" i="77" s="1"/>
  <c r="A451" i="77"/>
  <c r="H450" i="77"/>
  <c r="E450" i="77"/>
  <c r="A450" i="77"/>
  <c r="H449" i="77"/>
  <c r="F449" i="77"/>
  <c r="E449" i="77"/>
  <c r="D449" i="77"/>
  <c r="B449" i="77"/>
  <c r="C449" i="77" s="1"/>
  <c r="A449" i="77"/>
  <c r="H448" i="77"/>
  <c r="H447" i="77"/>
  <c r="H446" i="77"/>
  <c r="C446" i="77"/>
  <c r="H445" i="77"/>
  <c r="H444" i="77"/>
  <c r="H443" i="77"/>
  <c r="H442" i="77"/>
  <c r="E442" i="77"/>
  <c r="A442" i="77"/>
  <c r="H441" i="77"/>
  <c r="F441" i="77"/>
  <c r="E441" i="77"/>
  <c r="D441" i="77"/>
  <c r="B441" i="77"/>
  <c r="C441" i="77" s="1"/>
  <c r="A441" i="77"/>
  <c r="H440" i="77"/>
  <c r="F440" i="77"/>
  <c r="B440" i="77"/>
  <c r="C440" i="77" s="1"/>
  <c r="H439" i="77"/>
  <c r="E439" i="77"/>
  <c r="A439" i="77"/>
  <c r="H438" i="77"/>
  <c r="F438" i="77"/>
  <c r="E438" i="77"/>
  <c r="D438" i="77"/>
  <c r="B438" i="77"/>
  <c r="C438" i="77" s="1"/>
  <c r="A438" i="77"/>
  <c r="H437" i="77"/>
  <c r="E437" i="77"/>
  <c r="A437" i="77"/>
  <c r="H436" i="77"/>
  <c r="H435" i="77"/>
  <c r="H434" i="77"/>
  <c r="H433" i="77"/>
  <c r="H432" i="77"/>
  <c r="H431" i="77"/>
  <c r="H430" i="77"/>
  <c r="F430" i="77"/>
  <c r="E430" i="77"/>
  <c r="D430" i="77"/>
  <c r="B430" i="77"/>
  <c r="C430" i="77" s="1"/>
  <c r="A430" i="77"/>
  <c r="H429" i="77"/>
  <c r="E429" i="77"/>
  <c r="A429" i="77"/>
  <c r="H428" i="77"/>
  <c r="G428" i="77"/>
  <c r="F428" i="77"/>
  <c r="E428" i="77"/>
  <c r="C428" i="77"/>
  <c r="B428" i="77"/>
  <c r="D428" i="77" s="1"/>
  <c r="A428" i="77"/>
  <c r="H427" i="77"/>
  <c r="F427" i="77"/>
  <c r="E427" i="77"/>
  <c r="B427" i="77"/>
  <c r="C427" i="77" s="1"/>
  <c r="A427" i="77"/>
  <c r="H426" i="77"/>
  <c r="E426" i="77" s="1"/>
  <c r="H425" i="77"/>
  <c r="F425" i="77"/>
  <c r="E425" i="77"/>
  <c r="B425" i="77"/>
  <c r="C425" i="77" s="1"/>
  <c r="A425" i="77"/>
  <c r="H424" i="77"/>
  <c r="H423" i="77"/>
  <c r="H422" i="77"/>
  <c r="C422" i="77"/>
  <c r="H421" i="77"/>
  <c r="H420" i="77"/>
  <c r="H419" i="77"/>
  <c r="H418" i="77"/>
  <c r="E418" i="77" s="1"/>
  <c r="H417" i="77"/>
  <c r="F417" i="77"/>
  <c r="E417" i="77"/>
  <c r="B417" i="77"/>
  <c r="C417" i="77" s="1"/>
  <c r="A417" i="77"/>
  <c r="H416" i="77"/>
  <c r="F416" i="77" s="1"/>
  <c r="H415" i="77"/>
  <c r="E415" i="77" s="1"/>
  <c r="H414" i="77"/>
  <c r="F414" i="77"/>
  <c r="E414" i="77"/>
  <c r="B414" i="77"/>
  <c r="C414" i="77" s="1"/>
  <c r="A414" i="77"/>
  <c r="H413" i="77"/>
  <c r="E413" i="77" s="1"/>
  <c r="H412" i="77"/>
  <c r="H411" i="77"/>
  <c r="H410" i="77"/>
  <c r="H409" i="77"/>
  <c r="H408" i="77"/>
  <c r="H407" i="77"/>
  <c r="H406" i="77"/>
  <c r="F406" i="77"/>
  <c r="E406" i="77"/>
  <c r="B406" i="77"/>
  <c r="C406" i="77" s="1"/>
  <c r="A406" i="77"/>
  <c r="H405" i="77"/>
  <c r="E405" i="77" s="1"/>
  <c r="H404" i="77"/>
  <c r="G404" i="77"/>
  <c r="F404" i="77"/>
  <c r="E404" i="77"/>
  <c r="C404" i="77"/>
  <c r="B404" i="77"/>
  <c r="D404" i="77" s="1"/>
  <c r="A404" i="77"/>
  <c r="H403" i="77"/>
  <c r="F403" i="77"/>
  <c r="E403" i="77"/>
  <c r="D403" i="77"/>
  <c r="B403" i="77"/>
  <c r="C403" i="77" s="1"/>
  <c r="A403" i="77"/>
  <c r="H402" i="77"/>
  <c r="E402" i="77"/>
  <c r="A402" i="77"/>
  <c r="H401" i="77"/>
  <c r="F401" i="77"/>
  <c r="E401" i="77"/>
  <c r="D401" i="77"/>
  <c r="B401" i="77"/>
  <c r="C401" i="77" s="1"/>
  <c r="A401" i="77"/>
  <c r="H400" i="77"/>
  <c r="H399" i="77"/>
  <c r="H398" i="77"/>
  <c r="C398" i="77"/>
  <c r="H397" i="77"/>
  <c r="H396" i="77"/>
  <c r="H395" i="77"/>
  <c r="H394" i="77"/>
  <c r="E394" i="77"/>
  <c r="A394" i="77"/>
  <c r="H393" i="77"/>
  <c r="F393" i="77"/>
  <c r="E393" i="77"/>
  <c r="D393" i="77"/>
  <c r="B393" i="77"/>
  <c r="C393" i="77" s="1"/>
  <c r="A393" i="77"/>
  <c r="H392" i="77"/>
  <c r="F392" i="77"/>
  <c r="B392" i="77"/>
  <c r="C392" i="77" s="1"/>
  <c r="H391" i="77"/>
  <c r="E391" i="77"/>
  <c r="A391" i="77"/>
  <c r="H390" i="77"/>
  <c r="F390" i="77"/>
  <c r="E390" i="77"/>
  <c r="D390" i="77"/>
  <c r="B390" i="77"/>
  <c r="C390" i="77" s="1"/>
  <c r="A390" i="77"/>
  <c r="H389" i="77"/>
  <c r="E389" i="77"/>
  <c r="A389" i="77"/>
  <c r="H388" i="77"/>
  <c r="H387" i="77"/>
  <c r="H386" i="77"/>
  <c r="F386" i="77"/>
  <c r="F398" i="77" s="1"/>
  <c r="F410" i="77" s="1"/>
  <c r="F422" i="77" s="1"/>
  <c r="F434" i="77" s="1"/>
  <c r="F446" i="77" s="1"/>
  <c r="F458" i="77" s="1"/>
  <c r="F470" i="77" s="1"/>
  <c r="F482" i="77" s="1"/>
  <c r="F494" i="77" s="1"/>
  <c r="F506" i="77" s="1"/>
  <c r="F518" i="77" s="1"/>
  <c r="F530" i="77" s="1"/>
  <c r="F542" i="77" s="1"/>
  <c r="F554" i="77" s="1"/>
  <c r="F566" i="77" s="1"/>
  <c r="F578" i="77" s="1"/>
  <c r="F590" i="77" s="1"/>
  <c r="F602" i="77" s="1"/>
  <c r="F614" i="77" s="1"/>
  <c r="F626" i="77" s="1"/>
  <c r="F638" i="77" s="1"/>
  <c r="F650" i="77" s="1"/>
  <c r="F662" i="77" s="1"/>
  <c r="F674" i="77" s="1"/>
  <c r="F686" i="77" s="1"/>
  <c r="F698" i="77" s="1"/>
  <c r="F710" i="77" s="1"/>
  <c r="F722" i="77" s="1"/>
  <c r="F734" i="77" s="1"/>
  <c r="F746" i="77" s="1"/>
  <c r="F758" i="77" s="1"/>
  <c r="F770" i="77" s="1"/>
  <c r="F782" i="77" s="1"/>
  <c r="F794" i="77" s="1"/>
  <c r="F806" i="77" s="1"/>
  <c r="F818" i="77" s="1"/>
  <c r="F830" i="77" s="1"/>
  <c r="F842" i="77" s="1"/>
  <c r="F854" i="77" s="1"/>
  <c r="F866" i="77" s="1"/>
  <c r="F878" i="77" s="1"/>
  <c r="F890" i="77" s="1"/>
  <c r="F902" i="77" s="1"/>
  <c r="F914" i="77" s="1"/>
  <c r="F926" i="77" s="1"/>
  <c r="F938" i="77" s="1"/>
  <c r="F950" i="77" s="1"/>
  <c r="F962" i="77" s="1"/>
  <c r="F974" i="77" s="1"/>
  <c r="F986" i="77" s="1"/>
  <c r="F998" i="77" s="1"/>
  <c r="F1010" i="77" s="1"/>
  <c r="F1022" i="77" s="1"/>
  <c r="F1034" i="77" s="1"/>
  <c r="F1046" i="77" s="1"/>
  <c r="F1058" i="77" s="1"/>
  <c r="F1070" i="77" s="1"/>
  <c r="F1082" i="77" s="1"/>
  <c r="F1094" i="77" s="1"/>
  <c r="F1106" i="77" s="1"/>
  <c r="F1118" i="77" s="1"/>
  <c r="F1130" i="77" s="1"/>
  <c r="F1142" i="77" s="1"/>
  <c r="F1154" i="77" s="1"/>
  <c r="F1166" i="77" s="1"/>
  <c r="F1178" i="77" s="1"/>
  <c r="F1190" i="77" s="1"/>
  <c r="H385" i="77"/>
  <c r="H384" i="77"/>
  <c r="H383" i="77"/>
  <c r="H382" i="77"/>
  <c r="F382" i="77"/>
  <c r="E382" i="77"/>
  <c r="D382" i="77"/>
  <c r="B382" i="77"/>
  <c r="C382" i="77" s="1"/>
  <c r="A382" i="77"/>
  <c r="H381" i="77"/>
  <c r="E381" i="77"/>
  <c r="A381" i="77"/>
  <c r="H380" i="77"/>
  <c r="G380" i="77"/>
  <c r="F380" i="77"/>
  <c r="E380" i="77"/>
  <c r="C380" i="77"/>
  <c r="B380" i="77"/>
  <c r="D380" i="77" s="1"/>
  <c r="A380" i="77"/>
  <c r="H379" i="77"/>
  <c r="F379" i="77"/>
  <c r="E379" i="77"/>
  <c r="B379" i="77"/>
  <c r="C379" i="77" s="1"/>
  <c r="A379" i="77"/>
  <c r="H378" i="77"/>
  <c r="E378" i="77" s="1"/>
  <c r="H377" i="77"/>
  <c r="F377" i="77"/>
  <c r="E377" i="77"/>
  <c r="B377" i="77"/>
  <c r="C377" i="77" s="1"/>
  <c r="A377" i="77"/>
  <c r="H376" i="77"/>
  <c r="H375" i="77"/>
  <c r="H374" i="77"/>
  <c r="C374" i="77"/>
  <c r="H373" i="77"/>
  <c r="H372" i="77"/>
  <c r="H371" i="77"/>
  <c r="H370" i="77"/>
  <c r="E370" i="77" s="1"/>
  <c r="H369" i="77"/>
  <c r="F369" i="77"/>
  <c r="E369" i="77"/>
  <c r="B369" i="77"/>
  <c r="C369" i="77" s="1"/>
  <c r="A369" i="77"/>
  <c r="H368" i="77"/>
  <c r="F368" i="77" s="1"/>
  <c r="H367" i="77"/>
  <c r="E367" i="77" s="1"/>
  <c r="H366" i="77"/>
  <c r="F366" i="77"/>
  <c r="E366" i="77"/>
  <c r="B366" i="77"/>
  <c r="C366" i="77" s="1"/>
  <c r="A366" i="77"/>
  <c r="H365" i="77"/>
  <c r="E365" i="77" s="1"/>
  <c r="H364" i="77"/>
  <c r="H363" i="77"/>
  <c r="H362" i="77"/>
  <c r="F362" i="77"/>
  <c r="F374" i="77" s="1"/>
  <c r="H361" i="77"/>
  <c r="C350" i="77"/>
  <c r="C338" i="77"/>
  <c r="C326" i="77"/>
  <c r="C314" i="77"/>
  <c r="C302" i="77"/>
  <c r="C290" i="77"/>
  <c r="C278" i="77"/>
  <c r="C266" i="77"/>
  <c r="C254" i="77"/>
  <c r="C242" i="77"/>
  <c r="C230" i="77"/>
  <c r="C218" i="77"/>
  <c r="C206" i="77"/>
  <c r="C194" i="77"/>
  <c r="C182" i="77"/>
  <c r="C170" i="77"/>
  <c r="C158" i="77"/>
  <c r="C146" i="77"/>
  <c r="C134" i="77"/>
  <c r="C122" i="77"/>
  <c r="C110" i="77"/>
  <c r="C98" i="77"/>
  <c r="C86" i="77"/>
  <c r="AC74" i="77"/>
  <c r="AC86" i="77" s="1"/>
  <c r="U74" i="77"/>
  <c r="C74" i="77"/>
  <c r="U62" i="77"/>
  <c r="C62" i="77"/>
  <c r="U50" i="77"/>
  <c r="C50" i="77"/>
  <c r="U38" i="77"/>
  <c r="C38" i="77"/>
  <c r="C26" i="77"/>
  <c r="AC14" i="77"/>
  <c r="U14" i="77" s="1"/>
  <c r="C14" i="77"/>
  <c r="AD2" i="77"/>
  <c r="U2" i="77"/>
  <c r="C2" i="77"/>
  <c r="U86" i="77" l="1"/>
  <c r="AC98" i="77"/>
  <c r="AC26" i="77"/>
  <c r="U26" i="77" s="1"/>
  <c r="A365" i="77"/>
  <c r="D366" i="77"/>
  <c r="A367" i="77"/>
  <c r="B368" i="77"/>
  <c r="D369" i="77"/>
  <c r="A370" i="77"/>
  <c r="D377" i="77"/>
  <c r="A378" i="77"/>
  <c r="D379" i="77"/>
  <c r="F381" i="77"/>
  <c r="B381" i="77"/>
  <c r="G392" i="77"/>
  <c r="F389" i="77"/>
  <c r="B389" i="77"/>
  <c r="C386" i="77"/>
  <c r="F391" i="77"/>
  <c r="B391" i="77"/>
  <c r="D392" i="77"/>
  <c r="E392" i="77"/>
  <c r="E395" i="77" s="1"/>
  <c r="A392" i="77"/>
  <c r="F394" i="77"/>
  <c r="B394" i="77"/>
  <c r="E407" i="77"/>
  <c r="F402" i="77"/>
  <c r="F407" i="77" s="1"/>
  <c r="B402" i="77"/>
  <c r="A405" i="77"/>
  <c r="D406" i="77"/>
  <c r="A413" i="77"/>
  <c r="D414" i="77"/>
  <c r="A415" i="77"/>
  <c r="B416" i="77"/>
  <c r="D417" i="77"/>
  <c r="A418" i="77"/>
  <c r="D425" i="77"/>
  <c r="A426" i="77"/>
  <c r="D427" i="77"/>
  <c r="F429" i="77"/>
  <c r="B429" i="77"/>
  <c r="G440" i="77"/>
  <c r="F437" i="77"/>
  <c r="B437" i="77"/>
  <c r="C434" i="77"/>
  <c r="F439" i="77"/>
  <c r="B439" i="77"/>
  <c r="D440" i="77"/>
  <c r="E440" i="77"/>
  <c r="E443" i="77" s="1"/>
  <c r="A440" i="77"/>
  <c r="F442" i="77"/>
  <c r="B442" i="77"/>
  <c r="E455" i="77"/>
  <c r="F450" i="77"/>
  <c r="F455" i="77" s="1"/>
  <c r="B450" i="77"/>
  <c r="F479" i="77"/>
  <c r="C491" i="77"/>
  <c r="F504" i="77"/>
  <c r="C503" i="77"/>
  <c r="F527" i="77"/>
  <c r="C539" i="77"/>
  <c r="F552" i="77"/>
  <c r="C551" i="77"/>
  <c r="F575" i="77"/>
  <c r="C587" i="77"/>
  <c r="F600" i="77"/>
  <c r="C599" i="77"/>
  <c r="F623" i="77"/>
  <c r="C635" i="77"/>
  <c r="G368" i="77"/>
  <c r="F365" i="77"/>
  <c r="F371" i="77" s="1"/>
  <c r="B365" i="77"/>
  <c r="C362" i="77"/>
  <c r="F367" i="77"/>
  <c r="B367" i="77"/>
  <c r="E368" i="77"/>
  <c r="E371" i="77" s="1"/>
  <c r="A368" i="77"/>
  <c r="F370" i="77"/>
  <c r="B370" i="77"/>
  <c r="E383" i="77"/>
  <c r="F378" i="77"/>
  <c r="F383" i="77" s="1"/>
  <c r="B378" i="77"/>
  <c r="F405" i="77"/>
  <c r="B405" i="77"/>
  <c r="G416" i="77"/>
  <c r="F413" i="77"/>
  <c r="B413" i="77"/>
  <c r="C410" i="77"/>
  <c r="F415" i="77"/>
  <c r="B415" i="77"/>
  <c r="E416" i="77"/>
  <c r="E419" i="77" s="1"/>
  <c r="A416" i="77"/>
  <c r="F418" i="77"/>
  <c r="B418" i="77"/>
  <c r="E431" i="77"/>
  <c r="F426" i="77"/>
  <c r="F431" i="77" s="1"/>
  <c r="B426" i="77"/>
  <c r="F468" i="77"/>
  <c r="C467" i="77"/>
  <c r="F480" i="77"/>
  <c r="C479" i="77"/>
  <c r="C515" i="77"/>
  <c r="F528" i="77"/>
  <c r="C527" i="77"/>
  <c r="C563" i="77"/>
  <c r="F576" i="77"/>
  <c r="C575" i="77"/>
  <c r="C611" i="77"/>
  <c r="F624" i="77"/>
  <c r="C623" i="77"/>
  <c r="B453" i="77"/>
  <c r="C454" i="77"/>
  <c r="C458" i="77"/>
  <c r="B461" i="77"/>
  <c r="F461" i="77"/>
  <c r="F467" i="77" s="1"/>
  <c r="C462" i="77"/>
  <c r="B463" i="77"/>
  <c r="A464" i="77"/>
  <c r="C464" i="77"/>
  <c r="C465" i="77"/>
  <c r="B466" i="77"/>
  <c r="C473" i="77"/>
  <c r="B474" i="77"/>
  <c r="C475" i="77"/>
  <c r="B477" i="77"/>
  <c r="C478" i="77"/>
  <c r="C482" i="77"/>
  <c r="B485" i="77"/>
  <c r="F485" i="77"/>
  <c r="F491" i="77" s="1"/>
  <c r="F492" i="77" s="1"/>
  <c r="C486" i="77"/>
  <c r="B487" i="77"/>
  <c r="A488" i="77"/>
  <c r="C488" i="77"/>
  <c r="C489" i="77"/>
  <c r="B490" i="77"/>
  <c r="C497" i="77"/>
  <c r="B498" i="77"/>
  <c r="C499" i="77"/>
  <c r="B501" i="77"/>
  <c r="C502" i="77"/>
  <c r="C506" i="77"/>
  <c r="B509" i="77"/>
  <c r="F509" i="77"/>
  <c r="F515" i="77" s="1"/>
  <c r="F516" i="77" s="1"/>
  <c r="C510" i="77"/>
  <c r="B511" i="77"/>
  <c r="A512" i="77"/>
  <c r="C512" i="77"/>
  <c r="C513" i="77"/>
  <c r="B514" i="77"/>
  <c r="C521" i="77"/>
  <c r="B522" i="77"/>
  <c r="C523" i="77"/>
  <c r="B525" i="77"/>
  <c r="C526" i="77"/>
  <c r="C530" i="77"/>
  <c r="B533" i="77"/>
  <c r="F533" i="77"/>
  <c r="F539" i="77" s="1"/>
  <c r="F540" i="77" s="1"/>
  <c r="C534" i="77"/>
  <c r="B535" i="77"/>
  <c r="A536" i="77"/>
  <c r="C536" i="77"/>
  <c r="C537" i="77"/>
  <c r="B538" i="77"/>
  <c r="C545" i="77"/>
  <c r="B546" i="77"/>
  <c r="C547" i="77"/>
  <c r="B549" i="77"/>
  <c r="C550" i="77"/>
  <c r="C554" i="77"/>
  <c r="B557" i="77"/>
  <c r="F557" i="77"/>
  <c r="F563" i="77" s="1"/>
  <c r="F564" i="77" s="1"/>
  <c r="C558" i="77"/>
  <c r="B559" i="77"/>
  <c r="A560" i="77"/>
  <c r="C560" i="77"/>
  <c r="C561" i="77"/>
  <c r="B562" i="77"/>
  <c r="C569" i="77"/>
  <c r="B570" i="77"/>
  <c r="C571" i="77"/>
  <c r="B573" i="77"/>
  <c r="C574" i="77"/>
  <c r="C578" i="77"/>
  <c r="B581" i="77"/>
  <c r="F581" i="77"/>
  <c r="F587" i="77" s="1"/>
  <c r="F588" i="77" s="1"/>
  <c r="C582" i="77"/>
  <c r="B583" i="77"/>
  <c r="A584" i="77"/>
  <c r="C584" i="77"/>
  <c r="C585" i="77"/>
  <c r="B586" i="77"/>
  <c r="C593" i="77"/>
  <c r="B594" i="77"/>
  <c r="C595" i="77"/>
  <c r="B597" i="77"/>
  <c r="C598" i="77"/>
  <c r="C602" i="77"/>
  <c r="B605" i="77"/>
  <c r="F605" i="77"/>
  <c r="F611" i="77" s="1"/>
  <c r="F612" i="77" s="1"/>
  <c r="C606" i="77"/>
  <c r="B607" i="77"/>
  <c r="A608" i="77"/>
  <c r="C608" i="77"/>
  <c r="C609" i="77"/>
  <c r="B610" i="77"/>
  <c r="C617" i="77"/>
  <c r="B618" i="77"/>
  <c r="C619" i="77"/>
  <c r="B621" i="77"/>
  <c r="C622" i="77"/>
  <c r="C626" i="77"/>
  <c r="B629" i="77"/>
  <c r="F629" i="77"/>
  <c r="F635" i="77" s="1"/>
  <c r="F636" i="77" s="1"/>
  <c r="C630" i="77"/>
  <c r="B631" i="77"/>
  <c r="A632" i="77"/>
  <c r="C632" i="77"/>
  <c r="C633" i="77"/>
  <c r="E647" i="77"/>
  <c r="F642" i="77"/>
  <c r="F647" i="77" s="1"/>
  <c r="B642" i="77"/>
  <c r="A645" i="77"/>
  <c r="D646" i="77"/>
  <c r="A653" i="77"/>
  <c r="D654" i="77"/>
  <c r="A655" i="77"/>
  <c r="B656" i="77"/>
  <c r="D657" i="77"/>
  <c r="A658" i="77"/>
  <c r="D665" i="77"/>
  <c r="A666" i="77"/>
  <c r="D667" i="77"/>
  <c r="F669" i="77"/>
  <c r="B669" i="77"/>
  <c r="G680" i="77"/>
  <c r="F677" i="77"/>
  <c r="B677" i="77"/>
  <c r="C674" i="77"/>
  <c r="F679" i="77"/>
  <c r="B679" i="77"/>
  <c r="D680" i="77"/>
  <c r="E680" i="77"/>
  <c r="E683" i="77" s="1"/>
  <c r="A680" i="77"/>
  <c r="F682" i="77"/>
  <c r="B682" i="77"/>
  <c r="E695" i="77"/>
  <c r="F690" i="77"/>
  <c r="F695" i="77" s="1"/>
  <c r="B690" i="77"/>
  <c r="A693" i="77"/>
  <c r="D694" i="77"/>
  <c r="A701" i="77"/>
  <c r="D702" i="77"/>
  <c r="A703" i="77"/>
  <c r="B704" i="77"/>
  <c r="D705" i="77"/>
  <c r="A706" i="77"/>
  <c r="D713" i="77"/>
  <c r="F719" i="77"/>
  <c r="F720" i="77" s="1"/>
  <c r="F743" i="77"/>
  <c r="C755" i="77"/>
  <c r="F768" i="77"/>
  <c r="C767" i="77"/>
  <c r="F791" i="77"/>
  <c r="F792" i="77" s="1"/>
  <c r="C803" i="77"/>
  <c r="F816" i="77"/>
  <c r="C815" i="77"/>
  <c r="F839" i="77"/>
  <c r="C851" i="77"/>
  <c r="F864" i="77"/>
  <c r="C863" i="77"/>
  <c r="F645" i="77"/>
  <c r="B645" i="77"/>
  <c r="G656" i="77"/>
  <c r="F653" i="77"/>
  <c r="B653" i="77"/>
  <c r="C650" i="77"/>
  <c r="F655" i="77"/>
  <c r="B655" i="77"/>
  <c r="E656" i="77"/>
  <c r="E659" i="77" s="1"/>
  <c r="A656" i="77"/>
  <c r="F658" i="77"/>
  <c r="B658" i="77"/>
  <c r="E671" i="77"/>
  <c r="F666" i="77"/>
  <c r="F671" i="77" s="1"/>
  <c r="B666" i="77"/>
  <c r="F693" i="77"/>
  <c r="B693" i="77"/>
  <c r="G704" i="77"/>
  <c r="F701" i="77"/>
  <c r="F707" i="77" s="1"/>
  <c r="B701" i="77"/>
  <c r="C698" i="77"/>
  <c r="F703" i="77"/>
  <c r="B703" i="77"/>
  <c r="E704" i="77"/>
  <c r="E707" i="77" s="1"/>
  <c r="A704" i="77"/>
  <c r="F706" i="77"/>
  <c r="B706" i="77"/>
  <c r="C719" i="77"/>
  <c r="C731" i="77"/>
  <c r="F744" i="77"/>
  <c r="C743" i="77"/>
  <c r="C779" i="77"/>
  <c r="C791" i="77"/>
  <c r="C827" i="77"/>
  <c r="F840" i="77"/>
  <c r="C839" i="77"/>
  <c r="C875" i="77"/>
  <c r="B714" i="77"/>
  <c r="C715" i="77"/>
  <c r="B717" i="77"/>
  <c r="C718" i="77"/>
  <c r="C722" i="77"/>
  <c r="B725" i="77"/>
  <c r="F725" i="77"/>
  <c r="F731" i="77" s="1"/>
  <c r="F732" i="77" s="1"/>
  <c r="C726" i="77"/>
  <c r="B727" i="77"/>
  <c r="A728" i="77"/>
  <c r="C728" i="77"/>
  <c r="C729" i="77"/>
  <c r="B730" i="77"/>
  <c r="C737" i="77"/>
  <c r="B738" i="77"/>
  <c r="C739" i="77"/>
  <c r="B741" i="77"/>
  <c r="C742" i="77"/>
  <c r="C746" i="77"/>
  <c r="B749" i="77"/>
  <c r="F749" i="77"/>
  <c r="F755" i="77" s="1"/>
  <c r="F756" i="77" s="1"/>
  <c r="C750" i="77"/>
  <c r="B751" i="77"/>
  <c r="A752" i="77"/>
  <c r="C752" i="77"/>
  <c r="C753" i="77"/>
  <c r="B754" i="77"/>
  <c r="C761" i="77"/>
  <c r="B762" i="77"/>
  <c r="C763" i="77"/>
  <c r="B765" i="77"/>
  <c r="C766" i="77"/>
  <c r="C770" i="77"/>
  <c r="B773" i="77"/>
  <c r="F773" i="77"/>
  <c r="F779" i="77" s="1"/>
  <c r="F780" i="77" s="1"/>
  <c r="C774" i="77"/>
  <c r="B775" i="77"/>
  <c r="A776" i="77"/>
  <c r="C776" i="77"/>
  <c r="C777" i="77"/>
  <c r="B778" i="77"/>
  <c r="C785" i="77"/>
  <c r="B786" i="77"/>
  <c r="C787" i="77"/>
  <c r="B789" i="77"/>
  <c r="C790" i="77"/>
  <c r="C794" i="77"/>
  <c r="B797" i="77"/>
  <c r="F797" i="77"/>
  <c r="F803" i="77" s="1"/>
  <c r="F804" i="77" s="1"/>
  <c r="C798" i="77"/>
  <c r="B799" i="77"/>
  <c r="A800" i="77"/>
  <c r="C800" i="77"/>
  <c r="C801" i="77"/>
  <c r="B802" i="77"/>
  <c r="C809" i="77"/>
  <c r="B810" i="77"/>
  <c r="C811" i="77"/>
  <c r="B813" i="77"/>
  <c r="C814" i="77"/>
  <c r="C818" i="77"/>
  <c r="B821" i="77"/>
  <c r="F821" i="77"/>
  <c r="F827" i="77" s="1"/>
  <c r="F828" i="77" s="1"/>
  <c r="C822" i="77"/>
  <c r="B823" i="77"/>
  <c r="A824" i="77"/>
  <c r="C824" i="77"/>
  <c r="C825" i="77"/>
  <c r="B826" i="77"/>
  <c r="C833" i="77"/>
  <c r="B834" i="77"/>
  <c r="C835" i="77"/>
  <c r="B837" i="77"/>
  <c r="C838" i="77"/>
  <c r="C842" i="77"/>
  <c r="B845" i="77"/>
  <c r="F845" i="77"/>
  <c r="F851" i="77" s="1"/>
  <c r="F852" i="77" s="1"/>
  <c r="C846" i="77"/>
  <c r="B847" i="77"/>
  <c r="A848" i="77"/>
  <c r="C848" i="77"/>
  <c r="C849" i="77"/>
  <c r="B850" i="77"/>
  <c r="C857" i="77"/>
  <c r="B858" i="77"/>
  <c r="C859" i="77"/>
  <c r="B861" i="77"/>
  <c r="C862" i="77"/>
  <c r="C866" i="77"/>
  <c r="B869" i="77"/>
  <c r="F869" i="77"/>
  <c r="C870" i="77"/>
  <c r="B871" i="77"/>
  <c r="A872" i="77"/>
  <c r="C872" i="77"/>
  <c r="C873" i="77"/>
  <c r="F874" i="77"/>
  <c r="B874" i="77"/>
  <c r="E887" i="77"/>
  <c r="F882" i="77"/>
  <c r="F887" i="77" s="1"/>
  <c r="B882" i="77"/>
  <c r="A885" i="77"/>
  <c r="D886" i="77"/>
  <c r="A893" i="77"/>
  <c r="D894" i="77"/>
  <c r="A895" i="77"/>
  <c r="B896" i="77"/>
  <c r="D897" i="77"/>
  <c r="A898" i="77"/>
  <c r="D905" i="77"/>
  <c r="A906" i="77"/>
  <c r="D907" i="77"/>
  <c r="F909" i="77"/>
  <c r="B909" i="77"/>
  <c r="G920" i="77"/>
  <c r="F917" i="77"/>
  <c r="B917" i="77"/>
  <c r="C914" i="77"/>
  <c r="F919" i="77"/>
  <c r="B919" i="77"/>
  <c r="D920" i="77"/>
  <c r="E920" i="77"/>
  <c r="A920" i="77"/>
  <c r="F936" i="77"/>
  <c r="C935" i="77"/>
  <c r="C971" i="77"/>
  <c r="F984" i="77"/>
  <c r="C983" i="77"/>
  <c r="F885" i="77"/>
  <c r="B885" i="77"/>
  <c r="G896" i="77"/>
  <c r="F893" i="77"/>
  <c r="F899" i="77" s="1"/>
  <c r="B893" i="77"/>
  <c r="C890" i="77"/>
  <c r="F895" i="77"/>
  <c r="B895" i="77"/>
  <c r="E896" i="77"/>
  <c r="E899" i="77" s="1"/>
  <c r="A896" i="77"/>
  <c r="F898" i="77"/>
  <c r="B898" i="77"/>
  <c r="E911" i="77"/>
  <c r="F906" i="77"/>
  <c r="F911" i="77" s="1"/>
  <c r="B906" i="77"/>
  <c r="E923" i="77"/>
  <c r="C947" i="77"/>
  <c r="F960" i="77"/>
  <c r="C959" i="77"/>
  <c r="D929" i="77"/>
  <c r="D931" i="77"/>
  <c r="D934" i="77"/>
  <c r="D942" i="77"/>
  <c r="D944" i="77"/>
  <c r="D945" i="77"/>
  <c r="D953" i="77"/>
  <c r="D955" i="77"/>
  <c r="D958" i="77"/>
  <c r="D966" i="77"/>
  <c r="D968" i="77"/>
  <c r="D969" i="77"/>
  <c r="D977" i="77"/>
  <c r="D979" i="77"/>
  <c r="D982" i="77"/>
  <c r="F993" i="77"/>
  <c r="B993" i="77"/>
  <c r="G1004" i="77"/>
  <c r="F1001" i="77"/>
  <c r="B1001" i="77"/>
  <c r="C998" i="77"/>
  <c r="F1003" i="77"/>
  <c r="B1003" i="77"/>
  <c r="E1004" i="77"/>
  <c r="A1004" i="77"/>
  <c r="F1006" i="77"/>
  <c r="B1006" i="77"/>
  <c r="F1014" i="77"/>
  <c r="F1019" i="77" s="1"/>
  <c r="B1014" i="77"/>
  <c r="B922" i="77"/>
  <c r="B930" i="77"/>
  <c r="B933" i="77"/>
  <c r="C938" i="77"/>
  <c r="B941" i="77"/>
  <c r="F941" i="77"/>
  <c r="F947" i="77" s="1"/>
  <c r="F948" i="77" s="1"/>
  <c r="B943" i="77"/>
  <c r="A944" i="77"/>
  <c r="B946" i="77"/>
  <c r="B954" i="77"/>
  <c r="B957" i="77"/>
  <c r="C962" i="77"/>
  <c r="B965" i="77"/>
  <c r="F965" i="77"/>
  <c r="F971" i="77" s="1"/>
  <c r="F972" i="77" s="1"/>
  <c r="B967" i="77"/>
  <c r="A968" i="77"/>
  <c r="B970" i="77"/>
  <c r="B978" i="77"/>
  <c r="B981" i="77"/>
  <c r="C986" i="77"/>
  <c r="B989" i="77"/>
  <c r="F989" i="77"/>
  <c r="F995" i="77" s="1"/>
  <c r="C990" i="77"/>
  <c r="A993" i="77"/>
  <c r="E993" i="77"/>
  <c r="E995" i="77" s="1"/>
  <c r="D994" i="77"/>
  <c r="A1001" i="77"/>
  <c r="E1001" i="77"/>
  <c r="D1002" i="77"/>
  <c r="A1003" i="77"/>
  <c r="E1003" i="77"/>
  <c r="B1004" i="77"/>
  <c r="F1004" i="77"/>
  <c r="D1005" i="77"/>
  <c r="A1006" i="77"/>
  <c r="E1006" i="77"/>
  <c r="D1013" i="77"/>
  <c r="A1014" i="77"/>
  <c r="E1014" i="77"/>
  <c r="E1019" i="77" s="1"/>
  <c r="D1015" i="77"/>
  <c r="D1018" i="77"/>
  <c r="G1028" i="77"/>
  <c r="F1025" i="77"/>
  <c r="F1031" i="77" s="1"/>
  <c r="F1027" i="77"/>
  <c r="B1027" i="77"/>
  <c r="E1028" i="77"/>
  <c r="A1028" i="77"/>
  <c r="F1030" i="77"/>
  <c r="B1030" i="77"/>
  <c r="F1038" i="77"/>
  <c r="F1043" i="77" s="1"/>
  <c r="B1038" i="77"/>
  <c r="F1065" i="77"/>
  <c r="B1065" i="77"/>
  <c r="G1076" i="77"/>
  <c r="F1073" i="77"/>
  <c r="B1073" i="77"/>
  <c r="C1070" i="77"/>
  <c r="F1075" i="77"/>
  <c r="B1075" i="77"/>
  <c r="E1076" i="77"/>
  <c r="A1076" i="77"/>
  <c r="F1078" i="77"/>
  <c r="B1078" i="77"/>
  <c r="C1103" i="77"/>
  <c r="C1115" i="77"/>
  <c r="B1017" i="77"/>
  <c r="C1022" i="77"/>
  <c r="B1025" i="77"/>
  <c r="E1025" i="77"/>
  <c r="D1026" i="77"/>
  <c r="A1027" i="77"/>
  <c r="E1027" i="77"/>
  <c r="B1028" i="77"/>
  <c r="F1028" i="77"/>
  <c r="D1029" i="77"/>
  <c r="A1030" i="77"/>
  <c r="E1030" i="77"/>
  <c r="D1037" i="77"/>
  <c r="A1038" i="77"/>
  <c r="E1038" i="77"/>
  <c r="E1043" i="77" s="1"/>
  <c r="D1039" i="77"/>
  <c r="F1041" i="77"/>
  <c r="B1041" i="77"/>
  <c r="G1052" i="77"/>
  <c r="F1049" i="77"/>
  <c r="B1049" i="77"/>
  <c r="C1046" i="77"/>
  <c r="F1051" i="77"/>
  <c r="B1051" i="77"/>
  <c r="D1052" i="77"/>
  <c r="E1052" i="77"/>
  <c r="E1055" i="77" s="1"/>
  <c r="A1052" i="77"/>
  <c r="F1054" i="77"/>
  <c r="B1054" i="77"/>
  <c r="F1062" i="77"/>
  <c r="F1067" i="77" s="1"/>
  <c r="B1062" i="77"/>
  <c r="A1065" i="77"/>
  <c r="E1065" i="77"/>
  <c r="E1067" i="77" s="1"/>
  <c r="D1066" i="77"/>
  <c r="A1073" i="77"/>
  <c r="E1073" i="77"/>
  <c r="D1074" i="77"/>
  <c r="A1075" i="77"/>
  <c r="E1075" i="77"/>
  <c r="B1076" i="77"/>
  <c r="F1076" i="77"/>
  <c r="D1077" i="77"/>
  <c r="A1078" i="77"/>
  <c r="E1078" i="77"/>
  <c r="F1092" i="77"/>
  <c r="C1091" i="77"/>
  <c r="F1115" i="77"/>
  <c r="F1116" i="77" s="1"/>
  <c r="C1127" i="77"/>
  <c r="C1085" i="77"/>
  <c r="B1086" i="77"/>
  <c r="C1087" i="77"/>
  <c r="B1089" i="77"/>
  <c r="C1090" i="77"/>
  <c r="C1094" i="77"/>
  <c r="B1097" i="77"/>
  <c r="F1097" i="77"/>
  <c r="F1103" i="77" s="1"/>
  <c r="F1104" i="77" s="1"/>
  <c r="C1098" i="77"/>
  <c r="B1099" i="77"/>
  <c r="A1100" i="77"/>
  <c r="C1100" i="77"/>
  <c r="C1101" i="77"/>
  <c r="B1102" i="77"/>
  <c r="C1109" i="77"/>
  <c r="B1110" i="77"/>
  <c r="C1111" i="77"/>
  <c r="B1113" i="77"/>
  <c r="C1114" i="77"/>
  <c r="C1118" i="77"/>
  <c r="B1121" i="77"/>
  <c r="F1121" i="77"/>
  <c r="F1127" i="77" s="1"/>
  <c r="F1128" i="77" s="1"/>
  <c r="C1122" i="77"/>
  <c r="B1123" i="77"/>
  <c r="A1124" i="77"/>
  <c r="C1124" i="77"/>
  <c r="C1125" i="77"/>
  <c r="B1126" i="77"/>
  <c r="C1133" i="77"/>
  <c r="B1134" i="77"/>
  <c r="C1135" i="77"/>
  <c r="B1137" i="77"/>
  <c r="E1137" i="77"/>
  <c r="E1139" i="77" s="1"/>
  <c r="D1138" i="77"/>
  <c r="A1145" i="77"/>
  <c r="D1146" i="77"/>
  <c r="A1147" i="77"/>
  <c r="B1148" i="77"/>
  <c r="D1149" i="77"/>
  <c r="A1150" i="77"/>
  <c r="D1157" i="77"/>
  <c r="A1158" i="77"/>
  <c r="D1159" i="77"/>
  <c r="F1176" i="77"/>
  <c r="C1175" i="77"/>
  <c r="F1188" i="77"/>
  <c r="C1187" i="77"/>
  <c r="G1148" i="77"/>
  <c r="F1145" i="77"/>
  <c r="B1145" i="77"/>
  <c r="C1142" i="77"/>
  <c r="F1147" i="77"/>
  <c r="B1147" i="77"/>
  <c r="E1148" i="77"/>
  <c r="E1151" i="77" s="1"/>
  <c r="A1148" i="77"/>
  <c r="F1150" i="77"/>
  <c r="B1150" i="77"/>
  <c r="E1163" i="77"/>
  <c r="F1158" i="77"/>
  <c r="F1163" i="77" s="1"/>
  <c r="B1158" i="77"/>
  <c r="C1199" i="77"/>
  <c r="B1161" i="77"/>
  <c r="C1162" i="77"/>
  <c r="C1166" i="77"/>
  <c r="B1169" i="77"/>
  <c r="F1169" i="77"/>
  <c r="F1175" i="77" s="1"/>
  <c r="C1170" i="77"/>
  <c r="B1171" i="77"/>
  <c r="A1172" i="77"/>
  <c r="C1172" i="77"/>
  <c r="C1173" i="77"/>
  <c r="B1174" i="77"/>
  <c r="C1181" i="77"/>
  <c r="B1182" i="77"/>
  <c r="C1183" i="77"/>
  <c r="B1185" i="77"/>
  <c r="C1186" i="77"/>
  <c r="C1190" i="77"/>
  <c r="B1193" i="77"/>
  <c r="F1193" i="77"/>
  <c r="F1199" i="77" s="1"/>
  <c r="F1200" i="77" s="1"/>
  <c r="C1194" i="77"/>
  <c r="B1195" i="77"/>
  <c r="A1196" i="77"/>
  <c r="C1196" i="77"/>
  <c r="C1197" i="77"/>
  <c r="B1198" i="77"/>
  <c r="A1" i="7"/>
  <c r="L18" i="7"/>
  <c r="L14" i="7"/>
  <c r="L15" i="7"/>
  <c r="L16" i="7"/>
  <c r="L17" i="7"/>
  <c r="L13" i="7"/>
  <c r="I17" i="7"/>
  <c r="G17" i="7"/>
  <c r="F17" i="7"/>
  <c r="I16" i="7"/>
  <c r="G16" i="7"/>
  <c r="F16" i="7"/>
  <c r="I15" i="7"/>
  <c r="G15" i="7"/>
  <c r="F15" i="7"/>
  <c r="I14" i="7"/>
  <c r="G14" i="7"/>
  <c r="F14" i="7"/>
  <c r="I13" i="7"/>
  <c r="G13" i="7"/>
  <c r="F13" i="7"/>
  <c r="F1140" i="77" l="1"/>
  <c r="C1139" i="77"/>
  <c r="C1067" i="77"/>
  <c r="F1068" i="77"/>
  <c r="F1044" i="77"/>
  <c r="C1043" i="77"/>
  <c r="C659" i="77"/>
  <c r="C1151" i="77"/>
  <c r="C1055" i="77"/>
  <c r="F1020" i="77"/>
  <c r="C1019" i="77"/>
  <c r="C995" i="77"/>
  <c r="F996" i="77"/>
  <c r="F900" i="77"/>
  <c r="C899" i="77"/>
  <c r="F708" i="77"/>
  <c r="C707" i="77"/>
  <c r="C683" i="77"/>
  <c r="F372" i="77"/>
  <c r="C371" i="77"/>
  <c r="C395" i="77"/>
  <c r="C419" i="77"/>
  <c r="C443" i="77"/>
  <c r="C1198" i="77"/>
  <c r="D1198" i="77"/>
  <c r="C1195" i="77"/>
  <c r="D1195" i="77"/>
  <c r="C1185" i="77"/>
  <c r="D1185" i="77"/>
  <c r="C1182" i="77"/>
  <c r="D1182" i="77"/>
  <c r="C1174" i="77"/>
  <c r="D1174" i="77"/>
  <c r="C1171" i="77"/>
  <c r="D1171" i="77"/>
  <c r="C1161" i="77"/>
  <c r="D1161" i="77"/>
  <c r="D1150" i="77"/>
  <c r="C1150" i="77"/>
  <c r="D1147" i="77"/>
  <c r="C1147" i="77"/>
  <c r="F1151" i="77"/>
  <c r="F1152" i="77" s="1"/>
  <c r="C1148" i="77"/>
  <c r="D1148" i="77"/>
  <c r="D1137" i="77"/>
  <c r="C1137" i="77"/>
  <c r="C1134" i="77"/>
  <c r="D1134" i="77"/>
  <c r="C1121" i="77"/>
  <c r="D1121" i="77"/>
  <c r="C1097" i="77"/>
  <c r="D1097" i="77"/>
  <c r="C1076" i="77"/>
  <c r="D1076" i="77"/>
  <c r="E1079" i="77"/>
  <c r="D1054" i="77"/>
  <c r="C1054" i="77"/>
  <c r="D1049" i="77"/>
  <c r="C1049" i="77"/>
  <c r="D1025" i="77"/>
  <c r="C1025" i="77"/>
  <c r="D1017" i="77"/>
  <c r="C1017" i="77"/>
  <c r="D1078" i="77"/>
  <c r="C1078" i="77"/>
  <c r="D1075" i="77"/>
  <c r="C1075" i="77"/>
  <c r="F1079" i="77"/>
  <c r="D1065" i="77"/>
  <c r="C1065" i="77"/>
  <c r="D1038" i="77"/>
  <c r="C1038" i="77"/>
  <c r="C1004" i="77"/>
  <c r="D1004" i="77"/>
  <c r="E1007" i="77"/>
  <c r="D978" i="77"/>
  <c r="C978" i="77"/>
  <c r="D954" i="77"/>
  <c r="C954" i="77"/>
  <c r="D930" i="77"/>
  <c r="C930" i="77"/>
  <c r="D1014" i="77"/>
  <c r="C1014" i="77"/>
  <c r="D1001" i="77"/>
  <c r="C1001" i="77"/>
  <c r="D906" i="77"/>
  <c r="C906" i="77"/>
  <c r="C911" i="77"/>
  <c r="F912" i="77"/>
  <c r="D893" i="77"/>
  <c r="C893" i="77"/>
  <c r="D919" i="77"/>
  <c r="C919" i="77"/>
  <c r="F923" i="77"/>
  <c r="D909" i="77"/>
  <c r="C909" i="77"/>
  <c r="D874" i="77"/>
  <c r="C874" i="77"/>
  <c r="C869" i="77"/>
  <c r="D869" i="77"/>
  <c r="C845" i="77"/>
  <c r="D845" i="77"/>
  <c r="C821" i="77"/>
  <c r="D821" i="77"/>
  <c r="C797" i="77"/>
  <c r="D797" i="77"/>
  <c r="C773" i="77"/>
  <c r="D773" i="77"/>
  <c r="C749" i="77"/>
  <c r="D749" i="77"/>
  <c r="C725" i="77"/>
  <c r="D725" i="77"/>
  <c r="D701" i="77"/>
  <c r="C701" i="77"/>
  <c r="D658" i="77"/>
  <c r="C658" i="77"/>
  <c r="D655" i="77"/>
  <c r="C655" i="77"/>
  <c r="F659" i="77"/>
  <c r="F660" i="77" s="1"/>
  <c r="D645" i="77"/>
  <c r="C645" i="77"/>
  <c r="D682" i="77"/>
  <c r="C682" i="77"/>
  <c r="D677" i="77"/>
  <c r="C677" i="77"/>
  <c r="C656" i="77"/>
  <c r="D656" i="77"/>
  <c r="D642" i="77"/>
  <c r="C642" i="77"/>
  <c r="F648" i="77"/>
  <c r="C647" i="77"/>
  <c r="C631" i="77"/>
  <c r="D631" i="77"/>
  <c r="C621" i="77"/>
  <c r="D621" i="77"/>
  <c r="C618" i="77"/>
  <c r="D618" i="77"/>
  <c r="C610" i="77"/>
  <c r="D610" i="77"/>
  <c r="C607" i="77"/>
  <c r="D607" i="77"/>
  <c r="C597" i="77"/>
  <c r="D597" i="77"/>
  <c r="C594" i="77"/>
  <c r="D594" i="77"/>
  <c r="C586" i="77"/>
  <c r="D586" i="77"/>
  <c r="C583" i="77"/>
  <c r="D583" i="77"/>
  <c r="C573" i="77"/>
  <c r="D573" i="77"/>
  <c r="C570" i="77"/>
  <c r="D570" i="77"/>
  <c r="C562" i="77"/>
  <c r="D562" i="77"/>
  <c r="C559" i="77"/>
  <c r="D559" i="77"/>
  <c r="C549" i="77"/>
  <c r="D549" i="77"/>
  <c r="C546" i="77"/>
  <c r="D546" i="77"/>
  <c r="C538" i="77"/>
  <c r="D538" i="77"/>
  <c r="C535" i="77"/>
  <c r="D535" i="77"/>
  <c r="C525" i="77"/>
  <c r="D525" i="77"/>
  <c r="C522" i="77"/>
  <c r="D522" i="77"/>
  <c r="C514" i="77"/>
  <c r="D514" i="77"/>
  <c r="C511" i="77"/>
  <c r="D511" i="77"/>
  <c r="C501" i="77"/>
  <c r="D501" i="77"/>
  <c r="C498" i="77"/>
  <c r="D498" i="77"/>
  <c r="C490" i="77"/>
  <c r="D490" i="77"/>
  <c r="C487" i="77"/>
  <c r="D487" i="77"/>
  <c r="C477" i="77"/>
  <c r="D477" i="77"/>
  <c r="C474" i="77"/>
  <c r="D474" i="77"/>
  <c r="C466" i="77"/>
  <c r="D466" i="77"/>
  <c r="C463" i="77"/>
  <c r="D463" i="77"/>
  <c r="C453" i="77"/>
  <c r="D453" i="77"/>
  <c r="D418" i="77"/>
  <c r="C418" i="77"/>
  <c r="D415" i="77"/>
  <c r="C415" i="77"/>
  <c r="F419" i="77"/>
  <c r="F420" i="77" s="1"/>
  <c r="D405" i="77"/>
  <c r="C405" i="77"/>
  <c r="D378" i="77"/>
  <c r="C378" i="77"/>
  <c r="C383" i="77"/>
  <c r="F384" i="77"/>
  <c r="D365" i="77"/>
  <c r="C365" i="77"/>
  <c r="D450" i="77"/>
  <c r="C450" i="77"/>
  <c r="F456" i="77"/>
  <c r="C455" i="77"/>
  <c r="D439" i="77"/>
  <c r="C439" i="77"/>
  <c r="F443" i="77"/>
  <c r="F444" i="77" s="1"/>
  <c r="D429" i="77"/>
  <c r="C429" i="77"/>
  <c r="D394" i="77"/>
  <c r="C394" i="77"/>
  <c r="D389" i="77"/>
  <c r="C389" i="77"/>
  <c r="C368" i="77"/>
  <c r="D368" i="77"/>
  <c r="U98" i="77"/>
  <c r="AC110" i="77"/>
  <c r="C1193" i="77"/>
  <c r="D1193" i="77"/>
  <c r="C1169" i="77"/>
  <c r="D1169" i="77"/>
  <c r="D1158" i="77"/>
  <c r="C1158" i="77"/>
  <c r="F1164" i="77"/>
  <c r="C1163" i="77"/>
  <c r="D1145" i="77"/>
  <c r="C1145" i="77"/>
  <c r="C1126" i="77"/>
  <c r="D1126" i="77"/>
  <c r="C1123" i="77"/>
  <c r="D1123" i="77"/>
  <c r="C1113" i="77"/>
  <c r="D1113" i="77"/>
  <c r="C1110" i="77"/>
  <c r="D1110" i="77"/>
  <c r="C1102" i="77"/>
  <c r="D1102" i="77"/>
  <c r="C1099" i="77"/>
  <c r="D1099" i="77"/>
  <c r="C1089" i="77"/>
  <c r="D1089" i="77"/>
  <c r="C1086" i="77"/>
  <c r="D1086" i="77"/>
  <c r="D1062" i="77"/>
  <c r="C1062" i="77"/>
  <c r="D1051" i="77"/>
  <c r="C1051" i="77"/>
  <c r="F1055" i="77"/>
  <c r="F1056" i="77" s="1"/>
  <c r="D1041" i="77"/>
  <c r="C1041" i="77"/>
  <c r="C1028" i="77"/>
  <c r="D1028" i="77"/>
  <c r="E1031" i="77"/>
  <c r="D1073" i="77"/>
  <c r="C1073" i="77"/>
  <c r="D1030" i="77"/>
  <c r="C1030" i="77"/>
  <c r="D1027" i="77"/>
  <c r="C1027" i="77"/>
  <c r="D989" i="77"/>
  <c r="C989" i="77"/>
  <c r="D981" i="77"/>
  <c r="C981" i="77"/>
  <c r="D970" i="77"/>
  <c r="C970" i="77"/>
  <c r="D967" i="77"/>
  <c r="C967" i="77"/>
  <c r="D965" i="77"/>
  <c r="C965" i="77"/>
  <c r="D957" i="77"/>
  <c r="C957" i="77"/>
  <c r="D946" i="77"/>
  <c r="C946" i="77"/>
  <c r="D943" i="77"/>
  <c r="C943" i="77"/>
  <c r="D941" i="77"/>
  <c r="C941" i="77"/>
  <c r="D933" i="77"/>
  <c r="C933" i="77"/>
  <c r="D922" i="77"/>
  <c r="C922" i="77"/>
  <c r="D1006" i="77"/>
  <c r="C1006" i="77"/>
  <c r="D1003" i="77"/>
  <c r="C1003" i="77"/>
  <c r="F1007" i="77"/>
  <c r="D993" i="77"/>
  <c r="C993" i="77"/>
  <c r="F924" i="77"/>
  <c r="C923" i="77"/>
  <c r="D898" i="77"/>
  <c r="C898" i="77"/>
  <c r="D895" i="77"/>
  <c r="C895" i="77"/>
  <c r="D885" i="77"/>
  <c r="C885" i="77"/>
  <c r="D917" i="77"/>
  <c r="C917" i="77"/>
  <c r="C896" i="77"/>
  <c r="D896" i="77"/>
  <c r="D882" i="77"/>
  <c r="C882" i="77"/>
  <c r="F888" i="77"/>
  <c r="C887" i="77"/>
  <c r="C871" i="77"/>
  <c r="D871" i="77"/>
  <c r="F875" i="77"/>
  <c r="F876" i="77" s="1"/>
  <c r="C861" i="77"/>
  <c r="D861" i="77"/>
  <c r="C858" i="77"/>
  <c r="D858" i="77"/>
  <c r="C850" i="77"/>
  <c r="D850" i="77"/>
  <c r="C847" i="77"/>
  <c r="D847" i="77"/>
  <c r="C837" i="77"/>
  <c r="D837" i="77"/>
  <c r="C834" i="77"/>
  <c r="D834" i="77"/>
  <c r="C826" i="77"/>
  <c r="D826" i="77"/>
  <c r="C823" i="77"/>
  <c r="D823" i="77"/>
  <c r="C813" i="77"/>
  <c r="D813" i="77"/>
  <c r="C810" i="77"/>
  <c r="D810" i="77"/>
  <c r="C802" i="77"/>
  <c r="D802" i="77"/>
  <c r="C799" i="77"/>
  <c r="D799" i="77"/>
  <c r="C789" i="77"/>
  <c r="D789" i="77"/>
  <c r="C786" i="77"/>
  <c r="D786" i="77"/>
  <c r="C778" i="77"/>
  <c r="D778" i="77"/>
  <c r="C775" i="77"/>
  <c r="D775" i="77"/>
  <c r="C765" i="77"/>
  <c r="D765" i="77"/>
  <c r="C762" i="77"/>
  <c r="D762" i="77"/>
  <c r="C754" i="77"/>
  <c r="D754" i="77"/>
  <c r="C751" i="77"/>
  <c r="D751" i="77"/>
  <c r="C741" i="77"/>
  <c r="D741" i="77"/>
  <c r="C738" i="77"/>
  <c r="D738" i="77"/>
  <c r="C730" i="77"/>
  <c r="D730" i="77"/>
  <c r="C727" i="77"/>
  <c r="D727" i="77"/>
  <c r="C717" i="77"/>
  <c r="D717" i="77"/>
  <c r="D714" i="77"/>
  <c r="C714" i="77"/>
  <c r="D706" i="77"/>
  <c r="C706" i="77"/>
  <c r="D703" i="77"/>
  <c r="C703" i="77"/>
  <c r="D693" i="77"/>
  <c r="C693" i="77"/>
  <c r="D666" i="77"/>
  <c r="C666" i="77"/>
  <c r="C671" i="77"/>
  <c r="F672" i="77"/>
  <c r="D653" i="77"/>
  <c r="C653" i="77"/>
  <c r="C704" i="77"/>
  <c r="D704" i="77"/>
  <c r="D690" i="77"/>
  <c r="C690" i="77"/>
  <c r="F696" i="77"/>
  <c r="C695" i="77"/>
  <c r="D679" i="77"/>
  <c r="C679" i="77"/>
  <c r="F683" i="77"/>
  <c r="F684" i="77" s="1"/>
  <c r="D669" i="77"/>
  <c r="C669" i="77"/>
  <c r="C629" i="77"/>
  <c r="D629" i="77"/>
  <c r="C605" i="77"/>
  <c r="D605" i="77"/>
  <c r="C581" i="77"/>
  <c r="D581" i="77"/>
  <c r="C557" i="77"/>
  <c r="D557" i="77"/>
  <c r="C533" i="77"/>
  <c r="D533" i="77"/>
  <c r="C509" i="77"/>
  <c r="D509" i="77"/>
  <c r="C485" i="77"/>
  <c r="D485" i="77"/>
  <c r="C461" i="77"/>
  <c r="D461" i="77"/>
  <c r="D426" i="77"/>
  <c r="C426" i="77"/>
  <c r="C431" i="77"/>
  <c r="F432" i="77"/>
  <c r="D413" i="77"/>
  <c r="C413" i="77"/>
  <c r="D370" i="77"/>
  <c r="C370" i="77"/>
  <c r="D367" i="77"/>
  <c r="C367" i="77"/>
  <c r="D442" i="77"/>
  <c r="C442" i="77"/>
  <c r="D437" i="77"/>
  <c r="C437" i="77"/>
  <c r="C416" i="77"/>
  <c r="D416" i="77"/>
  <c r="D402" i="77"/>
  <c r="C402" i="77"/>
  <c r="F408" i="77"/>
  <c r="C407" i="77"/>
  <c r="D391" i="77"/>
  <c r="C391" i="77"/>
  <c r="F395" i="77"/>
  <c r="F396" i="77" s="1"/>
  <c r="D381" i="77"/>
  <c r="C381" i="77"/>
  <c r="G153" i="7"/>
  <c r="F153" i="7"/>
  <c r="F149" i="7"/>
  <c r="G149" i="7"/>
  <c r="F150" i="7"/>
  <c r="G150" i="7"/>
  <c r="F151" i="7"/>
  <c r="G151" i="7"/>
  <c r="F154" i="7"/>
  <c r="G154" i="7"/>
  <c r="F155" i="7"/>
  <c r="G155" i="7"/>
  <c r="F156" i="7"/>
  <c r="G156" i="7"/>
  <c r="F157" i="7"/>
  <c r="G157" i="7"/>
  <c r="F158" i="7"/>
  <c r="G158" i="7"/>
  <c r="F159" i="7"/>
  <c r="G159" i="7"/>
  <c r="F160" i="7"/>
  <c r="G160" i="7"/>
  <c r="F161" i="7"/>
  <c r="G161" i="7"/>
  <c r="F162" i="7"/>
  <c r="G162" i="7"/>
  <c r="F163" i="7"/>
  <c r="G163" i="7"/>
  <c r="F164" i="7"/>
  <c r="G164" i="7"/>
  <c r="F165" i="7"/>
  <c r="G165" i="7"/>
  <c r="F166" i="7"/>
  <c r="G166" i="7"/>
  <c r="F167" i="7"/>
  <c r="G167" i="7"/>
  <c r="F168" i="7"/>
  <c r="G168" i="7"/>
  <c r="F169" i="7"/>
  <c r="G169" i="7"/>
  <c r="F170" i="7"/>
  <c r="G170" i="7"/>
  <c r="F171" i="7"/>
  <c r="G171" i="7"/>
  <c r="F172" i="7"/>
  <c r="G172" i="7"/>
  <c r="F173" i="7"/>
  <c r="G173" i="7"/>
  <c r="F174" i="7"/>
  <c r="G174" i="7"/>
  <c r="F175" i="7"/>
  <c r="G175" i="7"/>
  <c r="F176" i="7"/>
  <c r="G176" i="7"/>
  <c r="F177" i="7"/>
  <c r="G177" i="7"/>
  <c r="F178" i="7"/>
  <c r="G178" i="7"/>
  <c r="F179" i="7"/>
  <c r="G179" i="7"/>
  <c r="F180" i="7"/>
  <c r="G180" i="7"/>
  <c r="F181" i="7"/>
  <c r="G181" i="7"/>
  <c r="F182" i="7"/>
  <c r="G182" i="7"/>
  <c r="F183" i="7"/>
  <c r="G183" i="7"/>
  <c r="F184" i="7"/>
  <c r="G184" i="7"/>
  <c r="F185" i="7"/>
  <c r="G185" i="7"/>
  <c r="F186" i="7"/>
  <c r="G186" i="7"/>
  <c r="F187" i="7"/>
  <c r="G187" i="7"/>
  <c r="F188" i="7"/>
  <c r="G188" i="7"/>
  <c r="G148" i="7"/>
  <c r="F148" i="7"/>
  <c r="F130" i="7"/>
  <c r="G130" i="7"/>
  <c r="F131" i="7"/>
  <c r="G131" i="7"/>
  <c r="F132" i="7"/>
  <c r="G132" i="7"/>
  <c r="F133" i="7"/>
  <c r="G133" i="7"/>
  <c r="F134" i="7"/>
  <c r="G134" i="7"/>
  <c r="F135" i="7"/>
  <c r="G135" i="7"/>
  <c r="F136" i="7"/>
  <c r="G136" i="7"/>
  <c r="F137" i="7"/>
  <c r="G137" i="7"/>
  <c r="F138" i="7"/>
  <c r="G138" i="7"/>
  <c r="F139" i="7"/>
  <c r="G139" i="7"/>
  <c r="F140" i="7"/>
  <c r="G140" i="7"/>
  <c r="F141" i="7"/>
  <c r="G141" i="7"/>
  <c r="F142" i="7"/>
  <c r="G142" i="7"/>
  <c r="F143" i="7"/>
  <c r="G143" i="7"/>
  <c r="F144" i="7"/>
  <c r="G144" i="7"/>
  <c r="F145" i="7"/>
  <c r="G145" i="7"/>
  <c r="F146" i="7"/>
  <c r="G146" i="7"/>
  <c r="G129" i="7"/>
  <c r="F129" i="7"/>
  <c r="F111" i="7"/>
  <c r="G111" i="7"/>
  <c r="F112" i="7"/>
  <c r="G112" i="7"/>
  <c r="F113" i="7"/>
  <c r="G113" i="7"/>
  <c r="F114" i="7"/>
  <c r="G114" i="7"/>
  <c r="F115" i="7"/>
  <c r="G115" i="7"/>
  <c r="F116" i="7"/>
  <c r="G116" i="7"/>
  <c r="F117" i="7"/>
  <c r="G117" i="7"/>
  <c r="F118" i="7"/>
  <c r="G118" i="7"/>
  <c r="F119" i="7"/>
  <c r="G119" i="7"/>
  <c r="F120" i="7"/>
  <c r="G120" i="7"/>
  <c r="F121" i="7"/>
  <c r="G121" i="7"/>
  <c r="F122" i="7"/>
  <c r="G122" i="7"/>
  <c r="F123" i="7"/>
  <c r="G123" i="7"/>
  <c r="F124" i="7"/>
  <c r="G124" i="7"/>
  <c r="F125" i="7"/>
  <c r="G125" i="7"/>
  <c r="F126" i="7"/>
  <c r="G126" i="7"/>
  <c r="F127" i="7"/>
  <c r="G127" i="7"/>
  <c r="G110" i="7"/>
  <c r="F110" i="7"/>
  <c r="F92" i="7"/>
  <c r="G92" i="7"/>
  <c r="F93" i="7"/>
  <c r="G93" i="7"/>
  <c r="F94" i="7"/>
  <c r="G94" i="7"/>
  <c r="F95" i="7"/>
  <c r="G95" i="7"/>
  <c r="F96" i="7"/>
  <c r="G96" i="7"/>
  <c r="F97" i="7"/>
  <c r="G97" i="7"/>
  <c r="F98" i="7"/>
  <c r="G98" i="7"/>
  <c r="F99" i="7"/>
  <c r="G99" i="7"/>
  <c r="F100" i="7"/>
  <c r="G100" i="7"/>
  <c r="F101" i="7"/>
  <c r="G101" i="7"/>
  <c r="F102" i="7"/>
  <c r="G102" i="7"/>
  <c r="F103" i="7"/>
  <c r="G103" i="7"/>
  <c r="F104" i="7"/>
  <c r="G104" i="7"/>
  <c r="F105" i="7"/>
  <c r="G105" i="7"/>
  <c r="F106" i="7"/>
  <c r="G106" i="7"/>
  <c r="F107" i="7"/>
  <c r="G107" i="7"/>
  <c r="F108" i="7"/>
  <c r="G108" i="7"/>
  <c r="G91" i="7"/>
  <c r="F91" i="7"/>
  <c r="F70" i="7"/>
  <c r="G70" i="7"/>
  <c r="F71" i="7"/>
  <c r="G71" i="7"/>
  <c r="F72" i="7"/>
  <c r="G72" i="7"/>
  <c r="F73" i="7"/>
  <c r="G73" i="7"/>
  <c r="F74" i="7"/>
  <c r="G74" i="7"/>
  <c r="F75" i="7"/>
  <c r="G75" i="7"/>
  <c r="F76" i="7"/>
  <c r="G76" i="7"/>
  <c r="F77" i="7"/>
  <c r="G77" i="7"/>
  <c r="F78" i="7"/>
  <c r="G78" i="7"/>
  <c r="F79" i="7"/>
  <c r="G79" i="7"/>
  <c r="F80" i="7"/>
  <c r="G80" i="7"/>
  <c r="F81" i="7"/>
  <c r="G81" i="7"/>
  <c r="F82" i="7"/>
  <c r="G82" i="7"/>
  <c r="F83" i="7"/>
  <c r="G83" i="7"/>
  <c r="F84" i="7"/>
  <c r="G84" i="7"/>
  <c r="F85" i="7"/>
  <c r="G85" i="7"/>
  <c r="F86" i="7"/>
  <c r="G86" i="7"/>
  <c r="F87" i="7"/>
  <c r="G87" i="7"/>
  <c r="F88" i="7"/>
  <c r="G88" i="7"/>
  <c r="F89" i="7"/>
  <c r="G89" i="7"/>
  <c r="G69" i="7"/>
  <c r="F69" i="7"/>
  <c r="F53" i="7"/>
  <c r="G53" i="7"/>
  <c r="F54" i="7"/>
  <c r="G54" i="7"/>
  <c r="F55" i="7"/>
  <c r="G55" i="7"/>
  <c r="F56" i="7"/>
  <c r="G56" i="7"/>
  <c r="F57" i="7"/>
  <c r="G57" i="7"/>
  <c r="F58" i="7"/>
  <c r="G58" i="7"/>
  <c r="F59" i="7"/>
  <c r="G59" i="7"/>
  <c r="F60" i="7"/>
  <c r="G60" i="7"/>
  <c r="F61" i="7"/>
  <c r="G61" i="7"/>
  <c r="F62" i="7"/>
  <c r="G62" i="7"/>
  <c r="F63" i="7"/>
  <c r="G63" i="7"/>
  <c r="F64" i="7"/>
  <c r="G64" i="7"/>
  <c r="F65" i="7"/>
  <c r="G65" i="7"/>
  <c r="F66" i="7"/>
  <c r="G66" i="7"/>
  <c r="F67" i="7"/>
  <c r="G67" i="7"/>
  <c r="G52" i="7"/>
  <c r="F52" i="7"/>
  <c r="F48" i="7"/>
  <c r="G48" i="7"/>
  <c r="F49" i="7"/>
  <c r="G49" i="7"/>
  <c r="F50" i="7"/>
  <c r="G50" i="7"/>
  <c r="G47" i="7"/>
  <c r="F47" i="7"/>
  <c r="F28" i="7"/>
  <c r="G28" i="7"/>
  <c r="F29" i="7"/>
  <c r="G29" i="7"/>
  <c r="F30" i="7"/>
  <c r="G30" i="7"/>
  <c r="F31" i="7"/>
  <c r="G31" i="7"/>
  <c r="F32" i="7"/>
  <c r="G32" i="7"/>
  <c r="F33" i="7"/>
  <c r="G33" i="7"/>
  <c r="F34" i="7"/>
  <c r="G34" i="7"/>
  <c r="F35" i="7"/>
  <c r="G35" i="7"/>
  <c r="F36" i="7"/>
  <c r="G36" i="7"/>
  <c r="F37" i="7"/>
  <c r="G37" i="7"/>
  <c r="F38" i="7"/>
  <c r="G38" i="7"/>
  <c r="F39" i="7"/>
  <c r="G39" i="7"/>
  <c r="F40" i="7"/>
  <c r="G40" i="7"/>
  <c r="F41" i="7"/>
  <c r="G41" i="7"/>
  <c r="F42" i="7"/>
  <c r="G42" i="7"/>
  <c r="F43" i="7"/>
  <c r="G43" i="7"/>
  <c r="F44" i="7"/>
  <c r="G44" i="7"/>
  <c r="F45" i="7"/>
  <c r="G45" i="7"/>
  <c r="G27" i="7"/>
  <c r="F27" i="7"/>
  <c r="F23" i="7"/>
  <c r="G23" i="7"/>
  <c r="F24" i="7"/>
  <c r="G24" i="7"/>
  <c r="F25" i="7"/>
  <c r="G25" i="7"/>
  <c r="G22" i="7"/>
  <c r="F22" i="7"/>
  <c r="F6" i="7"/>
  <c r="G6" i="7"/>
  <c r="F7" i="7"/>
  <c r="G7" i="7"/>
  <c r="F8" i="7"/>
  <c r="G8" i="7"/>
  <c r="F9" i="7"/>
  <c r="G9" i="7"/>
  <c r="F10" i="7"/>
  <c r="G10" i="7"/>
  <c r="F11" i="7"/>
  <c r="G11" i="7"/>
  <c r="F12" i="7"/>
  <c r="G12" i="7"/>
  <c r="F18" i="7"/>
  <c r="G18" i="7"/>
  <c r="F19" i="7"/>
  <c r="G19" i="7"/>
  <c r="F20" i="7"/>
  <c r="G20" i="7"/>
  <c r="G5" i="7"/>
  <c r="F5" i="7"/>
  <c r="A3" i="76"/>
  <c r="Y2" i="76"/>
  <c r="Y1" i="76"/>
  <c r="E1" i="76"/>
  <c r="A2" i="75"/>
  <c r="AE5" i="76"/>
  <c r="AP5" i="76" s="1"/>
  <c r="AS1" i="76"/>
  <c r="AD28" i="75"/>
  <c r="AD26" i="75"/>
  <c r="AD24" i="75"/>
  <c r="AD22" i="75"/>
  <c r="AD20" i="75"/>
  <c r="AD18" i="75"/>
  <c r="AD16" i="75"/>
  <c r="AD14" i="75"/>
  <c r="AD12" i="75"/>
  <c r="AD10" i="75"/>
  <c r="AD8" i="75"/>
  <c r="AD6" i="75"/>
  <c r="AE4" i="75"/>
  <c r="AQ1" i="75"/>
  <c r="O93" i="74"/>
  <c r="O92" i="74"/>
  <c r="O91" i="74"/>
  <c r="O90" i="74"/>
  <c r="O89" i="74"/>
  <c r="O88" i="74"/>
  <c r="O87" i="74"/>
  <c r="O86" i="74"/>
  <c r="O85" i="74"/>
  <c r="O84" i="74"/>
  <c r="O83" i="74"/>
  <c r="O82" i="74"/>
  <c r="O81" i="74"/>
  <c r="O80" i="74"/>
  <c r="O79" i="74"/>
  <c r="O78" i="74"/>
  <c r="O77" i="74"/>
  <c r="O76" i="74"/>
  <c r="O75" i="74"/>
  <c r="O74" i="74"/>
  <c r="O73" i="74"/>
  <c r="O72" i="74"/>
  <c r="O71" i="74"/>
  <c r="O70" i="74"/>
  <c r="O69" i="74"/>
  <c r="O68" i="74"/>
  <c r="O67" i="74"/>
  <c r="O66" i="74"/>
  <c r="O65" i="74"/>
  <c r="O64" i="74"/>
  <c r="O63" i="74"/>
  <c r="O62" i="74"/>
  <c r="O61" i="74"/>
  <c r="O60" i="74"/>
  <c r="O59" i="74"/>
  <c r="O58" i="74"/>
  <c r="O57" i="74"/>
  <c r="O56" i="74"/>
  <c r="O55" i="74"/>
  <c r="O54" i="74"/>
  <c r="O53" i="74"/>
  <c r="O52" i="74"/>
  <c r="O51" i="74"/>
  <c r="O50" i="74"/>
  <c r="O49" i="74"/>
  <c r="O48" i="74"/>
  <c r="O47" i="74"/>
  <c r="O46" i="74"/>
  <c r="O45" i="74"/>
  <c r="O44" i="74"/>
  <c r="O43" i="74"/>
  <c r="O42" i="74"/>
  <c r="O41" i="74"/>
  <c r="O40" i="74"/>
  <c r="O39" i="74"/>
  <c r="O38" i="74"/>
  <c r="O37" i="74"/>
  <c r="O36" i="74"/>
  <c r="O35" i="74"/>
  <c r="O34" i="74"/>
  <c r="O33" i="74"/>
  <c r="O32" i="74"/>
  <c r="O31" i="74"/>
  <c r="O30" i="74"/>
  <c r="O29" i="74"/>
  <c r="O28" i="74"/>
  <c r="O27" i="74"/>
  <c r="O26" i="74"/>
  <c r="O25" i="74"/>
  <c r="O24" i="74"/>
  <c r="O23" i="74"/>
  <c r="O22" i="74"/>
  <c r="O21" i="74"/>
  <c r="O20" i="74"/>
  <c r="O19" i="74"/>
  <c r="O18" i="74"/>
  <c r="O17" i="74"/>
  <c r="O16" i="74"/>
  <c r="O15" i="74"/>
  <c r="O14" i="74"/>
  <c r="O13" i="74"/>
  <c r="O12" i="74"/>
  <c r="O11" i="74"/>
  <c r="O10" i="74"/>
  <c r="O9" i="74"/>
  <c r="O8" i="74"/>
  <c r="O7" i="74"/>
  <c r="O6" i="74"/>
  <c r="O5" i="74"/>
  <c r="AE2" i="74"/>
  <c r="N2" i="74"/>
  <c r="AP4" i="75" l="1"/>
  <c r="F1032" i="77"/>
  <c r="C1031" i="77"/>
  <c r="AC122" i="77"/>
  <c r="U110" i="77"/>
  <c r="F1008" i="77"/>
  <c r="C1007" i="77"/>
  <c r="F1080" i="77"/>
  <c r="C1079" i="77"/>
  <c r="AG4" i="75"/>
  <c r="AI4" i="75"/>
  <c r="AK4" i="75"/>
  <c r="AM4" i="75"/>
  <c r="AO4" i="75"/>
  <c r="AG5" i="76"/>
  <c r="AI5" i="76"/>
  <c r="AK5" i="76"/>
  <c r="AM5" i="76"/>
  <c r="AO5" i="76"/>
  <c r="AF4" i="75"/>
  <c r="AH4" i="75"/>
  <c r="AJ4" i="75"/>
  <c r="AL4" i="75"/>
  <c r="AN4" i="75"/>
  <c r="AF5" i="76"/>
  <c r="AH5" i="76"/>
  <c r="AJ5" i="76"/>
  <c r="AL5" i="76"/>
  <c r="AN5" i="76"/>
  <c r="A2" i="7"/>
  <c r="B6" i="57" s="1"/>
  <c r="D17" i="68"/>
  <c r="C17" i="68"/>
  <c r="E26" i="69"/>
  <c r="AC134" i="77" l="1"/>
  <c r="U122" i="77"/>
  <c r="R28" i="75"/>
  <c r="R27" i="75"/>
  <c r="F26" i="75"/>
  <c r="F25" i="75"/>
  <c r="R24" i="75"/>
  <c r="R23" i="75"/>
  <c r="F22" i="75"/>
  <c r="F21" i="75"/>
  <c r="R20" i="75"/>
  <c r="R19" i="75"/>
  <c r="F18" i="75"/>
  <c r="F17" i="75"/>
  <c r="R16" i="75"/>
  <c r="R15" i="75"/>
  <c r="F14" i="75"/>
  <c r="F13" i="75"/>
  <c r="R12" i="75"/>
  <c r="R11" i="75"/>
  <c r="F10" i="75"/>
  <c r="F9" i="75"/>
  <c r="R8" i="75"/>
  <c r="R7" i="75"/>
  <c r="F6" i="75"/>
  <c r="F5" i="75"/>
  <c r="F28" i="75"/>
  <c r="F27" i="75"/>
  <c r="R26" i="75"/>
  <c r="R25" i="75"/>
  <c r="F24" i="75"/>
  <c r="F23" i="75"/>
  <c r="R22" i="75"/>
  <c r="R21" i="75"/>
  <c r="F20" i="75"/>
  <c r="F19" i="75"/>
  <c r="R18" i="75"/>
  <c r="R17" i="75"/>
  <c r="F16" i="75"/>
  <c r="F15" i="75"/>
  <c r="R14" i="75"/>
  <c r="R13" i="75"/>
  <c r="F12" i="75"/>
  <c r="F11" i="75"/>
  <c r="R10" i="75"/>
  <c r="R9" i="75"/>
  <c r="F8" i="75"/>
  <c r="F7" i="75"/>
  <c r="R6" i="75"/>
  <c r="R5" i="75"/>
  <c r="P5" i="74"/>
  <c r="P15" i="74"/>
  <c r="P23" i="74"/>
  <c r="P27" i="74"/>
  <c r="P31" i="74"/>
  <c r="P35" i="74"/>
  <c r="P39" i="74"/>
  <c r="P47" i="74"/>
  <c r="P53" i="74"/>
  <c r="P57" i="74"/>
  <c r="P61" i="74"/>
  <c r="P69" i="74"/>
  <c r="P77" i="74"/>
  <c r="P83" i="74"/>
  <c r="P87" i="74"/>
  <c r="P11" i="74"/>
  <c r="P17" i="74"/>
  <c r="P6" i="74"/>
  <c r="P10" i="74"/>
  <c r="P14" i="74"/>
  <c r="P18" i="74"/>
  <c r="P22" i="74"/>
  <c r="P26" i="74"/>
  <c r="P30" i="74"/>
  <c r="P34" i="74"/>
  <c r="P38" i="74"/>
  <c r="P44" i="74"/>
  <c r="P52" i="74"/>
  <c r="P64" i="74"/>
  <c r="P72" i="74"/>
  <c r="P80" i="74"/>
  <c r="P84" i="74"/>
  <c r="P88" i="74"/>
  <c r="M42" i="74"/>
  <c r="M64" i="74"/>
  <c r="M80" i="74"/>
  <c r="M84" i="74"/>
  <c r="M13" i="74"/>
  <c r="M17" i="74"/>
  <c r="M26" i="74"/>
  <c r="M32" i="74"/>
  <c r="M36" i="74"/>
  <c r="M53" i="74"/>
  <c r="M57" i="74"/>
  <c r="M67" i="74"/>
  <c r="M8" i="74"/>
  <c r="M20" i="74"/>
  <c r="M25" i="74"/>
  <c r="M31" i="74"/>
  <c r="M37" i="74"/>
  <c r="M41" i="74"/>
  <c r="M49" i="74"/>
  <c r="M52" i="74"/>
  <c r="M61" i="74"/>
  <c r="M72" i="74"/>
  <c r="M75" i="74"/>
  <c r="M85" i="74"/>
  <c r="K85" i="74" s="1"/>
  <c r="P9" i="74"/>
  <c r="P19" i="74"/>
  <c r="P25" i="74"/>
  <c r="P29" i="74"/>
  <c r="P33" i="74"/>
  <c r="P37" i="74"/>
  <c r="P41" i="74"/>
  <c r="P49" i="74"/>
  <c r="P55" i="74"/>
  <c r="P59" i="74"/>
  <c r="P67" i="74"/>
  <c r="P75" i="74"/>
  <c r="P81" i="74"/>
  <c r="P85" i="74"/>
  <c r="P7" i="74"/>
  <c r="P13" i="74"/>
  <c r="P21" i="74"/>
  <c r="P8" i="74"/>
  <c r="P12" i="74"/>
  <c r="P16" i="74"/>
  <c r="P20" i="74"/>
  <c r="P24" i="74"/>
  <c r="P28" i="74"/>
  <c r="P32" i="74"/>
  <c r="P36" i="74"/>
  <c r="P42" i="74"/>
  <c r="P50" i="74"/>
  <c r="P60" i="74"/>
  <c r="P66" i="74"/>
  <c r="P74" i="74"/>
  <c r="P82" i="74"/>
  <c r="P86" i="74"/>
  <c r="P90" i="74"/>
  <c r="M44" i="74"/>
  <c r="M66" i="74"/>
  <c r="M82" i="74"/>
  <c r="M15" i="74"/>
  <c r="M28" i="74"/>
  <c r="M34" i="74"/>
  <c r="M55" i="74"/>
  <c r="M59" i="74"/>
  <c r="M69" i="74"/>
  <c r="M6" i="74"/>
  <c r="M10" i="74"/>
  <c r="M18" i="74"/>
  <c r="H18" i="74" s="1"/>
  <c r="M23" i="74"/>
  <c r="B23" i="74" s="1"/>
  <c r="M29" i="74"/>
  <c r="M39" i="74"/>
  <c r="M47" i="74"/>
  <c r="M50" i="74"/>
  <c r="M60" i="74"/>
  <c r="H60" i="74" s="1"/>
  <c r="M74" i="74"/>
  <c r="M77" i="74"/>
  <c r="M87" i="74"/>
  <c r="M90" i="74"/>
  <c r="M43" i="74"/>
  <c r="M45" i="74"/>
  <c r="M46" i="74"/>
  <c r="H46" i="74" s="1"/>
  <c r="M48" i="74"/>
  <c r="M88" i="74"/>
  <c r="P43" i="74"/>
  <c r="P46" i="74"/>
  <c r="P54" i="74"/>
  <c r="P68" i="74"/>
  <c r="P70" i="74"/>
  <c r="P79" i="74"/>
  <c r="M5" i="74"/>
  <c r="H5" i="74" s="1"/>
  <c r="M9" i="74"/>
  <c r="M12" i="74"/>
  <c r="H12" i="74" s="1"/>
  <c r="M16" i="74"/>
  <c r="M19" i="74"/>
  <c r="K19" i="74" s="1"/>
  <c r="M22" i="74"/>
  <c r="D22" i="74" s="1"/>
  <c r="M24" i="74"/>
  <c r="M27" i="74"/>
  <c r="M30" i="74"/>
  <c r="M33" i="74"/>
  <c r="P40" i="74"/>
  <c r="M51" i="74"/>
  <c r="P56" i="74"/>
  <c r="P58" i="74"/>
  <c r="M62" i="74"/>
  <c r="M63" i="74"/>
  <c r="K63" i="74" s="1"/>
  <c r="M65" i="74"/>
  <c r="M71" i="74"/>
  <c r="K71" i="74" s="1"/>
  <c r="M73" i="74"/>
  <c r="M76" i="74"/>
  <c r="B76" i="74" s="1"/>
  <c r="M78" i="74"/>
  <c r="M81" i="74"/>
  <c r="P89" i="74"/>
  <c r="P91" i="74"/>
  <c r="P92" i="74"/>
  <c r="P93" i="74"/>
  <c r="P45" i="74"/>
  <c r="P48" i="74"/>
  <c r="M54" i="74"/>
  <c r="K54" i="74" s="1"/>
  <c r="M68" i="74"/>
  <c r="M70" i="74"/>
  <c r="M79" i="74"/>
  <c r="D79" i="74" s="1"/>
  <c r="M7" i="74"/>
  <c r="M11" i="74"/>
  <c r="M14" i="74"/>
  <c r="F14" i="74" s="1"/>
  <c r="M21" i="74"/>
  <c r="M35" i="74"/>
  <c r="M38" i="74"/>
  <c r="F38" i="74" s="1"/>
  <c r="M40" i="74"/>
  <c r="P51" i="74"/>
  <c r="M56" i="74"/>
  <c r="M58" i="74"/>
  <c r="P62" i="74"/>
  <c r="P63" i="74"/>
  <c r="P65" i="74"/>
  <c r="P71" i="74"/>
  <c r="P73" i="74"/>
  <c r="P76" i="74"/>
  <c r="P78" i="74"/>
  <c r="M83" i="74"/>
  <c r="M86" i="74"/>
  <c r="M89" i="74"/>
  <c r="M91" i="74"/>
  <c r="M92" i="74"/>
  <c r="H92" i="74" s="1"/>
  <c r="M93" i="74"/>
  <c r="H93" i="74" s="1"/>
  <c r="D60" i="74"/>
  <c r="K18" i="74"/>
  <c r="D18" i="74"/>
  <c r="H85" i="74"/>
  <c r="H75" i="74"/>
  <c r="D75" i="74"/>
  <c r="K37" i="74"/>
  <c r="H37" i="74"/>
  <c r="D37" i="74"/>
  <c r="D93" i="74"/>
  <c r="K14" i="74"/>
  <c r="B14" i="74"/>
  <c r="D14" i="74"/>
  <c r="F54" i="74"/>
  <c r="H54" i="74"/>
  <c r="AD40" i="74"/>
  <c r="B19" i="74"/>
  <c r="K12" i="74"/>
  <c r="D12" i="74"/>
  <c r="F12" i="74"/>
  <c r="K5" i="74"/>
  <c r="D5" i="74"/>
  <c r="F5" i="74"/>
  <c r="C350" i="70"/>
  <c r="C338" i="70"/>
  <c r="C326" i="70"/>
  <c r="C314" i="70"/>
  <c r="C302" i="70"/>
  <c r="C290" i="70"/>
  <c r="C278" i="70"/>
  <c r="C266" i="70"/>
  <c r="C254" i="70"/>
  <c r="C242" i="70"/>
  <c r="C230" i="70"/>
  <c r="C218" i="70"/>
  <c r="C206" i="70"/>
  <c r="C194" i="70"/>
  <c r="C182" i="70"/>
  <c r="C170" i="70"/>
  <c r="C158" i="70"/>
  <c r="C146" i="70"/>
  <c r="C134" i="70"/>
  <c r="C122" i="70"/>
  <c r="C110" i="70"/>
  <c r="C98" i="70"/>
  <c r="C86" i="70"/>
  <c r="C74" i="70"/>
  <c r="C62" i="70"/>
  <c r="C50" i="70"/>
  <c r="C38" i="70"/>
  <c r="C26" i="70"/>
  <c r="AC14" i="70"/>
  <c r="U14" i="70" s="1"/>
  <c r="C14" i="70"/>
  <c r="AD2" i="70"/>
  <c r="U2" i="70"/>
  <c r="C2" i="70"/>
  <c r="I6" i="7"/>
  <c r="N3" i="7"/>
  <c r="M3" i="7"/>
  <c r="B2" i="72"/>
  <c r="E3" i="68"/>
  <c r="C3" i="69" s="1"/>
  <c r="A409" i="72"/>
  <c r="A408" i="72"/>
  <c r="A407" i="72"/>
  <c r="A406" i="72"/>
  <c r="A405" i="72"/>
  <c r="A404" i="72"/>
  <c r="A403" i="72"/>
  <c r="A402" i="72"/>
  <c r="A401" i="72"/>
  <c r="A400" i="72"/>
  <c r="A399" i="72"/>
  <c r="A398" i="72"/>
  <c r="A397" i="72"/>
  <c r="A396" i="72"/>
  <c r="A395" i="72"/>
  <c r="A394" i="72"/>
  <c r="A393" i="72"/>
  <c r="A392" i="72"/>
  <c r="A391" i="72"/>
  <c r="A390" i="72"/>
  <c r="A389" i="72"/>
  <c r="A388" i="72"/>
  <c r="A387" i="72"/>
  <c r="A386" i="72"/>
  <c r="A385" i="72"/>
  <c r="A384" i="72"/>
  <c r="A383" i="72"/>
  <c r="A382" i="72"/>
  <c r="A381" i="72"/>
  <c r="A380" i="72"/>
  <c r="A379" i="72"/>
  <c r="A378" i="72"/>
  <c r="A377" i="72"/>
  <c r="A376" i="72"/>
  <c r="A375" i="72"/>
  <c r="A374" i="72"/>
  <c r="A373" i="72"/>
  <c r="A372" i="72"/>
  <c r="A371" i="72"/>
  <c r="A370" i="72"/>
  <c r="A369" i="72"/>
  <c r="A368" i="72"/>
  <c r="A367" i="72"/>
  <c r="A366" i="72"/>
  <c r="A365" i="72"/>
  <c r="A364" i="72"/>
  <c r="A363" i="72"/>
  <c r="A362" i="72"/>
  <c r="A361" i="72"/>
  <c r="A360" i="72"/>
  <c r="A359" i="72"/>
  <c r="A358" i="72"/>
  <c r="A357" i="72"/>
  <c r="A356" i="72"/>
  <c r="A355" i="72"/>
  <c r="A354" i="72"/>
  <c r="A353" i="72"/>
  <c r="A352" i="72"/>
  <c r="A351" i="72"/>
  <c r="A350" i="72"/>
  <c r="A349" i="72"/>
  <c r="A348" i="72"/>
  <c r="A347" i="72"/>
  <c r="A346" i="72"/>
  <c r="A345" i="72"/>
  <c r="A344" i="72"/>
  <c r="A343" i="72"/>
  <c r="A342" i="72"/>
  <c r="A341" i="72"/>
  <c r="A340" i="72"/>
  <c r="A339" i="72"/>
  <c r="A338" i="72"/>
  <c r="A337" i="72"/>
  <c r="A336" i="72"/>
  <c r="A335" i="72"/>
  <c r="A334" i="72"/>
  <c r="A333" i="72"/>
  <c r="A332" i="72"/>
  <c r="A331" i="72"/>
  <c r="A330" i="72"/>
  <c r="A329" i="72"/>
  <c r="A328" i="72"/>
  <c r="A327" i="72"/>
  <c r="A326" i="72"/>
  <c r="A325" i="72"/>
  <c r="A324" i="72"/>
  <c r="A323" i="72"/>
  <c r="A322" i="72"/>
  <c r="A321" i="72"/>
  <c r="A320" i="72"/>
  <c r="A319" i="72"/>
  <c r="A318" i="72"/>
  <c r="A317" i="72"/>
  <c r="A316" i="72"/>
  <c r="A315" i="72"/>
  <c r="A314" i="72"/>
  <c r="A313" i="72"/>
  <c r="A312" i="72"/>
  <c r="A311" i="72"/>
  <c r="A310" i="72"/>
  <c r="A309" i="72"/>
  <c r="A308" i="72"/>
  <c r="A307" i="72"/>
  <c r="A306" i="72"/>
  <c r="A305" i="72"/>
  <c r="A304" i="72"/>
  <c r="A303" i="72"/>
  <c r="A302" i="72"/>
  <c r="A301" i="72"/>
  <c r="A300" i="72"/>
  <c r="A299" i="72"/>
  <c r="A298" i="72"/>
  <c r="A297" i="72"/>
  <c r="A296" i="72"/>
  <c r="A295" i="72"/>
  <c r="A294" i="72"/>
  <c r="A293" i="72"/>
  <c r="A292" i="72"/>
  <c r="A291" i="72"/>
  <c r="A290" i="72"/>
  <c r="A289" i="72"/>
  <c r="A288" i="72"/>
  <c r="A287" i="72"/>
  <c r="A286" i="72"/>
  <c r="A285" i="72"/>
  <c r="A284" i="72"/>
  <c r="A283" i="72"/>
  <c r="A282" i="72"/>
  <c r="A281" i="72"/>
  <c r="A280" i="72"/>
  <c r="A279" i="72"/>
  <c r="A278" i="72"/>
  <c r="A277" i="72"/>
  <c r="A276" i="72"/>
  <c r="A275" i="72"/>
  <c r="A274" i="72"/>
  <c r="A273" i="72"/>
  <c r="A272" i="72"/>
  <c r="A271" i="72"/>
  <c r="A270" i="72"/>
  <c r="A269" i="72"/>
  <c r="A268" i="72"/>
  <c r="A267" i="72"/>
  <c r="A266" i="72"/>
  <c r="A265" i="72"/>
  <c r="A264" i="72"/>
  <c r="A263" i="72"/>
  <c r="A262" i="72"/>
  <c r="A261" i="72"/>
  <c r="A260" i="72"/>
  <c r="A259" i="72"/>
  <c r="A258" i="72"/>
  <c r="A257" i="72"/>
  <c r="A256" i="72"/>
  <c r="A255" i="72"/>
  <c r="A254" i="72"/>
  <c r="A253" i="72"/>
  <c r="A252" i="72"/>
  <c r="A251" i="72"/>
  <c r="A250" i="72"/>
  <c r="A249" i="72"/>
  <c r="A248" i="72"/>
  <c r="A247" i="72"/>
  <c r="A246" i="72"/>
  <c r="A245" i="72"/>
  <c r="A244" i="72"/>
  <c r="A243" i="72"/>
  <c r="A242" i="72"/>
  <c r="A241" i="72"/>
  <c r="A240" i="72"/>
  <c r="A239" i="72"/>
  <c r="A238" i="72"/>
  <c r="A237" i="72"/>
  <c r="A236" i="72"/>
  <c r="A235" i="72"/>
  <c r="A234" i="72"/>
  <c r="A233" i="72"/>
  <c r="A232" i="72"/>
  <c r="A231" i="72"/>
  <c r="A230" i="72"/>
  <c r="A229" i="72"/>
  <c r="A228" i="72"/>
  <c r="A227" i="72"/>
  <c r="A226" i="72"/>
  <c r="A225" i="72"/>
  <c r="A224" i="72"/>
  <c r="A223" i="72"/>
  <c r="A222" i="72"/>
  <c r="A221" i="72"/>
  <c r="A220" i="72"/>
  <c r="A219" i="72"/>
  <c r="A218" i="72"/>
  <c r="A217" i="72"/>
  <c r="A216" i="72"/>
  <c r="A215" i="72"/>
  <c r="A214" i="72"/>
  <c r="A213" i="72"/>
  <c r="A212" i="72"/>
  <c r="A211" i="72"/>
  <c r="A210" i="72"/>
  <c r="A209" i="72"/>
  <c r="A208" i="72"/>
  <c r="A207" i="72"/>
  <c r="A206" i="72"/>
  <c r="A205" i="72"/>
  <c r="A204" i="72"/>
  <c r="A203" i="72"/>
  <c r="A202" i="72"/>
  <c r="A201" i="72"/>
  <c r="A200" i="72"/>
  <c r="A199" i="72"/>
  <c r="A198" i="72"/>
  <c r="A197" i="72"/>
  <c r="A196" i="72"/>
  <c r="A195" i="72"/>
  <c r="A194" i="72"/>
  <c r="A193" i="72"/>
  <c r="A192" i="72"/>
  <c r="A191" i="72"/>
  <c r="A190" i="72"/>
  <c r="A189" i="72"/>
  <c r="A188" i="72"/>
  <c r="A187" i="72"/>
  <c r="A186" i="72"/>
  <c r="A185" i="72"/>
  <c r="A184" i="72"/>
  <c r="A183" i="72"/>
  <c r="A182" i="72"/>
  <c r="A181" i="72"/>
  <c r="A180" i="72"/>
  <c r="A179" i="72"/>
  <c r="A178" i="72"/>
  <c r="A177" i="72"/>
  <c r="A176" i="72"/>
  <c r="A175" i="72"/>
  <c r="A174" i="72"/>
  <c r="A173" i="72"/>
  <c r="A172" i="72"/>
  <c r="A171" i="72"/>
  <c r="A170" i="72"/>
  <c r="A169" i="72"/>
  <c r="A168" i="72"/>
  <c r="A167" i="72"/>
  <c r="A166" i="72"/>
  <c r="A165" i="72"/>
  <c r="A164" i="72"/>
  <c r="A163" i="72"/>
  <c r="A162" i="72"/>
  <c r="A161" i="72"/>
  <c r="A160" i="72"/>
  <c r="A159" i="72"/>
  <c r="A158" i="72"/>
  <c r="A157" i="72"/>
  <c r="A156" i="72"/>
  <c r="A155" i="72"/>
  <c r="A154" i="72"/>
  <c r="A153" i="72"/>
  <c r="A152" i="72"/>
  <c r="A151" i="72"/>
  <c r="A150" i="72"/>
  <c r="A149" i="72"/>
  <c r="A148" i="72"/>
  <c r="A147" i="72"/>
  <c r="A146" i="72"/>
  <c r="A145" i="72"/>
  <c r="A144" i="72"/>
  <c r="A143" i="72"/>
  <c r="A142" i="72"/>
  <c r="A141" i="72"/>
  <c r="A140" i="72"/>
  <c r="A139" i="72"/>
  <c r="A138" i="72"/>
  <c r="A137" i="72"/>
  <c r="A136" i="72"/>
  <c r="A135" i="72"/>
  <c r="A134" i="72"/>
  <c r="A133" i="72"/>
  <c r="A132" i="72"/>
  <c r="A131" i="72"/>
  <c r="A130" i="72"/>
  <c r="A129" i="72"/>
  <c r="A128" i="72"/>
  <c r="A127" i="72"/>
  <c r="A126" i="72"/>
  <c r="A125" i="72"/>
  <c r="A124" i="72"/>
  <c r="A123" i="72"/>
  <c r="A122" i="72"/>
  <c r="A121" i="72"/>
  <c r="A120" i="72"/>
  <c r="A119" i="72"/>
  <c r="A118" i="72"/>
  <c r="A117" i="72"/>
  <c r="A116" i="72"/>
  <c r="A115" i="72"/>
  <c r="A114" i="72"/>
  <c r="A113" i="72"/>
  <c r="A112" i="72"/>
  <c r="A111" i="72"/>
  <c r="A110" i="72"/>
  <c r="A109" i="72"/>
  <c r="A108" i="72"/>
  <c r="A107" i="72"/>
  <c r="A106" i="72"/>
  <c r="A105" i="72"/>
  <c r="A104" i="72"/>
  <c r="A103" i="72"/>
  <c r="A102" i="72"/>
  <c r="A101" i="72"/>
  <c r="D101" i="72" s="1"/>
  <c r="A100" i="72"/>
  <c r="D100" i="72" s="1"/>
  <c r="A99" i="72"/>
  <c r="D99" i="72" s="1"/>
  <c r="A98" i="72"/>
  <c r="D98" i="72" s="1"/>
  <c r="A97" i="72"/>
  <c r="D97" i="72" s="1"/>
  <c r="A96" i="72"/>
  <c r="D96" i="72" s="1"/>
  <c r="A95" i="72"/>
  <c r="D95" i="72" s="1"/>
  <c r="A94" i="72"/>
  <c r="D94" i="72" s="1"/>
  <c r="A93" i="72"/>
  <c r="D93" i="72" s="1"/>
  <c r="A92" i="72"/>
  <c r="D92" i="72" s="1"/>
  <c r="A91" i="72"/>
  <c r="D91" i="72" s="1"/>
  <c r="A90" i="72"/>
  <c r="D90" i="72" s="1"/>
  <c r="A89" i="72"/>
  <c r="D89" i="72" s="1"/>
  <c r="A88" i="72"/>
  <c r="D88" i="72" s="1"/>
  <c r="A87" i="72"/>
  <c r="D87" i="72" s="1"/>
  <c r="A86" i="72"/>
  <c r="D86" i="72" s="1"/>
  <c r="A85" i="72"/>
  <c r="D85" i="72" s="1"/>
  <c r="A84" i="72"/>
  <c r="D84" i="72" s="1"/>
  <c r="A83" i="72"/>
  <c r="D83" i="72" s="1"/>
  <c r="A82" i="72"/>
  <c r="D82" i="72" s="1"/>
  <c r="A81" i="72"/>
  <c r="D81" i="72" s="1"/>
  <c r="A80" i="72"/>
  <c r="D80" i="72" s="1"/>
  <c r="A79" i="72"/>
  <c r="D79" i="72" s="1"/>
  <c r="A78" i="72"/>
  <c r="D78" i="72" s="1"/>
  <c r="A77" i="72"/>
  <c r="D77" i="72" s="1"/>
  <c r="A76" i="72"/>
  <c r="D76" i="72" s="1"/>
  <c r="A75" i="72"/>
  <c r="D75" i="72" s="1"/>
  <c r="A74" i="72"/>
  <c r="D74" i="72" s="1"/>
  <c r="A73" i="72"/>
  <c r="D73" i="72" s="1"/>
  <c r="A72" i="72"/>
  <c r="D72" i="72" s="1"/>
  <c r="A71" i="72"/>
  <c r="D71" i="72" s="1"/>
  <c r="A70" i="72"/>
  <c r="D70" i="72" s="1"/>
  <c r="A69" i="72"/>
  <c r="D69" i="72" s="1"/>
  <c r="A68" i="72"/>
  <c r="D68" i="72" s="1"/>
  <c r="A67" i="72"/>
  <c r="D67" i="72" s="1"/>
  <c r="A66" i="72"/>
  <c r="D66" i="72" s="1"/>
  <c r="A65" i="72"/>
  <c r="D65" i="72" s="1"/>
  <c r="A64" i="72"/>
  <c r="D64" i="72" s="1"/>
  <c r="A63" i="72"/>
  <c r="D63" i="72" s="1"/>
  <c r="A62" i="72"/>
  <c r="D62" i="72" s="1"/>
  <c r="A61" i="72"/>
  <c r="D61" i="72" s="1"/>
  <c r="A60" i="72"/>
  <c r="D60" i="72" s="1"/>
  <c r="A59" i="72"/>
  <c r="D59" i="72" s="1"/>
  <c r="A58" i="72"/>
  <c r="D58" i="72" s="1"/>
  <c r="A57" i="72"/>
  <c r="D57" i="72" s="1"/>
  <c r="A56" i="72"/>
  <c r="D56" i="72" s="1"/>
  <c r="A55" i="72"/>
  <c r="D55" i="72" s="1"/>
  <c r="A54" i="72"/>
  <c r="D54" i="72" s="1"/>
  <c r="A53" i="72"/>
  <c r="D53" i="72" s="1"/>
  <c r="D13" i="68" s="1"/>
  <c r="A52" i="72"/>
  <c r="D52" i="72" s="1"/>
  <c r="D11" i="68" s="1"/>
  <c r="A51" i="72"/>
  <c r="D51" i="72" s="1"/>
  <c r="D12" i="68" s="1"/>
  <c r="A50" i="72"/>
  <c r="D50" i="72" s="1"/>
  <c r="A49" i="72"/>
  <c r="D49" i="72" s="1"/>
  <c r="A48" i="72"/>
  <c r="D48" i="72" s="1"/>
  <c r="A47" i="72"/>
  <c r="D47" i="72" s="1"/>
  <c r="A46" i="72"/>
  <c r="D46" i="72" s="1"/>
  <c r="A45" i="72"/>
  <c r="D45" i="72" s="1"/>
  <c r="A44" i="72"/>
  <c r="D44" i="72" s="1"/>
  <c r="A43" i="72"/>
  <c r="D43" i="72" s="1"/>
  <c r="A42" i="72"/>
  <c r="D42" i="72" s="1"/>
  <c r="A41" i="72"/>
  <c r="D41" i="72" s="1"/>
  <c r="A40" i="72"/>
  <c r="D40" i="72" s="1"/>
  <c r="A39" i="72"/>
  <c r="D39" i="72" s="1"/>
  <c r="A38" i="72"/>
  <c r="D38" i="72" s="1"/>
  <c r="A37" i="72"/>
  <c r="D37" i="72" s="1"/>
  <c r="D10" i="68" s="1"/>
  <c r="A36" i="72"/>
  <c r="D36" i="72" s="1"/>
  <c r="A35" i="72"/>
  <c r="D35" i="72" s="1"/>
  <c r="A34" i="72"/>
  <c r="D34" i="72" s="1"/>
  <c r="A33" i="72"/>
  <c r="D33" i="72" s="1"/>
  <c r="A32" i="72"/>
  <c r="D32" i="72" s="1"/>
  <c r="A31" i="72"/>
  <c r="D31" i="72" s="1"/>
  <c r="A30" i="72"/>
  <c r="D30" i="72" s="1"/>
  <c r="A29" i="72"/>
  <c r="D29" i="72" s="1"/>
  <c r="A28" i="72"/>
  <c r="D28" i="72" s="1"/>
  <c r="A27" i="72"/>
  <c r="D27" i="72" s="1"/>
  <c r="A26" i="72"/>
  <c r="D26" i="72" s="1"/>
  <c r="A25" i="72"/>
  <c r="D25" i="72" s="1"/>
  <c r="A24" i="72"/>
  <c r="D24" i="72" s="1"/>
  <c r="A23" i="72"/>
  <c r="D23" i="72" s="1"/>
  <c r="A22" i="72"/>
  <c r="D22" i="72" s="1"/>
  <c r="A21" i="72"/>
  <c r="D21" i="72" s="1"/>
  <c r="A20" i="72"/>
  <c r="D20" i="72" s="1"/>
  <c r="A19" i="72"/>
  <c r="D19" i="72" s="1"/>
  <c r="A18" i="72"/>
  <c r="D18" i="72" s="1"/>
  <c r="A17" i="72"/>
  <c r="D17" i="72" s="1"/>
  <c r="A16" i="72"/>
  <c r="D16" i="72" s="1"/>
  <c r="D9" i="68" s="1"/>
  <c r="A15" i="72"/>
  <c r="D15" i="72" s="1"/>
  <c r="D8" i="68" s="1"/>
  <c r="A14" i="72"/>
  <c r="D14" i="72" s="1"/>
  <c r="A13" i="72"/>
  <c r="D13" i="72" s="1"/>
  <c r="A12" i="72"/>
  <c r="D12" i="72" s="1"/>
  <c r="D7" i="68" s="1"/>
  <c r="A11" i="72"/>
  <c r="D11" i="72" s="1"/>
  <c r="A10" i="72"/>
  <c r="D10" i="72" s="1"/>
  <c r="A9" i="72"/>
  <c r="D9" i="72" s="1"/>
  <c r="A8" i="72"/>
  <c r="D8" i="72" s="1"/>
  <c r="A7" i="72"/>
  <c r="D7" i="72" s="1"/>
  <c r="A6" i="72"/>
  <c r="D6" i="72" s="1"/>
  <c r="A5" i="72"/>
  <c r="D5" i="72" s="1"/>
  <c r="A1" i="72"/>
  <c r="D8" i="57"/>
  <c r="B8" i="57"/>
  <c r="D7" i="57"/>
  <c r="B7" i="57"/>
  <c r="D6" i="57"/>
  <c r="D5" i="57"/>
  <c r="B5" i="57"/>
  <c r="D4" i="57"/>
  <c r="B4" i="57"/>
  <c r="D3" i="57"/>
  <c r="B3" i="57"/>
  <c r="C109" i="7"/>
  <c r="C152" i="7"/>
  <c r="C46" i="7"/>
  <c r="C21" i="7"/>
  <c r="C26" i="7"/>
  <c r="C147" i="7"/>
  <c r="P94" i="74"/>
  <c r="C153" i="7"/>
  <c r="C90" i="7"/>
  <c r="M94" i="74"/>
  <c r="C51" i="7"/>
  <c r="C128" i="7"/>
  <c r="C68" i="7"/>
  <c r="C5" i="7"/>
  <c r="C27" i="7"/>
  <c r="AE5" i="75" l="1"/>
  <c r="AE6" i="75" s="1"/>
  <c r="AC146" i="77"/>
  <c r="U134" i="77"/>
  <c r="K23" i="74"/>
  <c r="B5" i="74"/>
  <c r="J5" i="74"/>
  <c r="B12" i="74"/>
  <c r="J12" i="74"/>
  <c r="D19" i="74"/>
  <c r="D54" i="74"/>
  <c r="B54" i="74"/>
  <c r="H14" i="74"/>
  <c r="J93" i="74"/>
  <c r="K93" i="74"/>
  <c r="H63" i="74"/>
  <c r="K76" i="74"/>
  <c r="K22" i="74"/>
  <c r="B63" i="74"/>
  <c r="D71" i="74"/>
  <c r="D46" i="74"/>
  <c r="F22" i="74"/>
  <c r="F63" i="74"/>
  <c r="F71" i="74"/>
  <c r="D76" i="74"/>
  <c r="B46" i="74"/>
  <c r="K46" i="74"/>
  <c r="B22" i="74"/>
  <c r="J63" i="74"/>
  <c r="D63" i="74"/>
  <c r="B71" i="74"/>
  <c r="F46" i="74"/>
  <c r="J46" i="74"/>
  <c r="D85" i="74"/>
  <c r="F79" i="74"/>
  <c r="K79" i="74"/>
  <c r="B93" i="74"/>
  <c r="F93" i="74"/>
  <c r="K38" i="74"/>
  <c r="D38" i="74"/>
  <c r="D92" i="74"/>
  <c r="B79" i="74"/>
  <c r="B38" i="74"/>
  <c r="J92" i="74"/>
  <c r="K92" i="74"/>
  <c r="AE94" i="74"/>
  <c r="E94" i="74"/>
  <c r="H94" i="74"/>
  <c r="K94" i="74"/>
  <c r="C94" i="74"/>
  <c r="F94" i="74"/>
  <c r="I94" i="74"/>
  <c r="A94" i="74"/>
  <c r="D94" i="74"/>
  <c r="G94" i="74"/>
  <c r="J94" i="74"/>
  <c r="B94" i="74"/>
  <c r="Y94" i="74"/>
  <c r="AB94" i="74"/>
  <c r="T94" i="74"/>
  <c r="W94" i="74"/>
  <c r="Z94" i="74"/>
  <c r="AC94" i="74"/>
  <c r="U94" i="74"/>
  <c r="X94" i="74"/>
  <c r="AA94" i="74"/>
  <c r="AD94" i="74"/>
  <c r="V94" i="74"/>
  <c r="I1" i="72"/>
  <c r="H38" i="74"/>
  <c r="B92" i="74"/>
  <c r="F92" i="74"/>
  <c r="AE93" i="74"/>
  <c r="A93" i="74"/>
  <c r="E93" i="74"/>
  <c r="I93" i="74"/>
  <c r="G93" i="74"/>
  <c r="C93" i="74"/>
  <c r="K91" i="74"/>
  <c r="B91" i="74"/>
  <c r="F91" i="74"/>
  <c r="J91" i="74"/>
  <c r="AE91" i="74"/>
  <c r="D91" i="74"/>
  <c r="H91" i="74"/>
  <c r="C91" i="74"/>
  <c r="G91" i="74"/>
  <c r="A91" i="74"/>
  <c r="E91" i="74"/>
  <c r="I91" i="74"/>
  <c r="K86" i="74"/>
  <c r="D86" i="74"/>
  <c r="H86" i="74"/>
  <c r="F86" i="74"/>
  <c r="AE86" i="74"/>
  <c r="B86" i="74"/>
  <c r="J86" i="74"/>
  <c r="C86" i="74"/>
  <c r="G86" i="74"/>
  <c r="A86" i="74"/>
  <c r="E86" i="74"/>
  <c r="I86" i="74"/>
  <c r="AD78" i="74"/>
  <c r="W78" i="74"/>
  <c r="AA78" i="74"/>
  <c r="U78" i="74"/>
  <c r="AC78" i="74"/>
  <c r="Y78" i="74"/>
  <c r="T78" i="74"/>
  <c r="X78" i="74"/>
  <c r="AB78" i="74"/>
  <c r="V78" i="74"/>
  <c r="Z78" i="74"/>
  <c r="AD73" i="74"/>
  <c r="U73" i="74"/>
  <c r="Y73" i="74"/>
  <c r="AC73" i="74"/>
  <c r="W73" i="74"/>
  <c r="AA73" i="74"/>
  <c r="T73" i="74"/>
  <c r="X73" i="74"/>
  <c r="AB73" i="74"/>
  <c r="V73" i="74"/>
  <c r="Z73" i="74"/>
  <c r="AD65" i="74"/>
  <c r="W65" i="74"/>
  <c r="AA65" i="74"/>
  <c r="U65" i="74"/>
  <c r="Y65" i="74"/>
  <c r="AC65" i="74"/>
  <c r="T65" i="74"/>
  <c r="X65" i="74"/>
  <c r="AB65" i="74"/>
  <c r="V65" i="74"/>
  <c r="Z65" i="74"/>
  <c r="AD62" i="74"/>
  <c r="U62" i="74"/>
  <c r="Y62" i="74"/>
  <c r="AC62" i="74"/>
  <c r="W62" i="74"/>
  <c r="AA62" i="74"/>
  <c r="T62" i="74"/>
  <c r="X62" i="74"/>
  <c r="AB62" i="74"/>
  <c r="V62" i="74"/>
  <c r="Z62" i="74"/>
  <c r="K56" i="74"/>
  <c r="D56" i="74"/>
  <c r="H56" i="74"/>
  <c r="B56" i="74"/>
  <c r="F56" i="74"/>
  <c r="J56" i="74"/>
  <c r="AE56" i="74"/>
  <c r="C56" i="74"/>
  <c r="G56" i="74"/>
  <c r="A56" i="74"/>
  <c r="E56" i="74"/>
  <c r="I56" i="74"/>
  <c r="K40" i="74"/>
  <c r="B40" i="74"/>
  <c r="F40" i="74"/>
  <c r="J40" i="74"/>
  <c r="AE40" i="74"/>
  <c r="D40" i="74"/>
  <c r="H40" i="74"/>
  <c r="C40" i="74"/>
  <c r="G40" i="74"/>
  <c r="A40" i="74"/>
  <c r="E40" i="74"/>
  <c r="I40" i="74"/>
  <c r="K35" i="74"/>
  <c r="D35" i="74"/>
  <c r="H35" i="74"/>
  <c r="B35" i="74"/>
  <c r="F35" i="74"/>
  <c r="J35" i="74"/>
  <c r="AE35" i="74"/>
  <c r="C35" i="74"/>
  <c r="G35" i="74"/>
  <c r="A35" i="74"/>
  <c r="E35" i="74"/>
  <c r="I35" i="74"/>
  <c r="J14" i="74"/>
  <c r="AE14" i="74"/>
  <c r="C14" i="74"/>
  <c r="G14" i="74"/>
  <c r="E14" i="74"/>
  <c r="A14" i="74"/>
  <c r="I14" i="74"/>
  <c r="K7" i="74"/>
  <c r="B7" i="74"/>
  <c r="F7" i="74"/>
  <c r="J7" i="74"/>
  <c r="AE7" i="74"/>
  <c r="D7" i="74"/>
  <c r="H7" i="74"/>
  <c r="A7" i="74"/>
  <c r="E7" i="74"/>
  <c r="I7" i="74"/>
  <c r="C7" i="74"/>
  <c r="G7" i="74"/>
  <c r="K70" i="74"/>
  <c r="D70" i="74"/>
  <c r="H70" i="74"/>
  <c r="B70" i="74"/>
  <c r="F70" i="74"/>
  <c r="J70" i="74"/>
  <c r="AE70" i="74"/>
  <c r="C70" i="74"/>
  <c r="G70" i="74"/>
  <c r="A70" i="74"/>
  <c r="E70" i="74"/>
  <c r="I70" i="74"/>
  <c r="J54" i="74"/>
  <c r="AE54" i="74"/>
  <c r="C54" i="74"/>
  <c r="G54" i="74"/>
  <c r="A54" i="74"/>
  <c r="E54" i="74"/>
  <c r="I54" i="74"/>
  <c r="AD45" i="74"/>
  <c r="U45" i="74"/>
  <c r="Y45" i="74"/>
  <c r="AC45" i="74"/>
  <c r="W45" i="74"/>
  <c r="AA45" i="74"/>
  <c r="T45" i="74"/>
  <c r="X45" i="74"/>
  <c r="AB45" i="74"/>
  <c r="V45" i="74"/>
  <c r="Z45" i="74"/>
  <c r="AD92" i="74"/>
  <c r="W92" i="74"/>
  <c r="AA92" i="74"/>
  <c r="U92" i="74"/>
  <c r="Y92" i="74"/>
  <c r="AC92" i="74"/>
  <c r="V92" i="74"/>
  <c r="Z92" i="74"/>
  <c r="T92" i="74"/>
  <c r="AB92" i="74"/>
  <c r="X92" i="74"/>
  <c r="AD89" i="74"/>
  <c r="W89" i="74"/>
  <c r="AA89" i="74"/>
  <c r="U89" i="74"/>
  <c r="Y89" i="74"/>
  <c r="AC89" i="74"/>
  <c r="T89" i="74"/>
  <c r="X89" i="74"/>
  <c r="AB89" i="74"/>
  <c r="V89" i="74"/>
  <c r="Z89" i="74"/>
  <c r="K78" i="74"/>
  <c r="B78" i="74"/>
  <c r="F78" i="74"/>
  <c r="J78" i="74"/>
  <c r="AE78" i="74"/>
  <c r="D78" i="74"/>
  <c r="H78" i="74"/>
  <c r="C78" i="74"/>
  <c r="G78" i="74"/>
  <c r="A78" i="74"/>
  <c r="E78" i="74"/>
  <c r="I78" i="74"/>
  <c r="K73" i="74"/>
  <c r="B73" i="74"/>
  <c r="D73" i="74"/>
  <c r="H73" i="74"/>
  <c r="F73" i="74"/>
  <c r="AE73" i="74"/>
  <c r="J73" i="74"/>
  <c r="C73" i="74"/>
  <c r="G73" i="74"/>
  <c r="A73" i="74"/>
  <c r="E73" i="74"/>
  <c r="I73" i="74"/>
  <c r="K65" i="74"/>
  <c r="B65" i="74"/>
  <c r="F65" i="74"/>
  <c r="J65" i="74"/>
  <c r="AE65" i="74"/>
  <c r="D65" i="74"/>
  <c r="H65" i="74"/>
  <c r="C65" i="74"/>
  <c r="G65" i="74"/>
  <c r="A65" i="74"/>
  <c r="E65" i="74"/>
  <c r="I65" i="74"/>
  <c r="K62" i="74"/>
  <c r="D62" i="74"/>
  <c r="H62" i="74"/>
  <c r="B62" i="74"/>
  <c r="F62" i="74"/>
  <c r="J62" i="74"/>
  <c r="AE62" i="74"/>
  <c r="C62" i="74"/>
  <c r="G62" i="74"/>
  <c r="A62" i="74"/>
  <c r="E62" i="74"/>
  <c r="I62" i="74"/>
  <c r="AD56" i="74"/>
  <c r="U56" i="74"/>
  <c r="Y56" i="74"/>
  <c r="AC56" i="74"/>
  <c r="W56" i="74"/>
  <c r="AA56" i="74"/>
  <c r="T56" i="74"/>
  <c r="X56" i="74"/>
  <c r="AB56" i="74"/>
  <c r="V56" i="74"/>
  <c r="Z56" i="74"/>
  <c r="W40" i="74"/>
  <c r="AA40" i="74"/>
  <c r="U40" i="74"/>
  <c r="Y40" i="74"/>
  <c r="AC40" i="74"/>
  <c r="T40" i="74"/>
  <c r="X40" i="74"/>
  <c r="AB40" i="74"/>
  <c r="V40" i="74"/>
  <c r="Z40" i="74"/>
  <c r="K30" i="74"/>
  <c r="B30" i="74"/>
  <c r="F30" i="74"/>
  <c r="J30" i="74"/>
  <c r="AE30" i="74"/>
  <c r="D30" i="74"/>
  <c r="H30" i="74"/>
  <c r="C30" i="74"/>
  <c r="G30" i="74"/>
  <c r="E30" i="74"/>
  <c r="A30" i="74"/>
  <c r="I30" i="74"/>
  <c r="K24" i="74"/>
  <c r="D24" i="74"/>
  <c r="H24" i="74"/>
  <c r="B24" i="74"/>
  <c r="F24" i="74"/>
  <c r="J24" i="74"/>
  <c r="AE24" i="74"/>
  <c r="C24" i="74"/>
  <c r="G24" i="74"/>
  <c r="E24" i="74"/>
  <c r="A24" i="74"/>
  <c r="I24" i="74"/>
  <c r="H19" i="74"/>
  <c r="F19" i="74"/>
  <c r="J19" i="74"/>
  <c r="AE19" i="74"/>
  <c r="C19" i="74"/>
  <c r="G19" i="74"/>
  <c r="A19" i="74"/>
  <c r="I19" i="74"/>
  <c r="E19" i="74"/>
  <c r="A12" i="74"/>
  <c r="E12" i="74"/>
  <c r="I12" i="74"/>
  <c r="AE12" i="74"/>
  <c r="C12" i="74"/>
  <c r="G12" i="74"/>
  <c r="A5" i="74"/>
  <c r="E5" i="74"/>
  <c r="I5" i="74"/>
  <c r="AE5" i="74"/>
  <c r="C5" i="74"/>
  <c r="G5" i="74"/>
  <c r="AD70" i="74"/>
  <c r="U70" i="74"/>
  <c r="Y70" i="74"/>
  <c r="AC70" i="74"/>
  <c r="W70" i="74"/>
  <c r="AA70" i="74"/>
  <c r="T70" i="74"/>
  <c r="X70" i="74"/>
  <c r="AB70" i="74"/>
  <c r="V70" i="74"/>
  <c r="Z70" i="74"/>
  <c r="AD54" i="74"/>
  <c r="W54" i="74"/>
  <c r="AC54" i="74"/>
  <c r="Y54" i="74"/>
  <c r="U54" i="74"/>
  <c r="AA54" i="74"/>
  <c r="T54" i="74"/>
  <c r="X54" i="74"/>
  <c r="AB54" i="74"/>
  <c r="V54" i="74"/>
  <c r="Z54" i="74"/>
  <c r="AD43" i="74"/>
  <c r="U43" i="74"/>
  <c r="Y43" i="74"/>
  <c r="AC43" i="74"/>
  <c r="W43" i="74"/>
  <c r="AA43" i="74"/>
  <c r="T43" i="74"/>
  <c r="X43" i="74"/>
  <c r="AB43" i="74"/>
  <c r="V43" i="74"/>
  <c r="Z43" i="74"/>
  <c r="K48" i="74"/>
  <c r="D48" i="74"/>
  <c r="H48" i="74"/>
  <c r="B48" i="74"/>
  <c r="F48" i="74"/>
  <c r="J48" i="74"/>
  <c r="AE48" i="74"/>
  <c r="C48" i="74"/>
  <c r="G48" i="74"/>
  <c r="A48" i="74"/>
  <c r="E48" i="74"/>
  <c r="I48" i="74"/>
  <c r="K45" i="74"/>
  <c r="D45" i="74"/>
  <c r="H45" i="74"/>
  <c r="B45" i="74"/>
  <c r="F45" i="74"/>
  <c r="J45" i="74"/>
  <c r="AE45" i="74"/>
  <c r="C45" i="74"/>
  <c r="G45" i="74"/>
  <c r="A45" i="74"/>
  <c r="E45" i="74"/>
  <c r="I45" i="74"/>
  <c r="K90" i="74"/>
  <c r="D90" i="74"/>
  <c r="H90" i="74"/>
  <c r="B90" i="74"/>
  <c r="F90" i="74"/>
  <c r="J90" i="74"/>
  <c r="AE90" i="74"/>
  <c r="C90" i="74"/>
  <c r="G90" i="74"/>
  <c r="A90" i="74"/>
  <c r="E90" i="74"/>
  <c r="I90" i="74"/>
  <c r="K77" i="74"/>
  <c r="D77" i="74"/>
  <c r="H77" i="74"/>
  <c r="B77" i="74"/>
  <c r="J77" i="74"/>
  <c r="F77" i="74"/>
  <c r="AE77" i="74"/>
  <c r="C77" i="74"/>
  <c r="G77" i="74"/>
  <c r="A77" i="74"/>
  <c r="E77" i="74"/>
  <c r="I77" i="74"/>
  <c r="K60" i="74"/>
  <c r="F60" i="74"/>
  <c r="J60" i="74"/>
  <c r="B60" i="74"/>
  <c r="AE60" i="74"/>
  <c r="C60" i="74"/>
  <c r="G60" i="74"/>
  <c r="A60" i="74"/>
  <c r="E60" i="74"/>
  <c r="I60" i="74"/>
  <c r="K47" i="74"/>
  <c r="B47" i="74"/>
  <c r="F47" i="74"/>
  <c r="J47" i="74"/>
  <c r="AE47" i="74"/>
  <c r="D47" i="74"/>
  <c r="H47" i="74"/>
  <c r="C47" i="74"/>
  <c r="G47" i="74"/>
  <c r="A47" i="74"/>
  <c r="E47" i="74"/>
  <c r="I47" i="74"/>
  <c r="K29" i="74"/>
  <c r="H29" i="74"/>
  <c r="F29" i="74"/>
  <c r="D29" i="74"/>
  <c r="B29" i="74"/>
  <c r="J29" i="74"/>
  <c r="AE29" i="74"/>
  <c r="C29" i="74"/>
  <c r="G29" i="74"/>
  <c r="A29" i="74"/>
  <c r="I29" i="74"/>
  <c r="E29" i="74"/>
  <c r="F18" i="74"/>
  <c r="B18" i="74"/>
  <c r="J18" i="74"/>
  <c r="AE18" i="74"/>
  <c r="C18" i="74"/>
  <c r="G18" i="74"/>
  <c r="E18" i="74"/>
  <c r="A18" i="74"/>
  <c r="I18" i="74"/>
  <c r="K6" i="74"/>
  <c r="B6" i="74"/>
  <c r="H6" i="74"/>
  <c r="F6" i="74"/>
  <c r="D6" i="74"/>
  <c r="J6" i="74"/>
  <c r="AE6" i="74"/>
  <c r="A6" i="74"/>
  <c r="E6" i="74"/>
  <c r="I6" i="74"/>
  <c r="C6" i="74"/>
  <c r="G6" i="74"/>
  <c r="K59" i="74"/>
  <c r="B59" i="74"/>
  <c r="F59" i="74"/>
  <c r="J59" i="74"/>
  <c r="AE59" i="74"/>
  <c r="D59" i="74"/>
  <c r="H59" i="74"/>
  <c r="C59" i="74"/>
  <c r="G59" i="74"/>
  <c r="A59" i="74"/>
  <c r="E59" i="74"/>
  <c r="I59" i="74"/>
  <c r="K34" i="74"/>
  <c r="B34" i="74"/>
  <c r="F34" i="74"/>
  <c r="J34" i="74"/>
  <c r="AE34" i="74"/>
  <c r="D34" i="74"/>
  <c r="H34" i="74"/>
  <c r="C34" i="74"/>
  <c r="G34" i="74"/>
  <c r="A34" i="74"/>
  <c r="E34" i="74"/>
  <c r="I34" i="74"/>
  <c r="K15" i="74"/>
  <c r="B15" i="74"/>
  <c r="F15" i="74"/>
  <c r="J15" i="74"/>
  <c r="AE15" i="74"/>
  <c r="D15" i="74"/>
  <c r="H15" i="74"/>
  <c r="C15" i="74"/>
  <c r="G15" i="74"/>
  <c r="A15" i="74"/>
  <c r="I15" i="74"/>
  <c r="E15" i="74"/>
  <c r="K66" i="74"/>
  <c r="D66" i="74"/>
  <c r="H66" i="74"/>
  <c r="B66" i="74"/>
  <c r="F66" i="74"/>
  <c r="J66" i="74"/>
  <c r="AE66" i="74"/>
  <c r="C66" i="74"/>
  <c r="G66" i="74"/>
  <c r="A66" i="74"/>
  <c r="E66" i="74"/>
  <c r="I66" i="74"/>
  <c r="AD90" i="74"/>
  <c r="U90" i="74"/>
  <c r="Y90" i="74"/>
  <c r="AC90" i="74"/>
  <c r="W90" i="74"/>
  <c r="AA90" i="74"/>
  <c r="T90" i="74"/>
  <c r="X90" i="74"/>
  <c r="AB90" i="74"/>
  <c r="V90" i="74"/>
  <c r="Z90" i="74"/>
  <c r="AD82" i="74"/>
  <c r="W82" i="74"/>
  <c r="AA82" i="74"/>
  <c r="U82" i="74"/>
  <c r="Y82" i="74"/>
  <c r="AC82" i="74"/>
  <c r="T82" i="74"/>
  <c r="X82" i="74"/>
  <c r="AB82" i="74"/>
  <c r="V82" i="74"/>
  <c r="Z82" i="74"/>
  <c r="AD66" i="74"/>
  <c r="U66" i="74"/>
  <c r="Y66" i="74"/>
  <c r="AC66" i="74"/>
  <c r="W66" i="74"/>
  <c r="AA66" i="74"/>
  <c r="T66" i="74"/>
  <c r="X66" i="74"/>
  <c r="AB66" i="74"/>
  <c r="V66" i="74"/>
  <c r="Z66" i="74"/>
  <c r="AD50" i="74"/>
  <c r="W50" i="74"/>
  <c r="AA50" i="74"/>
  <c r="U50" i="74"/>
  <c r="Y50" i="74"/>
  <c r="AC50" i="74"/>
  <c r="T50" i="74"/>
  <c r="X50" i="74"/>
  <c r="AB50" i="74"/>
  <c r="V50" i="74"/>
  <c r="Z50" i="74"/>
  <c r="AD36" i="74"/>
  <c r="W36" i="74"/>
  <c r="AA36" i="74"/>
  <c r="U36" i="74"/>
  <c r="AC36" i="74"/>
  <c r="Y36" i="74"/>
  <c r="T36" i="74"/>
  <c r="X36" i="74"/>
  <c r="AB36" i="74"/>
  <c r="V36" i="74"/>
  <c r="Z36" i="74"/>
  <c r="AD28" i="74"/>
  <c r="U28" i="74"/>
  <c r="Y28" i="74"/>
  <c r="AC28" i="74"/>
  <c r="W28" i="74"/>
  <c r="AA28" i="74"/>
  <c r="T28" i="74"/>
  <c r="X28" i="74"/>
  <c r="AB28" i="74"/>
  <c r="V28" i="74"/>
  <c r="Z28" i="74"/>
  <c r="AD20" i="74"/>
  <c r="W20" i="74"/>
  <c r="AA20" i="74"/>
  <c r="U20" i="74"/>
  <c r="Y20" i="74"/>
  <c r="AC20" i="74"/>
  <c r="T20" i="74"/>
  <c r="X20" i="74"/>
  <c r="AB20" i="74"/>
  <c r="V20" i="74"/>
  <c r="Z20" i="74"/>
  <c r="AD12" i="74"/>
  <c r="AC12" i="74"/>
  <c r="U12" i="74"/>
  <c r="W12" i="74"/>
  <c r="AA12" i="74"/>
  <c r="V12" i="74"/>
  <c r="Z12" i="74"/>
  <c r="Y12" i="74"/>
  <c r="T12" i="74"/>
  <c r="X12" i="74"/>
  <c r="AB12" i="74"/>
  <c r="AD21" i="74"/>
  <c r="U21" i="74"/>
  <c r="Y21" i="74"/>
  <c r="AC21" i="74"/>
  <c r="W21" i="74"/>
  <c r="AA21" i="74"/>
  <c r="T21" i="74"/>
  <c r="X21" i="74"/>
  <c r="AB21" i="74"/>
  <c r="Z21" i="74"/>
  <c r="V21" i="74"/>
  <c r="AD7" i="74"/>
  <c r="W7" i="74"/>
  <c r="AA7" i="74"/>
  <c r="U7" i="74"/>
  <c r="Y7" i="74"/>
  <c r="AC7" i="74"/>
  <c r="V7" i="74"/>
  <c r="Z7" i="74"/>
  <c r="T7" i="74"/>
  <c r="X7" i="74"/>
  <c r="AB7" i="74"/>
  <c r="AD81" i="74"/>
  <c r="U81" i="74"/>
  <c r="Y81" i="74"/>
  <c r="AC81" i="74"/>
  <c r="W81" i="74"/>
  <c r="AA81" i="74"/>
  <c r="T81" i="74"/>
  <c r="X81" i="74"/>
  <c r="AB81" i="74"/>
  <c r="V81" i="74"/>
  <c r="Z81" i="74"/>
  <c r="AD67" i="74"/>
  <c r="W67" i="74"/>
  <c r="AA67" i="74"/>
  <c r="U67" i="74"/>
  <c r="AC67" i="74"/>
  <c r="Y67" i="74"/>
  <c r="T67" i="74"/>
  <c r="X67" i="74"/>
  <c r="AB67" i="74"/>
  <c r="V67" i="74"/>
  <c r="Z67" i="74"/>
  <c r="AD55" i="74"/>
  <c r="W55" i="74"/>
  <c r="U55" i="74"/>
  <c r="AA55" i="74"/>
  <c r="Y55" i="74"/>
  <c r="AC55" i="74"/>
  <c r="T55" i="74"/>
  <c r="X55" i="74"/>
  <c r="AB55" i="74"/>
  <c r="V55" i="74"/>
  <c r="Z55" i="74"/>
  <c r="AD41" i="74"/>
  <c r="U41" i="74"/>
  <c r="Y41" i="74"/>
  <c r="AC41" i="74"/>
  <c r="W41" i="74"/>
  <c r="AA41" i="74"/>
  <c r="T41" i="74"/>
  <c r="X41" i="74"/>
  <c r="AB41" i="74"/>
  <c r="V41" i="74"/>
  <c r="Z41" i="74"/>
  <c r="AD33" i="74"/>
  <c r="U33" i="74"/>
  <c r="Y33" i="74"/>
  <c r="AC33" i="74"/>
  <c r="W33" i="74"/>
  <c r="AA33" i="74"/>
  <c r="T33" i="74"/>
  <c r="X33" i="74"/>
  <c r="AB33" i="74"/>
  <c r="V33" i="74"/>
  <c r="Z33" i="74"/>
  <c r="AD25" i="74"/>
  <c r="W25" i="74"/>
  <c r="AA25" i="74"/>
  <c r="U25" i="74"/>
  <c r="Y25" i="74"/>
  <c r="AC25" i="74"/>
  <c r="T25" i="74"/>
  <c r="X25" i="74"/>
  <c r="AB25" i="74"/>
  <c r="Z25" i="74"/>
  <c r="V25" i="74"/>
  <c r="AD9" i="74"/>
  <c r="W9" i="74"/>
  <c r="AA9" i="74"/>
  <c r="U9" i="74"/>
  <c r="Y9" i="74"/>
  <c r="AC9" i="74"/>
  <c r="V9" i="74"/>
  <c r="Z9" i="74"/>
  <c r="T9" i="74"/>
  <c r="X9" i="74"/>
  <c r="AB9" i="74"/>
  <c r="J75" i="74"/>
  <c r="B75" i="74"/>
  <c r="K75" i="74"/>
  <c r="F75" i="74"/>
  <c r="AE75" i="74"/>
  <c r="C75" i="74"/>
  <c r="G75" i="74"/>
  <c r="A75" i="74"/>
  <c r="E75" i="74"/>
  <c r="I75" i="74"/>
  <c r="D61" i="74"/>
  <c r="K61" i="74"/>
  <c r="F61" i="74"/>
  <c r="H61" i="74"/>
  <c r="J61" i="74"/>
  <c r="B61" i="74"/>
  <c r="AE61" i="74"/>
  <c r="C61" i="74"/>
  <c r="G61" i="74"/>
  <c r="A61" i="74"/>
  <c r="E61" i="74"/>
  <c r="I61" i="74"/>
  <c r="K49" i="74"/>
  <c r="B49" i="74"/>
  <c r="F49" i="74"/>
  <c r="J49" i="74"/>
  <c r="AE49" i="74"/>
  <c r="D49" i="74"/>
  <c r="H49" i="74"/>
  <c r="C49" i="74"/>
  <c r="G49" i="74"/>
  <c r="A49" i="74"/>
  <c r="E49" i="74"/>
  <c r="I49" i="74"/>
  <c r="B37" i="74"/>
  <c r="J37" i="74"/>
  <c r="F37" i="74"/>
  <c r="AE37" i="74"/>
  <c r="C37" i="74"/>
  <c r="G37" i="74"/>
  <c r="A37" i="74"/>
  <c r="E37" i="74"/>
  <c r="I37" i="74"/>
  <c r="K25" i="74"/>
  <c r="B25" i="74"/>
  <c r="F25" i="74"/>
  <c r="J25" i="74"/>
  <c r="AE25" i="74"/>
  <c r="D25" i="74"/>
  <c r="H25" i="74"/>
  <c r="C25" i="74"/>
  <c r="G25" i="74"/>
  <c r="A25" i="74"/>
  <c r="I25" i="74"/>
  <c r="E25" i="74"/>
  <c r="K8" i="74"/>
  <c r="D8" i="74"/>
  <c r="H8" i="74"/>
  <c r="B8" i="74"/>
  <c r="F8" i="74"/>
  <c r="J8" i="74"/>
  <c r="AE8" i="74"/>
  <c r="A8" i="74"/>
  <c r="E8" i="74"/>
  <c r="I8" i="74"/>
  <c r="C8" i="74"/>
  <c r="G8" i="74"/>
  <c r="K57" i="74"/>
  <c r="B57" i="74"/>
  <c r="F57" i="74"/>
  <c r="J57" i="74"/>
  <c r="AE57" i="74"/>
  <c r="D57" i="74"/>
  <c r="H57" i="74"/>
  <c r="C57" i="74"/>
  <c r="G57" i="74"/>
  <c r="A57" i="74"/>
  <c r="E57" i="74"/>
  <c r="I57" i="74"/>
  <c r="K36" i="74"/>
  <c r="B36" i="74"/>
  <c r="F36" i="74"/>
  <c r="J36" i="74"/>
  <c r="AE36" i="74"/>
  <c r="D36" i="74"/>
  <c r="H36" i="74"/>
  <c r="C36" i="74"/>
  <c r="G36" i="74"/>
  <c r="A36" i="74"/>
  <c r="E36" i="74"/>
  <c r="I36" i="74"/>
  <c r="K26" i="74"/>
  <c r="H26" i="74"/>
  <c r="D26" i="74"/>
  <c r="F26" i="74"/>
  <c r="B26" i="74"/>
  <c r="J26" i="74"/>
  <c r="AE26" i="74"/>
  <c r="C26" i="74"/>
  <c r="G26" i="74"/>
  <c r="E26" i="74"/>
  <c r="A26" i="74"/>
  <c r="I26" i="74"/>
  <c r="K13" i="74"/>
  <c r="F13" i="74"/>
  <c r="B13" i="74"/>
  <c r="H13" i="74"/>
  <c r="D13" i="74"/>
  <c r="J13" i="74"/>
  <c r="A13" i="74"/>
  <c r="E13" i="74"/>
  <c r="AE13" i="74"/>
  <c r="C13" i="74"/>
  <c r="G13" i="74"/>
  <c r="I13" i="74"/>
  <c r="K80" i="74"/>
  <c r="B80" i="74"/>
  <c r="F80" i="74"/>
  <c r="J80" i="74"/>
  <c r="AE80" i="74"/>
  <c r="D80" i="74"/>
  <c r="H80" i="74"/>
  <c r="C80" i="74"/>
  <c r="G80" i="74"/>
  <c r="A80" i="74"/>
  <c r="E80" i="74"/>
  <c r="I80" i="74"/>
  <c r="H42" i="74"/>
  <c r="D42" i="74"/>
  <c r="K42" i="74"/>
  <c r="F42" i="74"/>
  <c r="J42" i="74"/>
  <c r="B42" i="74"/>
  <c r="AE42" i="74"/>
  <c r="C42" i="74"/>
  <c r="G42" i="74"/>
  <c r="A42" i="74"/>
  <c r="E42" i="74"/>
  <c r="I42" i="74"/>
  <c r="AD84" i="74"/>
  <c r="W84" i="74"/>
  <c r="AA84" i="74"/>
  <c r="U84" i="74"/>
  <c r="Y84" i="74"/>
  <c r="AC84" i="74"/>
  <c r="T84" i="74"/>
  <c r="X84" i="74"/>
  <c r="AB84" i="74"/>
  <c r="V84" i="74"/>
  <c r="Z84" i="74"/>
  <c r="AD72" i="74"/>
  <c r="U72" i="74"/>
  <c r="Y72" i="74"/>
  <c r="AC72" i="74"/>
  <c r="W72" i="74"/>
  <c r="AA72" i="74"/>
  <c r="T72" i="74"/>
  <c r="X72" i="74"/>
  <c r="AB72" i="74"/>
  <c r="V72" i="74"/>
  <c r="Z72" i="74"/>
  <c r="AD52" i="74"/>
  <c r="W52" i="74"/>
  <c r="AA52" i="74"/>
  <c r="U52" i="74"/>
  <c r="Y52" i="74"/>
  <c r="AC52" i="74"/>
  <c r="T52" i="74"/>
  <c r="X52" i="74"/>
  <c r="AB52" i="74"/>
  <c r="V52" i="74"/>
  <c r="Z52" i="74"/>
  <c r="AD38" i="74"/>
  <c r="U38" i="74"/>
  <c r="AA38" i="74"/>
  <c r="Y38" i="74"/>
  <c r="AC38" i="74"/>
  <c r="W38" i="74"/>
  <c r="T38" i="74"/>
  <c r="X38" i="74"/>
  <c r="AB38" i="74"/>
  <c r="V38" i="74"/>
  <c r="Z38" i="74"/>
  <c r="AD30" i="74"/>
  <c r="W30" i="74"/>
  <c r="AA30" i="74"/>
  <c r="U30" i="74"/>
  <c r="Y30" i="74"/>
  <c r="AC30" i="74"/>
  <c r="T30" i="74"/>
  <c r="X30" i="74"/>
  <c r="AB30" i="74"/>
  <c r="V30" i="74"/>
  <c r="Z30" i="74"/>
  <c r="AD22" i="74"/>
  <c r="W22" i="74"/>
  <c r="AC22" i="74"/>
  <c r="Y22" i="74"/>
  <c r="U22" i="74"/>
  <c r="AA22" i="74"/>
  <c r="T22" i="74"/>
  <c r="X22" i="74"/>
  <c r="AB22" i="74"/>
  <c r="V22" i="74"/>
  <c r="Z22" i="74"/>
  <c r="AD14" i="74"/>
  <c r="AA14" i="74"/>
  <c r="W14" i="74"/>
  <c r="U14" i="74"/>
  <c r="AC14" i="74"/>
  <c r="Y14" i="74"/>
  <c r="T14" i="74"/>
  <c r="X14" i="74"/>
  <c r="AB14" i="74"/>
  <c r="V14" i="74"/>
  <c r="Z14" i="74"/>
  <c r="AD6" i="74"/>
  <c r="U6" i="74"/>
  <c r="Y6" i="74"/>
  <c r="AC6" i="74"/>
  <c r="W6" i="74"/>
  <c r="AA6" i="74"/>
  <c r="V6" i="74"/>
  <c r="Z6" i="74"/>
  <c r="T6" i="74"/>
  <c r="X6" i="74"/>
  <c r="AB6" i="74"/>
  <c r="AD11" i="74"/>
  <c r="W11" i="74"/>
  <c r="AA11" i="74"/>
  <c r="U11" i="74"/>
  <c r="Y11" i="74"/>
  <c r="AC11" i="74"/>
  <c r="V11" i="74"/>
  <c r="Z11" i="74"/>
  <c r="T11" i="74"/>
  <c r="X11" i="74"/>
  <c r="AB11" i="74"/>
  <c r="AD83" i="74"/>
  <c r="U83" i="74"/>
  <c r="Y83" i="74"/>
  <c r="AC83" i="74"/>
  <c r="W83" i="74"/>
  <c r="AA83" i="74"/>
  <c r="T83" i="74"/>
  <c r="X83" i="74"/>
  <c r="AB83" i="74"/>
  <c r="V83" i="74"/>
  <c r="Z83" i="74"/>
  <c r="AD69" i="74"/>
  <c r="W69" i="74"/>
  <c r="AA69" i="74"/>
  <c r="U69" i="74"/>
  <c r="Y69" i="74"/>
  <c r="AC69" i="74"/>
  <c r="T69" i="74"/>
  <c r="X69" i="74"/>
  <c r="AB69" i="74"/>
  <c r="V69" i="74"/>
  <c r="Z69" i="74"/>
  <c r="AD57" i="74"/>
  <c r="W57" i="74"/>
  <c r="AA57" i="74"/>
  <c r="U57" i="74"/>
  <c r="Y57" i="74"/>
  <c r="AC57" i="74"/>
  <c r="T57" i="74"/>
  <c r="X57" i="74"/>
  <c r="AB57" i="74"/>
  <c r="V57" i="74"/>
  <c r="Z57" i="74"/>
  <c r="AD47" i="74"/>
  <c r="W47" i="74"/>
  <c r="AA47" i="74"/>
  <c r="U47" i="74"/>
  <c r="Y47" i="74"/>
  <c r="AC47" i="74"/>
  <c r="T47" i="74"/>
  <c r="X47" i="74"/>
  <c r="AB47" i="74"/>
  <c r="V47" i="74"/>
  <c r="Z47" i="74"/>
  <c r="AD35" i="74"/>
  <c r="U35" i="74"/>
  <c r="Y35" i="74"/>
  <c r="AC35" i="74"/>
  <c r="W35" i="74"/>
  <c r="AA35" i="74"/>
  <c r="T35" i="74"/>
  <c r="X35" i="74"/>
  <c r="AB35" i="74"/>
  <c r="V35" i="74"/>
  <c r="Z35" i="74"/>
  <c r="AD27" i="74"/>
  <c r="W27" i="74"/>
  <c r="AA27" i="74"/>
  <c r="U27" i="74"/>
  <c r="Y27" i="74"/>
  <c r="AC27" i="74"/>
  <c r="T27" i="74"/>
  <c r="X27" i="74"/>
  <c r="AB27" i="74"/>
  <c r="Z27" i="74"/>
  <c r="V27" i="74"/>
  <c r="AD15" i="74"/>
  <c r="W15" i="74"/>
  <c r="AA15" i="74"/>
  <c r="U15" i="74"/>
  <c r="Y15" i="74"/>
  <c r="AC15" i="74"/>
  <c r="T15" i="74"/>
  <c r="X15" i="74"/>
  <c r="AB15" i="74"/>
  <c r="Z15" i="74"/>
  <c r="V15" i="74"/>
  <c r="AC5" i="75"/>
  <c r="V5" i="75"/>
  <c r="Z5" i="75"/>
  <c r="T5" i="75"/>
  <c r="X5" i="75"/>
  <c r="AB5" i="75"/>
  <c r="S5" i="75"/>
  <c r="W5" i="75"/>
  <c r="AA5" i="75"/>
  <c r="U5" i="75"/>
  <c r="Y5" i="75"/>
  <c r="Q7" i="75"/>
  <c r="J7" i="75"/>
  <c r="N7" i="75"/>
  <c r="H7" i="75"/>
  <c r="L7" i="75"/>
  <c r="P7" i="75"/>
  <c r="I7" i="75"/>
  <c r="M7" i="75"/>
  <c r="G7" i="75"/>
  <c r="K7" i="75"/>
  <c r="O7" i="75"/>
  <c r="AC9" i="75"/>
  <c r="T9" i="75"/>
  <c r="X9" i="75"/>
  <c r="AB9" i="75"/>
  <c r="V9" i="75"/>
  <c r="Z9" i="75"/>
  <c r="S9" i="75"/>
  <c r="W9" i="75"/>
  <c r="AA9" i="75"/>
  <c r="U9" i="75"/>
  <c r="Y9" i="75"/>
  <c r="Q11" i="75"/>
  <c r="J11" i="75"/>
  <c r="N11" i="75"/>
  <c r="H11" i="75"/>
  <c r="L11" i="75"/>
  <c r="P11" i="75"/>
  <c r="I11" i="75"/>
  <c r="M11" i="75"/>
  <c r="G11" i="75"/>
  <c r="K11" i="75"/>
  <c r="O11" i="75"/>
  <c r="AC13" i="75"/>
  <c r="T13" i="75"/>
  <c r="X13" i="75"/>
  <c r="AB13" i="75"/>
  <c r="V13" i="75"/>
  <c r="Z13" i="75"/>
  <c r="S13" i="75"/>
  <c r="W13" i="75"/>
  <c r="AA13" i="75"/>
  <c r="U13" i="75"/>
  <c r="Y13" i="75"/>
  <c r="Q15" i="75"/>
  <c r="J15" i="75"/>
  <c r="N15" i="75"/>
  <c r="H15" i="75"/>
  <c r="L15" i="75"/>
  <c r="P15" i="75"/>
  <c r="I15" i="75"/>
  <c r="M15" i="75"/>
  <c r="G15" i="75"/>
  <c r="K15" i="75"/>
  <c r="O15" i="75"/>
  <c r="AC17" i="75"/>
  <c r="T17" i="75"/>
  <c r="X17" i="75"/>
  <c r="AB17" i="75"/>
  <c r="V17" i="75"/>
  <c r="Z17" i="75"/>
  <c r="S17" i="75"/>
  <c r="W17" i="75"/>
  <c r="AA17" i="75"/>
  <c r="U17" i="75"/>
  <c r="Y17" i="75"/>
  <c r="Q19" i="75"/>
  <c r="J19" i="75"/>
  <c r="N19" i="75"/>
  <c r="H19" i="75"/>
  <c r="L19" i="75"/>
  <c r="P19" i="75"/>
  <c r="I19" i="75"/>
  <c r="M19" i="75"/>
  <c r="G19" i="75"/>
  <c r="K19" i="75"/>
  <c r="O19" i="75"/>
  <c r="AC21" i="75"/>
  <c r="T21" i="75"/>
  <c r="X21" i="75"/>
  <c r="AB21" i="75"/>
  <c r="V21" i="75"/>
  <c r="Z21" i="75"/>
  <c r="S21" i="75"/>
  <c r="W21" i="75"/>
  <c r="AA21" i="75"/>
  <c r="U21" i="75"/>
  <c r="Y21" i="75"/>
  <c r="Q23" i="75"/>
  <c r="J23" i="75"/>
  <c r="N23" i="75"/>
  <c r="H23" i="75"/>
  <c r="L23" i="75"/>
  <c r="P23" i="75"/>
  <c r="I23" i="75"/>
  <c r="M23" i="75"/>
  <c r="G23" i="75"/>
  <c r="K23" i="75"/>
  <c r="O23" i="75"/>
  <c r="AC25" i="75"/>
  <c r="T25" i="75"/>
  <c r="X25" i="75"/>
  <c r="AB25" i="75"/>
  <c r="V25" i="75"/>
  <c r="Z25" i="75"/>
  <c r="S25" i="75"/>
  <c r="W25" i="75"/>
  <c r="AA25" i="75"/>
  <c r="U25" i="75"/>
  <c r="Y25" i="75"/>
  <c r="Q27" i="75"/>
  <c r="J27" i="75"/>
  <c r="N27" i="75"/>
  <c r="H27" i="75"/>
  <c r="L27" i="75"/>
  <c r="P27" i="75"/>
  <c r="I27" i="75"/>
  <c r="M27" i="75"/>
  <c r="G27" i="75"/>
  <c r="K27" i="75"/>
  <c r="O27" i="75"/>
  <c r="Q5" i="75"/>
  <c r="H5" i="75"/>
  <c r="L5" i="75"/>
  <c r="P5" i="75"/>
  <c r="AD5" i="75"/>
  <c r="AE7" i="75" s="1"/>
  <c r="AE8" i="75" s="1"/>
  <c r="J5" i="75"/>
  <c r="N5" i="75"/>
  <c r="I5" i="75"/>
  <c r="M5" i="75"/>
  <c r="G5" i="75"/>
  <c r="K5" i="75"/>
  <c r="O5" i="75"/>
  <c r="AC7" i="75"/>
  <c r="T7" i="75"/>
  <c r="X7" i="75"/>
  <c r="AB7" i="75"/>
  <c r="V7" i="75"/>
  <c r="Z7" i="75"/>
  <c r="S7" i="75"/>
  <c r="W7" i="75"/>
  <c r="AA7" i="75"/>
  <c r="U7" i="75"/>
  <c r="Y7" i="75"/>
  <c r="Q9" i="75"/>
  <c r="J9" i="75"/>
  <c r="N9" i="75"/>
  <c r="H9" i="75"/>
  <c r="L9" i="75"/>
  <c r="P9" i="75"/>
  <c r="I9" i="75"/>
  <c r="M9" i="75"/>
  <c r="G9" i="75"/>
  <c r="K9" i="75"/>
  <c r="O9" i="75"/>
  <c r="AC11" i="75"/>
  <c r="T11" i="75"/>
  <c r="X11" i="75"/>
  <c r="AB11" i="75"/>
  <c r="V11" i="75"/>
  <c r="Z11" i="75"/>
  <c r="S11" i="75"/>
  <c r="W11" i="75"/>
  <c r="AA11" i="75"/>
  <c r="U11" i="75"/>
  <c r="Y11" i="75"/>
  <c r="Q13" i="75"/>
  <c r="J13" i="75"/>
  <c r="N13" i="75"/>
  <c r="H13" i="75"/>
  <c r="L13" i="75"/>
  <c r="P13" i="75"/>
  <c r="I13" i="75"/>
  <c r="M13" i="75"/>
  <c r="G13" i="75"/>
  <c r="K13" i="75"/>
  <c r="O13" i="75"/>
  <c r="AC15" i="75"/>
  <c r="T15" i="75"/>
  <c r="X15" i="75"/>
  <c r="AB15" i="75"/>
  <c r="V15" i="75"/>
  <c r="Z15" i="75"/>
  <c r="S15" i="75"/>
  <c r="W15" i="75"/>
  <c r="AA15" i="75"/>
  <c r="U15" i="75"/>
  <c r="Y15" i="75"/>
  <c r="Q17" i="75"/>
  <c r="J17" i="75"/>
  <c r="N17" i="75"/>
  <c r="H17" i="75"/>
  <c r="L17" i="75"/>
  <c r="P17" i="75"/>
  <c r="I17" i="75"/>
  <c r="M17" i="75"/>
  <c r="G17" i="75"/>
  <c r="K17" i="75"/>
  <c r="O17" i="75"/>
  <c r="AC19" i="75"/>
  <c r="T19" i="75"/>
  <c r="X19" i="75"/>
  <c r="AB19" i="75"/>
  <c r="V19" i="75"/>
  <c r="Z19" i="75"/>
  <c r="S19" i="75"/>
  <c r="W19" i="75"/>
  <c r="AA19" i="75"/>
  <c r="U19" i="75"/>
  <c r="Y19" i="75"/>
  <c r="Q21" i="75"/>
  <c r="J21" i="75"/>
  <c r="N21" i="75"/>
  <c r="H21" i="75"/>
  <c r="L21" i="75"/>
  <c r="P21" i="75"/>
  <c r="I21" i="75"/>
  <c r="M21" i="75"/>
  <c r="G21" i="75"/>
  <c r="K21" i="75"/>
  <c r="O21" i="75"/>
  <c r="AC23" i="75"/>
  <c r="T23" i="75"/>
  <c r="X23" i="75"/>
  <c r="AB23" i="75"/>
  <c r="V23" i="75"/>
  <c r="Z23" i="75"/>
  <c r="S23" i="75"/>
  <c r="W23" i="75"/>
  <c r="AA23" i="75"/>
  <c r="U23" i="75"/>
  <c r="Y23" i="75"/>
  <c r="Q25" i="75"/>
  <c r="J25" i="75"/>
  <c r="N25" i="75"/>
  <c r="H25" i="75"/>
  <c r="L25" i="75"/>
  <c r="P25" i="75"/>
  <c r="I25" i="75"/>
  <c r="M25" i="75"/>
  <c r="G25" i="75"/>
  <c r="K25" i="75"/>
  <c r="O25" i="75"/>
  <c r="AC27" i="75"/>
  <c r="T27" i="75"/>
  <c r="X27" i="75"/>
  <c r="AB27" i="75"/>
  <c r="V27" i="75"/>
  <c r="Z27" i="75"/>
  <c r="S27" i="75"/>
  <c r="W27" i="75"/>
  <c r="AA27" i="75"/>
  <c r="U27" i="75"/>
  <c r="Y27" i="75"/>
  <c r="AE92" i="74"/>
  <c r="A92" i="74"/>
  <c r="E92" i="74"/>
  <c r="I92" i="74"/>
  <c r="C92" i="74"/>
  <c r="G92" i="74"/>
  <c r="K89" i="74"/>
  <c r="B89" i="74"/>
  <c r="F89" i="74"/>
  <c r="J89" i="74"/>
  <c r="AE89" i="74"/>
  <c r="D89" i="74"/>
  <c r="H89" i="74"/>
  <c r="C89" i="74"/>
  <c r="G89" i="74"/>
  <c r="A89" i="74"/>
  <c r="E89" i="74"/>
  <c r="I89" i="74"/>
  <c r="K83" i="74"/>
  <c r="D83" i="74"/>
  <c r="H83" i="74"/>
  <c r="B83" i="74"/>
  <c r="F83" i="74"/>
  <c r="J83" i="74"/>
  <c r="AE83" i="74"/>
  <c r="C83" i="74"/>
  <c r="G83" i="74"/>
  <c r="A83" i="74"/>
  <c r="E83" i="74"/>
  <c r="I83" i="74"/>
  <c r="AD76" i="74"/>
  <c r="W76" i="74"/>
  <c r="AA76" i="74"/>
  <c r="Y76" i="74"/>
  <c r="U76" i="74"/>
  <c r="AC76" i="74"/>
  <c r="T76" i="74"/>
  <c r="X76" i="74"/>
  <c r="AB76" i="74"/>
  <c r="V76" i="74"/>
  <c r="Z76" i="74"/>
  <c r="AD71" i="74"/>
  <c r="W71" i="74"/>
  <c r="AA71" i="74"/>
  <c r="Y71" i="74"/>
  <c r="AC71" i="74"/>
  <c r="U71" i="74"/>
  <c r="T71" i="74"/>
  <c r="X71" i="74"/>
  <c r="AB71" i="74"/>
  <c r="V71" i="74"/>
  <c r="Z71" i="74"/>
  <c r="AD63" i="74"/>
  <c r="W63" i="74"/>
  <c r="AA63" i="74"/>
  <c r="Y63" i="74"/>
  <c r="AC63" i="74"/>
  <c r="U63" i="74"/>
  <c r="T63" i="74"/>
  <c r="X63" i="74"/>
  <c r="AB63" i="74"/>
  <c r="V63" i="74"/>
  <c r="Z63" i="74"/>
  <c r="K58" i="74"/>
  <c r="D58" i="74"/>
  <c r="H58" i="74"/>
  <c r="B58" i="74"/>
  <c r="F58" i="74"/>
  <c r="J58" i="74"/>
  <c r="AE58" i="74"/>
  <c r="C58" i="74"/>
  <c r="G58" i="74"/>
  <c r="A58" i="74"/>
  <c r="E58" i="74"/>
  <c r="I58" i="74"/>
  <c r="AD51" i="74"/>
  <c r="U51" i="74"/>
  <c r="Y51" i="74"/>
  <c r="AC51" i="74"/>
  <c r="W51" i="74"/>
  <c r="AA51" i="74"/>
  <c r="T51" i="74"/>
  <c r="X51" i="74"/>
  <c r="AB51" i="74"/>
  <c r="V51" i="74"/>
  <c r="Z51" i="74"/>
  <c r="AE38" i="74"/>
  <c r="J38" i="74"/>
  <c r="C38" i="74"/>
  <c r="G38" i="74"/>
  <c r="A38" i="74"/>
  <c r="E38" i="74"/>
  <c r="I38" i="74"/>
  <c r="K21" i="74"/>
  <c r="D21" i="74"/>
  <c r="H21" i="74"/>
  <c r="B21" i="74"/>
  <c r="F21" i="74"/>
  <c r="J21" i="74"/>
  <c r="AE21" i="74"/>
  <c r="C21" i="74"/>
  <c r="G21" i="74"/>
  <c r="A21" i="74"/>
  <c r="I21" i="74"/>
  <c r="E21" i="74"/>
  <c r="K11" i="74"/>
  <c r="B11" i="74"/>
  <c r="F11" i="74"/>
  <c r="J11" i="74"/>
  <c r="AE11" i="74"/>
  <c r="D11" i="74"/>
  <c r="H11" i="74"/>
  <c r="A11" i="74"/>
  <c r="E11" i="74"/>
  <c r="I11" i="74"/>
  <c r="C11" i="74"/>
  <c r="G11" i="74"/>
  <c r="J79" i="74"/>
  <c r="H79" i="74"/>
  <c r="AE79" i="74"/>
  <c r="C79" i="74"/>
  <c r="G79" i="74"/>
  <c r="A79" i="74"/>
  <c r="E79" i="74"/>
  <c r="I79" i="74"/>
  <c r="K68" i="74"/>
  <c r="D68" i="74"/>
  <c r="H68" i="74"/>
  <c r="B68" i="74"/>
  <c r="F68" i="74"/>
  <c r="J68" i="74"/>
  <c r="AE68" i="74"/>
  <c r="C68" i="74"/>
  <c r="G68" i="74"/>
  <c r="A68" i="74"/>
  <c r="E68" i="74"/>
  <c r="I68" i="74"/>
  <c r="AD48" i="74"/>
  <c r="U48" i="74"/>
  <c r="Y48" i="74"/>
  <c r="AC48" i="74"/>
  <c r="W48" i="74"/>
  <c r="AA48" i="74"/>
  <c r="T48" i="74"/>
  <c r="X48" i="74"/>
  <c r="AB48" i="74"/>
  <c r="V48" i="74"/>
  <c r="Z48" i="74"/>
  <c r="AD93" i="74"/>
  <c r="W93" i="74"/>
  <c r="AA93" i="74"/>
  <c r="U93" i="74"/>
  <c r="Y93" i="74"/>
  <c r="AC93" i="74"/>
  <c r="V93" i="74"/>
  <c r="Z93" i="74"/>
  <c r="X93" i="74"/>
  <c r="T93" i="74"/>
  <c r="AB93" i="74"/>
  <c r="AD91" i="74"/>
  <c r="W91" i="74"/>
  <c r="AA91" i="74"/>
  <c r="U91" i="74"/>
  <c r="Y91" i="74"/>
  <c r="AC91" i="74"/>
  <c r="T91" i="74"/>
  <c r="V91" i="74"/>
  <c r="Z91" i="74"/>
  <c r="X91" i="74"/>
  <c r="AB91" i="74"/>
  <c r="K81" i="74"/>
  <c r="D81" i="74"/>
  <c r="H81" i="74"/>
  <c r="B81" i="74"/>
  <c r="F81" i="74"/>
  <c r="J81" i="74"/>
  <c r="AE81" i="74"/>
  <c r="C81" i="74"/>
  <c r="G81" i="74"/>
  <c r="A81" i="74"/>
  <c r="E81" i="74"/>
  <c r="I81" i="74"/>
  <c r="F76" i="74"/>
  <c r="J76" i="74"/>
  <c r="AE76" i="74"/>
  <c r="H76" i="74"/>
  <c r="C76" i="74"/>
  <c r="G76" i="74"/>
  <c r="A76" i="74"/>
  <c r="E76" i="74"/>
  <c r="I76" i="74"/>
  <c r="H71" i="74"/>
  <c r="AE71" i="74"/>
  <c r="J71" i="74"/>
  <c r="C71" i="74"/>
  <c r="G71" i="74"/>
  <c r="A71" i="74"/>
  <c r="E71" i="74"/>
  <c r="I71" i="74"/>
  <c r="AE63" i="74"/>
  <c r="C63" i="74"/>
  <c r="G63" i="74"/>
  <c r="A63" i="74"/>
  <c r="E63" i="74"/>
  <c r="I63" i="74"/>
  <c r="AD58" i="74"/>
  <c r="U58" i="74"/>
  <c r="Y58" i="74"/>
  <c r="AC58" i="74"/>
  <c r="W58" i="74"/>
  <c r="AA58" i="74"/>
  <c r="T58" i="74"/>
  <c r="X58" i="74"/>
  <c r="AB58" i="74"/>
  <c r="V58" i="74"/>
  <c r="Z58" i="74"/>
  <c r="K51" i="74"/>
  <c r="D51" i="74"/>
  <c r="H51" i="74"/>
  <c r="B51" i="74"/>
  <c r="F51" i="74"/>
  <c r="J51" i="74"/>
  <c r="AE51" i="74"/>
  <c r="C51" i="74"/>
  <c r="G51" i="74"/>
  <c r="A51" i="74"/>
  <c r="E51" i="74"/>
  <c r="I51" i="74"/>
  <c r="K33" i="74"/>
  <c r="D33" i="74"/>
  <c r="H33" i="74"/>
  <c r="B33" i="74"/>
  <c r="F33" i="74"/>
  <c r="J33" i="74"/>
  <c r="AE33" i="74"/>
  <c r="C33" i="74"/>
  <c r="G33" i="74"/>
  <c r="A33" i="74"/>
  <c r="I33" i="74"/>
  <c r="E33" i="74"/>
  <c r="K27" i="74"/>
  <c r="B27" i="74"/>
  <c r="F27" i="74"/>
  <c r="J27" i="74"/>
  <c r="AE27" i="74"/>
  <c r="D27" i="74"/>
  <c r="H27" i="74"/>
  <c r="C27" i="74"/>
  <c r="G27" i="74"/>
  <c r="A27" i="74"/>
  <c r="I27" i="74"/>
  <c r="E27" i="74"/>
  <c r="J22" i="74"/>
  <c r="AE22" i="74"/>
  <c r="H22" i="74"/>
  <c r="C22" i="74"/>
  <c r="G22" i="74"/>
  <c r="E22" i="74"/>
  <c r="A22" i="74"/>
  <c r="I22" i="74"/>
  <c r="K16" i="74"/>
  <c r="D16" i="74"/>
  <c r="H16" i="74"/>
  <c r="B16" i="74"/>
  <c r="F16" i="74"/>
  <c r="J16" i="74"/>
  <c r="AE16" i="74"/>
  <c r="C16" i="74"/>
  <c r="G16" i="74"/>
  <c r="E16" i="74"/>
  <c r="A16" i="74"/>
  <c r="I16" i="74"/>
  <c r="K9" i="74"/>
  <c r="B9" i="74"/>
  <c r="F9" i="74"/>
  <c r="J9" i="74"/>
  <c r="AE9" i="74"/>
  <c r="D9" i="74"/>
  <c r="H9" i="74"/>
  <c r="A9" i="74"/>
  <c r="E9" i="74"/>
  <c r="I9" i="74"/>
  <c r="C9" i="74"/>
  <c r="G9" i="74"/>
  <c r="AD79" i="74"/>
  <c r="W79" i="74"/>
  <c r="AC79" i="74"/>
  <c r="Y79" i="74"/>
  <c r="U79" i="74"/>
  <c r="AA79" i="74"/>
  <c r="T79" i="74"/>
  <c r="X79" i="74"/>
  <c r="AB79" i="74"/>
  <c r="V79" i="74"/>
  <c r="Z79" i="74"/>
  <c r="AD68" i="74"/>
  <c r="U68" i="74"/>
  <c r="Y68" i="74"/>
  <c r="AC68" i="74"/>
  <c r="W68" i="74"/>
  <c r="AA68" i="74"/>
  <c r="T68" i="74"/>
  <c r="X68" i="74"/>
  <c r="AB68" i="74"/>
  <c r="V68" i="74"/>
  <c r="Z68" i="74"/>
  <c r="AD46" i="74"/>
  <c r="W46" i="74"/>
  <c r="AC46" i="74"/>
  <c r="AA46" i="74"/>
  <c r="Y46" i="74"/>
  <c r="U46" i="74"/>
  <c r="T46" i="74"/>
  <c r="X46" i="74"/>
  <c r="AB46" i="74"/>
  <c r="V46" i="74"/>
  <c r="Z46" i="74"/>
  <c r="K88" i="74"/>
  <c r="D88" i="74"/>
  <c r="H88" i="74"/>
  <c r="B88" i="74"/>
  <c r="F88" i="74"/>
  <c r="J88" i="74"/>
  <c r="AE88" i="74"/>
  <c r="C88" i="74"/>
  <c r="G88" i="74"/>
  <c r="A88" i="74"/>
  <c r="E88" i="74"/>
  <c r="I88" i="74"/>
  <c r="AE46" i="74"/>
  <c r="C46" i="74"/>
  <c r="G46" i="74"/>
  <c r="A46" i="74"/>
  <c r="E46" i="74"/>
  <c r="I46" i="74"/>
  <c r="K43" i="74"/>
  <c r="D43" i="74"/>
  <c r="H43" i="74"/>
  <c r="B43" i="74"/>
  <c r="F43" i="74"/>
  <c r="J43" i="74"/>
  <c r="AE43" i="74"/>
  <c r="C43" i="74"/>
  <c r="G43" i="74"/>
  <c r="A43" i="74"/>
  <c r="E43" i="74"/>
  <c r="I43" i="74"/>
  <c r="K87" i="74"/>
  <c r="B87" i="74"/>
  <c r="F87" i="74"/>
  <c r="J87" i="74"/>
  <c r="H87" i="74"/>
  <c r="AE87" i="74"/>
  <c r="D87" i="74"/>
  <c r="C87" i="74"/>
  <c r="G87" i="74"/>
  <c r="A87" i="74"/>
  <c r="E87" i="74"/>
  <c r="I87" i="74"/>
  <c r="K74" i="74"/>
  <c r="B74" i="74"/>
  <c r="F74" i="74"/>
  <c r="J74" i="74"/>
  <c r="AE74" i="74"/>
  <c r="H74" i="74"/>
  <c r="D74" i="74"/>
  <c r="C74" i="74"/>
  <c r="G74" i="74"/>
  <c r="A74" i="74"/>
  <c r="E74" i="74"/>
  <c r="I74" i="74"/>
  <c r="D50" i="74"/>
  <c r="J50" i="74"/>
  <c r="B50" i="74"/>
  <c r="K50" i="74"/>
  <c r="H50" i="74"/>
  <c r="F50" i="74"/>
  <c r="AE50" i="74"/>
  <c r="C50" i="74"/>
  <c r="G50" i="74"/>
  <c r="A50" i="74"/>
  <c r="E50" i="74"/>
  <c r="I50" i="74"/>
  <c r="K39" i="74"/>
  <c r="D39" i="74"/>
  <c r="H39" i="74"/>
  <c r="B39" i="74"/>
  <c r="F39" i="74"/>
  <c r="J39" i="74"/>
  <c r="AE39" i="74"/>
  <c r="C39" i="74"/>
  <c r="G39" i="74"/>
  <c r="A39" i="74"/>
  <c r="E39" i="74"/>
  <c r="I39" i="74"/>
  <c r="D23" i="74"/>
  <c r="F23" i="74"/>
  <c r="J23" i="74"/>
  <c r="AE23" i="74"/>
  <c r="H23" i="74"/>
  <c r="C23" i="74"/>
  <c r="G23" i="74"/>
  <c r="A23" i="74"/>
  <c r="I23" i="74"/>
  <c r="E23" i="74"/>
  <c r="K10" i="74"/>
  <c r="D10" i="74"/>
  <c r="H10" i="74"/>
  <c r="B10" i="74"/>
  <c r="F10" i="74"/>
  <c r="J10" i="74"/>
  <c r="AE10" i="74"/>
  <c r="A10" i="74"/>
  <c r="E10" i="74"/>
  <c r="I10" i="74"/>
  <c r="C10" i="74"/>
  <c r="G10" i="74"/>
  <c r="K69" i="74"/>
  <c r="B69" i="74"/>
  <c r="F69" i="74"/>
  <c r="J69" i="74"/>
  <c r="AE69" i="74"/>
  <c r="D69" i="74"/>
  <c r="H69" i="74"/>
  <c r="C69" i="74"/>
  <c r="G69" i="74"/>
  <c r="A69" i="74"/>
  <c r="E69" i="74"/>
  <c r="I69" i="74"/>
  <c r="K55" i="74"/>
  <c r="D55" i="74"/>
  <c r="B55" i="74"/>
  <c r="H55" i="74"/>
  <c r="AE55" i="74"/>
  <c r="F55" i="74"/>
  <c r="J55" i="74"/>
  <c r="C55" i="74"/>
  <c r="G55" i="74"/>
  <c r="A55" i="74"/>
  <c r="E55" i="74"/>
  <c r="I55" i="74"/>
  <c r="K28" i="74"/>
  <c r="D28" i="74"/>
  <c r="H28" i="74"/>
  <c r="B28" i="74"/>
  <c r="F28" i="74"/>
  <c r="J28" i="74"/>
  <c r="AE28" i="74"/>
  <c r="C28" i="74"/>
  <c r="G28" i="74"/>
  <c r="E28" i="74"/>
  <c r="A28" i="74"/>
  <c r="I28" i="74"/>
  <c r="K82" i="74"/>
  <c r="B82" i="74"/>
  <c r="F82" i="74"/>
  <c r="J82" i="74"/>
  <c r="AE82" i="74"/>
  <c r="D82" i="74"/>
  <c r="H82" i="74"/>
  <c r="C82" i="74"/>
  <c r="G82" i="74"/>
  <c r="A82" i="74"/>
  <c r="E82" i="74"/>
  <c r="I82" i="74"/>
  <c r="K44" i="74"/>
  <c r="B44" i="74"/>
  <c r="F44" i="74"/>
  <c r="J44" i="74"/>
  <c r="AE44" i="74"/>
  <c r="D44" i="74"/>
  <c r="H44" i="74"/>
  <c r="C44" i="74"/>
  <c r="G44" i="74"/>
  <c r="A44" i="74"/>
  <c r="E44" i="74"/>
  <c r="I44" i="74"/>
  <c r="AD86" i="74"/>
  <c r="U86" i="74"/>
  <c r="Y86" i="74"/>
  <c r="AC86" i="74"/>
  <c r="W86" i="74"/>
  <c r="AA86" i="74"/>
  <c r="T86" i="74"/>
  <c r="X86" i="74"/>
  <c r="AB86" i="74"/>
  <c r="V86" i="74"/>
  <c r="Z86" i="74"/>
  <c r="AD74" i="74"/>
  <c r="W74" i="74"/>
  <c r="AA74" i="74"/>
  <c r="Y74" i="74"/>
  <c r="U74" i="74"/>
  <c r="AC74" i="74"/>
  <c r="T74" i="74"/>
  <c r="X74" i="74"/>
  <c r="AB74" i="74"/>
  <c r="V74" i="74"/>
  <c r="Z74" i="74"/>
  <c r="AD60" i="74"/>
  <c r="W60" i="74"/>
  <c r="AA60" i="74"/>
  <c r="U60" i="74"/>
  <c r="Y60" i="74"/>
  <c r="AC60" i="74"/>
  <c r="T60" i="74"/>
  <c r="X60" i="74"/>
  <c r="AB60" i="74"/>
  <c r="V60" i="74"/>
  <c r="Z60" i="74"/>
  <c r="AD42" i="74"/>
  <c r="U42" i="74"/>
  <c r="AA42" i="74"/>
  <c r="W42" i="74"/>
  <c r="AC42" i="74"/>
  <c r="Y42" i="74"/>
  <c r="T42" i="74"/>
  <c r="X42" i="74"/>
  <c r="AB42" i="74"/>
  <c r="V42" i="74"/>
  <c r="Z42" i="74"/>
  <c r="AD32" i="74"/>
  <c r="W32" i="74"/>
  <c r="AA32" i="74"/>
  <c r="Y32" i="74"/>
  <c r="AC32" i="74"/>
  <c r="U32" i="74"/>
  <c r="T32" i="74"/>
  <c r="X32" i="74"/>
  <c r="AB32" i="74"/>
  <c r="V32" i="74"/>
  <c r="Z32" i="74"/>
  <c r="AD24" i="74"/>
  <c r="U24" i="74"/>
  <c r="Y24" i="74"/>
  <c r="AC24" i="74"/>
  <c r="W24" i="74"/>
  <c r="AA24" i="74"/>
  <c r="T24" i="74"/>
  <c r="X24" i="74"/>
  <c r="AB24" i="74"/>
  <c r="V24" i="74"/>
  <c r="Z24" i="74"/>
  <c r="AD16" i="74"/>
  <c r="U16" i="74"/>
  <c r="Y16" i="74"/>
  <c r="AC16" i="74"/>
  <c r="W16" i="74"/>
  <c r="AA16" i="74"/>
  <c r="T16" i="74"/>
  <c r="X16" i="74"/>
  <c r="AB16" i="74"/>
  <c r="V16" i="74"/>
  <c r="Z16" i="74"/>
  <c r="AD8" i="74"/>
  <c r="U8" i="74"/>
  <c r="Y8" i="74"/>
  <c r="AC8" i="74"/>
  <c r="W8" i="74"/>
  <c r="AA8" i="74"/>
  <c r="V8" i="74"/>
  <c r="Z8" i="74"/>
  <c r="T8" i="74"/>
  <c r="X8" i="74"/>
  <c r="AB8" i="74"/>
  <c r="AD13" i="74"/>
  <c r="W13" i="74"/>
  <c r="Y13" i="74"/>
  <c r="AC13" i="74"/>
  <c r="U13" i="74"/>
  <c r="AA13" i="74"/>
  <c r="T13" i="74"/>
  <c r="X13" i="74"/>
  <c r="AB13" i="74"/>
  <c r="Z13" i="74"/>
  <c r="V13" i="74"/>
  <c r="AD85" i="74"/>
  <c r="W85" i="74"/>
  <c r="AA85" i="74"/>
  <c r="U85" i="74"/>
  <c r="AC85" i="74"/>
  <c r="Y85" i="74"/>
  <c r="T85" i="74"/>
  <c r="X85" i="74"/>
  <c r="AB85" i="74"/>
  <c r="V85" i="74"/>
  <c r="Z85" i="74"/>
  <c r="AD75" i="74"/>
  <c r="AA75" i="74"/>
  <c r="U75" i="74"/>
  <c r="W75" i="74"/>
  <c r="AC75" i="74"/>
  <c r="Y75" i="74"/>
  <c r="T75" i="74"/>
  <c r="X75" i="74"/>
  <c r="AB75" i="74"/>
  <c r="V75" i="74"/>
  <c r="Z75" i="74"/>
  <c r="AD59" i="74"/>
  <c r="W59" i="74"/>
  <c r="AA59" i="74"/>
  <c r="U59" i="74"/>
  <c r="Y59" i="74"/>
  <c r="AC59" i="74"/>
  <c r="T59" i="74"/>
  <c r="X59" i="74"/>
  <c r="AB59" i="74"/>
  <c r="V59" i="74"/>
  <c r="Z59" i="74"/>
  <c r="AD49" i="74"/>
  <c r="W49" i="74"/>
  <c r="AA49" i="74"/>
  <c r="U49" i="74"/>
  <c r="Y49" i="74"/>
  <c r="AC49" i="74"/>
  <c r="T49" i="74"/>
  <c r="X49" i="74"/>
  <c r="AB49" i="74"/>
  <c r="V49" i="74"/>
  <c r="Z49" i="74"/>
  <c r="AD37" i="74"/>
  <c r="Y37" i="74"/>
  <c r="W37" i="74"/>
  <c r="AC37" i="74"/>
  <c r="U37" i="74"/>
  <c r="AA37" i="74"/>
  <c r="T37" i="74"/>
  <c r="X37" i="74"/>
  <c r="AB37" i="74"/>
  <c r="V37" i="74"/>
  <c r="Z37" i="74"/>
  <c r="AD29" i="74"/>
  <c r="U29" i="74"/>
  <c r="Y29" i="74"/>
  <c r="AC29" i="74"/>
  <c r="W29" i="74"/>
  <c r="AA29" i="74"/>
  <c r="T29" i="74"/>
  <c r="X29" i="74"/>
  <c r="AB29" i="74"/>
  <c r="Z29" i="74"/>
  <c r="V29" i="74"/>
  <c r="AD19" i="74"/>
  <c r="U19" i="74"/>
  <c r="Y19" i="74"/>
  <c r="AC19" i="74"/>
  <c r="W19" i="74"/>
  <c r="AA19" i="74"/>
  <c r="T19" i="74"/>
  <c r="X19" i="74"/>
  <c r="AB19" i="74"/>
  <c r="Z19" i="74"/>
  <c r="V19" i="74"/>
  <c r="B85" i="74"/>
  <c r="J85" i="74"/>
  <c r="F85" i="74"/>
  <c r="AE85" i="74"/>
  <c r="C85" i="74"/>
  <c r="G85" i="74"/>
  <c r="A85" i="74"/>
  <c r="E85" i="74"/>
  <c r="I85" i="74"/>
  <c r="K72" i="74"/>
  <c r="D72" i="74"/>
  <c r="H72" i="74"/>
  <c r="B72" i="74"/>
  <c r="F72" i="74"/>
  <c r="J72" i="74"/>
  <c r="AE72" i="74"/>
  <c r="C72" i="74"/>
  <c r="G72" i="74"/>
  <c r="A72" i="74"/>
  <c r="E72" i="74"/>
  <c r="I72" i="74"/>
  <c r="K52" i="74"/>
  <c r="B52" i="74"/>
  <c r="F52" i="74"/>
  <c r="J52" i="74"/>
  <c r="AE52" i="74"/>
  <c r="D52" i="74"/>
  <c r="H52" i="74"/>
  <c r="C52" i="74"/>
  <c r="G52" i="74"/>
  <c r="A52" i="74"/>
  <c r="E52" i="74"/>
  <c r="I52" i="74"/>
  <c r="K41" i="74"/>
  <c r="D41" i="74"/>
  <c r="H41" i="74"/>
  <c r="B41" i="74"/>
  <c r="F41" i="74"/>
  <c r="J41" i="74"/>
  <c r="AE41" i="74"/>
  <c r="C41" i="74"/>
  <c r="G41" i="74"/>
  <c r="A41" i="74"/>
  <c r="E41" i="74"/>
  <c r="I41" i="74"/>
  <c r="K31" i="74"/>
  <c r="D31" i="74"/>
  <c r="H31" i="74"/>
  <c r="B31" i="74"/>
  <c r="F31" i="74"/>
  <c r="J31" i="74"/>
  <c r="AE31" i="74"/>
  <c r="C31" i="74"/>
  <c r="G31" i="74"/>
  <c r="A31" i="74"/>
  <c r="I31" i="74"/>
  <c r="E31" i="74"/>
  <c r="K20" i="74"/>
  <c r="B20" i="74"/>
  <c r="F20" i="74"/>
  <c r="J20" i="74"/>
  <c r="AE20" i="74"/>
  <c r="D20" i="74"/>
  <c r="H20" i="74"/>
  <c r="C20" i="74"/>
  <c r="G20" i="74"/>
  <c r="E20" i="74"/>
  <c r="A20" i="74"/>
  <c r="I20" i="74"/>
  <c r="H67" i="74"/>
  <c r="D67" i="74"/>
  <c r="J67" i="74"/>
  <c r="B67" i="74"/>
  <c r="K67" i="74"/>
  <c r="F67" i="74"/>
  <c r="AE67" i="74"/>
  <c r="C67" i="74"/>
  <c r="G67" i="74"/>
  <c r="A67" i="74"/>
  <c r="E67" i="74"/>
  <c r="I67" i="74"/>
  <c r="H53" i="74"/>
  <c r="D53" i="74"/>
  <c r="J53" i="74"/>
  <c r="B53" i="74"/>
  <c r="K53" i="74"/>
  <c r="F53" i="74"/>
  <c r="AE53" i="74"/>
  <c r="C53" i="74"/>
  <c r="G53" i="74"/>
  <c r="A53" i="74"/>
  <c r="E53" i="74"/>
  <c r="I53" i="74"/>
  <c r="K32" i="74"/>
  <c r="H32" i="74"/>
  <c r="D32" i="74"/>
  <c r="F32" i="74"/>
  <c r="B32" i="74"/>
  <c r="J32" i="74"/>
  <c r="AE32" i="74"/>
  <c r="C32" i="74"/>
  <c r="G32" i="74"/>
  <c r="E32" i="74"/>
  <c r="A32" i="74"/>
  <c r="I32" i="74"/>
  <c r="K17" i="74"/>
  <c r="B17" i="74"/>
  <c r="F17" i="74"/>
  <c r="J17" i="74"/>
  <c r="AE17" i="74"/>
  <c r="D17" i="74"/>
  <c r="H17" i="74"/>
  <c r="C17" i="74"/>
  <c r="G17" i="74"/>
  <c r="A17" i="74"/>
  <c r="I17" i="74"/>
  <c r="E17" i="74"/>
  <c r="K84" i="74"/>
  <c r="AE84" i="74"/>
  <c r="B84" i="74"/>
  <c r="F84" i="74"/>
  <c r="J84" i="74"/>
  <c r="D84" i="74"/>
  <c r="H84" i="74"/>
  <c r="C84" i="74"/>
  <c r="G84" i="74"/>
  <c r="A84" i="74"/>
  <c r="E84" i="74"/>
  <c r="I84" i="74"/>
  <c r="K64" i="74"/>
  <c r="D64" i="74"/>
  <c r="H64" i="74"/>
  <c r="B64" i="74"/>
  <c r="F64" i="74"/>
  <c r="J64" i="74"/>
  <c r="AE64" i="74"/>
  <c r="C64" i="74"/>
  <c r="G64" i="74"/>
  <c r="A64" i="74"/>
  <c r="E64" i="74"/>
  <c r="I64" i="74"/>
  <c r="AD88" i="74"/>
  <c r="U88" i="74"/>
  <c r="Y88" i="74"/>
  <c r="AC88" i="74"/>
  <c r="W88" i="74"/>
  <c r="AA88" i="74"/>
  <c r="T88" i="74"/>
  <c r="X88" i="74"/>
  <c r="AB88" i="74"/>
  <c r="V88" i="74"/>
  <c r="Z88" i="74"/>
  <c r="AD80" i="74"/>
  <c r="W80" i="74"/>
  <c r="AA80" i="74"/>
  <c r="U80" i="74"/>
  <c r="Y80" i="74"/>
  <c r="AC80" i="74"/>
  <c r="T80" i="74"/>
  <c r="X80" i="74"/>
  <c r="AB80" i="74"/>
  <c r="V80" i="74"/>
  <c r="Z80" i="74"/>
  <c r="AD64" i="74"/>
  <c r="U64" i="74"/>
  <c r="Y64" i="74"/>
  <c r="AC64" i="74"/>
  <c r="W64" i="74"/>
  <c r="AA64" i="74"/>
  <c r="T64" i="74"/>
  <c r="X64" i="74"/>
  <c r="AB64" i="74"/>
  <c r="V64" i="74"/>
  <c r="Z64" i="74"/>
  <c r="AD44" i="74"/>
  <c r="W44" i="74"/>
  <c r="AA44" i="74"/>
  <c r="U44" i="74"/>
  <c r="Y44" i="74"/>
  <c r="AC44" i="74"/>
  <c r="T44" i="74"/>
  <c r="X44" i="74"/>
  <c r="AB44" i="74"/>
  <c r="V44" i="74"/>
  <c r="Z44" i="74"/>
  <c r="AD34" i="74"/>
  <c r="W34" i="74"/>
  <c r="AA34" i="74"/>
  <c r="U34" i="74"/>
  <c r="Y34" i="74"/>
  <c r="AC34" i="74"/>
  <c r="T34" i="74"/>
  <c r="X34" i="74"/>
  <c r="AB34" i="74"/>
  <c r="V34" i="74"/>
  <c r="Z34" i="74"/>
  <c r="AD26" i="74"/>
  <c r="Y26" i="74"/>
  <c r="AC26" i="74"/>
  <c r="W26" i="74"/>
  <c r="AA26" i="74"/>
  <c r="U26" i="74"/>
  <c r="T26" i="74"/>
  <c r="X26" i="74"/>
  <c r="AB26" i="74"/>
  <c r="V26" i="74"/>
  <c r="Z26" i="74"/>
  <c r="AD18" i="74"/>
  <c r="AC18" i="74"/>
  <c r="W18" i="74"/>
  <c r="Y18" i="74"/>
  <c r="U18" i="74"/>
  <c r="AA18" i="74"/>
  <c r="T18" i="74"/>
  <c r="X18" i="74"/>
  <c r="AB18" i="74"/>
  <c r="V18" i="74"/>
  <c r="Z18" i="74"/>
  <c r="AD10" i="74"/>
  <c r="U10" i="74"/>
  <c r="Y10" i="74"/>
  <c r="AC10" i="74"/>
  <c r="W10" i="74"/>
  <c r="AA10" i="74"/>
  <c r="V10" i="74"/>
  <c r="Z10" i="74"/>
  <c r="T10" i="74"/>
  <c r="X10" i="74"/>
  <c r="AB10" i="74"/>
  <c r="AD17" i="74"/>
  <c r="W17" i="74"/>
  <c r="AA17" i="74"/>
  <c r="U17" i="74"/>
  <c r="Y17" i="74"/>
  <c r="AC17" i="74"/>
  <c r="T17" i="74"/>
  <c r="X17" i="74"/>
  <c r="AB17" i="74"/>
  <c r="Z17" i="74"/>
  <c r="V17" i="74"/>
  <c r="AD87" i="74"/>
  <c r="W87" i="74"/>
  <c r="AA87" i="74"/>
  <c r="Y87" i="74"/>
  <c r="U87" i="74"/>
  <c r="AC87" i="74"/>
  <c r="T87" i="74"/>
  <c r="X87" i="74"/>
  <c r="AB87" i="74"/>
  <c r="V87" i="74"/>
  <c r="Z87" i="74"/>
  <c r="AD77" i="74"/>
  <c r="U77" i="74"/>
  <c r="Y77" i="74"/>
  <c r="AC77" i="74"/>
  <c r="AA77" i="74"/>
  <c r="W77" i="74"/>
  <c r="T77" i="74"/>
  <c r="X77" i="74"/>
  <c r="AB77" i="74"/>
  <c r="V77" i="74"/>
  <c r="Z77" i="74"/>
  <c r="AD61" i="74"/>
  <c r="W61" i="74"/>
  <c r="AA61" i="74"/>
  <c r="U61" i="74"/>
  <c r="Y61" i="74"/>
  <c r="AC61" i="74"/>
  <c r="T61" i="74"/>
  <c r="X61" i="74"/>
  <c r="AB61" i="74"/>
  <c r="V61" i="74"/>
  <c r="Z61" i="74"/>
  <c r="AD53" i="74"/>
  <c r="W53" i="74"/>
  <c r="Y53" i="74"/>
  <c r="AC53" i="74"/>
  <c r="U53" i="74"/>
  <c r="AA53" i="74"/>
  <c r="T53" i="74"/>
  <c r="X53" i="74"/>
  <c r="AB53" i="74"/>
  <c r="V53" i="74"/>
  <c r="Z53" i="74"/>
  <c r="AD39" i="74"/>
  <c r="U39" i="74"/>
  <c r="Y39" i="74"/>
  <c r="AC39" i="74"/>
  <c r="W39" i="74"/>
  <c r="AA39" i="74"/>
  <c r="T39" i="74"/>
  <c r="X39" i="74"/>
  <c r="AB39" i="74"/>
  <c r="V39" i="74"/>
  <c r="Z39" i="74"/>
  <c r="AD31" i="74"/>
  <c r="U31" i="74"/>
  <c r="Y31" i="74"/>
  <c r="AC31" i="74"/>
  <c r="W31" i="74"/>
  <c r="AA31" i="74"/>
  <c r="T31" i="74"/>
  <c r="X31" i="74"/>
  <c r="AB31" i="74"/>
  <c r="Z31" i="74"/>
  <c r="V31" i="74"/>
  <c r="AD23" i="74"/>
  <c r="W23" i="74"/>
  <c r="AA23" i="74"/>
  <c r="U23" i="74"/>
  <c r="Y23" i="74"/>
  <c r="AC23" i="74"/>
  <c r="T23" i="74"/>
  <c r="X23" i="74"/>
  <c r="AB23" i="74"/>
  <c r="Z23" i="74"/>
  <c r="V23" i="74"/>
  <c r="AD5" i="74"/>
  <c r="AA5" i="74"/>
  <c r="U5" i="74"/>
  <c r="W5" i="74"/>
  <c r="AC5" i="74"/>
  <c r="V5" i="74"/>
  <c r="Z5" i="74"/>
  <c r="Y5" i="74"/>
  <c r="T5" i="74"/>
  <c r="X5" i="74"/>
  <c r="AB5" i="74"/>
  <c r="AC6" i="75"/>
  <c r="U6" i="75"/>
  <c r="AB6" i="75"/>
  <c r="W6" i="75"/>
  <c r="Y6" i="75"/>
  <c r="AA6" i="75"/>
  <c r="S6" i="75"/>
  <c r="V6" i="75"/>
  <c r="Z6" i="75"/>
  <c r="T6" i="75"/>
  <c r="X6" i="75"/>
  <c r="O8" i="75"/>
  <c r="G8" i="75"/>
  <c r="Q8" i="75"/>
  <c r="P8" i="75"/>
  <c r="K8" i="75"/>
  <c r="M8" i="75"/>
  <c r="I8" i="75"/>
  <c r="J8" i="75"/>
  <c r="N8" i="75"/>
  <c r="H8" i="75"/>
  <c r="L8" i="75"/>
  <c r="AB10" i="75"/>
  <c r="S10" i="75"/>
  <c r="AA10" i="75"/>
  <c r="W10" i="75"/>
  <c r="U10" i="75"/>
  <c r="AC10" i="75"/>
  <c r="Y10" i="75"/>
  <c r="V10" i="75"/>
  <c r="Z10" i="75"/>
  <c r="T10" i="75"/>
  <c r="X10" i="75"/>
  <c r="P12" i="75"/>
  <c r="K12" i="75"/>
  <c r="G12" i="75"/>
  <c r="O12" i="75"/>
  <c r="M12" i="75"/>
  <c r="I12" i="75"/>
  <c r="Q12" i="75"/>
  <c r="J12" i="75"/>
  <c r="N12" i="75"/>
  <c r="H12" i="75"/>
  <c r="L12" i="75"/>
  <c r="AB14" i="75"/>
  <c r="S14" i="75"/>
  <c r="AA14" i="75"/>
  <c r="W14" i="75"/>
  <c r="U14" i="75"/>
  <c r="AC14" i="75"/>
  <c r="Y14" i="75"/>
  <c r="V14" i="75"/>
  <c r="Z14" i="75"/>
  <c r="T14" i="75"/>
  <c r="X14" i="75"/>
  <c r="P16" i="75"/>
  <c r="G16" i="75"/>
  <c r="O16" i="75"/>
  <c r="K16" i="75"/>
  <c r="M16" i="75"/>
  <c r="I16" i="75"/>
  <c r="Q16" i="75"/>
  <c r="J16" i="75"/>
  <c r="N16" i="75"/>
  <c r="H16" i="75"/>
  <c r="L16" i="75"/>
  <c r="AB18" i="75"/>
  <c r="W18" i="75"/>
  <c r="S18" i="75"/>
  <c r="U18" i="75"/>
  <c r="AC18" i="75"/>
  <c r="AA18" i="75"/>
  <c r="Y18" i="75"/>
  <c r="V18" i="75"/>
  <c r="Z18" i="75"/>
  <c r="T18" i="75"/>
  <c r="X18" i="75"/>
  <c r="P20" i="75"/>
  <c r="G20" i="75"/>
  <c r="O20" i="75"/>
  <c r="K20" i="75"/>
  <c r="M20" i="75"/>
  <c r="I20" i="75"/>
  <c r="Q20" i="75"/>
  <c r="J20" i="75"/>
  <c r="N20" i="75"/>
  <c r="H20" i="75"/>
  <c r="L20" i="75"/>
  <c r="AB22" i="75"/>
  <c r="W22" i="75"/>
  <c r="U22" i="75"/>
  <c r="AC22" i="75"/>
  <c r="S22" i="75"/>
  <c r="AA22" i="75"/>
  <c r="Y22" i="75"/>
  <c r="V22" i="75"/>
  <c r="Z22" i="75"/>
  <c r="T22" i="75"/>
  <c r="X22" i="75"/>
  <c r="P24" i="75"/>
  <c r="G24" i="75"/>
  <c r="O24" i="75"/>
  <c r="M24" i="75"/>
  <c r="K24" i="75"/>
  <c r="I24" i="75"/>
  <c r="Q24" i="75"/>
  <c r="J24" i="75"/>
  <c r="N24" i="75"/>
  <c r="H24" i="75"/>
  <c r="L24" i="75"/>
  <c r="AB26" i="75"/>
  <c r="W26" i="75"/>
  <c r="U26" i="75"/>
  <c r="AC26" i="75"/>
  <c r="S26" i="75"/>
  <c r="AA26" i="75"/>
  <c r="Y26" i="75"/>
  <c r="V26" i="75"/>
  <c r="Z26" i="75"/>
  <c r="T26" i="75"/>
  <c r="X26" i="75"/>
  <c r="P28" i="75"/>
  <c r="G28" i="75"/>
  <c r="O28" i="75"/>
  <c r="M28" i="75"/>
  <c r="K28" i="75"/>
  <c r="I28" i="75"/>
  <c r="Q28" i="75"/>
  <c r="J28" i="75"/>
  <c r="N28" i="75"/>
  <c r="H28" i="75"/>
  <c r="L28" i="75"/>
  <c r="P6" i="75"/>
  <c r="O6" i="75"/>
  <c r="M6" i="75"/>
  <c r="G6" i="75"/>
  <c r="K6" i="75"/>
  <c r="I6" i="75"/>
  <c r="Q6" i="75"/>
  <c r="J6" i="75"/>
  <c r="N6" i="75"/>
  <c r="H6" i="75"/>
  <c r="L6" i="75"/>
  <c r="AB8" i="75"/>
  <c r="AA8" i="75"/>
  <c r="S8" i="75"/>
  <c r="W8" i="75"/>
  <c r="U8" i="75"/>
  <c r="AC8" i="75"/>
  <c r="Y8" i="75"/>
  <c r="V8" i="75"/>
  <c r="Z8" i="75"/>
  <c r="T8" i="75"/>
  <c r="X8" i="75"/>
  <c r="P10" i="75"/>
  <c r="O10" i="75"/>
  <c r="K10" i="75"/>
  <c r="M10" i="75"/>
  <c r="G10" i="75"/>
  <c r="I10" i="75"/>
  <c r="Q10" i="75"/>
  <c r="J10" i="75"/>
  <c r="N10" i="75"/>
  <c r="H10" i="75"/>
  <c r="L10" i="75"/>
  <c r="AB12" i="75"/>
  <c r="S12" i="75"/>
  <c r="AA12" i="75"/>
  <c r="W12" i="75"/>
  <c r="U12" i="75"/>
  <c r="AC12" i="75"/>
  <c r="Y12" i="75"/>
  <c r="V12" i="75"/>
  <c r="Z12" i="75"/>
  <c r="T12" i="75"/>
  <c r="X12" i="75"/>
  <c r="P14" i="75"/>
  <c r="G14" i="75"/>
  <c r="K14" i="75"/>
  <c r="M14" i="75"/>
  <c r="O14" i="75"/>
  <c r="I14" i="75"/>
  <c r="Q14" i="75"/>
  <c r="J14" i="75"/>
  <c r="N14" i="75"/>
  <c r="H14" i="75"/>
  <c r="L14" i="75"/>
  <c r="AB16" i="75"/>
  <c r="AA16" i="75"/>
  <c r="S16" i="75"/>
  <c r="W16" i="75"/>
  <c r="Y16" i="75"/>
  <c r="AC16" i="75"/>
  <c r="U16" i="75"/>
  <c r="V16" i="75"/>
  <c r="Z16" i="75"/>
  <c r="T16" i="75"/>
  <c r="X16" i="75"/>
  <c r="P18" i="75"/>
  <c r="O18" i="75"/>
  <c r="K18" i="75"/>
  <c r="G18" i="75"/>
  <c r="I18" i="75"/>
  <c r="Q18" i="75"/>
  <c r="M18" i="75"/>
  <c r="J18" i="75"/>
  <c r="N18" i="75"/>
  <c r="H18" i="75"/>
  <c r="L18" i="75"/>
  <c r="AB20" i="75"/>
  <c r="S20" i="75"/>
  <c r="AA20" i="75"/>
  <c r="W20" i="75"/>
  <c r="Y20" i="75"/>
  <c r="AC20" i="75"/>
  <c r="U20" i="75"/>
  <c r="V20" i="75"/>
  <c r="Z20" i="75"/>
  <c r="T20" i="75"/>
  <c r="X20" i="75"/>
  <c r="P22" i="75"/>
  <c r="G22" i="75"/>
  <c r="O22" i="75"/>
  <c r="K22" i="75"/>
  <c r="I22" i="75"/>
  <c r="Q22" i="75"/>
  <c r="M22" i="75"/>
  <c r="J22" i="75"/>
  <c r="N22" i="75"/>
  <c r="H22" i="75"/>
  <c r="L22" i="75"/>
  <c r="AB24" i="75"/>
  <c r="AA24" i="75"/>
  <c r="S24" i="75"/>
  <c r="W24" i="75"/>
  <c r="Y24" i="75"/>
  <c r="U24" i="75"/>
  <c r="AC24" i="75"/>
  <c r="V24" i="75"/>
  <c r="Z24" i="75"/>
  <c r="T24" i="75"/>
  <c r="X24" i="75"/>
  <c r="P26" i="75"/>
  <c r="O26" i="75"/>
  <c r="K26" i="75"/>
  <c r="G26" i="75"/>
  <c r="I26" i="75"/>
  <c r="Q26" i="75"/>
  <c r="M26" i="75"/>
  <c r="J26" i="75"/>
  <c r="N26" i="75"/>
  <c r="H26" i="75"/>
  <c r="L26" i="75"/>
  <c r="AB28" i="75"/>
  <c r="Y28" i="75"/>
  <c r="S28" i="75"/>
  <c r="AA28" i="75"/>
  <c r="U28" i="75"/>
  <c r="AC28" i="75"/>
  <c r="W28" i="75"/>
  <c r="V28" i="75"/>
  <c r="Z28" i="75"/>
  <c r="T28" i="75"/>
  <c r="X28" i="75"/>
  <c r="D14" i="68"/>
  <c r="D6" i="68"/>
  <c r="AC26" i="70"/>
  <c r="C102" i="72"/>
  <c r="D102" i="72"/>
  <c r="C106" i="72"/>
  <c r="D106" i="72"/>
  <c r="C112" i="72"/>
  <c r="D112" i="72"/>
  <c r="C116" i="72"/>
  <c r="D116" i="72"/>
  <c r="C120" i="72"/>
  <c r="D120" i="72"/>
  <c r="D20" i="68" s="1"/>
  <c r="C124" i="72"/>
  <c r="D124" i="72"/>
  <c r="C128" i="72"/>
  <c r="D128" i="72"/>
  <c r="C132" i="72"/>
  <c r="D132" i="72"/>
  <c r="C138" i="72"/>
  <c r="D138" i="72"/>
  <c r="C142" i="72"/>
  <c r="D142" i="72"/>
  <c r="D26" i="68" s="1"/>
  <c r="C146" i="72"/>
  <c r="D146" i="72"/>
  <c r="C150" i="72"/>
  <c r="D150" i="72"/>
  <c r="C156" i="72"/>
  <c r="D156" i="72"/>
  <c r="C160" i="72"/>
  <c r="D160" i="72"/>
  <c r="H9" i="68" s="1"/>
  <c r="C164" i="72"/>
  <c r="D164" i="72"/>
  <c r="C170" i="72"/>
  <c r="D170" i="72"/>
  <c r="C174" i="72"/>
  <c r="D174" i="72"/>
  <c r="C178" i="72"/>
  <c r="D178" i="72"/>
  <c r="C182" i="72"/>
  <c r="D182" i="72"/>
  <c r="C188" i="72"/>
  <c r="D188" i="72"/>
  <c r="C192" i="72"/>
  <c r="D192" i="72"/>
  <c r="C196" i="72"/>
  <c r="D196" i="72"/>
  <c r="C200" i="72"/>
  <c r="D200" i="72"/>
  <c r="C204" i="72"/>
  <c r="D204" i="72"/>
  <c r="C208" i="72"/>
  <c r="D208" i="72"/>
  <c r="C212" i="72"/>
  <c r="D212" i="72"/>
  <c r="C216" i="72"/>
  <c r="D216" i="72"/>
  <c r="C222" i="72"/>
  <c r="D222" i="72"/>
  <c r="C226" i="72"/>
  <c r="D226" i="72"/>
  <c r="C230" i="72"/>
  <c r="D230" i="72"/>
  <c r="C234" i="72"/>
  <c r="D234" i="72"/>
  <c r="C236" i="72"/>
  <c r="D236" i="72"/>
  <c r="C240" i="72"/>
  <c r="D240" i="72"/>
  <c r="H23" i="68" s="1"/>
  <c r="C242" i="72"/>
  <c r="D242" i="72"/>
  <c r="H25" i="68" s="1"/>
  <c r="C244" i="72"/>
  <c r="D244" i="72"/>
  <c r="C246" i="72"/>
  <c r="D246" i="72"/>
  <c r="C250" i="72"/>
  <c r="D250" i="72"/>
  <c r="H33" i="68" s="1"/>
  <c r="C252" i="72"/>
  <c r="D252" i="72"/>
  <c r="C254" i="72"/>
  <c r="D254" i="72"/>
  <c r="C256" i="72"/>
  <c r="D256" i="72"/>
  <c r="C258" i="72"/>
  <c r="D258" i="72"/>
  <c r="C260" i="72"/>
  <c r="D260" i="72"/>
  <c r="H32" i="68" s="1"/>
  <c r="C262" i="72"/>
  <c r="D262" i="72"/>
  <c r="C264" i="72"/>
  <c r="D264" i="72"/>
  <c r="C266" i="72"/>
  <c r="D266" i="72"/>
  <c r="C268" i="72"/>
  <c r="D268" i="72"/>
  <c r="D270" i="72"/>
  <c r="C270" i="72"/>
  <c r="D272" i="72"/>
  <c r="C272" i="72"/>
  <c r="C274" i="72"/>
  <c r="D274" i="72"/>
  <c r="C276" i="72"/>
  <c r="D276" i="72"/>
  <c r="C278" i="72"/>
  <c r="D278" i="72"/>
  <c r="C280" i="72"/>
  <c r="D280" i="72"/>
  <c r="C282" i="72"/>
  <c r="D282" i="72"/>
  <c r="C284" i="72"/>
  <c r="D284" i="72"/>
  <c r="C286" i="72"/>
  <c r="D286" i="72"/>
  <c r="C288" i="72"/>
  <c r="D288" i="72"/>
  <c r="C290" i="72"/>
  <c r="D290" i="72"/>
  <c r="C292" i="72"/>
  <c r="D292" i="72"/>
  <c r="C294" i="72"/>
  <c r="D294" i="72"/>
  <c r="C296" i="72"/>
  <c r="D296" i="72"/>
  <c r="C298" i="72"/>
  <c r="D298" i="72"/>
  <c r="C300" i="72"/>
  <c r="D300" i="72"/>
  <c r="C302" i="72"/>
  <c r="D302" i="72"/>
  <c r="C304" i="72"/>
  <c r="D304" i="72"/>
  <c r="C306" i="72"/>
  <c r="D306" i="72"/>
  <c r="C308" i="72"/>
  <c r="D308" i="72"/>
  <c r="C310" i="72"/>
  <c r="D310" i="72"/>
  <c r="C312" i="72"/>
  <c r="D312" i="72"/>
  <c r="C314" i="72"/>
  <c r="D314" i="72"/>
  <c r="C316" i="72"/>
  <c r="D316" i="72"/>
  <c r="C318" i="72"/>
  <c r="D318" i="72"/>
  <c r="C320" i="72"/>
  <c r="D320" i="72"/>
  <c r="C322" i="72"/>
  <c r="D322" i="72"/>
  <c r="C324" i="72"/>
  <c r="D324" i="72"/>
  <c r="D326" i="72"/>
  <c r="C326" i="72"/>
  <c r="D328" i="72"/>
  <c r="C328" i="72"/>
  <c r="D330" i="72"/>
  <c r="C330" i="72"/>
  <c r="D332" i="72"/>
  <c r="C332" i="72"/>
  <c r="D334" i="72"/>
  <c r="C334" i="72"/>
  <c r="D336" i="72"/>
  <c r="C336" i="72"/>
  <c r="D338" i="72"/>
  <c r="C338" i="72"/>
  <c r="D340" i="72"/>
  <c r="C340" i="72"/>
  <c r="D342" i="72"/>
  <c r="C342" i="72"/>
  <c r="D344" i="72"/>
  <c r="C344" i="72"/>
  <c r="D346" i="72"/>
  <c r="C346" i="72"/>
  <c r="D348" i="72"/>
  <c r="C348" i="72"/>
  <c r="D350" i="72"/>
  <c r="C350" i="72"/>
  <c r="D352" i="72"/>
  <c r="C352" i="72"/>
  <c r="D354" i="72"/>
  <c r="C354" i="72"/>
  <c r="D356" i="72"/>
  <c r="C356" i="72"/>
  <c r="D358" i="72"/>
  <c r="C358" i="72"/>
  <c r="D360" i="72"/>
  <c r="C360" i="72"/>
  <c r="D362" i="72"/>
  <c r="C362" i="72"/>
  <c r="D364" i="72"/>
  <c r="C364" i="72"/>
  <c r="D366" i="72"/>
  <c r="C366" i="72"/>
  <c r="D368" i="72"/>
  <c r="C368" i="72"/>
  <c r="D370" i="72"/>
  <c r="C370" i="72"/>
  <c r="D372" i="72"/>
  <c r="C372" i="72"/>
  <c r="D374" i="72"/>
  <c r="C374" i="72"/>
  <c r="D376" i="72"/>
  <c r="C376" i="72"/>
  <c r="D378" i="72"/>
  <c r="C378" i="72"/>
  <c r="D380" i="72"/>
  <c r="C380" i="72"/>
  <c r="D382" i="72"/>
  <c r="C382" i="72"/>
  <c r="D384" i="72"/>
  <c r="C384" i="72"/>
  <c r="D386" i="72"/>
  <c r="C386" i="72"/>
  <c r="D388" i="72"/>
  <c r="C388" i="72"/>
  <c r="D390" i="72"/>
  <c r="C390" i="72"/>
  <c r="C392" i="72"/>
  <c r="D392" i="72"/>
  <c r="C394" i="72"/>
  <c r="D394" i="72"/>
  <c r="C396" i="72"/>
  <c r="D396" i="72"/>
  <c r="C398" i="72"/>
  <c r="D398" i="72"/>
  <c r="C400" i="72"/>
  <c r="D400" i="72"/>
  <c r="C402" i="72"/>
  <c r="D402" i="72"/>
  <c r="C404" i="72"/>
  <c r="D404" i="72"/>
  <c r="C406" i="72"/>
  <c r="D406" i="72"/>
  <c r="C408" i="72"/>
  <c r="D408" i="72"/>
  <c r="C5" i="72"/>
  <c r="C6" i="72"/>
  <c r="C7" i="72"/>
  <c r="C8" i="72"/>
  <c r="C9" i="72"/>
  <c r="C10" i="72"/>
  <c r="C11" i="72"/>
  <c r="C12" i="72"/>
  <c r="C13" i="72"/>
  <c r="C14" i="72"/>
  <c r="C15" i="72"/>
  <c r="C16" i="72"/>
  <c r="C17" i="72"/>
  <c r="C18" i="72"/>
  <c r="C19" i="72"/>
  <c r="C20" i="72"/>
  <c r="C21" i="72"/>
  <c r="C22" i="72"/>
  <c r="C23" i="72"/>
  <c r="C24" i="72"/>
  <c r="C25" i="72"/>
  <c r="C26" i="72"/>
  <c r="C27" i="72"/>
  <c r="C28" i="72"/>
  <c r="C29" i="72"/>
  <c r="C30" i="72"/>
  <c r="C31" i="72"/>
  <c r="C32" i="72"/>
  <c r="C33" i="72"/>
  <c r="C34" i="72"/>
  <c r="C35" i="72"/>
  <c r="C36" i="72"/>
  <c r="C37" i="72"/>
  <c r="C38" i="72"/>
  <c r="C39" i="72"/>
  <c r="C40" i="72"/>
  <c r="C41" i="72"/>
  <c r="C42" i="72"/>
  <c r="C43" i="72"/>
  <c r="C44" i="72"/>
  <c r="C45" i="72"/>
  <c r="C46" i="72"/>
  <c r="C47" i="72"/>
  <c r="C48" i="72"/>
  <c r="C49" i="72"/>
  <c r="C50" i="72"/>
  <c r="C51" i="72"/>
  <c r="C52" i="72"/>
  <c r="C53" i="72"/>
  <c r="C54" i="72"/>
  <c r="C55" i="72"/>
  <c r="C56" i="72"/>
  <c r="C57" i="72"/>
  <c r="C58" i="72"/>
  <c r="C59" i="72"/>
  <c r="C60" i="72"/>
  <c r="C61" i="72"/>
  <c r="C62" i="72"/>
  <c r="C63" i="72"/>
  <c r="C64" i="72"/>
  <c r="C65" i="72"/>
  <c r="C66" i="72"/>
  <c r="C67" i="72"/>
  <c r="C68" i="72"/>
  <c r="C69" i="72"/>
  <c r="C70" i="72"/>
  <c r="C71" i="72"/>
  <c r="C72" i="72"/>
  <c r="C73" i="72"/>
  <c r="C74" i="72"/>
  <c r="C75" i="72"/>
  <c r="C76" i="72"/>
  <c r="C77" i="72"/>
  <c r="C78" i="72"/>
  <c r="C79" i="72"/>
  <c r="C80" i="72"/>
  <c r="C81" i="72"/>
  <c r="C82" i="72"/>
  <c r="C83" i="72"/>
  <c r="C84" i="72"/>
  <c r="C85" i="72"/>
  <c r="C86" i="72"/>
  <c r="C87" i="72"/>
  <c r="C88" i="72"/>
  <c r="C89" i="72"/>
  <c r="C90" i="72"/>
  <c r="C91" i="72"/>
  <c r="C92" i="72"/>
  <c r="C93" i="72"/>
  <c r="C94" i="72"/>
  <c r="C95" i="72"/>
  <c r="C96" i="72"/>
  <c r="C97" i="72"/>
  <c r="C98" i="72"/>
  <c r="C99" i="72"/>
  <c r="C100" i="72"/>
  <c r="C101" i="72"/>
  <c r="C104" i="72"/>
  <c r="D104" i="72"/>
  <c r="C108" i="72"/>
  <c r="D108" i="72"/>
  <c r="D21" i="68" s="1"/>
  <c r="C110" i="72"/>
  <c r="D110" i="72"/>
  <c r="C114" i="72"/>
  <c r="D114" i="72"/>
  <c r="D23" i="68" s="1"/>
  <c r="C118" i="72"/>
  <c r="D118" i="72"/>
  <c r="C122" i="72"/>
  <c r="D122" i="72"/>
  <c r="C126" i="72"/>
  <c r="D126" i="72"/>
  <c r="C130" i="72"/>
  <c r="D130" i="72"/>
  <c r="C134" i="72"/>
  <c r="D134" i="72"/>
  <c r="C136" i="72"/>
  <c r="D136" i="72"/>
  <c r="C140" i="72"/>
  <c r="D140" i="72"/>
  <c r="C144" i="72"/>
  <c r="D144" i="72"/>
  <c r="D28" i="68" s="1"/>
  <c r="C148" i="72"/>
  <c r="D148" i="72"/>
  <c r="C152" i="72"/>
  <c r="D152" i="72"/>
  <c r="D32" i="68" s="1"/>
  <c r="C154" i="72"/>
  <c r="D154" i="72"/>
  <c r="C158" i="72"/>
  <c r="D158" i="72"/>
  <c r="H7" i="68" s="1"/>
  <c r="C162" i="72"/>
  <c r="D162" i="72"/>
  <c r="C166" i="72"/>
  <c r="D166" i="72"/>
  <c r="C168" i="72"/>
  <c r="D168" i="72"/>
  <c r="C172" i="72"/>
  <c r="D172" i="72"/>
  <c r="C176" i="72"/>
  <c r="D176" i="72"/>
  <c r="C180" i="72"/>
  <c r="D180" i="72"/>
  <c r="C184" i="72"/>
  <c r="D184" i="72"/>
  <c r="C186" i="72"/>
  <c r="D186" i="72"/>
  <c r="H11" i="68" s="1"/>
  <c r="C190" i="72"/>
  <c r="D190" i="72"/>
  <c r="C194" i="72"/>
  <c r="D194" i="72"/>
  <c r="C198" i="72"/>
  <c r="D198" i="72"/>
  <c r="C202" i="72"/>
  <c r="D202" i="72"/>
  <c r="C206" i="72"/>
  <c r="D206" i="72"/>
  <c r="C210" i="72"/>
  <c r="D210" i="72"/>
  <c r="C214" i="72"/>
  <c r="D214" i="72"/>
  <c r="C218" i="72"/>
  <c r="D218" i="72"/>
  <c r="C220" i="72"/>
  <c r="D220" i="72"/>
  <c r="H14" i="68" s="1"/>
  <c r="C224" i="72"/>
  <c r="D224" i="72"/>
  <c r="C228" i="72"/>
  <c r="D228" i="72"/>
  <c r="C232" i="72"/>
  <c r="D232" i="72"/>
  <c r="C238" i="72"/>
  <c r="D238" i="72"/>
  <c r="H21" i="68" s="1"/>
  <c r="C248" i="72"/>
  <c r="D248" i="72"/>
  <c r="C103" i="72"/>
  <c r="D103" i="72"/>
  <c r="C105" i="72"/>
  <c r="D105" i="72"/>
  <c r="C107" i="72"/>
  <c r="D107" i="72"/>
  <c r="C109" i="72"/>
  <c r="D109" i="72"/>
  <c r="C111" i="72"/>
  <c r="D111" i="72"/>
  <c r="C113" i="72"/>
  <c r="D113" i="72"/>
  <c r="C115" i="72"/>
  <c r="D115" i="72"/>
  <c r="C117" i="72"/>
  <c r="D117" i="72"/>
  <c r="C119" i="72"/>
  <c r="D119" i="72"/>
  <c r="D24" i="68" s="1"/>
  <c r="C121" i="72"/>
  <c r="D121" i="72"/>
  <c r="D22" i="68" s="1"/>
  <c r="C123" i="72"/>
  <c r="D123" i="72"/>
  <c r="D25" i="68" s="1"/>
  <c r="C125" i="72"/>
  <c r="D125" i="72"/>
  <c r="C127" i="72"/>
  <c r="D127" i="72"/>
  <c r="C129" i="72"/>
  <c r="D129" i="72"/>
  <c r="C131" i="72"/>
  <c r="D131" i="72"/>
  <c r="C133" i="72"/>
  <c r="D133" i="72"/>
  <c r="C135" i="72"/>
  <c r="D135" i="72"/>
  <c r="C137" i="72"/>
  <c r="D137" i="72"/>
  <c r="C139" i="72"/>
  <c r="D139" i="72"/>
  <c r="C141" i="72"/>
  <c r="D141" i="72"/>
  <c r="C143" i="72"/>
  <c r="D143" i="72"/>
  <c r="D27" i="68" s="1"/>
  <c r="C145" i="72"/>
  <c r="D145" i="72"/>
  <c r="D29" i="68" s="1"/>
  <c r="C147" i="72"/>
  <c r="D147" i="72"/>
  <c r="C149" i="72"/>
  <c r="D149" i="72"/>
  <c r="C151" i="72"/>
  <c r="D151" i="72"/>
  <c r="D31" i="68" s="1"/>
  <c r="C153" i="72"/>
  <c r="D153" i="72"/>
  <c r="C155" i="72"/>
  <c r="D155" i="72"/>
  <c r="D33" i="68" s="1"/>
  <c r="C157" i="72"/>
  <c r="D157" i="72"/>
  <c r="H6" i="68" s="1"/>
  <c r="C159" i="72"/>
  <c r="D159" i="72"/>
  <c r="H8" i="68" s="1"/>
  <c r="C161" i="72"/>
  <c r="D161" i="72"/>
  <c r="C163" i="72"/>
  <c r="D163" i="72"/>
  <c r="C165" i="72"/>
  <c r="D165" i="72"/>
  <c r="C167" i="72"/>
  <c r="D167" i="72"/>
  <c r="C169" i="72"/>
  <c r="D169" i="72"/>
  <c r="H10" i="68" s="1"/>
  <c r="C171" i="72"/>
  <c r="D171" i="72"/>
  <c r="C173" i="72"/>
  <c r="D173" i="72"/>
  <c r="C175" i="72"/>
  <c r="D175" i="72"/>
  <c r="C177" i="72"/>
  <c r="D177" i="72"/>
  <c r="C179" i="72"/>
  <c r="D179" i="72"/>
  <c r="C181" i="72"/>
  <c r="D181" i="72"/>
  <c r="C183" i="72"/>
  <c r="D183" i="72"/>
  <c r="C185" i="72"/>
  <c r="D185" i="72"/>
  <c r="C187" i="72"/>
  <c r="D187" i="72"/>
  <c r="C189" i="72"/>
  <c r="D189" i="72"/>
  <c r="C191" i="72"/>
  <c r="D191" i="72"/>
  <c r="C193" i="72"/>
  <c r="D193" i="72"/>
  <c r="C195" i="72"/>
  <c r="D195" i="72"/>
  <c r="H12" i="68" s="1"/>
  <c r="C197" i="72"/>
  <c r="D197" i="72"/>
  <c r="C199" i="72"/>
  <c r="D199" i="72"/>
  <c r="C201" i="72"/>
  <c r="D201" i="72"/>
  <c r="C203" i="72"/>
  <c r="D203" i="72"/>
  <c r="C205" i="72"/>
  <c r="D205" i="72"/>
  <c r="C207" i="72"/>
  <c r="D207" i="72"/>
  <c r="C209" i="72"/>
  <c r="D209" i="72"/>
  <c r="C211" i="72"/>
  <c r="D211" i="72"/>
  <c r="C213" i="72"/>
  <c r="D213" i="72"/>
  <c r="C215" i="72"/>
  <c r="D215" i="72"/>
  <c r="C217" i="72"/>
  <c r="D217" i="72"/>
  <c r="C219" i="72"/>
  <c r="D219" i="72"/>
  <c r="H13" i="68" s="1"/>
  <c r="C221" i="72"/>
  <c r="D221" i="72"/>
  <c r="H15" i="68" s="1"/>
  <c r="C223" i="72"/>
  <c r="D223" i="72"/>
  <c r="C225" i="72"/>
  <c r="D225" i="72"/>
  <c r="C227" i="72"/>
  <c r="D227" i="72"/>
  <c r="C229" i="72"/>
  <c r="D229" i="72"/>
  <c r="C231" i="72"/>
  <c r="D231" i="72"/>
  <c r="C233" i="72"/>
  <c r="D233" i="72"/>
  <c r="C235" i="72"/>
  <c r="D235" i="72"/>
  <c r="H17" i="68" s="1"/>
  <c r="C237" i="72"/>
  <c r="D237" i="72"/>
  <c r="H20" i="68" s="1"/>
  <c r="C239" i="72"/>
  <c r="D239" i="72"/>
  <c r="H22" i="68" s="1"/>
  <c r="C241" i="72"/>
  <c r="D241" i="72"/>
  <c r="H24" i="68" s="1"/>
  <c r="C243" i="72"/>
  <c r="D243" i="72"/>
  <c r="H30" i="68" s="1"/>
  <c r="C245" i="72"/>
  <c r="D245" i="72"/>
  <c r="C247" i="72"/>
  <c r="D247" i="72"/>
  <c r="H31" i="68" s="1"/>
  <c r="C249" i="72"/>
  <c r="D249" i="72"/>
  <c r="C251" i="72"/>
  <c r="D251" i="72"/>
  <c r="C253" i="72"/>
  <c r="D253" i="72"/>
  <c r="C255" i="72"/>
  <c r="D255" i="72"/>
  <c r="C257" i="72"/>
  <c r="D257" i="72"/>
  <c r="C259" i="72"/>
  <c r="D259" i="72"/>
  <c r="C261" i="72"/>
  <c r="D261" i="72"/>
  <c r="C263" i="72"/>
  <c r="D263" i="72"/>
  <c r="C265" i="72"/>
  <c r="D265" i="72"/>
  <c r="C267" i="72"/>
  <c r="D267" i="72"/>
  <c r="D269" i="72"/>
  <c r="C269" i="72"/>
  <c r="D271" i="72"/>
  <c r="C271" i="72"/>
  <c r="C273" i="72"/>
  <c r="D273" i="72"/>
  <c r="C275" i="72"/>
  <c r="D275" i="72"/>
  <c r="C277" i="72"/>
  <c r="D277" i="72"/>
  <c r="C279" i="72"/>
  <c r="D279" i="72"/>
  <c r="C281" i="72"/>
  <c r="D281" i="72"/>
  <c r="C283" i="72"/>
  <c r="D283" i="72"/>
  <c r="C285" i="72"/>
  <c r="D285" i="72"/>
  <c r="C287" i="72"/>
  <c r="D287" i="72"/>
  <c r="C289" i="72"/>
  <c r="D289" i="72"/>
  <c r="C291" i="72"/>
  <c r="D291" i="72"/>
  <c r="C293" i="72"/>
  <c r="D293" i="72"/>
  <c r="C295" i="72"/>
  <c r="D295" i="72"/>
  <c r="C297" i="72"/>
  <c r="D297" i="72"/>
  <c r="C299" i="72"/>
  <c r="D299" i="72"/>
  <c r="C301" i="72"/>
  <c r="D301" i="72"/>
  <c r="C303" i="72"/>
  <c r="D303" i="72"/>
  <c r="C305" i="72"/>
  <c r="D305" i="72"/>
  <c r="C307" i="72"/>
  <c r="D307" i="72"/>
  <c r="C309" i="72"/>
  <c r="D309" i="72"/>
  <c r="C311" i="72"/>
  <c r="D311" i="72"/>
  <c r="C313" i="72"/>
  <c r="D313" i="72"/>
  <c r="C315" i="72"/>
  <c r="D315" i="72"/>
  <c r="C317" i="72"/>
  <c r="D317" i="72"/>
  <c r="C319" i="72"/>
  <c r="D319" i="72"/>
  <c r="C321" i="72"/>
  <c r="D321" i="72"/>
  <c r="C323" i="72"/>
  <c r="D323" i="72"/>
  <c r="D325" i="72"/>
  <c r="C325" i="72"/>
  <c r="D327" i="72"/>
  <c r="C327" i="72"/>
  <c r="D329" i="72"/>
  <c r="C329" i="72"/>
  <c r="D331" i="72"/>
  <c r="C331" i="72"/>
  <c r="D333" i="72"/>
  <c r="C333" i="72"/>
  <c r="D335" i="72"/>
  <c r="C335" i="72"/>
  <c r="D337" i="72"/>
  <c r="C337" i="72"/>
  <c r="D339" i="72"/>
  <c r="C339" i="72"/>
  <c r="D341" i="72"/>
  <c r="C341" i="72"/>
  <c r="D343" i="72"/>
  <c r="C343" i="72"/>
  <c r="D345" i="72"/>
  <c r="C345" i="72"/>
  <c r="D347" i="72"/>
  <c r="C347" i="72"/>
  <c r="D349" i="72"/>
  <c r="C349" i="72"/>
  <c r="D351" i="72"/>
  <c r="C351" i="72"/>
  <c r="D353" i="72"/>
  <c r="C353" i="72"/>
  <c r="D355" i="72"/>
  <c r="C355" i="72"/>
  <c r="D357" i="72"/>
  <c r="C357" i="72"/>
  <c r="D359" i="72"/>
  <c r="C359" i="72"/>
  <c r="D361" i="72"/>
  <c r="C361" i="72"/>
  <c r="D363" i="72"/>
  <c r="C363" i="72"/>
  <c r="D365" i="72"/>
  <c r="C365" i="72"/>
  <c r="D367" i="72"/>
  <c r="C367" i="72"/>
  <c r="D369" i="72"/>
  <c r="C369" i="72"/>
  <c r="D371" i="72"/>
  <c r="C371" i="72"/>
  <c r="D373" i="72"/>
  <c r="C373" i="72"/>
  <c r="D375" i="72"/>
  <c r="C375" i="72"/>
  <c r="D377" i="72"/>
  <c r="C377" i="72"/>
  <c r="D379" i="72"/>
  <c r="C379" i="72"/>
  <c r="D381" i="72"/>
  <c r="C381" i="72"/>
  <c r="D383" i="72"/>
  <c r="C383" i="72"/>
  <c r="D385" i="72"/>
  <c r="C385" i="72"/>
  <c r="D387" i="72"/>
  <c r="C387" i="72"/>
  <c r="D389" i="72"/>
  <c r="C389" i="72"/>
  <c r="C391" i="72"/>
  <c r="D391" i="72"/>
  <c r="C393" i="72"/>
  <c r="D393" i="72"/>
  <c r="C395" i="72"/>
  <c r="D395" i="72"/>
  <c r="C397" i="72"/>
  <c r="D397" i="72"/>
  <c r="C399" i="72"/>
  <c r="D399" i="72"/>
  <c r="C401" i="72"/>
  <c r="D401" i="72"/>
  <c r="C403" i="72"/>
  <c r="D403" i="72"/>
  <c r="C405" i="72"/>
  <c r="D405" i="72"/>
  <c r="C407" i="72"/>
  <c r="D407" i="72"/>
  <c r="C409" i="72"/>
  <c r="D409" i="72"/>
  <c r="C129" i="7"/>
  <c r="C6" i="7"/>
  <c r="C7" i="7"/>
  <c r="C154" i="7"/>
  <c r="C110" i="7"/>
  <c r="C69" i="7"/>
  <c r="C28" i="7"/>
  <c r="C52" i="7"/>
  <c r="C148" i="7"/>
  <c r="C47" i="7"/>
  <c r="C91" i="7"/>
  <c r="C130" i="7"/>
  <c r="C22" i="7"/>
  <c r="AC158" i="77" l="1"/>
  <c r="U146" i="77"/>
  <c r="AO5" i="75"/>
  <c r="AK5" i="75"/>
  <c r="AG5" i="75"/>
  <c r="AP5" i="75"/>
  <c r="AL5" i="75"/>
  <c r="AH5" i="75"/>
  <c r="AM5" i="75"/>
  <c r="AI5" i="75"/>
  <c r="AN5" i="75"/>
  <c r="AJ5" i="75"/>
  <c r="AF5" i="75"/>
  <c r="H34" i="68"/>
  <c r="U26" i="70"/>
  <c r="C70" i="7"/>
  <c r="C48" i="7"/>
  <c r="C155" i="7"/>
  <c r="C49" i="7"/>
  <c r="C29" i="7"/>
  <c r="C23" i="7"/>
  <c r="C92" i="7"/>
  <c r="C131" i="7"/>
  <c r="C132" i="7" s="1"/>
  <c r="C111" i="7"/>
  <c r="C112" i="7" s="1"/>
  <c r="C93" i="7"/>
  <c r="C149" i="7"/>
  <c r="C150" i="7" s="1"/>
  <c r="C71" i="7"/>
  <c r="C53" i="7"/>
  <c r="C8" i="7"/>
  <c r="AC170" i="77" l="1"/>
  <c r="U158" i="77"/>
  <c r="AN6" i="75"/>
  <c r="AJ6" i="75"/>
  <c r="AF6" i="75"/>
  <c r="AO6" i="75"/>
  <c r="AK6" i="75"/>
  <c r="AG6" i="75"/>
  <c r="AP6" i="75"/>
  <c r="AL6" i="75"/>
  <c r="AH6" i="75"/>
  <c r="AD7" i="75"/>
  <c r="AE9" i="75" s="1"/>
  <c r="AE10" i="75" s="1"/>
  <c r="AM6" i="75"/>
  <c r="AI6" i="75"/>
  <c r="U38" i="70"/>
  <c r="C156" i="7"/>
  <c r="C54" i="7"/>
  <c r="C151" i="7"/>
  <c r="C50" i="7"/>
  <c r="C72" i="7"/>
  <c r="C157" i="7"/>
  <c r="C9" i="7"/>
  <c r="C30" i="7"/>
  <c r="C31" i="7" s="1"/>
  <c r="C24" i="7"/>
  <c r="C94" i="7"/>
  <c r="C95" i="7"/>
  <c r="C133" i="7"/>
  <c r="C55" i="7"/>
  <c r="C113" i="7"/>
  <c r="AC182" i="77" l="1"/>
  <c r="U170" i="77"/>
  <c r="AM7" i="75"/>
  <c r="AI7" i="75"/>
  <c r="AN7" i="75"/>
  <c r="AJ7" i="75"/>
  <c r="AF7" i="75"/>
  <c r="AO7" i="75"/>
  <c r="AK7" i="75"/>
  <c r="AG7" i="75"/>
  <c r="AP7" i="75"/>
  <c r="AL7" i="75"/>
  <c r="AH7" i="75"/>
  <c r="U50" i="70"/>
  <c r="C56" i="7"/>
  <c r="C73" i="7"/>
  <c r="C57" i="7"/>
  <c r="C96" i="7"/>
  <c r="C10" i="7"/>
  <c r="C32" i="7"/>
  <c r="C33" i="7" s="1"/>
  <c r="C34" i="7" s="1"/>
  <c r="C134" i="7"/>
  <c r="C158" i="7"/>
  <c r="C159" i="7" s="1"/>
  <c r="C135" i="7"/>
  <c r="C136" i="7"/>
  <c r="C25" i="7"/>
  <c r="C114" i="7"/>
  <c r="C115" i="7" s="1"/>
  <c r="C97" i="7"/>
  <c r="AC194" i="77" l="1"/>
  <c r="U182" i="77"/>
  <c r="AP8" i="75"/>
  <c r="AL8" i="75"/>
  <c r="AH8" i="75"/>
  <c r="AD9" i="75"/>
  <c r="AE11" i="75" s="1"/>
  <c r="AE12" i="75" s="1"/>
  <c r="AM8" i="75"/>
  <c r="AI8" i="75"/>
  <c r="AN8" i="75"/>
  <c r="AJ8" i="75"/>
  <c r="AF8" i="75"/>
  <c r="AO8" i="75"/>
  <c r="AK8" i="75"/>
  <c r="AG8" i="75"/>
  <c r="U62" i="70"/>
  <c r="AC74" i="70"/>
  <c r="C116" i="7"/>
  <c r="C74" i="7"/>
  <c r="C75" i="7" s="1"/>
  <c r="C160" i="7"/>
  <c r="C76" i="7"/>
  <c r="C58" i="7"/>
  <c r="C59" i="7" s="1"/>
  <c r="C11" i="7"/>
  <c r="C35" i="7"/>
  <c r="C36" i="7" s="1"/>
  <c r="C77" i="7"/>
  <c r="C98" i="7"/>
  <c r="C99" i="7" s="1"/>
  <c r="C100" i="7" s="1"/>
  <c r="C161" i="7"/>
  <c r="C162" i="7" s="1"/>
  <c r="C117" i="7"/>
  <c r="C137" i="7"/>
  <c r="C138" i="7" s="1"/>
  <c r="U194" i="77" l="1"/>
  <c r="AC206" i="77"/>
  <c r="AM9" i="75"/>
  <c r="AI9" i="75"/>
  <c r="AN9" i="75"/>
  <c r="AJ9" i="75"/>
  <c r="AF9" i="75"/>
  <c r="AO9" i="75"/>
  <c r="AK9" i="75"/>
  <c r="AG9" i="75"/>
  <c r="AP9" i="75"/>
  <c r="AL9" i="75"/>
  <c r="AH9" i="75"/>
  <c r="U74" i="70"/>
  <c r="AC86" i="70"/>
  <c r="C118" i="7"/>
  <c r="C37" i="7"/>
  <c r="C101" i="7"/>
  <c r="C163" i="7"/>
  <c r="C60" i="7"/>
  <c r="C38" i="7"/>
  <c r="C139" i="7"/>
  <c r="C78" i="7"/>
  <c r="C119" i="7"/>
  <c r="C61" i="7"/>
  <c r="U206" i="77" l="1"/>
  <c r="AC218" i="77"/>
  <c r="AN10" i="75"/>
  <c r="AP10" i="75"/>
  <c r="AL10" i="75"/>
  <c r="AH10" i="75"/>
  <c r="AD11" i="75"/>
  <c r="AE13" i="75" s="1"/>
  <c r="AE14" i="75" s="1"/>
  <c r="AM10" i="75"/>
  <c r="AI10" i="75"/>
  <c r="AJ10" i="75"/>
  <c r="AF10" i="75"/>
  <c r="AO10" i="75"/>
  <c r="AK10" i="75"/>
  <c r="AG10" i="75"/>
  <c r="U86" i="70"/>
  <c r="AC98" i="70"/>
  <c r="C164" i="7"/>
  <c r="C102" i="7"/>
  <c r="C140" i="7"/>
  <c r="C165" i="7"/>
  <c r="C79" i="7"/>
  <c r="C80" i="7"/>
  <c r="C81" i="7" s="1"/>
  <c r="C39" i="7"/>
  <c r="C120" i="7"/>
  <c r="C62" i="7"/>
  <c r="C121" i="7"/>
  <c r="U218" i="77" l="1"/>
  <c r="AC230" i="77"/>
  <c r="AO11" i="75"/>
  <c r="AK11" i="75"/>
  <c r="AG11" i="75"/>
  <c r="AP11" i="75"/>
  <c r="AL11" i="75"/>
  <c r="AH11" i="75"/>
  <c r="AM11" i="75"/>
  <c r="AJ11" i="75"/>
  <c r="AI11" i="75"/>
  <c r="AN11" i="75"/>
  <c r="AF11" i="75"/>
  <c r="U98" i="70"/>
  <c r="AC110" i="70"/>
  <c r="C103" i="7"/>
  <c r="C63" i="7"/>
  <c r="C166" i="7"/>
  <c r="C64" i="7"/>
  <c r="C65" i="7"/>
  <c r="C40" i="7"/>
  <c r="C167" i="7"/>
  <c r="C82" i="7"/>
  <c r="C141" i="7"/>
  <c r="C104" i="7"/>
  <c r="C105" i="7"/>
  <c r="C122" i="7"/>
  <c r="C83" i="7"/>
  <c r="U230" i="77" l="1"/>
  <c r="AC242" i="77"/>
  <c r="AN12" i="75"/>
  <c r="AJ12" i="75"/>
  <c r="AF12" i="75"/>
  <c r="AO12" i="75"/>
  <c r="AK12" i="75"/>
  <c r="AG12" i="75"/>
  <c r="AP12" i="75"/>
  <c r="AL12" i="75"/>
  <c r="AH12" i="75"/>
  <c r="AD13" i="75"/>
  <c r="AE15" i="75" s="1"/>
  <c r="AE16" i="75" s="1"/>
  <c r="AM12" i="75"/>
  <c r="AI12" i="75"/>
  <c r="AC122" i="70"/>
  <c r="U110" i="70"/>
  <c r="C84" i="7"/>
  <c r="C20" i="7"/>
  <c r="C123" i="7"/>
  <c r="C124" i="7" s="1"/>
  <c r="C106" i="7"/>
  <c r="C168" i="7"/>
  <c r="C142" i="7"/>
  <c r="C125" i="7"/>
  <c r="C85" i="7"/>
  <c r="C126" i="7"/>
  <c r="C41" i="7"/>
  <c r="C66" i="7"/>
  <c r="C107" i="7"/>
  <c r="U242" i="77" l="1"/>
  <c r="AC254" i="77"/>
  <c r="AO13" i="75"/>
  <c r="AK13" i="75"/>
  <c r="AG13" i="75"/>
  <c r="AP13" i="75"/>
  <c r="AL13" i="75"/>
  <c r="AH13" i="75"/>
  <c r="AM13" i="75"/>
  <c r="AI13" i="75"/>
  <c r="AN13" i="75"/>
  <c r="AJ13" i="75"/>
  <c r="AF13" i="75"/>
  <c r="U122" i="70"/>
  <c r="AC134" i="70"/>
  <c r="C67" i="7"/>
  <c r="C86" i="7"/>
  <c r="C169" i="7"/>
  <c r="C87" i="7"/>
  <c r="C42" i="7"/>
  <c r="C143" i="7"/>
  <c r="C108" i="7"/>
  <c r="C127" i="7"/>
  <c r="U254" i="77" l="1"/>
  <c r="AC266" i="77"/>
  <c r="AN14" i="75"/>
  <c r="AJ14" i="75"/>
  <c r="AF14" i="75"/>
  <c r="AO14" i="75"/>
  <c r="AK14" i="75"/>
  <c r="AG14" i="75"/>
  <c r="AP14" i="75"/>
  <c r="AL14" i="75"/>
  <c r="AH14" i="75"/>
  <c r="AD15" i="75"/>
  <c r="AE17" i="75" s="1"/>
  <c r="AE18" i="75" s="1"/>
  <c r="AM14" i="75"/>
  <c r="AI14" i="75"/>
  <c r="U134" i="70"/>
  <c r="AC146" i="70"/>
  <c r="C144" i="7"/>
  <c r="C145" i="7" s="1"/>
  <c r="C43" i="7"/>
  <c r="C44" i="7" s="1"/>
  <c r="C45" i="7" s="1"/>
  <c r="C88" i="7"/>
  <c r="C170" i="7"/>
  <c r="C89" i="7"/>
  <c r="U266" i="77" l="1"/>
  <c r="AC278" i="77"/>
  <c r="AO15" i="75"/>
  <c r="AK15" i="75"/>
  <c r="AG15" i="75"/>
  <c r="AP15" i="75"/>
  <c r="AL15" i="75"/>
  <c r="AH15" i="75"/>
  <c r="AM15" i="75"/>
  <c r="AI15" i="75"/>
  <c r="AN15" i="75"/>
  <c r="AJ15" i="75"/>
  <c r="AF15" i="75"/>
  <c r="U146" i="70"/>
  <c r="AC158" i="70"/>
  <c r="C171" i="7"/>
  <c r="C172" i="7"/>
  <c r="C146" i="7"/>
  <c r="C173" i="7"/>
  <c r="U278" i="77" l="1"/>
  <c r="AC290" i="77"/>
  <c r="AN16" i="75"/>
  <c r="AJ16" i="75"/>
  <c r="AF16" i="75"/>
  <c r="AO16" i="75"/>
  <c r="AK16" i="75"/>
  <c r="AG16" i="75"/>
  <c r="AP16" i="75"/>
  <c r="AL16" i="75"/>
  <c r="AH16" i="75"/>
  <c r="AD17" i="75"/>
  <c r="AE19" i="75" s="1"/>
  <c r="AE20" i="75" s="1"/>
  <c r="AM16" i="75"/>
  <c r="AI16" i="75"/>
  <c r="U158" i="70"/>
  <c r="AC170" i="70"/>
  <c r="C174" i="7"/>
  <c r="U290" i="77" l="1"/>
  <c r="AC302" i="77"/>
  <c r="AO17" i="75"/>
  <c r="AK17" i="75"/>
  <c r="AG17" i="75"/>
  <c r="AP17" i="75"/>
  <c r="AL17" i="75"/>
  <c r="AH17" i="75"/>
  <c r="AM17" i="75"/>
  <c r="AI17" i="75"/>
  <c r="AN17" i="75"/>
  <c r="AJ17" i="75"/>
  <c r="AF17" i="75"/>
  <c r="U170" i="70"/>
  <c r="AC182" i="70"/>
  <c r="C175" i="7"/>
  <c r="C176" i="7" s="1"/>
  <c r="C177" i="7" s="1"/>
  <c r="C178" i="7" s="1"/>
  <c r="C179" i="7"/>
  <c r="C180" i="7" s="1"/>
  <c r="C181" i="7"/>
  <c r="U302" i="77" l="1"/>
  <c r="AC314" i="77"/>
  <c r="AN18" i="75"/>
  <c r="AJ18" i="75"/>
  <c r="AF18" i="75"/>
  <c r="AO18" i="75"/>
  <c r="AK18" i="75"/>
  <c r="AG18" i="75"/>
  <c r="AP18" i="75"/>
  <c r="AL18" i="75"/>
  <c r="AH18" i="75"/>
  <c r="AD19" i="75"/>
  <c r="AE21" i="75" s="1"/>
  <c r="AE22" i="75" s="1"/>
  <c r="AM18" i="75"/>
  <c r="AI18" i="75"/>
  <c r="U182" i="70"/>
  <c r="AC194" i="70"/>
  <c r="C182" i="7"/>
  <c r="U314" i="77" l="1"/>
  <c r="AC326" i="77"/>
  <c r="AO19" i="75"/>
  <c r="AK19" i="75"/>
  <c r="AG19" i="75"/>
  <c r="AP19" i="75"/>
  <c r="AL19" i="75"/>
  <c r="AH19" i="75"/>
  <c r="AM19" i="75"/>
  <c r="AI19" i="75"/>
  <c r="AN19" i="75"/>
  <c r="AJ19" i="75"/>
  <c r="AF19" i="75"/>
  <c r="AC206" i="70"/>
  <c r="U194" i="70"/>
  <c r="C183" i="7"/>
  <c r="C184" i="7"/>
  <c r="AC338" i="77" l="1"/>
  <c r="U326" i="77"/>
  <c r="AP20" i="75"/>
  <c r="AL20" i="75"/>
  <c r="AH20" i="75"/>
  <c r="AD21" i="75"/>
  <c r="AE23" i="75" s="1"/>
  <c r="AE24" i="75" s="1"/>
  <c r="AM20" i="75"/>
  <c r="AI20" i="75"/>
  <c r="AN20" i="75"/>
  <c r="AJ20" i="75"/>
  <c r="AF20" i="75"/>
  <c r="AO20" i="75"/>
  <c r="AK20" i="75"/>
  <c r="AG20" i="75"/>
  <c r="AC218" i="70"/>
  <c r="U206" i="70"/>
  <c r="C185" i="7"/>
  <c r="C186" i="7" s="1"/>
  <c r="AC350" i="77" l="1"/>
  <c r="U338" i="77"/>
  <c r="AM21" i="75"/>
  <c r="AI21" i="75"/>
  <c r="AN21" i="75"/>
  <c r="AJ21" i="75"/>
  <c r="AF21" i="75"/>
  <c r="AO21" i="75"/>
  <c r="AK21" i="75"/>
  <c r="AG21" i="75"/>
  <c r="AP21" i="75"/>
  <c r="AL21" i="75"/>
  <c r="AH21" i="75"/>
  <c r="AC230" i="70"/>
  <c r="U218" i="70"/>
  <c r="C187" i="7"/>
  <c r="C188" i="7"/>
  <c r="AD116" i="77" l="1"/>
  <c r="AD257" i="77"/>
  <c r="AD150" i="77"/>
  <c r="AD153" i="77"/>
  <c r="AD210" i="77"/>
  <c r="AD69" i="77"/>
  <c r="AD80" i="77"/>
  <c r="AD141" i="77"/>
  <c r="AD162" i="77"/>
  <c r="AD272" i="77"/>
  <c r="AD189" i="77"/>
  <c r="AD104" i="77"/>
  <c r="AD250" i="77"/>
  <c r="AD161" i="77"/>
  <c r="AD285" i="77"/>
  <c r="AD90" i="77"/>
  <c r="AD175" i="77"/>
  <c r="AD101" i="77"/>
  <c r="AD260" i="77"/>
  <c r="AD305" i="77"/>
  <c r="AD321" i="77"/>
  <c r="AD176" i="77"/>
  <c r="AD125" i="77"/>
  <c r="AD127" i="77"/>
  <c r="AD30" i="77"/>
  <c r="AD221" i="77"/>
  <c r="AD151" i="77"/>
  <c r="AD91" i="77"/>
  <c r="AD261" i="77"/>
  <c r="AD140" i="77"/>
  <c r="AD106" i="77"/>
  <c r="AD233" i="77"/>
  <c r="AD6" i="77"/>
  <c r="AD46" i="77"/>
  <c r="AD259" i="77"/>
  <c r="AD65" i="77"/>
  <c r="AD68" i="77"/>
  <c r="AD213" i="77"/>
  <c r="AD79" i="77"/>
  <c r="AD295" i="77"/>
  <c r="AD320" i="77"/>
  <c r="AD329" i="77"/>
  <c r="AD126" i="77"/>
  <c r="AD149" i="77"/>
  <c r="AD178" i="77"/>
  <c r="AD222" i="77"/>
  <c r="AD202" i="77"/>
  <c r="AD31" i="77"/>
  <c r="AD262" i="77"/>
  <c r="AD130" i="77"/>
  <c r="AD129" i="77"/>
  <c r="AD154" i="77"/>
  <c r="AD186" i="77"/>
  <c r="AD282" i="77"/>
  <c r="AD246" i="77"/>
  <c r="AD187" i="77"/>
  <c r="AD44" i="77"/>
  <c r="AD214" i="77"/>
  <c r="AD81" i="77"/>
  <c r="AD248" i="77"/>
  <c r="AD294" i="77"/>
  <c r="AD317" i="77"/>
  <c r="AD137" i="77"/>
  <c r="AD117" i="77"/>
  <c r="AD53" i="77"/>
  <c r="AD190" i="77"/>
  <c r="AD297" i="77"/>
  <c r="AD223" i="77"/>
  <c r="AD19" i="77"/>
  <c r="AD78" i="77"/>
  <c r="AD94" i="77"/>
  <c r="AD20" i="77"/>
  <c r="AD273" i="77"/>
  <c r="AD235" i="77"/>
  <c r="AD102" i="77"/>
  <c r="AD56" i="77"/>
  <c r="AD9" i="77"/>
  <c r="AD166" i="77"/>
  <c r="AD209" i="77"/>
  <c r="AD17" i="77"/>
  <c r="AD286" i="77"/>
  <c r="AD318" i="77"/>
  <c r="AD334" i="77"/>
  <c r="AD332" i="77"/>
  <c r="AD343" i="77"/>
  <c r="AD345" i="77"/>
  <c r="AD346" i="77"/>
  <c r="AD258" i="77"/>
  <c r="AD8" i="77"/>
  <c r="AD5" i="77"/>
  <c r="AD226" i="77"/>
  <c r="AD298" i="77"/>
  <c r="AD201" i="77"/>
  <c r="AD165" i="77"/>
  <c r="AD41" i="77"/>
  <c r="AD45" i="77"/>
  <c r="AD307" i="77"/>
  <c r="AD18" i="77"/>
  <c r="AD198" i="77"/>
  <c r="AD234" i="77"/>
  <c r="AD70" i="77"/>
  <c r="AD82" i="77"/>
  <c r="AD185" i="77"/>
  <c r="AD32" i="77"/>
  <c r="AD271" i="77"/>
  <c r="AD247" i="77"/>
  <c r="AD322" i="77"/>
  <c r="AD67" i="77"/>
  <c r="AD77" i="77"/>
  <c r="AD173" i="77"/>
  <c r="AD152" i="77"/>
  <c r="AD281" i="77"/>
  <c r="AD224" i="77"/>
  <c r="AD10" i="77"/>
  <c r="AD103" i="77"/>
  <c r="AD115" i="77"/>
  <c r="AD308" i="77"/>
  <c r="AD164" i="77"/>
  <c r="AD236" i="77"/>
  <c r="AD199" i="77"/>
  <c r="AD138" i="77"/>
  <c r="AD58" i="77"/>
  <c r="AD128" i="77"/>
  <c r="AD284" i="77"/>
  <c r="AD211" i="77"/>
  <c r="AD93" i="77"/>
  <c r="AD306" i="77"/>
  <c r="AD333" i="77"/>
  <c r="AD113" i="77"/>
  <c r="AD34" i="77"/>
  <c r="AD57" i="77"/>
  <c r="AD269" i="77"/>
  <c r="AD225" i="77"/>
  <c r="AD188" i="77"/>
  <c r="AD42" i="77"/>
  <c r="AD114" i="77"/>
  <c r="AD118" i="77"/>
  <c r="AD296" i="77"/>
  <c r="AD43" i="77"/>
  <c r="AD200" i="77"/>
  <c r="AD245" i="77"/>
  <c r="AD33" i="77"/>
  <c r="AD163" i="77"/>
  <c r="AD274" i="77"/>
  <c r="AD197" i="77"/>
  <c r="AD89" i="77"/>
  <c r="AD249" i="77"/>
  <c r="AD309" i="77"/>
  <c r="AD66" i="77"/>
  <c r="AD142" i="77"/>
  <c r="AD270" i="77"/>
  <c r="AD55" i="77"/>
  <c r="AD177" i="77"/>
  <c r="AD238" i="77"/>
  <c r="AD105" i="77"/>
  <c r="AD174" i="77"/>
  <c r="AD92" i="77"/>
  <c r="AD283" i="77"/>
  <c r="AD22" i="77"/>
  <c r="AD237" i="77"/>
  <c r="AD7" i="77"/>
  <c r="AD54" i="77"/>
  <c r="AD293" i="77"/>
  <c r="AD29" i="77"/>
  <c r="AD21" i="77"/>
  <c r="AD212" i="77"/>
  <c r="AD139" i="77"/>
  <c r="AD310" i="77"/>
  <c r="AD319" i="77"/>
  <c r="AD331" i="77"/>
  <c r="AD330" i="77"/>
  <c r="AD342" i="77"/>
  <c r="AD341" i="77"/>
  <c r="AD344" i="77"/>
  <c r="U350" i="77"/>
  <c r="AD357" i="77"/>
  <c r="AD353" i="77"/>
  <c r="AD356" i="77"/>
  <c r="AD354" i="77"/>
  <c r="AD355" i="77"/>
  <c r="AD358" i="77"/>
  <c r="AN22" i="75"/>
  <c r="AJ22" i="75"/>
  <c r="AF22" i="75"/>
  <c r="AO22" i="75"/>
  <c r="AK22" i="75"/>
  <c r="AG22" i="75"/>
  <c r="AI22" i="75"/>
  <c r="AP22" i="75"/>
  <c r="AL22" i="75"/>
  <c r="AH22" i="75"/>
  <c r="AD23" i="75"/>
  <c r="AE25" i="75" s="1"/>
  <c r="AE26" i="75" s="1"/>
  <c r="AM22" i="75"/>
  <c r="AD102" i="70"/>
  <c r="AD56" i="70"/>
  <c r="AD237" i="70"/>
  <c r="AD211" i="70"/>
  <c r="AD31" i="70"/>
  <c r="AD200" i="70"/>
  <c r="AD189" i="70"/>
  <c r="AD233" i="70"/>
  <c r="AD126" i="70"/>
  <c r="AD173" i="70"/>
  <c r="AD69" i="70"/>
  <c r="AD19" i="70"/>
  <c r="AD201" i="70"/>
  <c r="AD162" i="70"/>
  <c r="AD53" i="70"/>
  <c r="AD188" i="70"/>
  <c r="AD149" i="70"/>
  <c r="AD176" i="70"/>
  <c r="AD151" i="70"/>
  <c r="AD214" i="70"/>
  <c r="AD210" i="70"/>
  <c r="AD213" i="70"/>
  <c r="AD8" i="70"/>
  <c r="AD199" i="70"/>
  <c r="AD54" i="70"/>
  <c r="AD127" i="70"/>
  <c r="AD93" i="70"/>
  <c r="AD115" i="70"/>
  <c r="AD92" i="70"/>
  <c r="AD106" i="70"/>
  <c r="AD78" i="70"/>
  <c r="AD77" i="70"/>
  <c r="AD130" i="70"/>
  <c r="AD117" i="70"/>
  <c r="AD114" i="70"/>
  <c r="AD57" i="70"/>
  <c r="AD113" i="70"/>
  <c r="AD116" i="70"/>
  <c r="AD46" i="70"/>
  <c r="AD17" i="70"/>
  <c r="AD65" i="70"/>
  <c r="AD139" i="70"/>
  <c r="AD128" i="70"/>
  <c r="AD70" i="70"/>
  <c r="AD137" i="70"/>
  <c r="AD103" i="70"/>
  <c r="AD79" i="70"/>
  <c r="AD150" i="70"/>
  <c r="AD104" i="70"/>
  <c r="AD45" i="70"/>
  <c r="AD58" i="70"/>
  <c r="AD222" i="70"/>
  <c r="AD226" i="70"/>
  <c r="AD224" i="70"/>
  <c r="AD223" i="70"/>
  <c r="AD153" i="70"/>
  <c r="AD238" i="70"/>
  <c r="AD197" i="70"/>
  <c r="AD94" i="70"/>
  <c r="AD81" i="70"/>
  <c r="AD44" i="70"/>
  <c r="AD202" i="70"/>
  <c r="AD67" i="70"/>
  <c r="AD198" i="70"/>
  <c r="AD142" i="70"/>
  <c r="AD82" i="70"/>
  <c r="AD33" i="70"/>
  <c r="AD34" i="70"/>
  <c r="AD190" i="70"/>
  <c r="AD178" i="70"/>
  <c r="AD29" i="70"/>
  <c r="AD42" i="70"/>
  <c r="AD212" i="70"/>
  <c r="AD90" i="70"/>
  <c r="AD55" i="70"/>
  <c r="AD161" i="70"/>
  <c r="AD164" i="70"/>
  <c r="AD91" i="70"/>
  <c r="AD166" i="70"/>
  <c r="AD140" i="70"/>
  <c r="AD30" i="70"/>
  <c r="AD163" i="70"/>
  <c r="AD129" i="70"/>
  <c r="AD9" i="70"/>
  <c r="AD152" i="70"/>
  <c r="AD175" i="70"/>
  <c r="AD105" i="70"/>
  <c r="AD165" i="70"/>
  <c r="AD209" i="70"/>
  <c r="AD20" i="70"/>
  <c r="AD18" i="70"/>
  <c r="AD138" i="70"/>
  <c r="AD235" i="70"/>
  <c r="AD101" i="70"/>
  <c r="AD10" i="70"/>
  <c r="AD154" i="70"/>
  <c r="AD125" i="70"/>
  <c r="AD66" i="70"/>
  <c r="AD225" i="70"/>
  <c r="AD80" i="70"/>
  <c r="AD236" i="70"/>
  <c r="AD118" i="70"/>
  <c r="AD5" i="70"/>
  <c r="AD7" i="70"/>
  <c r="AD185" i="70"/>
  <c r="AD68" i="70"/>
  <c r="AD186" i="70"/>
  <c r="AD21" i="70"/>
  <c r="AD32" i="70"/>
  <c r="AD141" i="70"/>
  <c r="AD89" i="70"/>
  <c r="AD177" i="70"/>
  <c r="AD234" i="70"/>
  <c r="AD43" i="70"/>
  <c r="AD221" i="70"/>
  <c r="AD6" i="70"/>
  <c r="AD22" i="70"/>
  <c r="AD174" i="70"/>
  <c r="AD187" i="70"/>
  <c r="AD41" i="70"/>
  <c r="AC242" i="70"/>
  <c r="AD250" i="70" s="1"/>
  <c r="U230" i="70"/>
  <c r="E355" i="77" l="1"/>
  <c r="A355" i="77"/>
  <c r="F355" i="77"/>
  <c r="B355" i="77"/>
  <c r="F356" i="77"/>
  <c r="B356" i="77"/>
  <c r="E356" i="77"/>
  <c r="A356" i="77"/>
  <c r="E357" i="77"/>
  <c r="A357" i="77"/>
  <c r="F357" i="77"/>
  <c r="B357" i="77"/>
  <c r="F344" i="77"/>
  <c r="B344" i="77"/>
  <c r="E344" i="77"/>
  <c r="A344" i="77"/>
  <c r="F342" i="77"/>
  <c r="B342" i="77"/>
  <c r="E342" i="77"/>
  <c r="A342" i="77"/>
  <c r="E331" i="77"/>
  <c r="B331" i="77"/>
  <c r="F331" i="77"/>
  <c r="A331" i="77"/>
  <c r="E310" i="77"/>
  <c r="A310" i="77"/>
  <c r="F310" i="77"/>
  <c r="B310" i="77"/>
  <c r="E212" i="77"/>
  <c r="A212" i="77"/>
  <c r="F212" i="77"/>
  <c r="B212" i="77"/>
  <c r="F29" i="77"/>
  <c r="U25" i="77"/>
  <c r="E29" i="77"/>
  <c r="A29" i="77"/>
  <c r="F54" i="77"/>
  <c r="B54" i="77"/>
  <c r="E54" i="77"/>
  <c r="A54" i="77"/>
  <c r="F237" i="77"/>
  <c r="B237" i="77"/>
  <c r="A237" i="77"/>
  <c r="E237" i="77"/>
  <c r="F283" i="77"/>
  <c r="B283" i="77"/>
  <c r="E283" i="77"/>
  <c r="A283" i="77"/>
  <c r="E174" i="77"/>
  <c r="A174" i="77"/>
  <c r="F174" i="77"/>
  <c r="B174" i="77"/>
  <c r="E238" i="77"/>
  <c r="A238" i="77"/>
  <c r="F238" i="77"/>
  <c r="B238" i="77"/>
  <c r="E55" i="77"/>
  <c r="A55" i="77"/>
  <c r="F55" i="77"/>
  <c r="B55" i="77"/>
  <c r="F142" i="77"/>
  <c r="B142" i="77"/>
  <c r="E142" i="77"/>
  <c r="A142" i="77"/>
  <c r="F309" i="77"/>
  <c r="B309" i="77"/>
  <c r="E309" i="77"/>
  <c r="A309" i="77"/>
  <c r="F89" i="77"/>
  <c r="B89" i="77"/>
  <c r="U85" i="77"/>
  <c r="E89" i="77"/>
  <c r="A89" i="77"/>
  <c r="E274" i="77"/>
  <c r="A274" i="77"/>
  <c r="F274" i="77"/>
  <c r="B274" i="77"/>
  <c r="F33" i="77"/>
  <c r="B33" i="77"/>
  <c r="E33" i="77"/>
  <c r="A33" i="77"/>
  <c r="E200" i="77"/>
  <c r="A200" i="77"/>
  <c r="B200" i="77"/>
  <c r="F200" i="77"/>
  <c r="E296" i="77"/>
  <c r="A296" i="77"/>
  <c r="F296" i="77"/>
  <c r="B296" i="77"/>
  <c r="E114" i="77"/>
  <c r="A114" i="77"/>
  <c r="F114" i="77"/>
  <c r="B114" i="77"/>
  <c r="E188" i="77"/>
  <c r="A188" i="77"/>
  <c r="F188" i="77"/>
  <c r="B188" i="77"/>
  <c r="F269" i="77"/>
  <c r="B269" i="77"/>
  <c r="U265" i="77"/>
  <c r="E269" i="77"/>
  <c r="A269" i="77"/>
  <c r="E34" i="77"/>
  <c r="A34" i="77"/>
  <c r="F34" i="77"/>
  <c r="B34" i="77"/>
  <c r="E333" i="77"/>
  <c r="A333" i="77"/>
  <c r="F333" i="77"/>
  <c r="B333" i="77"/>
  <c r="F93" i="77"/>
  <c r="B93" i="77"/>
  <c r="E93" i="77"/>
  <c r="A93" i="77"/>
  <c r="E284" i="77"/>
  <c r="A284" i="77"/>
  <c r="F284" i="77"/>
  <c r="B284" i="77"/>
  <c r="F58" i="77"/>
  <c r="B58" i="77"/>
  <c r="E58" i="77"/>
  <c r="A58" i="77"/>
  <c r="F199" i="77"/>
  <c r="B199" i="77"/>
  <c r="E199" i="77"/>
  <c r="A199" i="77"/>
  <c r="F164" i="77"/>
  <c r="B164" i="77"/>
  <c r="E164" i="77"/>
  <c r="A164" i="77"/>
  <c r="F115" i="77"/>
  <c r="B115" i="77"/>
  <c r="E115" i="77"/>
  <c r="A115" i="77"/>
  <c r="F10" i="77"/>
  <c r="B10" i="77"/>
  <c r="E10" i="77"/>
  <c r="A10" i="77"/>
  <c r="F281" i="77"/>
  <c r="B281" i="77"/>
  <c r="U277" i="77"/>
  <c r="E281" i="77"/>
  <c r="A281" i="77"/>
  <c r="E173" i="77"/>
  <c r="A173" i="77"/>
  <c r="F173" i="77"/>
  <c r="B173" i="77"/>
  <c r="U169" i="77"/>
  <c r="F67" i="77"/>
  <c r="B67" i="77"/>
  <c r="E67" i="77"/>
  <c r="A67" i="77"/>
  <c r="F247" i="77"/>
  <c r="B247" i="77"/>
  <c r="E247" i="77"/>
  <c r="A247" i="77"/>
  <c r="F32" i="77"/>
  <c r="E32" i="77"/>
  <c r="A32" i="77"/>
  <c r="B32" i="77"/>
  <c r="E82" i="77"/>
  <c r="A82" i="77"/>
  <c r="F82" i="77"/>
  <c r="B82" i="77"/>
  <c r="E234" i="77"/>
  <c r="A234" i="77"/>
  <c r="F234" i="77"/>
  <c r="B234" i="77"/>
  <c r="E18" i="77"/>
  <c r="A18" i="77"/>
  <c r="F18" i="77"/>
  <c r="E45" i="77"/>
  <c r="A45" i="77"/>
  <c r="F45" i="77"/>
  <c r="B45" i="77"/>
  <c r="E165" i="77"/>
  <c r="A165" i="77"/>
  <c r="F165" i="77"/>
  <c r="B165" i="77"/>
  <c r="E298" i="77"/>
  <c r="A298" i="77"/>
  <c r="F298" i="77"/>
  <c r="B298" i="77"/>
  <c r="A5" i="77"/>
  <c r="F5" i="77"/>
  <c r="AC3" i="77"/>
  <c r="U1" i="77"/>
  <c r="E5" i="77"/>
  <c r="E258" i="77"/>
  <c r="A258" i="77"/>
  <c r="F258" i="77"/>
  <c r="B258" i="77"/>
  <c r="E345" i="77"/>
  <c r="A345" i="77"/>
  <c r="F345" i="77"/>
  <c r="B345" i="77"/>
  <c r="F332" i="77"/>
  <c r="B332" i="77"/>
  <c r="E332" i="77"/>
  <c r="A332" i="77"/>
  <c r="E318" i="77"/>
  <c r="A318" i="77"/>
  <c r="F318" i="77"/>
  <c r="B318" i="77"/>
  <c r="AC351" i="77"/>
  <c r="AC339" i="77"/>
  <c r="AC327" i="77"/>
  <c r="AC315" i="77"/>
  <c r="AC303" i="77"/>
  <c r="AC291" i="77"/>
  <c r="AC279" i="77"/>
  <c r="AC267" i="77"/>
  <c r="AC255" i="77"/>
  <c r="AC243" i="77"/>
  <c r="AC231" i="77"/>
  <c r="AC219" i="77"/>
  <c r="AC207" i="77"/>
  <c r="AC195" i="77"/>
  <c r="AC183" i="77"/>
  <c r="AC171" i="77"/>
  <c r="AC159" i="77"/>
  <c r="AC147" i="77"/>
  <c r="AC135" i="77"/>
  <c r="AC123" i="77"/>
  <c r="AC111" i="77"/>
  <c r="AC99" i="77"/>
  <c r="AC87" i="77"/>
  <c r="AC75" i="77"/>
  <c r="AC63" i="77"/>
  <c r="E17" i="77"/>
  <c r="A17" i="77"/>
  <c r="AC51" i="77"/>
  <c r="AC27" i="77"/>
  <c r="F17" i="77"/>
  <c r="AC15" i="77"/>
  <c r="U13" i="77"/>
  <c r="AC39" i="77"/>
  <c r="F166" i="77"/>
  <c r="B166" i="77"/>
  <c r="E166" i="77"/>
  <c r="A166" i="77"/>
  <c r="F56" i="77"/>
  <c r="B56" i="77"/>
  <c r="E56" i="77"/>
  <c r="A56" i="77"/>
  <c r="F235" i="77"/>
  <c r="B235" i="77"/>
  <c r="E235" i="77"/>
  <c r="A235" i="77"/>
  <c r="E20" i="77"/>
  <c r="A20" i="77"/>
  <c r="F20" i="77"/>
  <c r="B20" i="77"/>
  <c r="E78" i="77"/>
  <c r="A78" i="77"/>
  <c r="F78" i="77"/>
  <c r="B78" i="77"/>
  <c r="F223" i="77"/>
  <c r="B223" i="77"/>
  <c r="E223" i="77"/>
  <c r="A223" i="77"/>
  <c r="E190" i="77"/>
  <c r="A190" i="77"/>
  <c r="F190" i="77"/>
  <c r="B190" i="77"/>
  <c r="E117" i="77"/>
  <c r="A117" i="77"/>
  <c r="F117" i="77"/>
  <c r="B117" i="77"/>
  <c r="F317" i="77"/>
  <c r="B317" i="77"/>
  <c r="U313" i="77"/>
  <c r="E317" i="77"/>
  <c r="A317" i="77"/>
  <c r="E248" i="77"/>
  <c r="A248" i="77"/>
  <c r="B248" i="77"/>
  <c r="F248" i="77"/>
  <c r="E214" i="77"/>
  <c r="A214" i="77"/>
  <c r="F214" i="77"/>
  <c r="B214" i="77"/>
  <c r="F187" i="77"/>
  <c r="B187" i="77"/>
  <c r="E187" i="77"/>
  <c r="A187" i="77"/>
  <c r="E282" i="77"/>
  <c r="A282" i="77"/>
  <c r="F282" i="77"/>
  <c r="B282" i="77"/>
  <c r="F154" i="77"/>
  <c r="B154" i="77"/>
  <c r="E154" i="77"/>
  <c r="A154" i="77"/>
  <c r="F130" i="77"/>
  <c r="B130" i="77"/>
  <c r="E130" i="77"/>
  <c r="A130" i="77"/>
  <c r="E31" i="77"/>
  <c r="A31" i="77"/>
  <c r="F31" i="77"/>
  <c r="B31" i="77"/>
  <c r="E222" i="77"/>
  <c r="A222" i="77"/>
  <c r="F222" i="77"/>
  <c r="B222" i="77"/>
  <c r="E149" i="77"/>
  <c r="A149" i="77"/>
  <c r="F149" i="77"/>
  <c r="B149" i="77"/>
  <c r="U145" i="77"/>
  <c r="F329" i="77"/>
  <c r="B329" i="77"/>
  <c r="U325" i="77"/>
  <c r="E329" i="77"/>
  <c r="A329" i="77"/>
  <c r="F295" i="77"/>
  <c r="B295" i="77"/>
  <c r="E295" i="77"/>
  <c r="A295" i="77"/>
  <c r="F213" i="77"/>
  <c r="B213" i="77"/>
  <c r="A213" i="77"/>
  <c r="E213" i="77"/>
  <c r="F65" i="77"/>
  <c r="E65" i="77"/>
  <c r="A65" i="77"/>
  <c r="U61" i="77"/>
  <c r="F46" i="77"/>
  <c r="B46" i="77"/>
  <c r="E46" i="77"/>
  <c r="A46" i="77"/>
  <c r="F233" i="77"/>
  <c r="B233" i="77"/>
  <c r="U229" i="77"/>
  <c r="E233" i="77"/>
  <c r="A233" i="77"/>
  <c r="F140" i="77"/>
  <c r="B140" i="77"/>
  <c r="E140" i="77"/>
  <c r="A140" i="77"/>
  <c r="F91" i="77"/>
  <c r="B91" i="77"/>
  <c r="E91" i="77"/>
  <c r="A91" i="77"/>
  <c r="F221" i="77"/>
  <c r="B221" i="77"/>
  <c r="U217" i="77"/>
  <c r="A221" i="77"/>
  <c r="E221" i="77"/>
  <c r="E127" i="77"/>
  <c r="A127" i="77"/>
  <c r="F127" i="77"/>
  <c r="B127" i="77"/>
  <c r="E176" i="77"/>
  <c r="A176" i="77"/>
  <c r="F176" i="77"/>
  <c r="B176" i="77"/>
  <c r="F305" i="77"/>
  <c r="B305" i="77"/>
  <c r="U301" i="77"/>
  <c r="E305" i="77"/>
  <c r="A305" i="77"/>
  <c r="F101" i="77"/>
  <c r="B101" i="77"/>
  <c r="U97" i="77"/>
  <c r="E101" i="77"/>
  <c r="A101" i="77"/>
  <c r="E90" i="77"/>
  <c r="A90" i="77"/>
  <c r="F90" i="77"/>
  <c r="B90" i="77"/>
  <c r="E161" i="77"/>
  <c r="A161" i="77"/>
  <c r="F161" i="77"/>
  <c r="B161" i="77"/>
  <c r="U157" i="77"/>
  <c r="E104" i="77"/>
  <c r="A104" i="77"/>
  <c r="F104" i="77"/>
  <c r="B104" i="77"/>
  <c r="E272" i="77"/>
  <c r="A272" i="77"/>
  <c r="F272" i="77"/>
  <c r="B272" i="77"/>
  <c r="E141" i="77"/>
  <c r="A141" i="77"/>
  <c r="F141" i="77"/>
  <c r="B141" i="77"/>
  <c r="F69" i="77"/>
  <c r="B69" i="77"/>
  <c r="E69" i="77"/>
  <c r="A69" i="77"/>
  <c r="E153" i="77"/>
  <c r="A153" i="77"/>
  <c r="F153" i="77"/>
  <c r="B153" i="77"/>
  <c r="F257" i="77"/>
  <c r="B257" i="77"/>
  <c r="U253" i="77"/>
  <c r="E257" i="77"/>
  <c r="A257" i="77"/>
  <c r="F358" i="77"/>
  <c r="B358" i="77"/>
  <c r="E358" i="77"/>
  <c r="A358" i="77"/>
  <c r="F354" i="77"/>
  <c r="B354" i="77"/>
  <c r="E354" i="77"/>
  <c r="A354" i="77"/>
  <c r="E353" i="77"/>
  <c r="A353" i="77"/>
  <c r="F353" i="77"/>
  <c r="B353" i="77"/>
  <c r="U349" i="77"/>
  <c r="E341" i="77"/>
  <c r="A341" i="77"/>
  <c r="F341" i="77"/>
  <c r="B341" i="77"/>
  <c r="U337" i="77"/>
  <c r="E330" i="77"/>
  <c r="A330" i="77"/>
  <c r="F330" i="77"/>
  <c r="B330" i="77"/>
  <c r="F319" i="77"/>
  <c r="B319" i="77"/>
  <c r="E319" i="77"/>
  <c r="A319" i="77"/>
  <c r="E139" i="77"/>
  <c r="A139" i="77"/>
  <c r="F139" i="77"/>
  <c r="B139" i="77"/>
  <c r="E21" i="77"/>
  <c r="A21" i="77"/>
  <c r="F21" i="77"/>
  <c r="B21" i="77"/>
  <c r="F293" i="77"/>
  <c r="B293" i="77"/>
  <c r="U289" i="77"/>
  <c r="E293" i="77"/>
  <c r="A293" i="77"/>
  <c r="E7" i="77"/>
  <c r="A7" i="77"/>
  <c r="F7" i="77"/>
  <c r="B7" i="77"/>
  <c r="F22" i="77"/>
  <c r="E22" i="77"/>
  <c r="A22" i="77"/>
  <c r="B22" i="77"/>
  <c r="E92" i="77"/>
  <c r="A92" i="77"/>
  <c r="F92" i="77"/>
  <c r="B92" i="77"/>
  <c r="F105" i="77"/>
  <c r="B105" i="77"/>
  <c r="E105" i="77"/>
  <c r="A105" i="77"/>
  <c r="F177" i="77"/>
  <c r="B177" i="77"/>
  <c r="E177" i="77"/>
  <c r="A177" i="77"/>
  <c r="E270" i="77"/>
  <c r="A270" i="77"/>
  <c r="F270" i="77"/>
  <c r="B270" i="77"/>
  <c r="E66" i="77"/>
  <c r="A66" i="77"/>
  <c r="F66" i="77"/>
  <c r="F249" i="77"/>
  <c r="B249" i="77"/>
  <c r="E249" i="77"/>
  <c r="A249" i="77"/>
  <c r="F197" i="77"/>
  <c r="B197" i="77"/>
  <c r="U193" i="77"/>
  <c r="A197" i="77"/>
  <c r="E197" i="77"/>
  <c r="E163" i="77"/>
  <c r="A163" i="77"/>
  <c r="F163" i="77"/>
  <c r="B163" i="77"/>
  <c r="F245" i="77"/>
  <c r="B245" i="77"/>
  <c r="U241" i="77"/>
  <c r="A245" i="77"/>
  <c r="E245" i="77"/>
  <c r="B43" i="77"/>
  <c r="E43" i="77"/>
  <c r="A43" i="77"/>
  <c r="F43" i="77"/>
  <c r="F118" i="77"/>
  <c r="B118" i="77"/>
  <c r="E118" i="77"/>
  <c r="A118" i="77"/>
  <c r="F42" i="77"/>
  <c r="B42" i="77"/>
  <c r="E42" i="77"/>
  <c r="A42" i="77"/>
  <c r="F225" i="77"/>
  <c r="B225" i="77"/>
  <c r="E225" i="77"/>
  <c r="A225" i="77"/>
  <c r="E57" i="77"/>
  <c r="A57" i="77"/>
  <c r="F57" i="77"/>
  <c r="B57" i="77"/>
  <c r="F113" i="77"/>
  <c r="B113" i="77"/>
  <c r="U109" i="77"/>
  <c r="E113" i="77"/>
  <c r="A113" i="77"/>
  <c r="E306" i="77"/>
  <c r="A306" i="77"/>
  <c r="F306" i="77"/>
  <c r="B306" i="77"/>
  <c r="F211" i="77"/>
  <c r="B211" i="77"/>
  <c r="E211" i="77"/>
  <c r="A211" i="77"/>
  <c r="F128" i="77"/>
  <c r="B128" i="77"/>
  <c r="E128" i="77"/>
  <c r="A128" i="77"/>
  <c r="F138" i="77"/>
  <c r="B138" i="77"/>
  <c r="E138" i="77"/>
  <c r="A138" i="77"/>
  <c r="E236" i="77"/>
  <c r="A236" i="77"/>
  <c r="F236" i="77"/>
  <c r="B236" i="77"/>
  <c r="E308" i="77"/>
  <c r="A308" i="77"/>
  <c r="F308" i="77"/>
  <c r="B308" i="77"/>
  <c r="F103" i="77"/>
  <c r="B103" i="77"/>
  <c r="E103" i="77"/>
  <c r="A103" i="77"/>
  <c r="E224" i="77"/>
  <c r="A224" i="77"/>
  <c r="B224" i="77"/>
  <c r="F224" i="77"/>
  <c r="F152" i="77"/>
  <c r="B152" i="77"/>
  <c r="E152" i="77"/>
  <c r="A152" i="77"/>
  <c r="F77" i="77"/>
  <c r="B77" i="77"/>
  <c r="U73" i="77"/>
  <c r="E77" i="77"/>
  <c r="A77" i="77"/>
  <c r="E322" i="77"/>
  <c r="A322" i="77"/>
  <c r="F322" i="77"/>
  <c r="B322" i="77"/>
  <c r="F271" i="77"/>
  <c r="B271" i="77"/>
  <c r="E271" i="77"/>
  <c r="A271" i="77"/>
  <c r="F185" i="77"/>
  <c r="B185" i="77"/>
  <c r="U181" i="77"/>
  <c r="E185" i="77"/>
  <c r="A185" i="77"/>
  <c r="E70" i="77"/>
  <c r="A70" i="77"/>
  <c r="F70" i="77"/>
  <c r="B70" i="77"/>
  <c r="E198" i="77"/>
  <c r="A198" i="77"/>
  <c r="F198" i="77"/>
  <c r="B198" i="77"/>
  <c r="F307" i="77"/>
  <c r="B307" i="77"/>
  <c r="E307" i="77"/>
  <c r="A307" i="77"/>
  <c r="E41" i="77"/>
  <c r="A41" i="77"/>
  <c r="U37" i="77"/>
  <c r="F41" i="77"/>
  <c r="F201" i="77"/>
  <c r="B201" i="77"/>
  <c r="E201" i="77"/>
  <c r="A201" i="77"/>
  <c r="E226" i="77"/>
  <c r="A226" i="77"/>
  <c r="F226" i="77"/>
  <c r="B226" i="77"/>
  <c r="F8" i="77"/>
  <c r="B8" i="77"/>
  <c r="E8" i="77"/>
  <c r="A8" i="77"/>
  <c r="F346" i="77"/>
  <c r="B346" i="77"/>
  <c r="E346" i="77"/>
  <c r="A346" i="77"/>
  <c r="E343" i="77"/>
  <c r="A343" i="77"/>
  <c r="F343" i="77"/>
  <c r="B343" i="77"/>
  <c r="F334" i="77"/>
  <c r="B334" i="77"/>
  <c r="E334" i="77"/>
  <c r="A334" i="77"/>
  <c r="E286" i="77"/>
  <c r="A286" i="77"/>
  <c r="F286" i="77"/>
  <c r="B286" i="77"/>
  <c r="F209" i="77"/>
  <c r="B209" i="77"/>
  <c r="U205" i="77"/>
  <c r="E209" i="77"/>
  <c r="A209" i="77"/>
  <c r="F9" i="77"/>
  <c r="B9" i="77"/>
  <c r="E9" i="77"/>
  <c r="A9" i="77"/>
  <c r="E102" i="77"/>
  <c r="A102" i="77"/>
  <c r="F102" i="77"/>
  <c r="B102" i="77"/>
  <c r="F273" i="77"/>
  <c r="B273" i="77"/>
  <c r="E273" i="77"/>
  <c r="A273" i="77"/>
  <c r="E94" i="77"/>
  <c r="A94" i="77"/>
  <c r="F94" i="77"/>
  <c r="B94" i="77"/>
  <c r="E19" i="77"/>
  <c r="F19" i="77"/>
  <c r="A19" i="77"/>
  <c r="F297" i="77"/>
  <c r="B297" i="77"/>
  <c r="E297" i="77"/>
  <c r="A297" i="77"/>
  <c r="E53" i="77"/>
  <c r="A53" i="77"/>
  <c r="F53" i="77"/>
  <c r="U49" i="77"/>
  <c r="E137" i="77"/>
  <c r="A137" i="77"/>
  <c r="F137" i="77"/>
  <c r="B137" i="77"/>
  <c r="U133" i="77"/>
  <c r="E294" i="77"/>
  <c r="A294" i="77"/>
  <c r="F294" i="77"/>
  <c r="B294" i="77"/>
  <c r="F81" i="77"/>
  <c r="B81" i="77"/>
  <c r="E81" i="77"/>
  <c r="A81" i="77"/>
  <c r="A44" i="77"/>
  <c r="F44" i="77"/>
  <c r="B44" i="77"/>
  <c r="E44" i="77"/>
  <c r="E246" i="77"/>
  <c r="A246" i="77"/>
  <c r="F246" i="77"/>
  <c r="B246" i="77"/>
  <c r="E186" i="77"/>
  <c r="A186" i="77"/>
  <c r="F186" i="77"/>
  <c r="B186" i="77"/>
  <c r="E129" i="77"/>
  <c r="A129" i="77"/>
  <c r="F129" i="77"/>
  <c r="B129" i="77"/>
  <c r="E262" i="77"/>
  <c r="A262" i="77"/>
  <c r="F262" i="77"/>
  <c r="B262" i="77"/>
  <c r="E202" i="77"/>
  <c r="A202" i="77"/>
  <c r="F202" i="77"/>
  <c r="B202" i="77"/>
  <c r="E178" i="77"/>
  <c r="A178" i="77"/>
  <c r="F178" i="77"/>
  <c r="B178" i="77"/>
  <c r="F126" i="77"/>
  <c r="B126" i="77"/>
  <c r="E126" i="77"/>
  <c r="A126" i="77"/>
  <c r="E320" i="77"/>
  <c r="A320" i="77"/>
  <c r="F320" i="77"/>
  <c r="B320" i="77"/>
  <c r="F79" i="77"/>
  <c r="B79" i="77"/>
  <c r="E79" i="77"/>
  <c r="A79" i="77"/>
  <c r="E68" i="77"/>
  <c r="A68" i="77"/>
  <c r="F68" i="77"/>
  <c r="B68" i="77"/>
  <c r="F259" i="77"/>
  <c r="B259" i="77"/>
  <c r="E259" i="77"/>
  <c r="A259" i="77"/>
  <c r="E6" i="77"/>
  <c r="A6" i="77"/>
  <c r="F6" i="77"/>
  <c r="B6" i="77"/>
  <c r="E106" i="77"/>
  <c r="A106" i="77"/>
  <c r="F106" i="77"/>
  <c r="B106" i="77"/>
  <c r="F261" i="77"/>
  <c r="B261" i="77"/>
  <c r="E261" i="77"/>
  <c r="A261" i="77"/>
  <c r="E151" i="77"/>
  <c r="A151" i="77"/>
  <c r="F151" i="77"/>
  <c r="B151" i="77"/>
  <c r="F30" i="77"/>
  <c r="E30" i="77"/>
  <c r="A30" i="77"/>
  <c r="E125" i="77"/>
  <c r="A125" i="77"/>
  <c r="F125" i="77"/>
  <c r="B125" i="77"/>
  <c r="U121" i="77"/>
  <c r="F321" i="77"/>
  <c r="B321" i="77"/>
  <c r="E321" i="77"/>
  <c r="A321" i="77"/>
  <c r="E260" i="77"/>
  <c r="A260" i="77"/>
  <c r="F260" i="77"/>
  <c r="B260" i="77"/>
  <c r="F175" i="77"/>
  <c r="B175" i="77"/>
  <c r="E175" i="77"/>
  <c r="A175" i="77"/>
  <c r="F285" i="77"/>
  <c r="B285" i="77"/>
  <c r="E285" i="77"/>
  <c r="A285" i="77"/>
  <c r="E250" i="77"/>
  <c r="A250" i="77"/>
  <c r="F250" i="77"/>
  <c r="B250" i="77"/>
  <c r="F189" i="77"/>
  <c r="B189" i="77"/>
  <c r="E189" i="77"/>
  <c r="A189" i="77"/>
  <c r="F162" i="77"/>
  <c r="B162" i="77"/>
  <c r="E162" i="77"/>
  <c r="A162" i="77"/>
  <c r="E80" i="77"/>
  <c r="A80" i="77"/>
  <c r="F80" i="77"/>
  <c r="B80" i="77"/>
  <c r="E210" i="77"/>
  <c r="A210" i="77"/>
  <c r="F210" i="77"/>
  <c r="B210" i="77"/>
  <c r="F150" i="77"/>
  <c r="B150" i="77"/>
  <c r="E150" i="77"/>
  <c r="A150" i="77"/>
  <c r="E116" i="77"/>
  <c r="A116" i="77"/>
  <c r="F116" i="77"/>
  <c r="B116" i="77"/>
  <c r="AD245" i="70"/>
  <c r="AD247" i="70"/>
  <c r="AD248" i="70"/>
  <c r="A248" i="70" s="1"/>
  <c r="AD249" i="70"/>
  <c r="A249" i="70" s="1"/>
  <c r="AD246" i="70"/>
  <c r="B246" i="70" s="1"/>
  <c r="AM23" i="75"/>
  <c r="AI23" i="75"/>
  <c r="AN23" i="75"/>
  <c r="AJ23" i="75"/>
  <c r="AF23" i="75"/>
  <c r="AO23" i="75"/>
  <c r="AK23" i="75"/>
  <c r="AG23" i="75"/>
  <c r="AP23" i="75"/>
  <c r="AL23" i="75"/>
  <c r="AH23" i="75"/>
  <c r="F41" i="70"/>
  <c r="A41" i="70"/>
  <c r="U37" i="70"/>
  <c r="E41" i="70"/>
  <c r="B221" i="70"/>
  <c r="A221" i="70"/>
  <c r="F221" i="70"/>
  <c r="E221" i="70"/>
  <c r="U217" i="70"/>
  <c r="F43" i="70"/>
  <c r="A43" i="70"/>
  <c r="B43" i="70"/>
  <c r="E43" i="70"/>
  <c r="F89" i="70"/>
  <c r="A89" i="70"/>
  <c r="U85" i="70"/>
  <c r="E89" i="70"/>
  <c r="B89" i="70"/>
  <c r="E186" i="70"/>
  <c r="F186" i="70"/>
  <c r="A186" i="70"/>
  <c r="B186" i="70"/>
  <c r="F236" i="70"/>
  <c r="E236" i="70"/>
  <c r="B236" i="70"/>
  <c r="A236" i="70"/>
  <c r="E80" i="70"/>
  <c r="A80" i="70"/>
  <c r="B80" i="70"/>
  <c r="F80" i="70"/>
  <c r="F225" i="70"/>
  <c r="E225" i="70"/>
  <c r="B225" i="70"/>
  <c r="A225" i="70"/>
  <c r="A125" i="70"/>
  <c r="F125" i="70"/>
  <c r="U121" i="70"/>
  <c r="E125" i="70"/>
  <c r="B125" i="70"/>
  <c r="B235" i="70"/>
  <c r="A235" i="70"/>
  <c r="F235" i="70"/>
  <c r="E235" i="70"/>
  <c r="E138" i="70"/>
  <c r="F138" i="70"/>
  <c r="A138" i="70"/>
  <c r="B138" i="70"/>
  <c r="A20" i="70"/>
  <c r="B20" i="70"/>
  <c r="F20" i="70"/>
  <c r="E20" i="70"/>
  <c r="E165" i="70"/>
  <c r="F165" i="70"/>
  <c r="B165" i="70"/>
  <c r="A165" i="70"/>
  <c r="E175" i="70"/>
  <c r="F175" i="70"/>
  <c r="A175" i="70"/>
  <c r="B175" i="70"/>
  <c r="A152" i="70"/>
  <c r="B152" i="70"/>
  <c r="E152" i="70"/>
  <c r="F152" i="70"/>
  <c r="E129" i="70"/>
  <c r="F129" i="70"/>
  <c r="A129" i="70"/>
  <c r="B129" i="70"/>
  <c r="F30" i="70"/>
  <c r="A30" i="70"/>
  <c r="E30" i="70"/>
  <c r="A166" i="70"/>
  <c r="B166" i="70"/>
  <c r="E166" i="70"/>
  <c r="F166" i="70"/>
  <c r="A164" i="70"/>
  <c r="B164" i="70"/>
  <c r="E164" i="70"/>
  <c r="F164" i="70"/>
  <c r="E55" i="70"/>
  <c r="A55" i="70"/>
  <c r="F55" i="70"/>
  <c r="B55" i="70"/>
  <c r="B212" i="70"/>
  <c r="A212" i="70"/>
  <c r="F212" i="70"/>
  <c r="E212" i="70"/>
  <c r="F29" i="70"/>
  <c r="A29" i="70"/>
  <c r="U25" i="70"/>
  <c r="E29" i="70"/>
  <c r="E190" i="70"/>
  <c r="F190" i="70"/>
  <c r="A190" i="70"/>
  <c r="B190" i="70"/>
  <c r="E82" i="70"/>
  <c r="A82" i="70"/>
  <c r="F82" i="70"/>
  <c r="B82" i="70"/>
  <c r="A198" i="70"/>
  <c r="B198" i="70"/>
  <c r="F198" i="70"/>
  <c r="E198" i="70"/>
  <c r="B202" i="70"/>
  <c r="A202" i="70"/>
  <c r="E202" i="70"/>
  <c r="F202" i="70"/>
  <c r="F81" i="70"/>
  <c r="A81" i="70"/>
  <c r="B81" i="70"/>
  <c r="E81" i="70"/>
  <c r="A153" i="70"/>
  <c r="B153" i="70"/>
  <c r="E153" i="70"/>
  <c r="F153" i="70"/>
  <c r="B249" i="70"/>
  <c r="F249" i="70"/>
  <c r="F226" i="70"/>
  <c r="E226" i="70"/>
  <c r="B226" i="70"/>
  <c r="A226" i="70"/>
  <c r="E58" i="70"/>
  <c r="A58" i="70"/>
  <c r="F58" i="70"/>
  <c r="A104" i="70"/>
  <c r="B104" i="70"/>
  <c r="F104" i="70"/>
  <c r="E104" i="70"/>
  <c r="F79" i="70"/>
  <c r="E79" i="70"/>
  <c r="A79" i="70"/>
  <c r="B79" i="70"/>
  <c r="E137" i="70"/>
  <c r="U133" i="70"/>
  <c r="B137" i="70"/>
  <c r="A137" i="70"/>
  <c r="F137" i="70"/>
  <c r="A139" i="70"/>
  <c r="B139" i="70"/>
  <c r="E139" i="70"/>
  <c r="F139" i="70"/>
  <c r="A46" i="70"/>
  <c r="B46" i="70"/>
  <c r="F46" i="70"/>
  <c r="E46" i="70"/>
  <c r="A116" i="70"/>
  <c r="B116" i="70"/>
  <c r="F116" i="70"/>
  <c r="E116" i="70"/>
  <c r="F57" i="70"/>
  <c r="E57" i="70"/>
  <c r="A57" i="70"/>
  <c r="E117" i="70"/>
  <c r="F117" i="70"/>
  <c r="A117" i="70"/>
  <c r="B117" i="70"/>
  <c r="F77" i="70"/>
  <c r="A77" i="70"/>
  <c r="E77" i="70"/>
  <c r="B77" i="70"/>
  <c r="U73" i="70"/>
  <c r="F106" i="70"/>
  <c r="B106" i="70"/>
  <c r="A106" i="70"/>
  <c r="E106" i="70"/>
  <c r="F93" i="70"/>
  <c r="A93" i="70"/>
  <c r="E93" i="70"/>
  <c r="B93" i="70"/>
  <c r="E54" i="70"/>
  <c r="A54" i="70"/>
  <c r="F54" i="70"/>
  <c r="A199" i="70"/>
  <c r="B199" i="70"/>
  <c r="E199" i="70"/>
  <c r="F199" i="70"/>
  <c r="F213" i="70"/>
  <c r="E213" i="70"/>
  <c r="B213" i="70"/>
  <c r="A213" i="70"/>
  <c r="B214" i="70"/>
  <c r="A214" i="70"/>
  <c r="F214" i="70"/>
  <c r="E214" i="70"/>
  <c r="E176" i="70"/>
  <c r="F176" i="70"/>
  <c r="B176" i="70"/>
  <c r="A176" i="70"/>
  <c r="E188" i="70"/>
  <c r="F188" i="70"/>
  <c r="A188" i="70"/>
  <c r="B188" i="70"/>
  <c r="F53" i="70"/>
  <c r="U49" i="70"/>
  <c r="E53" i="70"/>
  <c r="A53" i="70"/>
  <c r="B201" i="70"/>
  <c r="A201" i="70"/>
  <c r="F201" i="70"/>
  <c r="E201" i="70"/>
  <c r="A173" i="70"/>
  <c r="F173" i="70"/>
  <c r="E173" i="70"/>
  <c r="U169" i="70"/>
  <c r="B173" i="70"/>
  <c r="E126" i="70"/>
  <c r="F126" i="70"/>
  <c r="A126" i="70"/>
  <c r="B126" i="70"/>
  <c r="A200" i="70"/>
  <c r="B200" i="70"/>
  <c r="E200" i="70"/>
  <c r="F200" i="70"/>
  <c r="A31" i="70"/>
  <c r="B31" i="70"/>
  <c r="E31" i="70"/>
  <c r="F31" i="70"/>
  <c r="B237" i="70"/>
  <c r="A237" i="70"/>
  <c r="F237" i="70"/>
  <c r="E237" i="70"/>
  <c r="E102" i="70"/>
  <c r="A102" i="70"/>
  <c r="F102" i="70"/>
  <c r="B102" i="70"/>
  <c r="B247" i="70"/>
  <c r="A247" i="70"/>
  <c r="F247" i="70"/>
  <c r="E247" i="70"/>
  <c r="F22" i="70"/>
  <c r="E22" i="70"/>
  <c r="A22" i="70"/>
  <c r="B22" i="70"/>
  <c r="E32" i="70"/>
  <c r="F32" i="70"/>
  <c r="A32" i="70"/>
  <c r="B32" i="70"/>
  <c r="E185" i="70"/>
  <c r="U181" i="70"/>
  <c r="B185" i="70"/>
  <c r="F185" i="70"/>
  <c r="A185" i="70"/>
  <c r="A118" i="70"/>
  <c r="B118" i="70"/>
  <c r="F118" i="70"/>
  <c r="E118" i="70"/>
  <c r="F245" i="70"/>
  <c r="E245" i="70"/>
  <c r="U241" i="70"/>
  <c r="B245" i="70"/>
  <c r="A245" i="70"/>
  <c r="A187" i="70"/>
  <c r="B187" i="70"/>
  <c r="F187" i="70"/>
  <c r="E187" i="70"/>
  <c r="E174" i="70"/>
  <c r="F174" i="70"/>
  <c r="B174" i="70"/>
  <c r="A174" i="70"/>
  <c r="A6" i="70"/>
  <c r="F6" i="70"/>
  <c r="B6" i="70"/>
  <c r="E6" i="70"/>
  <c r="F234" i="70"/>
  <c r="E234" i="70"/>
  <c r="B234" i="70"/>
  <c r="A234" i="70"/>
  <c r="E177" i="70"/>
  <c r="F177" i="70"/>
  <c r="A177" i="70"/>
  <c r="B177" i="70"/>
  <c r="A141" i="70"/>
  <c r="B141" i="70"/>
  <c r="E141" i="70"/>
  <c r="F141" i="70"/>
  <c r="F21" i="70"/>
  <c r="B21" i="70"/>
  <c r="E21" i="70"/>
  <c r="A21" i="70"/>
  <c r="E68" i="70"/>
  <c r="A68" i="70"/>
  <c r="F68" i="70"/>
  <c r="B68" i="70"/>
  <c r="E7" i="70"/>
  <c r="F7" i="70"/>
  <c r="B7" i="70"/>
  <c r="A7" i="70"/>
  <c r="F5" i="70"/>
  <c r="A5" i="70"/>
  <c r="AC3" i="70"/>
  <c r="E5" i="70"/>
  <c r="U1" i="70"/>
  <c r="E66" i="70"/>
  <c r="A66" i="70"/>
  <c r="F66" i="70"/>
  <c r="A154" i="70"/>
  <c r="B154" i="70"/>
  <c r="E154" i="70"/>
  <c r="F154" i="70"/>
  <c r="A10" i="70"/>
  <c r="B10" i="70"/>
  <c r="F10" i="70"/>
  <c r="E10" i="70"/>
  <c r="F101" i="70"/>
  <c r="U97" i="70"/>
  <c r="E101" i="70"/>
  <c r="B101" i="70"/>
  <c r="A101" i="70"/>
  <c r="E18" i="70"/>
  <c r="F18" i="70"/>
  <c r="A18" i="70"/>
  <c r="B209" i="70"/>
  <c r="E209" i="70"/>
  <c r="U205" i="70"/>
  <c r="A209" i="70"/>
  <c r="F209" i="70"/>
  <c r="F105" i="70"/>
  <c r="A105" i="70"/>
  <c r="E105" i="70"/>
  <c r="B105" i="70"/>
  <c r="F9" i="70"/>
  <c r="A9" i="70"/>
  <c r="B9" i="70"/>
  <c r="E9" i="70"/>
  <c r="A246" i="70"/>
  <c r="E246" i="70"/>
  <c r="E163" i="70"/>
  <c r="F163" i="70"/>
  <c r="B163" i="70"/>
  <c r="A163" i="70"/>
  <c r="E140" i="70"/>
  <c r="F140" i="70"/>
  <c r="A140" i="70"/>
  <c r="B140" i="70"/>
  <c r="F91" i="70"/>
  <c r="A91" i="70"/>
  <c r="B91" i="70"/>
  <c r="E91" i="70"/>
  <c r="A161" i="70"/>
  <c r="F161" i="70"/>
  <c r="E161" i="70"/>
  <c r="B161" i="70"/>
  <c r="U157" i="70"/>
  <c r="A90" i="70"/>
  <c r="E90" i="70"/>
  <c r="B90" i="70"/>
  <c r="F90" i="70"/>
  <c r="E42" i="70"/>
  <c r="A42" i="70"/>
  <c r="F42" i="70"/>
  <c r="E178" i="70"/>
  <c r="F178" i="70"/>
  <c r="B178" i="70"/>
  <c r="A178" i="70"/>
  <c r="F34" i="70"/>
  <c r="A34" i="70"/>
  <c r="B34" i="70"/>
  <c r="E34" i="70"/>
  <c r="F33" i="70"/>
  <c r="A33" i="70"/>
  <c r="B33" i="70"/>
  <c r="E33" i="70"/>
  <c r="E142" i="70"/>
  <c r="F142" i="70"/>
  <c r="A142" i="70"/>
  <c r="B142" i="70"/>
  <c r="F67" i="70"/>
  <c r="E67" i="70"/>
  <c r="B67" i="70"/>
  <c r="A67" i="70"/>
  <c r="F44" i="70"/>
  <c r="B44" i="70"/>
  <c r="E44" i="70"/>
  <c r="A44" i="70"/>
  <c r="A94" i="70"/>
  <c r="E94" i="70"/>
  <c r="B94" i="70"/>
  <c r="F94" i="70"/>
  <c r="E197" i="70"/>
  <c r="U193" i="70"/>
  <c r="B197" i="70"/>
  <c r="A197" i="70"/>
  <c r="F197" i="70"/>
  <c r="F238" i="70"/>
  <c r="E238" i="70"/>
  <c r="B238" i="70"/>
  <c r="A238" i="70"/>
  <c r="F223" i="70"/>
  <c r="E223" i="70"/>
  <c r="B223" i="70"/>
  <c r="A223" i="70"/>
  <c r="F224" i="70"/>
  <c r="E224" i="70"/>
  <c r="B224" i="70"/>
  <c r="A224" i="70"/>
  <c r="F222" i="70"/>
  <c r="E222" i="70"/>
  <c r="B222" i="70"/>
  <c r="A222" i="70"/>
  <c r="F45" i="70"/>
  <c r="A45" i="70"/>
  <c r="E45" i="70"/>
  <c r="B45" i="70"/>
  <c r="A150" i="70"/>
  <c r="B150" i="70"/>
  <c r="E150" i="70"/>
  <c r="F150" i="70"/>
  <c r="F103" i="70"/>
  <c r="A103" i="70"/>
  <c r="E103" i="70"/>
  <c r="B103" i="70"/>
  <c r="E70" i="70"/>
  <c r="A70" i="70"/>
  <c r="B70" i="70"/>
  <c r="F70" i="70"/>
  <c r="E128" i="70"/>
  <c r="F128" i="70"/>
  <c r="A128" i="70"/>
  <c r="B128" i="70"/>
  <c r="F65" i="70"/>
  <c r="A65" i="70"/>
  <c r="E65" i="70"/>
  <c r="U61" i="70"/>
  <c r="AC267" i="70"/>
  <c r="AC171" i="70"/>
  <c r="AC15" i="70"/>
  <c r="AC123" i="70"/>
  <c r="E17" i="70"/>
  <c r="AC339" i="70"/>
  <c r="AC243" i="70"/>
  <c r="AC147" i="70"/>
  <c r="AC219" i="70"/>
  <c r="AC291" i="70"/>
  <c r="F17" i="70"/>
  <c r="AC87" i="70"/>
  <c r="AC63" i="70"/>
  <c r="AC39" i="70"/>
  <c r="AC27" i="70"/>
  <c r="AC111" i="70"/>
  <c r="AC159" i="70"/>
  <c r="AC207" i="70"/>
  <c r="AC255" i="70"/>
  <c r="AC303" i="70"/>
  <c r="AC351" i="70"/>
  <c r="AC315" i="70"/>
  <c r="A17" i="70"/>
  <c r="AC195" i="70"/>
  <c r="AC99" i="70"/>
  <c r="AC75" i="70"/>
  <c r="AC51" i="70"/>
  <c r="AC135" i="70"/>
  <c r="AC183" i="70"/>
  <c r="AC231" i="70"/>
  <c r="AC279" i="70"/>
  <c r="AC327" i="70"/>
  <c r="U13" i="70"/>
  <c r="U109" i="70"/>
  <c r="F113" i="70"/>
  <c r="A113" i="70"/>
  <c r="B113" i="70"/>
  <c r="E113" i="70"/>
  <c r="E114" i="70"/>
  <c r="B114" i="70"/>
  <c r="F114" i="70"/>
  <c r="A114" i="70"/>
  <c r="E130" i="70"/>
  <c r="F130" i="70"/>
  <c r="A130" i="70"/>
  <c r="B130" i="70"/>
  <c r="E78" i="70"/>
  <c r="A78" i="70"/>
  <c r="F78" i="70"/>
  <c r="B78" i="70"/>
  <c r="A92" i="70"/>
  <c r="E92" i="70"/>
  <c r="F92" i="70"/>
  <c r="B92" i="70"/>
  <c r="E115" i="70"/>
  <c r="F115" i="70"/>
  <c r="A115" i="70"/>
  <c r="B115" i="70"/>
  <c r="E127" i="70"/>
  <c r="F127" i="70"/>
  <c r="A127" i="70"/>
  <c r="B127" i="70"/>
  <c r="E8" i="70"/>
  <c r="A8" i="70"/>
  <c r="F8" i="70"/>
  <c r="B8" i="70"/>
  <c r="B210" i="70"/>
  <c r="A210" i="70"/>
  <c r="F210" i="70"/>
  <c r="E210" i="70"/>
  <c r="A151" i="70"/>
  <c r="B151" i="70"/>
  <c r="E151" i="70"/>
  <c r="F151" i="70"/>
  <c r="E149" i="70"/>
  <c r="U145" i="70"/>
  <c r="B149" i="70"/>
  <c r="A149" i="70"/>
  <c r="F149" i="70"/>
  <c r="A162" i="70"/>
  <c r="B162" i="70"/>
  <c r="E162" i="70"/>
  <c r="F162" i="70"/>
  <c r="F19" i="70"/>
  <c r="A19" i="70"/>
  <c r="E19" i="70"/>
  <c r="F69" i="70"/>
  <c r="E69" i="70"/>
  <c r="A69" i="70"/>
  <c r="B69" i="70"/>
  <c r="B250" i="70"/>
  <c r="A250" i="70"/>
  <c r="F250" i="70"/>
  <c r="E250" i="70"/>
  <c r="F233" i="70"/>
  <c r="E233" i="70"/>
  <c r="U229" i="70"/>
  <c r="B233" i="70"/>
  <c r="A233" i="70"/>
  <c r="A189" i="70"/>
  <c r="B189" i="70"/>
  <c r="F189" i="70"/>
  <c r="E189" i="70"/>
  <c r="F211" i="70"/>
  <c r="E211" i="70"/>
  <c r="B211" i="70"/>
  <c r="A211" i="70"/>
  <c r="E56" i="70"/>
  <c r="F56" i="70"/>
  <c r="A56" i="70"/>
  <c r="B56" i="70"/>
  <c r="AC254" i="70"/>
  <c r="U242" i="70"/>
  <c r="E249" i="70" l="1"/>
  <c r="F59" i="77"/>
  <c r="E59" i="77"/>
  <c r="F248" i="70"/>
  <c r="C116" i="77"/>
  <c r="D116" i="77"/>
  <c r="D150" i="77"/>
  <c r="C150" i="77"/>
  <c r="C210" i="77"/>
  <c r="D210" i="77"/>
  <c r="C80" i="77"/>
  <c r="D80" i="77"/>
  <c r="D162" i="77"/>
  <c r="C162" i="77"/>
  <c r="D189" i="77"/>
  <c r="C189" i="77"/>
  <c r="C250" i="77"/>
  <c r="D250" i="77"/>
  <c r="D285" i="77"/>
  <c r="C285" i="77"/>
  <c r="D175" i="77"/>
  <c r="C175" i="77"/>
  <c r="C260" i="77"/>
  <c r="D260" i="77"/>
  <c r="D321" i="77"/>
  <c r="C321" i="77"/>
  <c r="F131" i="77"/>
  <c r="AA125" i="77"/>
  <c r="Y125" i="77"/>
  <c r="W125" i="77"/>
  <c r="U125" i="77"/>
  <c r="S125" i="77"/>
  <c r="AB125" i="77"/>
  <c r="Z125" i="77"/>
  <c r="X125" i="77"/>
  <c r="V125" i="77"/>
  <c r="T125" i="77"/>
  <c r="R125" i="77"/>
  <c r="Q125" i="77"/>
  <c r="O125" i="77"/>
  <c r="M125" i="77"/>
  <c r="K125" i="77"/>
  <c r="I125" i="77"/>
  <c r="G125" i="77"/>
  <c r="E131" i="77"/>
  <c r="P125" i="77"/>
  <c r="N125" i="77"/>
  <c r="L125" i="77"/>
  <c r="J125" i="77"/>
  <c r="H125" i="77"/>
  <c r="Z30" i="77"/>
  <c r="V30" i="77"/>
  <c r="R30" i="77"/>
  <c r="AA30" i="77"/>
  <c r="Y30" i="77"/>
  <c r="W30" i="77"/>
  <c r="U30" i="77"/>
  <c r="S30" i="77"/>
  <c r="AB30" i="77"/>
  <c r="X30" i="77"/>
  <c r="T30" i="77"/>
  <c r="AA151" i="77"/>
  <c r="Y151" i="77"/>
  <c r="W151" i="77"/>
  <c r="U151" i="77"/>
  <c r="S151" i="77"/>
  <c r="AB151" i="77"/>
  <c r="Z151" i="77"/>
  <c r="X151" i="77"/>
  <c r="V151" i="77"/>
  <c r="T151" i="77"/>
  <c r="R151" i="77"/>
  <c r="Q151" i="77"/>
  <c r="O151" i="77"/>
  <c r="M151" i="77"/>
  <c r="K151" i="77"/>
  <c r="I151" i="77"/>
  <c r="G151" i="77"/>
  <c r="P151" i="77"/>
  <c r="N151" i="77"/>
  <c r="L151" i="77"/>
  <c r="J151" i="77"/>
  <c r="H151" i="77"/>
  <c r="P261" i="77"/>
  <c r="N261" i="77"/>
  <c r="L261" i="77"/>
  <c r="J261" i="77"/>
  <c r="H261" i="77"/>
  <c r="Q261" i="77"/>
  <c r="M261" i="77"/>
  <c r="I261" i="77"/>
  <c r="O261" i="77"/>
  <c r="K261" i="77"/>
  <c r="G261" i="77"/>
  <c r="AB261" i="77"/>
  <c r="Z261" i="77"/>
  <c r="X261" i="77"/>
  <c r="V261" i="77"/>
  <c r="T261" i="77"/>
  <c r="R261" i="77"/>
  <c r="Y261" i="77"/>
  <c r="U261" i="77"/>
  <c r="AA261" i="77"/>
  <c r="W261" i="77"/>
  <c r="S261" i="77"/>
  <c r="AA106" i="77"/>
  <c r="Y106" i="77"/>
  <c r="W106" i="77"/>
  <c r="U106" i="77"/>
  <c r="S106" i="77"/>
  <c r="AB106" i="77"/>
  <c r="X106" i="77"/>
  <c r="T106" i="77"/>
  <c r="Z106" i="77"/>
  <c r="V106" i="77"/>
  <c r="R106" i="77"/>
  <c r="Q106" i="77"/>
  <c r="O106" i="77"/>
  <c r="M106" i="77"/>
  <c r="K106" i="77"/>
  <c r="I106" i="77"/>
  <c r="G106" i="77"/>
  <c r="P106" i="77"/>
  <c r="L106" i="77"/>
  <c r="H106" i="77"/>
  <c r="N106" i="77"/>
  <c r="J106" i="77"/>
  <c r="Z6" i="77"/>
  <c r="T6" i="77"/>
  <c r="AA6" i="77"/>
  <c r="Y6" i="77"/>
  <c r="W6" i="77"/>
  <c r="U6" i="77"/>
  <c r="S6" i="77"/>
  <c r="AB6" i="77"/>
  <c r="X6" i="77"/>
  <c r="V6" i="77"/>
  <c r="R6" i="77"/>
  <c r="P6" i="77"/>
  <c r="L6" i="77"/>
  <c r="H6" i="77"/>
  <c r="Q6" i="77"/>
  <c r="O6" i="77"/>
  <c r="M6" i="77"/>
  <c r="K6" i="77"/>
  <c r="I6" i="77"/>
  <c r="G6" i="77"/>
  <c r="N6" i="77"/>
  <c r="J6" i="77"/>
  <c r="P259" i="77"/>
  <c r="N259" i="77"/>
  <c r="L259" i="77"/>
  <c r="J259" i="77"/>
  <c r="H259" i="77"/>
  <c r="O259" i="77"/>
  <c r="K259" i="77"/>
  <c r="G259" i="77"/>
  <c r="Q259" i="77"/>
  <c r="M259" i="77"/>
  <c r="I259" i="77"/>
  <c r="AB259" i="77"/>
  <c r="Z259" i="77"/>
  <c r="X259" i="77"/>
  <c r="V259" i="77"/>
  <c r="T259" i="77"/>
  <c r="R259" i="77"/>
  <c r="AA259" i="77"/>
  <c r="W259" i="77"/>
  <c r="S259" i="77"/>
  <c r="Y259" i="77"/>
  <c r="U259" i="77"/>
  <c r="AA68" i="77"/>
  <c r="Y68" i="77"/>
  <c r="W68" i="77"/>
  <c r="U68" i="77"/>
  <c r="S68" i="77"/>
  <c r="AB68" i="77"/>
  <c r="Z68" i="77"/>
  <c r="X68" i="77"/>
  <c r="V68" i="77"/>
  <c r="T68" i="77"/>
  <c r="R68" i="77"/>
  <c r="Q68" i="77"/>
  <c r="O68" i="77"/>
  <c r="M68" i="77"/>
  <c r="K68" i="77"/>
  <c r="I68" i="77"/>
  <c r="G68" i="77"/>
  <c r="P68" i="77"/>
  <c r="N68" i="77"/>
  <c r="L68" i="77"/>
  <c r="J68" i="77"/>
  <c r="H68" i="77"/>
  <c r="P79" i="77"/>
  <c r="N79" i="77"/>
  <c r="L79" i="77"/>
  <c r="J79" i="77"/>
  <c r="H79" i="77"/>
  <c r="Q79" i="77"/>
  <c r="O79" i="77"/>
  <c r="M79" i="77"/>
  <c r="K79" i="77"/>
  <c r="I79" i="77"/>
  <c r="G79" i="77"/>
  <c r="AB79" i="77"/>
  <c r="Z79" i="77"/>
  <c r="X79" i="77"/>
  <c r="V79" i="77"/>
  <c r="T79" i="77"/>
  <c r="R79" i="77"/>
  <c r="AA79" i="77"/>
  <c r="Y79" i="77"/>
  <c r="W79" i="77"/>
  <c r="U79" i="77"/>
  <c r="S79" i="77"/>
  <c r="AA320" i="77"/>
  <c r="Y320" i="77"/>
  <c r="W320" i="77"/>
  <c r="U320" i="77"/>
  <c r="S320" i="77"/>
  <c r="Z320" i="77"/>
  <c r="V320" i="77"/>
  <c r="R320" i="77"/>
  <c r="AB320" i="77"/>
  <c r="X320" i="77"/>
  <c r="T320" i="77"/>
  <c r="Q320" i="77"/>
  <c r="O320" i="77"/>
  <c r="M320" i="77"/>
  <c r="K320" i="77"/>
  <c r="I320" i="77"/>
  <c r="G320" i="77"/>
  <c r="N320" i="77"/>
  <c r="J320" i="77"/>
  <c r="P320" i="77"/>
  <c r="L320" i="77"/>
  <c r="H320" i="77"/>
  <c r="P126" i="77"/>
  <c r="N126" i="77"/>
  <c r="L126" i="77"/>
  <c r="J126" i="77"/>
  <c r="H126" i="77"/>
  <c r="Q126" i="77"/>
  <c r="O126" i="77"/>
  <c r="M126" i="77"/>
  <c r="K126" i="77"/>
  <c r="I126" i="77"/>
  <c r="G126" i="77"/>
  <c r="AB126" i="77"/>
  <c r="Z126" i="77"/>
  <c r="X126" i="77"/>
  <c r="V126" i="77"/>
  <c r="T126" i="77"/>
  <c r="R126" i="77"/>
  <c r="AA126" i="77"/>
  <c r="Y126" i="77"/>
  <c r="W126" i="77"/>
  <c r="U126" i="77"/>
  <c r="S126" i="77"/>
  <c r="AA178" i="77"/>
  <c r="Y178" i="77"/>
  <c r="W178" i="77"/>
  <c r="U178" i="77"/>
  <c r="S178" i="77"/>
  <c r="Z178" i="77"/>
  <c r="V178" i="77"/>
  <c r="R178" i="77"/>
  <c r="AB178" i="77"/>
  <c r="X178" i="77"/>
  <c r="T178" i="77"/>
  <c r="Q178" i="77"/>
  <c r="O178" i="77"/>
  <c r="M178" i="77"/>
  <c r="K178" i="77"/>
  <c r="I178" i="77"/>
  <c r="G178" i="77"/>
  <c r="N178" i="77"/>
  <c r="J178" i="77"/>
  <c r="P178" i="77"/>
  <c r="L178" i="77"/>
  <c r="H178" i="77"/>
  <c r="AA202" i="77"/>
  <c r="Y202" i="77"/>
  <c r="W202" i="77"/>
  <c r="U202" i="77"/>
  <c r="S202" i="77"/>
  <c r="Z202" i="77"/>
  <c r="V202" i="77"/>
  <c r="R202" i="77"/>
  <c r="X202" i="77"/>
  <c r="AB202" i="77"/>
  <c r="T202" i="77"/>
  <c r="Q202" i="77"/>
  <c r="O202" i="77"/>
  <c r="M202" i="77"/>
  <c r="K202" i="77"/>
  <c r="I202" i="77"/>
  <c r="G202" i="77"/>
  <c r="N202" i="77"/>
  <c r="J202" i="77"/>
  <c r="P202" i="77"/>
  <c r="H202" i="77"/>
  <c r="L202" i="77"/>
  <c r="AA262" i="77"/>
  <c r="Y262" i="77"/>
  <c r="W262" i="77"/>
  <c r="U262" i="77"/>
  <c r="S262" i="77"/>
  <c r="AB262" i="77"/>
  <c r="X262" i="77"/>
  <c r="T262" i="77"/>
  <c r="Z262" i="77"/>
  <c r="V262" i="77"/>
  <c r="R262" i="77"/>
  <c r="Q262" i="77"/>
  <c r="O262" i="77"/>
  <c r="M262" i="77"/>
  <c r="K262" i="77"/>
  <c r="I262" i="77"/>
  <c r="G262" i="77"/>
  <c r="P262" i="77"/>
  <c r="L262" i="77"/>
  <c r="H262" i="77"/>
  <c r="N262" i="77"/>
  <c r="J262" i="77"/>
  <c r="AA129" i="77"/>
  <c r="Y129" i="77"/>
  <c r="W129" i="77"/>
  <c r="U129" i="77"/>
  <c r="S129" i="77"/>
  <c r="AB129" i="77"/>
  <c r="Z129" i="77"/>
  <c r="X129" i="77"/>
  <c r="V129" i="77"/>
  <c r="T129" i="77"/>
  <c r="R129" i="77"/>
  <c r="Q129" i="77"/>
  <c r="O129" i="77"/>
  <c r="M129" i="77"/>
  <c r="K129" i="77"/>
  <c r="I129" i="77"/>
  <c r="G129" i="77"/>
  <c r="P129" i="77"/>
  <c r="N129" i="77"/>
  <c r="L129" i="77"/>
  <c r="J129" i="77"/>
  <c r="H129" i="77"/>
  <c r="AA186" i="77"/>
  <c r="Y186" i="77"/>
  <c r="W186" i="77"/>
  <c r="U186" i="77"/>
  <c r="S186" i="77"/>
  <c r="Z186" i="77"/>
  <c r="V186" i="77"/>
  <c r="R186" i="77"/>
  <c r="AB186" i="77"/>
  <c r="X186" i="77"/>
  <c r="T186" i="77"/>
  <c r="Q186" i="77"/>
  <c r="O186" i="77"/>
  <c r="M186" i="77"/>
  <c r="K186" i="77"/>
  <c r="I186" i="77"/>
  <c r="G186" i="77"/>
  <c r="N186" i="77"/>
  <c r="J186" i="77"/>
  <c r="P186" i="77"/>
  <c r="L186" i="77"/>
  <c r="H186" i="77"/>
  <c r="AA246" i="77"/>
  <c r="Y246" i="77"/>
  <c r="W246" i="77"/>
  <c r="U246" i="77"/>
  <c r="S246" i="77"/>
  <c r="Z246" i="77"/>
  <c r="V246" i="77"/>
  <c r="R246" i="77"/>
  <c r="AB246" i="77"/>
  <c r="T246" i="77"/>
  <c r="X246" i="77"/>
  <c r="Q246" i="77"/>
  <c r="O246" i="77"/>
  <c r="M246" i="77"/>
  <c r="K246" i="77"/>
  <c r="I246" i="77"/>
  <c r="G246" i="77"/>
  <c r="N246" i="77"/>
  <c r="J246" i="77"/>
  <c r="L246" i="77"/>
  <c r="P246" i="77"/>
  <c r="H246" i="77"/>
  <c r="D44" i="77"/>
  <c r="C44" i="77"/>
  <c r="P81" i="77"/>
  <c r="N81" i="77"/>
  <c r="L81" i="77"/>
  <c r="J81" i="77"/>
  <c r="H81" i="77"/>
  <c r="Q81" i="77"/>
  <c r="O81" i="77"/>
  <c r="M81" i="77"/>
  <c r="K81" i="77"/>
  <c r="I81" i="77"/>
  <c r="G81" i="77"/>
  <c r="AB81" i="77"/>
  <c r="Z81" i="77"/>
  <c r="X81" i="77"/>
  <c r="V81" i="77"/>
  <c r="T81" i="77"/>
  <c r="R81" i="77"/>
  <c r="AA81" i="77"/>
  <c r="Y81" i="77"/>
  <c r="W81" i="77"/>
  <c r="U81" i="77"/>
  <c r="S81" i="77"/>
  <c r="AA294" i="77"/>
  <c r="Y294" i="77"/>
  <c r="W294" i="77"/>
  <c r="U294" i="77"/>
  <c r="S294" i="77"/>
  <c r="AB294" i="77"/>
  <c r="X294" i="77"/>
  <c r="T294" i="77"/>
  <c r="Z294" i="77"/>
  <c r="V294" i="77"/>
  <c r="R294" i="77"/>
  <c r="Q294" i="77"/>
  <c r="O294" i="77"/>
  <c r="M294" i="77"/>
  <c r="K294" i="77"/>
  <c r="I294" i="77"/>
  <c r="G294" i="77"/>
  <c r="P294" i="77"/>
  <c r="L294" i="77"/>
  <c r="H294" i="77"/>
  <c r="N294" i="77"/>
  <c r="J294" i="77"/>
  <c r="C137" i="77"/>
  <c r="D137" i="77"/>
  <c r="AA53" i="77"/>
  <c r="Y53" i="77"/>
  <c r="W53" i="77"/>
  <c r="U53" i="77"/>
  <c r="S53" i="77"/>
  <c r="AB53" i="77"/>
  <c r="Z53" i="77"/>
  <c r="X53" i="77"/>
  <c r="V53" i="77"/>
  <c r="T53" i="77"/>
  <c r="R53" i="77"/>
  <c r="Q53" i="77"/>
  <c r="O53" i="77"/>
  <c r="M53" i="77"/>
  <c r="K53" i="77"/>
  <c r="I53" i="77"/>
  <c r="G53" i="77"/>
  <c r="P53" i="77"/>
  <c r="N53" i="77"/>
  <c r="L53" i="77"/>
  <c r="J53" i="77"/>
  <c r="H53" i="77"/>
  <c r="P297" i="77"/>
  <c r="N297" i="77"/>
  <c r="L297" i="77"/>
  <c r="J297" i="77"/>
  <c r="H297" i="77"/>
  <c r="Q297" i="77"/>
  <c r="M297" i="77"/>
  <c r="I297" i="77"/>
  <c r="O297" i="77"/>
  <c r="K297" i="77"/>
  <c r="G297" i="77"/>
  <c r="AB297" i="77"/>
  <c r="Z297" i="77"/>
  <c r="X297" i="77"/>
  <c r="V297" i="77"/>
  <c r="T297" i="77"/>
  <c r="R297" i="77"/>
  <c r="Y297" i="77"/>
  <c r="U297" i="77"/>
  <c r="AA297" i="77"/>
  <c r="W297" i="77"/>
  <c r="S297" i="77"/>
  <c r="Q19" i="77"/>
  <c r="M19" i="77"/>
  <c r="I19" i="77"/>
  <c r="P19" i="77"/>
  <c r="N19" i="77"/>
  <c r="L19" i="77"/>
  <c r="J19" i="77"/>
  <c r="H19" i="77"/>
  <c r="O19" i="77"/>
  <c r="K19" i="77"/>
  <c r="G19" i="77"/>
  <c r="AA94" i="77"/>
  <c r="Y94" i="77"/>
  <c r="W94" i="77"/>
  <c r="U94" i="77"/>
  <c r="S94" i="77"/>
  <c r="AB94" i="77"/>
  <c r="X94" i="77"/>
  <c r="T94" i="77"/>
  <c r="Z94" i="77"/>
  <c r="V94" i="77"/>
  <c r="R94" i="77"/>
  <c r="Q94" i="77"/>
  <c r="O94" i="77"/>
  <c r="M94" i="77"/>
  <c r="K94" i="77"/>
  <c r="I94" i="77"/>
  <c r="G94" i="77"/>
  <c r="P94" i="77"/>
  <c r="L94" i="77"/>
  <c r="H94" i="77"/>
  <c r="N94" i="77"/>
  <c r="J94" i="77"/>
  <c r="P273" i="77"/>
  <c r="N273" i="77"/>
  <c r="L273" i="77"/>
  <c r="J273" i="77"/>
  <c r="H273" i="77"/>
  <c r="Q273" i="77"/>
  <c r="M273" i="77"/>
  <c r="I273" i="77"/>
  <c r="O273" i="77"/>
  <c r="K273" i="77"/>
  <c r="G273" i="77"/>
  <c r="AB273" i="77"/>
  <c r="Z273" i="77"/>
  <c r="X273" i="77"/>
  <c r="V273" i="77"/>
  <c r="T273" i="77"/>
  <c r="R273" i="77"/>
  <c r="Y273" i="77"/>
  <c r="U273" i="77"/>
  <c r="AA273" i="77"/>
  <c r="W273" i="77"/>
  <c r="S273" i="77"/>
  <c r="AA102" i="77"/>
  <c r="Y102" i="77"/>
  <c r="W102" i="77"/>
  <c r="U102" i="77"/>
  <c r="S102" i="77"/>
  <c r="AB102" i="77"/>
  <c r="X102" i="77"/>
  <c r="T102" i="77"/>
  <c r="Z102" i="77"/>
  <c r="V102" i="77"/>
  <c r="R102" i="77"/>
  <c r="Q102" i="77"/>
  <c r="O102" i="77"/>
  <c r="M102" i="77"/>
  <c r="K102" i="77"/>
  <c r="I102" i="77"/>
  <c r="G102" i="77"/>
  <c r="P102" i="77"/>
  <c r="L102" i="77"/>
  <c r="H102" i="77"/>
  <c r="N102" i="77"/>
  <c r="J102" i="77"/>
  <c r="O9" i="77"/>
  <c r="K9" i="77"/>
  <c r="G9" i="77"/>
  <c r="P9" i="77"/>
  <c r="N9" i="77"/>
  <c r="L9" i="77"/>
  <c r="J9" i="77"/>
  <c r="H9" i="77"/>
  <c r="Q9" i="77"/>
  <c r="M9" i="77"/>
  <c r="I9" i="77"/>
  <c r="AA9" i="77"/>
  <c r="Y9" i="77"/>
  <c r="W9" i="77"/>
  <c r="S9" i="77"/>
  <c r="AB9" i="77"/>
  <c r="Z9" i="77"/>
  <c r="X9" i="77"/>
  <c r="V9" i="77"/>
  <c r="T9" i="77"/>
  <c r="R9" i="77"/>
  <c r="U9" i="77"/>
  <c r="E215" i="77"/>
  <c r="P209" i="77"/>
  <c r="N209" i="77"/>
  <c r="L209" i="77"/>
  <c r="J209" i="77"/>
  <c r="H209" i="77"/>
  <c r="O209" i="77"/>
  <c r="K209" i="77"/>
  <c r="G209" i="77"/>
  <c r="M209" i="77"/>
  <c r="Q209" i="77"/>
  <c r="I209" i="77"/>
  <c r="D209" i="77"/>
  <c r="C209" i="77"/>
  <c r="C286" i="77"/>
  <c r="D286" i="77"/>
  <c r="D334" i="77"/>
  <c r="C334" i="77"/>
  <c r="C343" i="77"/>
  <c r="D343" i="77"/>
  <c r="D346" i="77"/>
  <c r="C346" i="77"/>
  <c r="C8" i="77"/>
  <c r="D8" i="77"/>
  <c r="C226" i="77"/>
  <c r="D226" i="77"/>
  <c r="D201" i="77"/>
  <c r="C201" i="77"/>
  <c r="L41" i="77"/>
  <c r="H41" i="77"/>
  <c r="Q41" i="77"/>
  <c r="O41" i="77"/>
  <c r="M41" i="77"/>
  <c r="K41" i="77"/>
  <c r="I41" i="77"/>
  <c r="G41" i="77"/>
  <c r="P41" i="77"/>
  <c r="N41" i="77"/>
  <c r="J41" i="77"/>
  <c r="P307" i="77"/>
  <c r="N307" i="77"/>
  <c r="L307" i="77"/>
  <c r="J307" i="77"/>
  <c r="H307" i="77"/>
  <c r="O307" i="77"/>
  <c r="K307" i="77"/>
  <c r="G307" i="77"/>
  <c r="Q307" i="77"/>
  <c r="M307" i="77"/>
  <c r="I307" i="77"/>
  <c r="AB307" i="77"/>
  <c r="Z307" i="77"/>
  <c r="X307" i="77"/>
  <c r="V307" i="77"/>
  <c r="T307" i="77"/>
  <c r="R307" i="77"/>
  <c r="AA307" i="77"/>
  <c r="W307" i="77"/>
  <c r="S307" i="77"/>
  <c r="Y307" i="77"/>
  <c r="U307" i="77"/>
  <c r="AA198" i="77"/>
  <c r="Y198" i="77"/>
  <c r="W198" i="77"/>
  <c r="U198" i="77"/>
  <c r="S198" i="77"/>
  <c r="Z198" i="77"/>
  <c r="V198" i="77"/>
  <c r="R198" i="77"/>
  <c r="AB198" i="77"/>
  <c r="T198" i="77"/>
  <c r="X198" i="77"/>
  <c r="Q198" i="77"/>
  <c r="O198" i="77"/>
  <c r="M198" i="77"/>
  <c r="K198" i="77"/>
  <c r="I198" i="77"/>
  <c r="G198" i="77"/>
  <c r="N198" i="77"/>
  <c r="J198" i="77"/>
  <c r="L198" i="77"/>
  <c r="P198" i="77"/>
  <c r="H198" i="77"/>
  <c r="AA70" i="77"/>
  <c r="Y70" i="77"/>
  <c r="W70" i="77"/>
  <c r="U70" i="77"/>
  <c r="S70" i="77"/>
  <c r="AB70" i="77"/>
  <c r="Z70" i="77"/>
  <c r="X70" i="77"/>
  <c r="V70" i="77"/>
  <c r="T70" i="77"/>
  <c r="R70" i="77"/>
  <c r="Q70" i="77"/>
  <c r="O70" i="77"/>
  <c r="M70" i="77"/>
  <c r="K70" i="77"/>
  <c r="I70" i="77"/>
  <c r="G70" i="77"/>
  <c r="P70" i="77"/>
  <c r="N70" i="77"/>
  <c r="L70" i="77"/>
  <c r="J70" i="77"/>
  <c r="H70" i="77"/>
  <c r="E191" i="77"/>
  <c r="P185" i="77"/>
  <c r="N185" i="77"/>
  <c r="L185" i="77"/>
  <c r="J185" i="77"/>
  <c r="H185" i="77"/>
  <c r="O185" i="77"/>
  <c r="K185" i="77"/>
  <c r="G185" i="77"/>
  <c r="Q185" i="77"/>
  <c r="M185" i="77"/>
  <c r="I185" i="77"/>
  <c r="D185" i="77"/>
  <c r="C185" i="77"/>
  <c r="D271" i="77"/>
  <c r="C271" i="77"/>
  <c r="C322" i="77"/>
  <c r="D322" i="77"/>
  <c r="AB77" i="77"/>
  <c r="Z77" i="77"/>
  <c r="X77" i="77"/>
  <c r="V77" i="77"/>
  <c r="T77" i="77"/>
  <c r="R77" i="77"/>
  <c r="F83" i="77"/>
  <c r="AA77" i="77"/>
  <c r="Y77" i="77"/>
  <c r="W77" i="77"/>
  <c r="U77" i="77"/>
  <c r="S77" i="77"/>
  <c r="P152" i="77"/>
  <c r="N152" i="77"/>
  <c r="L152" i="77"/>
  <c r="J152" i="77"/>
  <c r="H152" i="77"/>
  <c r="Q152" i="77"/>
  <c r="O152" i="77"/>
  <c r="M152" i="77"/>
  <c r="K152" i="77"/>
  <c r="I152" i="77"/>
  <c r="G152" i="77"/>
  <c r="AB152" i="77"/>
  <c r="Z152" i="77"/>
  <c r="X152" i="77"/>
  <c r="V152" i="77"/>
  <c r="T152" i="77"/>
  <c r="R152" i="77"/>
  <c r="AA152" i="77"/>
  <c r="Y152" i="77"/>
  <c r="W152" i="77"/>
  <c r="U152" i="77"/>
  <c r="S152" i="77"/>
  <c r="C224" i="77"/>
  <c r="D224" i="77"/>
  <c r="Q224" i="77"/>
  <c r="O224" i="77"/>
  <c r="M224" i="77"/>
  <c r="K224" i="77"/>
  <c r="I224" i="77"/>
  <c r="G224" i="77"/>
  <c r="P224" i="77"/>
  <c r="L224" i="77"/>
  <c r="H224" i="77"/>
  <c r="J224" i="77"/>
  <c r="N224" i="77"/>
  <c r="P103" i="77"/>
  <c r="N103" i="77"/>
  <c r="L103" i="77"/>
  <c r="J103" i="77"/>
  <c r="H103" i="77"/>
  <c r="O103" i="77"/>
  <c r="K103" i="77"/>
  <c r="G103" i="77"/>
  <c r="Q103" i="77"/>
  <c r="M103" i="77"/>
  <c r="I103" i="77"/>
  <c r="AB103" i="77"/>
  <c r="Z103" i="77"/>
  <c r="X103" i="77"/>
  <c r="V103" i="77"/>
  <c r="T103" i="77"/>
  <c r="R103" i="77"/>
  <c r="AA103" i="77"/>
  <c r="W103" i="77"/>
  <c r="S103" i="77"/>
  <c r="Y103" i="77"/>
  <c r="U103" i="77"/>
  <c r="AA308" i="77"/>
  <c r="Y308" i="77"/>
  <c r="W308" i="77"/>
  <c r="U308" i="77"/>
  <c r="S308" i="77"/>
  <c r="Z308" i="77"/>
  <c r="V308" i="77"/>
  <c r="R308" i="77"/>
  <c r="AB308" i="77"/>
  <c r="X308" i="77"/>
  <c r="T308" i="77"/>
  <c r="Q308" i="77"/>
  <c r="O308" i="77"/>
  <c r="M308" i="77"/>
  <c r="K308" i="77"/>
  <c r="I308" i="77"/>
  <c r="G308" i="77"/>
  <c r="N308" i="77"/>
  <c r="J308" i="77"/>
  <c r="P308" i="77"/>
  <c r="L308" i="77"/>
  <c r="H308" i="77"/>
  <c r="AA236" i="77"/>
  <c r="Y236" i="77"/>
  <c r="W236" i="77"/>
  <c r="U236" i="77"/>
  <c r="S236" i="77"/>
  <c r="AB236" i="77"/>
  <c r="X236" i="77"/>
  <c r="T236" i="77"/>
  <c r="V236" i="77"/>
  <c r="Z236" i="77"/>
  <c r="R236" i="77"/>
  <c r="Q236" i="77"/>
  <c r="O236" i="77"/>
  <c r="M236" i="77"/>
  <c r="K236" i="77"/>
  <c r="I236" i="77"/>
  <c r="G236" i="77"/>
  <c r="P236" i="77"/>
  <c r="L236" i="77"/>
  <c r="H236" i="77"/>
  <c r="N236" i="77"/>
  <c r="J236" i="77"/>
  <c r="P138" i="77"/>
  <c r="N138" i="77"/>
  <c r="L138" i="77"/>
  <c r="J138" i="77"/>
  <c r="H138" i="77"/>
  <c r="Q138" i="77"/>
  <c r="O138" i="77"/>
  <c r="M138" i="77"/>
  <c r="K138" i="77"/>
  <c r="I138" i="77"/>
  <c r="G138" i="77"/>
  <c r="AB138" i="77"/>
  <c r="Z138" i="77"/>
  <c r="X138" i="77"/>
  <c r="V138" i="77"/>
  <c r="T138" i="77"/>
  <c r="R138" i="77"/>
  <c r="AA138" i="77"/>
  <c r="Y138" i="77"/>
  <c r="W138" i="77"/>
  <c r="U138" i="77"/>
  <c r="S138" i="77"/>
  <c r="P128" i="77"/>
  <c r="N128" i="77"/>
  <c r="L128" i="77"/>
  <c r="J128" i="77"/>
  <c r="H128" i="77"/>
  <c r="Q128" i="77"/>
  <c r="O128" i="77"/>
  <c r="M128" i="77"/>
  <c r="K128" i="77"/>
  <c r="I128" i="77"/>
  <c r="G128" i="77"/>
  <c r="AB128" i="77"/>
  <c r="Z128" i="77"/>
  <c r="X128" i="77"/>
  <c r="V128" i="77"/>
  <c r="T128" i="77"/>
  <c r="R128" i="77"/>
  <c r="AA128" i="77"/>
  <c r="Y128" i="77"/>
  <c r="W128" i="77"/>
  <c r="U128" i="77"/>
  <c r="S128" i="77"/>
  <c r="P211" i="77"/>
  <c r="N211" i="77"/>
  <c r="L211" i="77"/>
  <c r="J211" i="77"/>
  <c r="H211" i="77"/>
  <c r="Q211" i="77"/>
  <c r="M211" i="77"/>
  <c r="I211" i="77"/>
  <c r="K211" i="77"/>
  <c r="O211" i="77"/>
  <c r="G211" i="77"/>
  <c r="AB211" i="77"/>
  <c r="Z211" i="77"/>
  <c r="X211" i="77"/>
  <c r="V211" i="77"/>
  <c r="T211" i="77"/>
  <c r="R211" i="77"/>
  <c r="Y211" i="77"/>
  <c r="U211" i="77"/>
  <c r="AA211" i="77"/>
  <c r="S211" i="77"/>
  <c r="W211" i="77"/>
  <c r="AA306" i="77"/>
  <c r="Y306" i="77"/>
  <c r="W306" i="77"/>
  <c r="U306" i="77"/>
  <c r="S306" i="77"/>
  <c r="AB306" i="77"/>
  <c r="X306" i="77"/>
  <c r="T306" i="77"/>
  <c r="Z306" i="77"/>
  <c r="V306" i="77"/>
  <c r="R306" i="77"/>
  <c r="Q306" i="77"/>
  <c r="O306" i="77"/>
  <c r="M306" i="77"/>
  <c r="K306" i="77"/>
  <c r="I306" i="77"/>
  <c r="G306" i="77"/>
  <c r="P306" i="77"/>
  <c r="L306" i="77"/>
  <c r="H306" i="77"/>
  <c r="N306" i="77"/>
  <c r="J306" i="77"/>
  <c r="E119" i="77"/>
  <c r="P113" i="77"/>
  <c r="N113" i="77"/>
  <c r="L113" i="77"/>
  <c r="J113" i="77"/>
  <c r="H113" i="77"/>
  <c r="Q113" i="77"/>
  <c r="M113" i="77"/>
  <c r="I113" i="77"/>
  <c r="O113" i="77"/>
  <c r="K113" i="77"/>
  <c r="G113" i="77"/>
  <c r="D113" i="77"/>
  <c r="C113" i="77"/>
  <c r="C57" i="77"/>
  <c r="D57" i="77"/>
  <c r="D225" i="77"/>
  <c r="C225" i="77"/>
  <c r="C42" i="77"/>
  <c r="D42" i="77"/>
  <c r="D118" i="77"/>
  <c r="C118" i="77"/>
  <c r="X43" i="77"/>
  <c r="R43" i="77"/>
  <c r="AA43" i="77"/>
  <c r="Y43" i="77"/>
  <c r="W43" i="77"/>
  <c r="U43" i="77"/>
  <c r="S43" i="77"/>
  <c r="AB43" i="77"/>
  <c r="Z43" i="77"/>
  <c r="V43" i="77"/>
  <c r="T43" i="77"/>
  <c r="L43" i="77"/>
  <c r="Q43" i="77"/>
  <c r="O43" i="77"/>
  <c r="M43" i="77"/>
  <c r="K43" i="77"/>
  <c r="I43" i="77"/>
  <c r="G43" i="77"/>
  <c r="P43" i="77"/>
  <c r="N43" i="77"/>
  <c r="J43" i="77"/>
  <c r="H43" i="77"/>
  <c r="E251" i="77"/>
  <c r="P245" i="77"/>
  <c r="N245" i="77"/>
  <c r="L245" i="77"/>
  <c r="J245" i="77"/>
  <c r="H245" i="77"/>
  <c r="O245" i="77"/>
  <c r="K245" i="77"/>
  <c r="G245" i="77"/>
  <c r="Q245" i="77"/>
  <c r="I245" i="77"/>
  <c r="M245" i="77"/>
  <c r="AB245" i="77"/>
  <c r="Z245" i="77"/>
  <c r="X245" i="77"/>
  <c r="V245" i="77"/>
  <c r="T245" i="77"/>
  <c r="R245" i="77"/>
  <c r="AA245" i="77"/>
  <c r="W245" i="77"/>
  <c r="S245" i="77"/>
  <c r="F251" i="77"/>
  <c r="Y245" i="77"/>
  <c r="U245" i="77"/>
  <c r="AA163" i="77"/>
  <c r="Y163" i="77"/>
  <c r="W163" i="77"/>
  <c r="U163" i="77"/>
  <c r="S163" i="77"/>
  <c r="AB163" i="77"/>
  <c r="Z163" i="77"/>
  <c r="X163" i="77"/>
  <c r="V163" i="77"/>
  <c r="T163" i="77"/>
  <c r="R163" i="77"/>
  <c r="Q163" i="77"/>
  <c r="O163" i="77"/>
  <c r="M163" i="77"/>
  <c r="K163" i="77"/>
  <c r="I163" i="77"/>
  <c r="G163" i="77"/>
  <c r="P163" i="77"/>
  <c r="N163" i="77"/>
  <c r="L163" i="77"/>
  <c r="J163" i="77"/>
  <c r="H163" i="77"/>
  <c r="D197" i="77"/>
  <c r="C197" i="77"/>
  <c r="D249" i="77"/>
  <c r="C249" i="77"/>
  <c r="C270" i="77"/>
  <c r="D270" i="77"/>
  <c r="D177" i="77"/>
  <c r="C177" i="77"/>
  <c r="D105" i="77"/>
  <c r="C105" i="77"/>
  <c r="C92" i="77"/>
  <c r="D92" i="77"/>
  <c r="C22" i="77"/>
  <c r="D22" i="77"/>
  <c r="P22" i="77"/>
  <c r="L22" i="77"/>
  <c r="Q22" i="77"/>
  <c r="O22" i="77"/>
  <c r="M22" i="77"/>
  <c r="K22" i="77"/>
  <c r="I22" i="77"/>
  <c r="G22" i="77"/>
  <c r="N22" i="77"/>
  <c r="J22" i="77"/>
  <c r="H22" i="77"/>
  <c r="D7" i="77"/>
  <c r="C7" i="77"/>
  <c r="AB293" i="77"/>
  <c r="Z293" i="77"/>
  <c r="X293" i="77"/>
  <c r="V293" i="77"/>
  <c r="T293" i="77"/>
  <c r="R293" i="77"/>
  <c r="F299" i="77"/>
  <c r="Y293" i="77"/>
  <c r="U293" i="77"/>
  <c r="AA293" i="77"/>
  <c r="W293" i="77"/>
  <c r="S293" i="77"/>
  <c r="AB21" i="77"/>
  <c r="Z21" i="77"/>
  <c r="X21" i="77"/>
  <c r="V21" i="77"/>
  <c r="T21" i="77"/>
  <c r="R21" i="77"/>
  <c r="AA21" i="77"/>
  <c r="Y21" i="77"/>
  <c r="W21" i="77"/>
  <c r="U21" i="77"/>
  <c r="S21" i="77"/>
  <c r="Q21" i="77"/>
  <c r="I21" i="77"/>
  <c r="P21" i="77"/>
  <c r="N21" i="77"/>
  <c r="L21" i="77"/>
  <c r="J21" i="77"/>
  <c r="H21" i="77"/>
  <c r="O21" i="77"/>
  <c r="M21" i="77"/>
  <c r="K21" i="77"/>
  <c r="G21" i="77"/>
  <c r="AA139" i="77"/>
  <c r="Y139" i="77"/>
  <c r="W139" i="77"/>
  <c r="U139" i="77"/>
  <c r="S139" i="77"/>
  <c r="AB139" i="77"/>
  <c r="Z139" i="77"/>
  <c r="X139" i="77"/>
  <c r="V139" i="77"/>
  <c r="T139" i="77"/>
  <c r="R139" i="77"/>
  <c r="Q139" i="77"/>
  <c r="O139" i="77"/>
  <c r="M139" i="77"/>
  <c r="K139" i="77"/>
  <c r="I139" i="77"/>
  <c r="G139" i="77"/>
  <c r="P139" i="77"/>
  <c r="N139" i="77"/>
  <c r="L139" i="77"/>
  <c r="J139" i="77"/>
  <c r="H139" i="77"/>
  <c r="P319" i="77"/>
  <c r="N319" i="77"/>
  <c r="L319" i="77"/>
  <c r="J319" i="77"/>
  <c r="H319" i="77"/>
  <c r="O319" i="77"/>
  <c r="K319" i="77"/>
  <c r="G319" i="77"/>
  <c r="Q319" i="77"/>
  <c r="M319" i="77"/>
  <c r="I319" i="77"/>
  <c r="AB319" i="77"/>
  <c r="Z319" i="77"/>
  <c r="X319" i="77"/>
  <c r="V319" i="77"/>
  <c r="T319" i="77"/>
  <c r="R319" i="77"/>
  <c r="AA319" i="77"/>
  <c r="W319" i="77"/>
  <c r="S319" i="77"/>
  <c r="Y319" i="77"/>
  <c r="U319" i="77"/>
  <c r="AA330" i="77"/>
  <c r="Y330" i="77"/>
  <c r="W330" i="77"/>
  <c r="U330" i="77"/>
  <c r="S330" i="77"/>
  <c r="AB330" i="77"/>
  <c r="X330" i="77"/>
  <c r="T330" i="77"/>
  <c r="Z330" i="77"/>
  <c r="V330" i="77"/>
  <c r="R330" i="77"/>
  <c r="Q330" i="77"/>
  <c r="O330" i="77"/>
  <c r="M330" i="77"/>
  <c r="K330" i="77"/>
  <c r="I330" i="77"/>
  <c r="G330" i="77"/>
  <c r="P330" i="77"/>
  <c r="L330" i="77"/>
  <c r="H330" i="77"/>
  <c r="N330" i="77"/>
  <c r="J330" i="77"/>
  <c r="C341" i="77"/>
  <c r="D341" i="77"/>
  <c r="F359" i="77"/>
  <c r="AA353" i="77"/>
  <c r="Y353" i="77"/>
  <c r="W353" i="77"/>
  <c r="U353" i="77"/>
  <c r="S353" i="77"/>
  <c r="AB353" i="77"/>
  <c r="X353" i="77"/>
  <c r="T353" i="77"/>
  <c r="Z353" i="77"/>
  <c r="V353" i="77"/>
  <c r="R353" i="77"/>
  <c r="Q353" i="77"/>
  <c r="O353" i="77"/>
  <c r="M353" i="77"/>
  <c r="K353" i="77"/>
  <c r="I353" i="77"/>
  <c r="G353" i="77"/>
  <c r="E359" i="77"/>
  <c r="P353" i="77"/>
  <c r="L353" i="77"/>
  <c r="H353" i="77"/>
  <c r="N353" i="77"/>
  <c r="J353" i="77"/>
  <c r="P354" i="77"/>
  <c r="N354" i="77"/>
  <c r="L354" i="77"/>
  <c r="J354" i="77"/>
  <c r="H354" i="77"/>
  <c r="O354" i="77"/>
  <c r="K354" i="77"/>
  <c r="G354" i="77"/>
  <c r="Q354" i="77"/>
  <c r="M354" i="77"/>
  <c r="I354" i="77"/>
  <c r="AB354" i="77"/>
  <c r="Z354" i="77"/>
  <c r="X354" i="77"/>
  <c r="V354" i="77"/>
  <c r="T354" i="77"/>
  <c r="R354" i="77"/>
  <c r="AA354" i="77"/>
  <c r="W354" i="77"/>
  <c r="S354" i="77"/>
  <c r="Y354" i="77"/>
  <c r="U354" i="77"/>
  <c r="P358" i="77"/>
  <c r="N358" i="77"/>
  <c r="L358" i="77"/>
  <c r="J358" i="77"/>
  <c r="H358" i="77"/>
  <c r="O358" i="77"/>
  <c r="K358" i="77"/>
  <c r="G358" i="77"/>
  <c r="Q358" i="77"/>
  <c r="M358" i="77"/>
  <c r="I358" i="77"/>
  <c r="AB358" i="77"/>
  <c r="Z358" i="77"/>
  <c r="X358" i="77"/>
  <c r="V358" i="77"/>
  <c r="T358" i="77"/>
  <c r="R358" i="77"/>
  <c r="AA358" i="77"/>
  <c r="W358" i="77"/>
  <c r="S358" i="77"/>
  <c r="Y358" i="77"/>
  <c r="U358" i="77"/>
  <c r="E263" i="77"/>
  <c r="P257" i="77"/>
  <c r="N257" i="77"/>
  <c r="L257" i="77"/>
  <c r="J257" i="77"/>
  <c r="H257" i="77"/>
  <c r="Q257" i="77"/>
  <c r="M257" i="77"/>
  <c r="I257" i="77"/>
  <c r="O257" i="77"/>
  <c r="K257" i="77"/>
  <c r="G257" i="77"/>
  <c r="D257" i="77"/>
  <c r="C257" i="77"/>
  <c r="C153" i="77"/>
  <c r="D153" i="77"/>
  <c r="D69" i="77"/>
  <c r="C69" i="77"/>
  <c r="C141" i="77"/>
  <c r="D141" i="77"/>
  <c r="C272" i="77"/>
  <c r="D272" i="77"/>
  <c r="C104" i="77"/>
  <c r="D104" i="77"/>
  <c r="F167" i="77"/>
  <c r="AA161" i="77"/>
  <c r="Y161" i="77"/>
  <c r="W161" i="77"/>
  <c r="U161" i="77"/>
  <c r="S161" i="77"/>
  <c r="AB161" i="77"/>
  <c r="Z161" i="77"/>
  <c r="X161" i="77"/>
  <c r="V161" i="77"/>
  <c r="T161" i="77"/>
  <c r="R161" i="77"/>
  <c r="Q161" i="77"/>
  <c r="O161" i="77"/>
  <c r="M161" i="77"/>
  <c r="K161" i="77"/>
  <c r="I161" i="77"/>
  <c r="G161" i="77"/>
  <c r="E167" i="77"/>
  <c r="P161" i="77"/>
  <c r="N161" i="77"/>
  <c r="L161" i="77"/>
  <c r="J161" i="77"/>
  <c r="H161" i="77"/>
  <c r="AA90" i="77"/>
  <c r="Y90" i="77"/>
  <c r="W90" i="77"/>
  <c r="U90" i="77"/>
  <c r="S90" i="77"/>
  <c r="AB90" i="77"/>
  <c r="Z90" i="77"/>
  <c r="X90" i="77"/>
  <c r="V90" i="77"/>
  <c r="T90" i="77"/>
  <c r="R90" i="77"/>
  <c r="Q90" i="77"/>
  <c r="O90" i="77"/>
  <c r="M90" i="77"/>
  <c r="K90" i="77"/>
  <c r="I90" i="77"/>
  <c r="G90" i="77"/>
  <c r="P90" i="77"/>
  <c r="N90" i="77"/>
  <c r="L90" i="77"/>
  <c r="J90" i="77"/>
  <c r="H90" i="77"/>
  <c r="E107" i="77"/>
  <c r="P101" i="77"/>
  <c r="N101" i="77"/>
  <c r="L101" i="77"/>
  <c r="J101" i="77"/>
  <c r="H101" i="77"/>
  <c r="Q101" i="77"/>
  <c r="M101" i="77"/>
  <c r="I101" i="77"/>
  <c r="O101" i="77"/>
  <c r="K101" i="77"/>
  <c r="G101" i="77"/>
  <c r="D101" i="77"/>
  <c r="C101" i="77"/>
  <c r="AB305" i="77"/>
  <c r="Z305" i="77"/>
  <c r="X305" i="77"/>
  <c r="V305" i="77"/>
  <c r="T305" i="77"/>
  <c r="R305" i="77"/>
  <c r="F311" i="77"/>
  <c r="Y305" i="77"/>
  <c r="U305" i="77"/>
  <c r="AA305" i="77"/>
  <c r="W305" i="77"/>
  <c r="S305" i="77"/>
  <c r="AA176" i="77"/>
  <c r="Y176" i="77"/>
  <c r="W176" i="77"/>
  <c r="U176" i="77"/>
  <c r="S176" i="77"/>
  <c r="AB176" i="77"/>
  <c r="X176" i="77"/>
  <c r="T176" i="77"/>
  <c r="Z176" i="77"/>
  <c r="V176" i="77"/>
  <c r="R176" i="77"/>
  <c r="Q176" i="77"/>
  <c r="O176" i="77"/>
  <c r="M176" i="77"/>
  <c r="K176" i="77"/>
  <c r="I176" i="77"/>
  <c r="G176" i="77"/>
  <c r="P176" i="77"/>
  <c r="L176" i="77"/>
  <c r="H176" i="77"/>
  <c r="N176" i="77"/>
  <c r="J176" i="77"/>
  <c r="AA127" i="77"/>
  <c r="Y127" i="77"/>
  <c r="W127" i="77"/>
  <c r="U127" i="77"/>
  <c r="S127" i="77"/>
  <c r="AB127" i="77"/>
  <c r="Z127" i="77"/>
  <c r="X127" i="77"/>
  <c r="V127" i="77"/>
  <c r="T127" i="77"/>
  <c r="R127" i="77"/>
  <c r="Q127" i="77"/>
  <c r="O127" i="77"/>
  <c r="M127" i="77"/>
  <c r="K127" i="77"/>
  <c r="I127" i="77"/>
  <c r="G127" i="77"/>
  <c r="P127" i="77"/>
  <c r="N127" i="77"/>
  <c r="L127" i="77"/>
  <c r="J127" i="77"/>
  <c r="H127" i="77"/>
  <c r="D221" i="77"/>
  <c r="C221" i="77"/>
  <c r="D91" i="77"/>
  <c r="C91" i="77"/>
  <c r="D140" i="77"/>
  <c r="C140" i="77"/>
  <c r="AB233" i="77"/>
  <c r="Z233" i="77"/>
  <c r="X233" i="77"/>
  <c r="V233" i="77"/>
  <c r="T233" i="77"/>
  <c r="R233" i="77"/>
  <c r="AA233" i="77"/>
  <c r="W233" i="77"/>
  <c r="S233" i="77"/>
  <c r="U233" i="77"/>
  <c r="F239" i="77"/>
  <c r="Y233" i="77"/>
  <c r="P46" i="77"/>
  <c r="N46" i="77"/>
  <c r="L46" i="77"/>
  <c r="J46" i="77"/>
  <c r="H46" i="77"/>
  <c r="Q46" i="77"/>
  <c r="O46" i="77"/>
  <c r="M46" i="77"/>
  <c r="K46" i="77"/>
  <c r="I46" i="77"/>
  <c r="G46" i="77"/>
  <c r="AB46" i="77"/>
  <c r="Z46" i="77"/>
  <c r="X46" i="77"/>
  <c r="V46" i="77"/>
  <c r="T46" i="77"/>
  <c r="R46" i="77"/>
  <c r="AA46" i="77"/>
  <c r="Y46" i="77"/>
  <c r="W46" i="77"/>
  <c r="U46" i="77"/>
  <c r="S46" i="77"/>
  <c r="P213" i="77"/>
  <c r="N213" i="77"/>
  <c r="L213" i="77"/>
  <c r="J213" i="77"/>
  <c r="H213" i="77"/>
  <c r="O213" i="77"/>
  <c r="K213" i="77"/>
  <c r="G213" i="77"/>
  <c r="Q213" i="77"/>
  <c r="I213" i="77"/>
  <c r="M213" i="77"/>
  <c r="D213" i="77"/>
  <c r="C213" i="77"/>
  <c r="D295" i="77"/>
  <c r="C295" i="77"/>
  <c r="F335" i="77"/>
  <c r="AB329" i="77"/>
  <c r="Z329" i="77"/>
  <c r="X329" i="77"/>
  <c r="V329" i="77"/>
  <c r="T329" i="77"/>
  <c r="R329" i="77"/>
  <c r="Y329" i="77"/>
  <c r="U329" i="77"/>
  <c r="AA329" i="77"/>
  <c r="W329" i="77"/>
  <c r="S329" i="77"/>
  <c r="C149" i="77"/>
  <c r="D149" i="77"/>
  <c r="C222" i="77"/>
  <c r="D222" i="77"/>
  <c r="D31" i="77"/>
  <c r="C31" i="77"/>
  <c r="D130" i="77"/>
  <c r="C130" i="77"/>
  <c r="D154" i="77"/>
  <c r="C154" i="77"/>
  <c r="C282" i="77"/>
  <c r="D282" i="77"/>
  <c r="D187" i="77"/>
  <c r="C187" i="77"/>
  <c r="C214" i="77"/>
  <c r="D214" i="77"/>
  <c r="AA248" i="77"/>
  <c r="Y248" i="77"/>
  <c r="W248" i="77"/>
  <c r="U248" i="77"/>
  <c r="S248" i="77"/>
  <c r="AB248" i="77"/>
  <c r="X248" i="77"/>
  <c r="T248" i="77"/>
  <c r="Z248" i="77"/>
  <c r="R248" i="77"/>
  <c r="V248" i="77"/>
  <c r="AB317" i="77"/>
  <c r="Z317" i="77"/>
  <c r="X317" i="77"/>
  <c r="V317" i="77"/>
  <c r="T317" i="77"/>
  <c r="R317" i="77"/>
  <c r="F323" i="77"/>
  <c r="Y317" i="77"/>
  <c r="U317" i="77"/>
  <c r="AA317" i="77"/>
  <c r="W317" i="77"/>
  <c r="S317" i="77"/>
  <c r="AA117" i="77"/>
  <c r="Y117" i="77"/>
  <c r="W117" i="77"/>
  <c r="U117" i="77"/>
  <c r="S117" i="77"/>
  <c r="AB117" i="77"/>
  <c r="Z117" i="77"/>
  <c r="X117" i="77"/>
  <c r="V117" i="77"/>
  <c r="T117" i="77"/>
  <c r="R117" i="77"/>
  <c r="Q117" i="77"/>
  <c r="O117" i="77"/>
  <c r="M117" i="77"/>
  <c r="K117" i="77"/>
  <c r="I117" i="77"/>
  <c r="G117" i="77"/>
  <c r="P117" i="77"/>
  <c r="N117" i="77"/>
  <c r="L117" i="77"/>
  <c r="J117" i="77"/>
  <c r="H117" i="77"/>
  <c r="AA190" i="77"/>
  <c r="Y190" i="77"/>
  <c r="W190" i="77"/>
  <c r="U190" i="77"/>
  <c r="S190" i="77"/>
  <c r="Z190" i="77"/>
  <c r="V190" i="77"/>
  <c r="R190" i="77"/>
  <c r="AB190" i="77"/>
  <c r="X190" i="77"/>
  <c r="T190" i="77"/>
  <c r="Q190" i="77"/>
  <c r="O190" i="77"/>
  <c r="M190" i="77"/>
  <c r="K190" i="77"/>
  <c r="I190" i="77"/>
  <c r="G190" i="77"/>
  <c r="N190" i="77"/>
  <c r="J190" i="77"/>
  <c r="P190" i="77"/>
  <c r="L190" i="77"/>
  <c r="H190" i="77"/>
  <c r="P223" i="77"/>
  <c r="N223" i="77"/>
  <c r="L223" i="77"/>
  <c r="J223" i="77"/>
  <c r="H223" i="77"/>
  <c r="Q223" i="77"/>
  <c r="M223" i="77"/>
  <c r="I223" i="77"/>
  <c r="O223" i="77"/>
  <c r="G223" i="77"/>
  <c r="K223" i="77"/>
  <c r="AB223" i="77"/>
  <c r="Z223" i="77"/>
  <c r="X223" i="77"/>
  <c r="V223" i="77"/>
  <c r="T223" i="77"/>
  <c r="R223" i="77"/>
  <c r="Y223" i="77"/>
  <c r="U223" i="77"/>
  <c r="W223" i="77"/>
  <c r="AA223" i="77"/>
  <c r="S223" i="77"/>
  <c r="AA78" i="77"/>
  <c r="Y78" i="77"/>
  <c r="W78" i="77"/>
  <c r="U78" i="77"/>
  <c r="S78" i="77"/>
  <c r="AB78" i="77"/>
  <c r="Z78" i="77"/>
  <c r="X78" i="77"/>
  <c r="V78" i="77"/>
  <c r="T78" i="77"/>
  <c r="R78" i="77"/>
  <c r="Q78" i="77"/>
  <c r="O78" i="77"/>
  <c r="M78" i="77"/>
  <c r="K78" i="77"/>
  <c r="I78" i="77"/>
  <c r="G78" i="77"/>
  <c r="P78" i="77"/>
  <c r="N78" i="77"/>
  <c r="L78" i="77"/>
  <c r="J78" i="77"/>
  <c r="H78" i="77"/>
  <c r="AB20" i="77"/>
  <c r="Z20" i="77"/>
  <c r="V20" i="77"/>
  <c r="T20" i="77"/>
  <c r="AA20" i="77"/>
  <c r="Y20" i="77"/>
  <c r="W20" i="77"/>
  <c r="U20" i="77"/>
  <c r="S20" i="77"/>
  <c r="X20" i="77"/>
  <c r="R20" i="77"/>
  <c r="P20" i="77"/>
  <c r="L20" i="77"/>
  <c r="H20" i="77"/>
  <c r="Q20" i="77"/>
  <c r="O20" i="77"/>
  <c r="M20" i="77"/>
  <c r="K20" i="77"/>
  <c r="I20" i="77"/>
  <c r="G20" i="77"/>
  <c r="N20" i="77"/>
  <c r="J20" i="77"/>
  <c r="P235" i="77"/>
  <c r="N235" i="77"/>
  <c r="L235" i="77"/>
  <c r="J235" i="77"/>
  <c r="H235" i="77"/>
  <c r="Q235" i="77"/>
  <c r="M235" i="77"/>
  <c r="I235" i="77"/>
  <c r="K235" i="77"/>
  <c r="O235" i="77"/>
  <c r="G235" i="77"/>
  <c r="AB235" i="77"/>
  <c r="Z235" i="77"/>
  <c r="X235" i="77"/>
  <c r="V235" i="77"/>
  <c r="T235" i="77"/>
  <c r="R235" i="77"/>
  <c r="Y235" i="77"/>
  <c r="U235" i="77"/>
  <c r="AA235" i="77"/>
  <c r="S235" i="77"/>
  <c r="W235" i="77"/>
  <c r="P56" i="77"/>
  <c r="N56" i="77"/>
  <c r="L56" i="77"/>
  <c r="J56" i="77"/>
  <c r="H56" i="77"/>
  <c r="Q56" i="77"/>
  <c r="O56" i="77"/>
  <c r="M56" i="77"/>
  <c r="K56" i="77"/>
  <c r="I56" i="77"/>
  <c r="G56" i="77"/>
  <c r="AB56" i="77"/>
  <c r="Z56" i="77"/>
  <c r="X56" i="77"/>
  <c r="V56" i="77"/>
  <c r="T56" i="77"/>
  <c r="R56" i="77"/>
  <c r="AA56" i="77"/>
  <c r="Y56" i="77"/>
  <c r="W56" i="77"/>
  <c r="U56" i="77"/>
  <c r="S56" i="77"/>
  <c r="P166" i="77"/>
  <c r="N166" i="77"/>
  <c r="L166" i="77"/>
  <c r="J166" i="77"/>
  <c r="H166" i="77"/>
  <c r="Q166" i="77"/>
  <c r="O166" i="77"/>
  <c r="M166" i="77"/>
  <c r="K166" i="77"/>
  <c r="I166" i="77"/>
  <c r="G166" i="77"/>
  <c r="AB166" i="77"/>
  <c r="Z166" i="77"/>
  <c r="X166" i="77"/>
  <c r="V166" i="77"/>
  <c r="T166" i="77"/>
  <c r="R166" i="77"/>
  <c r="AA166" i="77"/>
  <c r="Y166" i="77"/>
  <c r="W166" i="77"/>
  <c r="U166" i="77"/>
  <c r="S166" i="77"/>
  <c r="AA318" i="77"/>
  <c r="Y318" i="77"/>
  <c r="W318" i="77"/>
  <c r="U318" i="77"/>
  <c r="S318" i="77"/>
  <c r="AB318" i="77"/>
  <c r="X318" i="77"/>
  <c r="T318" i="77"/>
  <c r="Z318" i="77"/>
  <c r="V318" i="77"/>
  <c r="R318" i="77"/>
  <c r="Q318" i="77"/>
  <c r="O318" i="77"/>
  <c r="M318" i="77"/>
  <c r="K318" i="77"/>
  <c r="I318" i="77"/>
  <c r="G318" i="77"/>
  <c r="P318" i="77"/>
  <c r="L318" i="77"/>
  <c r="H318" i="77"/>
  <c r="N318" i="77"/>
  <c r="J318" i="77"/>
  <c r="P332" i="77"/>
  <c r="N332" i="77"/>
  <c r="L332" i="77"/>
  <c r="J332" i="77"/>
  <c r="H332" i="77"/>
  <c r="O332" i="77"/>
  <c r="K332" i="77"/>
  <c r="G332" i="77"/>
  <c r="M332" i="77"/>
  <c r="Q332" i="77"/>
  <c r="I332" i="77"/>
  <c r="AB332" i="77"/>
  <c r="Z332" i="77"/>
  <c r="X332" i="77"/>
  <c r="V332" i="77"/>
  <c r="T332" i="77"/>
  <c r="R332" i="77"/>
  <c r="AA332" i="77"/>
  <c r="W332" i="77"/>
  <c r="S332" i="77"/>
  <c r="U332" i="77"/>
  <c r="Y332" i="77"/>
  <c r="AA345" i="77"/>
  <c r="Y345" i="77"/>
  <c r="W345" i="77"/>
  <c r="U345" i="77"/>
  <c r="S345" i="77"/>
  <c r="Z345" i="77"/>
  <c r="V345" i="77"/>
  <c r="R345" i="77"/>
  <c r="AB345" i="77"/>
  <c r="X345" i="77"/>
  <c r="T345" i="77"/>
  <c r="Q345" i="77"/>
  <c r="O345" i="77"/>
  <c r="M345" i="77"/>
  <c r="K345" i="77"/>
  <c r="I345" i="77"/>
  <c r="G345" i="77"/>
  <c r="N345" i="77"/>
  <c r="J345" i="77"/>
  <c r="P345" i="77"/>
  <c r="L345" i="77"/>
  <c r="H345" i="77"/>
  <c r="AA258" i="77"/>
  <c r="Y258" i="77"/>
  <c r="W258" i="77"/>
  <c r="U258" i="77"/>
  <c r="S258" i="77"/>
  <c r="AB258" i="77"/>
  <c r="X258" i="77"/>
  <c r="T258" i="77"/>
  <c r="Z258" i="77"/>
  <c r="V258" i="77"/>
  <c r="R258" i="77"/>
  <c r="Q258" i="77"/>
  <c r="O258" i="77"/>
  <c r="M258" i="77"/>
  <c r="K258" i="77"/>
  <c r="I258" i="77"/>
  <c r="G258" i="77"/>
  <c r="P258" i="77"/>
  <c r="L258" i="77"/>
  <c r="H258" i="77"/>
  <c r="N258" i="77"/>
  <c r="J258" i="77"/>
  <c r="AA298" i="77"/>
  <c r="Y298" i="77"/>
  <c r="W298" i="77"/>
  <c r="U298" i="77"/>
  <c r="S298" i="77"/>
  <c r="AB298" i="77"/>
  <c r="X298" i="77"/>
  <c r="T298" i="77"/>
  <c r="Z298" i="77"/>
  <c r="V298" i="77"/>
  <c r="R298" i="77"/>
  <c r="Q298" i="77"/>
  <c r="O298" i="77"/>
  <c r="M298" i="77"/>
  <c r="K298" i="77"/>
  <c r="I298" i="77"/>
  <c r="G298" i="77"/>
  <c r="P298" i="77"/>
  <c r="L298" i="77"/>
  <c r="H298" i="77"/>
  <c r="N298" i="77"/>
  <c r="J298" i="77"/>
  <c r="AA165" i="77"/>
  <c r="Y165" i="77"/>
  <c r="W165" i="77"/>
  <c r="U165" i="77"/>
  <c r="S165" i="77"/>
  <c r="AB165" i="77"/>
  <c r="Z165" i="77"/>
  <c r="X165" i="77"/>
  <c r="V165" i="77"/>
  <c r="T165" i="77"/>
  <c r="R165" i="77"/>
  <c r="Q165" i="77"/>
  <c r="O165" i="77"/>
  <c r="M165" i="77"/>
  <c r="K165" i="77"/>
  <c r="I165" i="77"/>
  <c r="G165" i="77"/>
  <c r="P165" i="77"/>
  <c r="N165" i="77"/>
  <c r="L165" i="77"/>
  <c r="J165" i="77"/>
  <c r="H165" i="77"/>
  <c r="AA45" i="77"/>
  <c r="Y45" i="77"/>
  <c r="W45" i="77"/>
  <c r="U45" i="77"/>
  <c r="S45" i="77"/>
  <c r="AB45" i="77"/>
  <c r="Z45" i="77"/>
  <c r="X45" i="77"/>
  <c r="V45" i="77"/>
  <c r="T45" i="77"/>
  <c r="R45" i="77"/>
  <c r="Q45" i="77"/>
  <c r="O45" i="77"/>
  <c r="M45" i="77"/>
  <c r="K45" i="77"/>
  <c r="I45" i="77"/>
  <c r="G45" i="77"/>
  <c r="P45" i="77"/>
  <c r="N45" i="77"/>
  <c r="L45" i="77"/>
  <c r="J45" i="77"/>
  <c r="H45" i="77"/>
  <c r="AB18" i="77"/>
  <c r="X18" i="77"/>
  <c r="T18" i="77"/>
  <c r="AA18" i="77"/>
  <c r="Y18" i="77"/>
  <c r="W18" i="77"/>
  <c r="U18" i="77"/>
  <c r="S18" i="77"/>
  <c r="Z18" i="77"/>
  <c r="V18" i="77"/>
  <c r="R18" i="77"/>
  <c r="P18" i="77"/>
  <c r="L18" i="77"/>
  <c r="H18" i="77"/>
  <c r="Q18" i="77"/>
  <c r="O18" i="77"/>
  <c r="M18" i="77"/>
  <c r="K18" i="77"/>
  <c r="I18" i="77"/>
  <c r="G18" i="77"/>
  <c r="N18" i="77"/>
  <c r="J18" i="77"/>
  <c r="AA234" i="77"/>
  <c r="Y234" i="77"/>
  <c r="W234" i="77"/>
  <c r="U234" i="77"/>
  <c r="S234" i="77"/>
  <c r="Z234" i="77"/>
  <c r="V234" i="77"/>
  <c r="R234" i="77"/>
  <c r="X234" i="77"/>
  <c r="AB234" i="77"/>
  <c r="T234" i="77"/>
  <c r="Q234" i="77"/>
  <c r="O234" i="77"/>
  <c r="M234" i="77"/>
  <c r="K234" i="77"/>
  <c r="I234" i="77"/>
  <c r="G234" i="77"/>
  <c r="N234" i="77"/>
  <c r="J234" i="77"/>
  <c r="P234" i="77"/>
  <c r="H234" i="77"/>
  <c r="L234" i="77"/>
  <c r="AA82" i="77"/>
  <c r="Y82" i="77"/>
  <c r="W82" i="77"/>
  <c r="U82" i="77"/>
  <c r="S82" i="77"/>
  <c r="AB82" i="77"/>
  <c r="Z82" i="77"/>
  <c r="X82" i="77"/>
  <c r="V82" i="77"/>
  <c r="T82" i="77"/>
  <c r="R82" i="77"/>
  <c r="Q82" i="77"/>
  <c r="O82" i="77"/>
  <c r="M82" i="77"/>
  <c r="K82" i="77"/>
  <c r="I82" i="77"/>
  <c r="G82" i="77"/>
  <c r="P82" i="77"/>
  <c r="N82" i="77"/>
  <c r="L82" i="77"/>
  <c r="J82" i="77"/>
  <c r="H82" i="77"/>
  <c r="AB32" i="77"/>
  <c r="X32" i="77"/>
  <c r="R32" i="77"/>
  <c r="AA32" i="77"/>
  <c r="Y32" i="77"/>
  <c r="W32" i="77"/>
  <c r="U32" i="77"/>
  <c r="S32" i="77"/>
  <c r="Z32" i="77"/>
  <c r="V32" i="77"/>
  <c r="T32" i="77"/>
  <c r="P247" i="77"/>
  <c r="N247" i="77"/>
  <c r="L247" i="77"/>
  <c r="J247" i="77"/>
  <c r="H247" i="77"/>
  <c r="Q247" i="77"/>
  <c r="M247" i="77"/>
  <c r="I247" i="77"/>
  <c r="O247" i="77"/>
  <c r="G247" i="77"/>
  <c r="K247" i="77"/>
  <c r="AB247" i="77"/>
  <c r="Z247" i="77"/>
  <c r="X247" i="77"/>
  <c r="V247" i="77"/>
  <c r="T247" i="77"/>
  <c r="R247" i="77"/>
  <c r="Y247" i="77"/>
  <c r="U247" i="77"/>
  <c r="W247" i="77"/>
  <c r="AA247" i="77"/>
  <c r="S247" i="77"/>
  <c r="P67" i="77"/>
  <c r="N67" i="77"/>
  <c r="L67" i="77"/>
  <c r="J67" i="77"/>
  <c r="H67" i="77"/>
  <c r="Q67" i="77"/>
  <c r="O67" i="77"/>
  <c r="M67" i="77"/>
  <c r="K67" i="77"/>
  <c r="I67" i="77"/>
  <c r="G67" i="77"/>
  <c r="AB67" i="77"/>
  <c r="Z67" i="77"/>
  <c r="X67" i="77"/>
  <c r="V67" i="77"/>
  <c r="T67" i="77"/>
  <c r="R67" i="77"/>
  <c r="AA67" i="77"/>
  <c r="Y67" i="77"/>
  <c r="W67" i="77"/>
  <c r="U67" i="77"/>
  <c r="S67" i="77"/>
  <c r="C173" i="77"/>
  <c r="D173" i="77"/>
  <c r="AB281" i="77"/>
  <c r="Z281" i="77"/>
  <c r="X281" i="77"/>
  <c r="V281" i="77"/>
  <c r="T281" i="77"/>
  <c r="R281" i="77"/>
  <c r="F287" i="77"/>
  <c r="Y281" i="77"/>
  <c r="U281" i="77"/>
  <c r="AA281" i="77"/>
  <c r="W281" i="77"/>
  <c r="S281" i="77"/>
  <c r="L10" i="77"/>
  <c r="Q10" i="77"/>
  <c r="O10" i="77"/>
  <c r="M10" i="77"/>
  <c r="K10" i="77"/>
  <c r="I10" i="77"/>
  <c r="G10" i="77"/>
  <c r="P10" i="77"/>
  <c r="N10" i="77"/>
  <c r="J10" i="77"/>
  <c r="H10" i="77"/>
  <c r="X10" i="77"/>
  <c r="R10" i="77"/>
  <c r="AA10" i="77"/>
  <c r="Y10" i="77"/>
  <c r="W10" i="77"/>
  <c r="U10" i="77"/>
  <c r="S10" i="77"/>
  <c r="AB10" i="77"/>
  <c r="Z10" i="77"/>
  <c r="V10" i="77"/>
  <c r="T10" i="77"/>
  <c r="P115" i="77"/>
  <c r="N115" i="77"/>
  <c r="L115" i="77"/>
  <c r="J115" i="77"/>
  <c r="H115" i="77"/>
  <c r="O115" i="77"/>
  <c r="K115" i="77"/>
  <c r="G115" i="77"/>
  <c r="Q115" i="77"/>
  <c r="M115" i="77"/>
  <c r="I115" i="77"/>
  <c r="AB115" i="77"/>
  <c r="Z115" i="77"/>
  <c r="X115" i="77"/>
  <c r="V115" i="77"/>
  <c r="T115" i="77"/>
  <c r="R115" i="77"/>
  <c r="AA115" i="77"/>
  <c r="W115" i="77"/>
  <c r="S115" i="77"/>
  <c r="Y115" i="77"/>
  <c r="U115" i="77"/>
  <c r="P164" i="77"/>
  <c r="N164" i="77"/>
  <c r="L164" i="77"/>
  <c r="J164" i="77"/>
  <c r="H164" i="77"/>
  <c r="Q164" i="77"/>
  <c r="O164" i="77"/>
  <c r="M164" i="77"/>
  <c r="K164" i="77"/>
  <c r="I164" i="77"/>
  <c r="G164" i="77"/>
  <c r="AB164" i="77"/>
  <c r="Z164" i="77"/>
  <c r="X164" i="77"/>
  <c r="V164" i="77"/>
  <c r="T164" i="77"/>
  <c r="R164" i="77"/>
  <c r="AA164" i="77"/>
  <c r="Y164" i="77"/>
  <c r="W164" i="77"/>
  <c r="U164" i="77"/>
  <c r="S164" i="77"/>
  <c r="P199" i="77"/>
  <c r="N199" i="77"/>
  <c r="L199" i="77"/>
  <c r="J199" i="77"/>
  <c r="H199" i="77"/>
  <c r="Q199" i="77"/>
  <c r="M199" i="77"/>
  <c r="I199" i="77"/>
  <c r="O199" i="77"/>
  <c r="G199" i="77"/>
  <c r="K199" i="77"/>
  <c r="AB199" i="77"/>
  <c r="Z199" i="77"/>
  <c r="X199" i="77"/>
  <c r="V199" i="77"/>
  <c r="T199" i="77"/>
  <c r="R199" i="77"/>
  <c r="Y199" i="77"/>
  <c r="U199" i="77"/>
  <c r="W199" i="77"/>
  <c r="AA199" i="77"/>
  <c r="S199" i="77"/>
  <c r="P58" i="77"/>
  <c r="N58" i="77"/>
  <c r="L58" i="77"/>
  <c r="J58" i="77"/>
  <c r="H58" i="77"/>
  <c r="Q58" i="77"/>
  <c r="O58" i="77"/>
  <c r="M58" i="77"/>
  <c r="K58" i="77"/>
  <c r="I58" i="77"/>
  <c r="G58" i="77"/>
  <c r="AB58" i="77"/>
  <c r="Z58" i="77"/>
  <c r="X58" i="77"/>
  <c r="V58" i="77"/>
  <c r="T58" i="77"/>
  <c r="R58" i="77"/>
  <c r="AA58" i="77"/>
  <c r="Y58" i="77"/>
  <c r="W58" i="77"/>
  <c r="U58" i="77"/>
  <c r="S58" i="77"/>
  <c r="AA284" i="77"/>
  <c r="Y284" i="77"/>
  <c r="W284" i="77"/>
  <c r="U284" i="77"/>
  <c r="S284" i="77"/>
  <c r="Z284" i="77"/>
  <c r="V284" i="77"/>
  <c r="R284" i="77"/>
  <c r="AB284" i="77"/>
  <c r="X284" i="77"/>
  <c r="T284" i="77"/>
  <c r="Q284" i="77"/>
  <c r="O284" i="77"/>
  <c r="M284" i="77"/>
  <c r="K284" i="77"/>
  <c r="I284" i="77"/>
  <c r="G284" i="77"/>
  <c r="N284" i="77"/>
  <c r="J284" i="77"/>
  <c r="P284" i="77"/>
  <c r="L284" i="77"/>
  <c r="H284" i="77"/>
  <c r="P93" i="77"/>
  <c r="N93" i="77"/>
  <c r="L93" i="77"/>
  <c r="J93" i="77"/>
  <c r="H93" i="77"/>
  <c r="Q93" i="77"/>
  <c r="M93" i="77"/>
  <c r="I93" i="77"/>
  <c r="O93" i="77"/>
  <c r="K93" i="77"/>
  <c r="G93" i="77"/>
  <c r="AB93" i="77"/>
  <c r="Z93" i="77"/>
  <c r="X93" i="77"/>
  <c r="V93" i="77"/>
  <c r="T93" i="77"/>
  <c r="R93" i="77"/>
  <c r="Y93" i="77"/>
  <c r="U93" i="77"/>
  <c r="AA93" i="77"/>
  <c r="W93" i="77"/>
  <c r="S93" i="77"/>
  <c r="AA333" i="77"/>
  <c r="Y333" i="77"/>
  <c r="W333" i="77"/>
  <c r="U333" i="77"/>
  <c r="S333" i="77"/>
  <c r="Z333" i="77"/>
  <c r="V333" i="77"/>
  <c r="R333" i="77"/>
  <c r="X333" i="77"/>
  <c r="AB333" i="77"/>
  <c r="T333" i="77"/>
  <c r="Q333" i="77"/>
  <c r="O333" i="77"/>
  <c r="M333" i="77"/>
  <c r="K333" i="77"/>
  <c r="I333" i="77"/>
  <c r="G333" i="77"/>
  <c r="N333" i="77"/>
  <c r="J333" i="77"/>
  <c r="P333" i="77"/>
  <c r="H333" i="77"/>
  <c r="L333" i="77"/>
  <c r="V34" i="77"/>
  <c r="AA34" i="77"/>
  <c r="Y34" i="77"/>
  <c r="W34" i="77"/>
  <c r="U34" i="77"/>
  <c r="S34" i="77"/>
  <c r="AB34" i="77"/>
  <c r="Z34" i="77"/>
  <c r="X34" i="77"/>
  <c r="T34" i="77"/>
  <c r="R34" i="77"/>
  <c r="P34" i="77"/>
  <c r="L34" i="77"/>
  <c r="H34" i="77"/>
  <c r="Q34" i="77"/>
  <c r="O34" i="77"/>
  <c r="M34" i="77"/>
  <c r="K34" i="77"/>
  <c r="I34" i="77"/>
  <c r="G34" i="77"/>
  <c r="N34" i="77"/>
  <c r="J34" i="77"/>
  <c r="E275" i="77"/>
  <c r="P269" i="77"/>
  <c r="N269" i="77"/>
  <c r="L269" i="77"/>
  <c r="J269" i="77"/>
  <c r="H269" i="77"/>
  <c r="Q269" i="77"/>
  <c r="M269" i="77"/>
  <c r="I269" i="77"/>
  <c r="O269" i="77"/>
  <c r="K269" i="77"/>
  <c r="G269" i="77"/>
  <c r="D269" i="77"/>
  <c r="C269" i="77"/>
  <c r="C188" i="77"/>
  <c r="D188" i="77"/>
  <c r="C114" i="77"/>
  <c r="D114" i="77"/>
  <c r="C296" i="77"/>
  <c r="D296" i="77"/>
  <c r="AA200" i="77"/>
  <c r="Y200" i="77"/>
  <c r="W200" i="77"/>
  <c r="U200" i="77"/>
  <c r="S200" i="77"/>
  <c r="AB200" i="77"/>
  <c r="X200" i="77"/>
  <c r="T200" i="77"/>
  <c r="Z200" i="77"/>
  <c r="R200" i="77"/>
  <c r="V200" i="77"/>
  <c r="C33" i="77"/>
  <c r="D33" i="77"/>
  <c r="C274" i="77"/>
  <c r="D274" i="77"/>
  <c r="F95" i="77"/>
  <c r="AB89" i="77"/>
  <c r="Z89" i="77"/>
  <c r="X89" i="77"/>
  <c r="V89" i="77"/>
  <c r="T89" i="77"/>
  <c r="R89" i="77"/>
  <c r="AA89" i="77"/>
  <c r="Y89" i="77"/>
  <c r="W89" i="77"/>
  <c r="U89" i="77"/>
  <c r="S89" i="77"/>
  <c r="P309" i="77"/>
  <c r="N309" i="77"/>
  <c r="L309" i="77"/>
  <c r="J309" i="77"/>
  <c r="H309" i="77"/>
  <c r="Q309" i="77"/>
  <c r="M309" i="77"/>
  <c r="I309" i="77"/>
  <c r="O309" i="77"/>
  <c r="K309" i="77"/>
  <c r="G309" i="77"/>
  <c r="AB309" i="77"/>
  <c r="Z309" i="77"/>
  <c r="X309" i="77"/>
  <c r="V309" i="77"/>
  <c r="T309" i="77"/>
  <c r="R309" i="77"/>
  <c r="Y309" i="77"/>
  <c r="U309" i="77"/>
  <c r="AA309" i="77"/>
  <c r="W309" i="77"/>
  <c r="S309" i="77"/>
  <c r="P142" i="77"/>
  <c r="N142" i="77"/>
  <c r="L142" i="77"/>
  <c r="J142" i="77"/>
  <c r="H142" i="77"/>
  <c r="Q142" i="77"/>
  <c r="O142" i="77"/>
  <c r="M142" i="77"/>
  <c r="K142" i="77"/>
  <c r="I142" i="77"/>
  <c r="G142" i="77"/>
  <c r="AB142" i="77"/>
  <c r="Z142" i="77"/>
  <c r="X142" i="77"/>
  <c r="V142" i="77"/>
  <c r="T142" i="77"/>
  <c r="R142" i="77"/>
  <c r="AA142" i="77"/>
  <c r="Y142" i="77"/>
  <c r="W142" i="77"/>
  <c r="U142" i="77"/>
  <c r="S142" i="77"/>
  <c r="AA55" i="77"/>
  <c r="Y55" i="77"/>
  <c r="W55" i="77"/>
  <c r="U55" i="77"/>
  <c r="S55" i="77"/>
  <c r="AB55" i="77"/>
  <c r="Z55" i="77"/>
  <c r="X55" i="77"/>
  <c r="V55" i="77"/>
  <c r="T55" i="77"/>
  <c r="R55" i="77"/>
  <c r="Q55" i="77"/>
  <c r="O55" i="77"/>
  <c r="M55" i="77"/>
  <c r="K55" i="77"/>
  <c r="I55" i="77"/>
  <c r="G55" i="77"/>
  <c r="P55" i="77"/>
  <c r="N55" i="77"/>
  <c r="L55" i="77"/>
  <c r="J55" i="77"/>
  <c r="H55" i="77"/>
  <c r="AA238" i="77"/>
  <c r="Y238" i="77"/>
  <c r="W238" i="77"/>
  <c r="U238" i="77"/>
  <c r="S238" i="77"/>
  <c r="Z238" i="77"/>
  <c r="V238" i="77"/>
  <c r="R238" i="77"/>
  <c r="AB238" i="77"/>
  <c r="T238" i="77"/>
  <c r="X238" i="77"/>
  <c r="Q238" i="77"/>
  <c r="O238" i="77"/>
  <c r="M238" i="77"/>
  <c r="K238" i="77"/>
  <c r="I238" i="77"/>
  <c r="G238" i="77"/>
  <c r="N238" i="77"/>
  <c r="J238" i="77"/>
  <c r="L238" i="77"/>
  <c r="P238" i="77"/>
  <c r="H238" i="77"/>
  <c r="AA174" i="77"/>
  <c r="Y174" i="77"/>
  <c r="W174" i="77"/>
  <c r="U174" i="77"/>
  <c r="S174" i="77"/>
  <c r="Z174" i="77"/>
  <c r="V174" i="77"/>
  <c r="R174" i="77"/>
  <c r="AB174" i="77"/>
  <c r="X174" i="77"/>
  <c r="T174" i="77"/>
  <c r="Q174" i="77"/>
  <c r="O174" i="77"/>
  <c r="M174" i="77"/>
  <c r="K174" i="77"/>
  <c r="I174" i="77"/>
  <c r="G174" i="77"/>
  <c r="N174" i="77"/>
  <c r="J174" i="77"/>
  <c r="P174" i="77"/>
  <c r="L174" i="77"/>
  <c r="H174" i="77"/>
  <c r="P283" i="77"/>
  <c r="N283" i="77"/>
  <c r="L283" i="77"/>
  <c r="J283" i="77"/>
  <c r="H283" i="77"/>
  <c r="O283" i="77"/>
  <c r="K283" i="77"/>
  <c r="G283" i="77"/>
  <c r="Q283" i="77"/>
  <c r="M283" i="77"/>
  <c r="I283" i="77"/>
  <c r="AB283" i="77"/>
  <c r="Z283" i="77"/>
  <c r="X283" i="77"/>
  <c r="V283" i="77"/>
  <c r="T283" i="77"/>
  <c r="R283" i="77"/>
  <c r="AA283" i="77"/>
  <c r="W283" i="77"/>
  <c r="S283" i="77"/>
  <c r="Y283" i="77"/>
  <c r="U283" i="77"/>
  <c r="AB237" i="77"/>
  <c r="Z237" i="77"/>
  <c r="X237" i="77"/>
  <c r="V237" i="77"/>
  <c r="T237" i="77"/>
  <c r="R237" i="77"/>
  <c r="AA237" i="77"/>
  <c r="W237" i="77"/>
  <c r="S237" i="77"/>
  <c r="Y237" i="77"/>
  <c r="U237" i="77"/>
  <c r="P54" i="77"/>
  <c r="N54" i="77"/>
  <c r="L54" i="77"/>
  <c r="J54" i="77"/>
  <c r="H54" i="77"/>
  <c r="Q54" i="77"/>
  <c r="O54" i="77"/>
  <c r="M54" i="77"/>
  <c r="K54" i="77"/>
  <c r="I54" i="77"/>
  <c r="G54" i="77"/>
  <c r="AB54" i="77"/>
  <c r="Z54" i="77"/>
  <c r="X54" i="77"/>
  <c r="V54" i="77"/>
  <c r="T54" i="77"/>
  <c r="R54" i="77"/>
  <c r="AA54" i="77"/>
  <c r="Y54" i="77"/>
  <c r="W54" i="77"/>
  <c r="U54" i="77"/>
  <c r="S54" i="77"/>
  <c r="G29" i="77"/>
  <c r="E35" i="77"/>
  <c r="P29" i="77"/>
  <c r="N29" i="77"/>
  <c r="L29" i="77"/>
  <c r="J29" i="77"/>
  <c r="H29" i="77"/>
  <c r="Q29" i="77"/>
  <c r="O29" i="77"/>
  <c r="M29" i="77"/>
  <c r="K29" i="77"/>
  <c r="I29" i="77"/>
  <c r="C212" i="77"/>
  <c r="D212" i="77"/>
  <c r="C310" i="77"/>
  <c r="D310" i="77"/>
  <c r="D331" i="77"/>
  <c r="C331" i="77"/>
  <c r="D342" i="77"/>
  <c r="C342" i="77"/>
  <c r="D344" i="77"/>
  <c r="C344" i="77"/>
  <c r="C357" i="77"/>
  <c r="D357" i="77"/>
  <c r="D356" i="77"/>
  <c r="C356" i="77"/>
  <c r="C355" i="77"/>
  <c r="D355" i="77"/>
  <c r="AB116" i="77"/>
  <c r="Z116" i="77"/>
  <c r="X116" i="77"/>
  <c r="V116" i="77"/>
  <c r="T116" i="77"/>
  <c r="R116" i="77"/>
  <c r="AA116" i="77"/>
  <c r="Y116" i="77"/>
  <c r="W116" i="77"/>
  <c r="U116" i="77"/>
  <c r="S116" i="77"/>
  <c r="P116" i="77"/>
  <c r="Q116" i="77"/>
  <c r="O116" i="77"/>
  <c r="M116" i="77"/>
  <c r="K116" i="77"/>
  <c r="I116" i="77"/>
  <c r="G116" i="77"/>
  <c r="N116" i="77"/>
  <c r="J116" i="77"/>
  <c r="L116" i="77"/>
  <c r="H116" i="77"/>
  <c r="P150" i="77"/>
  <c r="N150" i="77"/>
  <c r="L150" i="77"/>
  <c r="J150" i="77"/>
  <c r="H150" i="77"/>
  <c r="Q150" i="77"/>
  <c r="O150" i="77"/>
  <c r="M150" i="77"/>
  <c r="K150" i="77"/>
  <c r="I150" i="77"/>
  <c r="G150" i="77"/>
  <c r="AB150" i="77"/>
  <c r="Z150" i="77"/>
  <c r="X150" i="77"/>
  <c r="V150" i="77"/>
  <c r="T150" i="77"/>
  <c r="R150" i="77"/>
  <c r="AA150" i="77"/>
  <c r="Y150" i="77"/>
  <c r="W150" i="77"/>
  <c r="U150" i="77"/>
  <c r="S150" i="77"/>
  <c r="AA210" i="77"/>
  <c r="Y210" i="77"/>
  <c r="W210" i="77"/>
  <c r="U210" i="77"/>
  <c r="S210" i="77"/>
  <c r="Z210" i="77"/>
  <c r="V210" i="77"/>
  <c r="R210" i="77"/>
  <c r="X210" i="77"/>
  <c r="AB210" i="77"/>
  <c r="T210" i="77"/>
  <c r="Q210" i="77"/>
  <c r="O210" i="77"/>
  <c r="M210" i="77"/>
  <c r="K210" i="77"/>
  <c r="I210" i="77"/>
  <c r="G210" i="77"/>
  <c r="N210" i="77"/>
  <c r="J210" i="77"/>
  <c r="P210" i="77"/>
  <c r="H210" i="77"/>
  <c r="L210" i="77"/>
  <c r="AA80" i="77"/>
  <c r="Y80" i="77"/>
  <c r="W80" i="77"/>
  <c r="U80" i="77"/>
  <c r="S80" i="77"/>
  <c r="AB80" i="77"/>
  <c r="Z80" i="77"/>
  <c r="X80" i="77"/>
  <c r="V80" i="77"/>
  <c r="T80" i="77"/>
  <c r="R80" i="77"/>
  <c r="Q80" i="77"/>
  <c r="O80" i="77"/>
  <c r="M80" i="77"/>
  <c r="K80" i="77"/>
  <c r="I80" i="77"/>
  <c r="G80" i="77"/>
  <c r="P80" i="77"/>
  <c r="N80" i="77"/>
  <c r="L80" i="77"/>
  <c r="J80" i="77"/>
  <c r="H80" i="77"/>
  <c r="P162" i="77"/>
  <c r="N162" i="77"/>
  <c r="L162" i="77"/>
  <c r="J162" i="77"/>
  <c r="H162" i="77"/>
  <c r="Q162" i="77"/>
  <c r="O162" i="77"/>
  <c r="M162" i="77"/>
  <c r="K162" i="77"/>
  <c r="I162" i="77"/>
  <c r="G162" i="77"/>
  <c r="AB162" i="77"/>
  <c r="Z162" i="77"/>
  <c r="X162" i="77"/>
  <c r="V162" i="77"/>
  <c r="T162" i="77"/>
  <c r="R162" i="77"/>
  <c r="AA162" i="77"/>
  <c r="Y162" i="77"/>
  <c r="W162" i="77"/>
  <c r="U162" i="77"/>
  <c r="S162" i="77"/>
  <c r="P189" i="77"/>
  <c r="N189" i="77"/>
  <c r="L189" i="77"/>
  <c r="J189" i="77"/>
  <c r="H189" i="77"/>
  <c r="O189" i="77"/>
  <c r="K189" i="77"/>
  <c r="G189" i="77"/>
  <c r="Q189" i="77"/>
  <c r="M189" i="77"/>
  <c r="I189" i="77"/>
  <c r="AB189" i="77"/>
  <c r="Z189" i="77"/>
  <c r="X189" i="77"/>
  <c r="V189" i="77"/>
  <c r="T189" i="77"/>
  <c r="R189" i="77"/>
  <c r="AA189" i="77"/>
  <c r="W189" i="77"/>
  <c r="S189" i="77"/>
  <c r="Y189" i="77"/>
  <c r="U189" i="77"/>
  <c r="AA250" i="77"/>
  <c r="Y250" i="77"/>
  <c r="W250" i="77"/>
  <c r="U250" i="77"/>
  <c r="S250" i="77"/>
  <c r="Z250" i="77"/>
  <c r="V250" i="77"/>
  <c r="R250" i="77"/>
  <c r="X250" i="77"/>
  <c r="AB250" i="77"/>
  <c r="T250" i="77"/>
  <c r="Q250" i="77"/>
  <c r="O250" i="77"/>
  <c r="M250" i="77"/>
  <c r="K250" i="77"/>
  <c r="I250" i="77"/>
  <c r="G250" i="77"/>
  <c r="N250" i="77"/>
  <c r="J250" i="77"/>
  <c r="P250" i="77"/>
  <c r="H250" i="77"/>
  <c r="L250" i="77"/>
  <c r="P285" i="77"/>
  <c r="N285" i="77"/>
  <c r="L285" i="77"/>
  <c r="J285" i="77"/>
  <c r="H285" i="77"/>
  <c r="Q285" i="77"/>
  <c r="M285" i="77"/>
  <c r="I285" i="77"/>
  <c r="O285" i="77"/>
  <c r="K285" i="77"/>
  <c r="G285" i="77"/>
  <c r="AB285" i="77"/>
  <c r="Z285" i="77"/>
  <c r="X285" i="77"/>
  <c r="V285" i="77"/>
  <c r="T285" i="77"/>
  <c r="R285" i="77"/>
  <c r="Y285" i="77"/>
  <c r="U285" i="77"/>
  <c r="AA285" i="77"/>
  <c r="W285" i="77"/>
  <c r="S285" i="77"/>
  <c r="P175" i="77"/>
  <c r="N175" i="77"/>
  <c r="L175" i="77"/>
  <c r="J175" i="77"/>
  <c r="H175" i="77"/>
  <c r="Q175" i="77"/>
  <c r="M175" i="77"/>
  <c r="I175" i="77"/>
  <c r="O175" i="77"/>
  <c r="K175" i="77"/>
  <c r="G175" i="77"/>
  <c r="AB175" i="77"/>
  <c r="Z175" i="77"/>
  <c r="X175" i="77"/>
  <c r="V175" i="77"/>
  <c r="T175" i="77"/>
  <c r="R175" i="77"/>
  <c r="Y175" i="77"/>
  <c r="U175" i="77"/>
  <c r="AA175" i="77"/>
  <c r="W175" i="77"/>
  <c r="S175" i="77"/>
  <c r="AA260" i="77"/>
  <c r="Y260" i="77"/>
  <c r="W260" i="77"/>
  <c r="U260" i="77"/>
  <c r="S260" i="77"/>
  <c r="Z260" i="77"/>
  <c r="V260" i="77"/>
  <c r="R260" i="77"/>
  <c r="AB260" i="77"/>
  <c r="X260" i="77"/>
  <c r="T260" i="77"/>
  <c r="Q260" i="77"/>
  <c r="O260" i="77"/>
  <c r="M260" i="77"/>
  <c r="K260" i="77"/>
  <c r="I260" i="77"/>
  <c r="G260" i="77"/>
  <c r="N260" i="77"/>
  <c r="J260" i="77"/>
  <c r="P260" i="77"/>
  <c r="L260" i="77"/>
  <c r="H260" i="77"/>
  <c r="P321" i="77"/>
  <c r="N321" i="77"/>
  <c r="L321" i="77"/>
  <c r="J321" i="77"/>
  <c r="H321" i="77"/>
  <c r="Q321" i="77"/>
  <c r="M321" i="77"/>
  <c r="I321" i="77"/>
  <c r="O321" i="77"/>
  <c r="K321" i="77"/>
  <c r="G321" i="77"/>
  <c r="AB321" i="77"/>
  <c r="Z321" i="77"/>
  <c r="X321" i="77"/>
  <c r="V321" i="77"/>
  <c r="T321" i="77"/>
  <c r="R321" i="77"/>
  <c r="Y321" i="77"/>
  <c r="U321" i="77"/>
  <c r="AA321" i="77"/>
  <c r="W321" i="77"/>
  <c r="S321" i="77"/>
  <c r="C125" i="77"/>
  <c r="D125" i="77"/>
  <c r="N30" i="77"/>
  <c r="J30" i="77"/>
  <c r="Q30" i="77"/>
  <c r="O30" i="77"/>
  <c r="M30" i="77"/>
  <c r="K30" i="77"/>
  <c r="I30" i="77"/>
  <c r="G30" i="77"/>
  <c r="P30" i="77"/>
  <c r="L30" i="77"/>
  <c r="H30" i="77"/>
  <c r="C151" i="77"/>
  <c r="D151" i="77"/>
  <c r="D261" i="77"/>
  <c r="C261" i="77"/>
  <c r="C106" i="77"/>
  <c r="D106" i="77"/>
  <c r="D6" i="77"/>
  <c r="C6" i="77"/>
  <c r="D259" i="77"/>
  <c r="C259" i="77"/>
  <c r="C68" i="77"/>
  <c r="D68" i="77"/>
  <c r="D79" i="77"/>
  <c r="C79" i="77"/>
  <c r="C320" i="77"/>
  <c r="D320" i="77"/>
  <c r="D126" i="77"/>
  <c r="C126" i="77"/>
  <c r="C178" i="77"/>
  <c r="D178" i="77"/>
  <c r="C202" i="77"/>
  <c r="D202" i="77"/>
  <c r="C262" i="77"/>
  <c r="D262" i="77"/>
  <c r="C129" i="77"/>
  <c r="D129" i="77"/>
  <c r="C186" i="77"/>
  <c r="D186" i="77"/>
  <c r="C246" i="77"/>
  <c r="D246" i="77"/>
  <c r="G44" i="77"/>
  <c r="P44" i="77"/>
  <c r="N44" i="77"/>
  <c r="L44" i="77"/>
  <c r="J44" i="77"/>
  <c r="H44" i="77"/>
  <c r="Q44" i="77"/>
  <c r="O44" i="77"/>
  <c r="M44" i="77"/>
  <c r="K44" i="77"/>
  <c r="I44" i="77"/>
  <c r="AA44" i="77"/>
  <c r="AB44" i="77"/>
  <c r="Z44" i="77"/>
  <c r="X44" i="77"/>
  <c r="V44" i="77"/>
  <c r="T44" i="77"/>
  <c r="R44" i="77"/>
  <c r="Y44" i="77"/>
  <c r="W44" i="77"/>
  <c r="U44" i="77"/>
  <c r="S44" i="77"/>
  <c r="D81" i="77"/>
  <c r="C81" i="77"/>
  <c r="C294" i="77"/>
  <c r="D294" i="77"/>
  <c r="F143" i="77"/>
  <c r="AA137" i="77"/>
  <c r="Y137" i="77"/>
  <c r="W137" i="77"/>
  <c r="U137" i="77"/>
  <c r="S137" i="77"/>
  <c r="AB137" i="77"/>
  <c r="Z137" i="77"/>
  <c r="X137" i="77"/>
  <c r="V137" i="77"/>
  <c r="T137" i="77"/>
  <c r="R137" i="77"/>
  <c r="Q137" i="77"/>
  <c r="O137" i="77"/>
  <c r="M137" i="77"/>
  <c r="K137" i="77"/>
  <c r="I137" i="77"/>
  <c r="G137" i="77"/>
  <c r="E143" i="77"/>
  <c r="P137" i="77"/>
  <c r="N137" i="77"/>
  <c r="L137" i="77"/>
  <c r="J137" i="77"/>
  <c r="H137" i="77"/>
  <c r="D297" i="77"/>
  <c r="C297" i="77"/>
  <c r="AA19" i="77"/>
  <c r="Y19" i="77"/>
  <c r="W19" i="77"/>
  <c r="U19" i="77"/>
  <c r="AB19" i="77"/>
  <c r="Z19" i="77"/>
  <c r="X19" i="77"/>
  <c r="V19" i="77"/>
  <c r="T19" i="77"/>
  <c r="R19" i="77"/>
  <c r="S19" i="77"/>
  <c r="C94" i="77"/>
  <c r="D94" i="77"/>
  <c r="D273" i="77"/>
  <c r="C273" i="77"/>
  <c r="C102" i="77"/>
  <c r="D102" i="77"/>
  <c r="C9" i="77"/>
  <c r="D9" i="77"/>
  <c r="AB209" i="77"/>
  <c r="Z209" i="77"/>
  <c r="X209" i="77"/>
  <c r="V209" i="77"/>
  <c r="T209" i="77"/>
  <c r="R209" i="77"/>
  <c r="AA209" i="77"/>
  <c r="W209" i="77"/>
  <c r="S209" i="77"/>
  <c r="U209" i="77"/>
  <c r="F215" i="77"/>
  <c r="Y209" i="77"/>
  <c r="AA286" i="77"/>
  <c r="Y286" i="77"/>
  <c r="W286" i="77"/>
  <c r="U286" i="77"/>
  <c r="S286" i="77"/>
  <c r="AB286" i="77"/>
  <c r="X286" i="77"/>
  <c r="T286" i="77"/>
  <c r="Z286" i="77"/>
  <c r="V286" i="77"/>
  <c r="R286" i="77"/>
  <c r="Q286" i="77"/>
  <c r="O286" i="77"/>
  <c r="M286" i="77"/>
  <c r="K286" i="77"/>
  <c r="I286" i="77"/>
  <c r="G286" i="77"/>
  <c r="P286" i="77"/>
  <c r="L286" i="77"/>
  <c r="H286" i="77"/>
  <c r="N286" i="77"/>
  <c r="J286" i="77"/>
  <c r="P334" i="77"/>
  <c r="N334" i="77"/>
  <c r="L334" i="77"/>
  <c r="J334" i="77"/>
  <c r="H334" i="77"/>
  <c r="Q334" i="77"/>
  <c r="M334" i="77"/>
  <c r="I334" i="77"/>
  <c r="K334" i="77"/>
  <c r="O334" i="77"/>
  <c r="G334" i="77"/>
  <c r="AB334" i="77"/>
  <c r="Z334" i="77"/>
  <c r="X334" i="77"/>
  <c r="V334" i="77"/>
  <c r="T334" i="77"/>
  <c r="R334" i="77"/>
  <c r="Y334" i="77"/>
  <c r="U334" i="77"/>
  <c r="AA334" i="77"/>
  <c r="S334" i="77"/>
  <c r="W334" i="77"/>
  <c r="AA343" i="77"/>
  <c r="Y343" i="77"/>
  <c r="W343" i="77"/>
  <c r="U343" i="77"/>
  <c r="S343" i="77"/>
  <c r="AB343" i="77"/>
  <c r="X343" i="77"/>
  <c r="T343" i="77"/>
  <c r="Z343" i="77"/>
  <c r="V343" i="77"/>
  <c r="R343" i="77"/>
  <c r="Q343" i="77"/>
  <c r="O343" i="77"/>
  <c r="M343" i="77"/>
  <c r="K343" i="77"/>
  <c r="I343" i="77"/>
  <c r="G343" i="77"/>
  <c r="P343" i="77"/>
  <c r="L343" i="77"/>
  <c r="H343" i="77"/>
  <c r="N343" i="77"/>
  <c r="J343" i="77"/>
  <c r="P346" i="77"/>
  <c r="N346" i="77"/>
  <c r="L346" i="77"/>
  <c r="J346" i="77"/>
  <c r="H346" i="77"/>
  <c r="Q346" i="77"/>
  <c r="M346" i="77"/>
  <c r="I346" i="77"/>
  <c r="O346" i="77"/>
  <c r="K346" i="77"/>
  <c r="G346" i="77"/>
  <c r="AB346" i="77"/>
  <c r="Z346" i="77"/>
  <c r="X346" i="77"/>
  <c r="V346" i="77"/>
  <c r="T346" i="77"/>
  <c r="R346" i="77"/>
  <c r="Y346" i="77"/>
  <c r="U346" i="77"/>
  <c r="AA346" i="77"/>
  <c r="W346" i="77"/>
  <c r="S346" i="77"/>
  <c r="N8" i="77"/>
  <c r="J8" i="77"/>
  <c r="Q8" i="77"/>
  <c r="O8" i="77"/>
  <c r="M8" i="77"/>
  <c r="K8" i="77"/>
  <c r="I8" i="77"/>
  <c r="G8" i="77"/>
  <c r="P8" i="77"/>
  <c r="L8" i="77"/>
  <c r="H8" i="77"/>
  <c r="AB8" i="77"/>
  <c r="V8" i="77"/>
  <c r="R8" i="77"/>
  <c r="AA8" i="77"/>
  <c r="Y8" i="77"/>
  <c r="W8" i="77"/>
  <c r="U8" i="77"/>
  <c r="S8" i="77"/>
  <c r="Z8" i="77"/>
  <c r="X8" i="77"/>
  <c r="T8" i="77"/>
  <c r="AA226" i="77"/>
  <c r="Y226" i="77"/>
  <c r="W226" i="77"/>
  <c r="U226" i="77"/>
  <c r="S226" i="77"/>
  <c r="Z226" i="77"/>
  <c r="V226" i="77"/>
  <c r="R226" i="77"/>
  <c r="X226" i="77"/>
  <c r="AB226" i="77"/>
  <c r="T226" i="77"/>
  <c r="Q226" i="77"/>
  <c r="O226" i="77"/>
  <c r="M226" i="77"/>
  <c r="K226" i="77"/>
  <c r="I226" i="77"/>
  <c r="G226" i="77"/>
  <c r="N226" i="77"/>
  <c r="J226" i="77"/>
  <c r="P226" i="77"/>
  <c r="H226" i="77"/>
  <c r="L226" i="77"/>
  <c r="P201" i="77"/>
  <c r="N201" i="77"/>
  <c r="L201" i="77"/>
  <c r="J201" i="77"/>
  <c r="H201" i="77"/>
  <c r="O201" i="77"/>
  <c r="K201" i="77"/>
  <c r="G201" i="77"/>
  <c r="M201" i="77"/>
  <c r="Q201" i="77"/>
  <c r="I201" i="77"/>
  <c r="AB201" i="77"/>
  <c r="Z201" i="77"/>
  <c r="X201" i="77"/>
  <c r="V201" i="77"/>
  <c r="T201" i="77"/>
  <c r="R201" i="77"/>
  <c r="AA201" i="77"/>
  <c r="W201" i="77"/>
  <c r="S201" i="77"/>
  <c r="U201" i="77"/>
  <c r="Y201" i="77"/>
  <c r="Z41" i="77"/>
  <c r="V41" i="77"/>
  <c r="R41" i="77"/>
  <c r="AA41" i="77"/>
  <c r="Y41" i="77"/>
  <c r="W41" i="77"/>
  <c r="U41" i="77"/>
  <c r="S41" i="77"/>
  <c r="AB41" i="77"/>
  <c r="X41" i="77"/>
  <c r="T41" i="77"/>
  <c r="D307" i="77"/>
  <c r="C307" i="77"/>
  <c r="C198" i="77"/>
  <c r="D198" i="77"/>
  <c r="C70" i="77"/>
  <c r="D70" i="77"/>
  <c r="AB185" i="77"/>
  <c r="Z185" i="77"/>
  <c r="X185" i="77"/>
  <c r="V185" i="77"/>
  <c r="T185" i="77"/>
  <c r="R185" i="77"/>
  <c r="AA185" i="77"/>
  <c r="W185" i="77"/>
  <c r="S185" i="77"/>
  <c r="F191" i="77"/>
  <c r="Y185" i="77"/>
  <c r="U185" i="77"/>
  <c r="P271" i="77"/>
  <c r="N271" i="77"/>
  <c r="L271" i="77"/>
  <c r="J271" i="77"/>
  <c r="H271" i="77"/>
  <c r="O271" i="77"/>
  <c r="K271" i="77"/>
  <c r="G271" i="77"/>
  <c r="Q271" i="77"/>
  <c r="M271" i="77"/>
  <c r="I271" i="77"/>
  <c r="AB271" i="77"/>
  <c r="Z271" i="77"/>
  <c r="X271" i="77"/>
  <c r="V271" i="77"/>
  <c r="T271" i="77"/>
  <c r="R271" i="77"/>
  <c r="AA271" i="77"/>
  <c r="W271" i="77"/>
  <c r="S271" i="77"/>
  <c r="Y271" i="77"/>
  <c r="U271" i="77"/>
  <c r="AA322" i="77"/>
  <c r="Y322" i="77"/>
  <c r="W322" i="77"/>
  <c r="U322" i="77"/>
  <c r="S322" i="77"/>
  <c r="AB322" i="77"/>
  <c r="X322" i="77"/>
  <c r="T322" i="77"/>
  <c r="Z322" i="77"/>
  <c r="V322" i="77"/>
  <c r="R322" i="77"/>
  <c r="Q322" i="77"/>
  <c r="O322" i="77"/>
  <c r="M322" i="77"/>
  <c r="K322" i="77"/>
  <c r="I322" i="77"/>
  <c r="G322" i="77"/>
  <c r="P322" i="77"/>
  <c r="L322" i="77"/>
  <c r="H322" i="77"/>
  <c r="N322" i="77"/>
  <c r="J322" i="77"/>
  <c r="E83" i="77"/>
  <c r="P77" i="77"/>
  <c r="N77" i="77"/>
  <c r="L77" i="77"/>
  <c r="J77" i="77"/>
  <c r="H77" i="77"/>
  <c r="Q77" i="77"/>
  <c r="O77" i="77"/>
  <c r="M77" i="77"/>
  <c r="K77" i="77"/>
  <c r="I77" i="77"/>
  <c r="G77" i="77"/>
  <c r="D77" i="77"/>
  <c r="C77" i="77"/>
  <c r="D152" i="77"/>
  <c r="C152" i="77"/>
  <c r="AA224" i="77"/>
  <c r="Y224" i="77"/>
  <c r="W224" i="77"/>
  <c r="U224" i="77"/>
  <c r="S224" i="77"/>
  <c r="AB224" i="77"/>
  <c r="X224" i="77"/>
  <c r="T224" i="77"/>
  <c r="Z224" i="77"/>
  <c r="R224" i="77"/>
  <c r="V224" i="77"/>
  <c r="D103" i="77"/>
  <c r="C103" i="77"/>
  <c r="C308" i="77"/>
  <c r="D308" i="77"/>
  <c r="C236" i="77"/>
  <c r="D236" i="77"/>
  <c r="D138" i="77"/>
  <c r="C138" i="77"/>
  <c r="D128" i="77"/>
  <c r="C128" i="77"/>
  <c r="D211" i="77"/>
  <c r="C211" i="77"/>
  <c r="C306" i="77"/>
  <c r="D306" i="77"/>
  <c r="F119" i="77"/>
  <c r="AB113" i="77"/>
  <c r="Z113" i="77"/>
  <c r="X113" i="77"/>
  <c r="V113" i="77"/>
  <c r="T113" i="77"/>
  <c r="R113" i="77"/>
  <c r="Y113" i="77"/>
  <c r="U113" i="77"/>
  <c r="AA113" i="77"/>
  <c r="W113" i="77"/>
  <c r="S113" i="77"/>
  <c r="AA57" i="77"/>
  <c r="Y57" i="77"/>
  <c r="W57" i="77"/>
  <c r="U57" i="77"/>
  <c r="S57" i="77"/>
  <c r="AB57" i="77"/>
  <c r="Z57" i="77"/>
  <c r="X57" i="77"/>
  <c r="V57" i="77"/>
  <c r="T57" i="77"/>
  <c r="R57" i="77"/>
  <c r="Q57" i="77"/>
  <c r="O57" i="77"/>
  <c r="M57" i="77"/>
  <c r="K57" i="77"/>
  <c r="I57" i="77"/>
  <c r="G57" i="77"/>
  <c r="P57" i="77"/>
  <c r="N57" i="77"/>
  <c r="L57" i="77"/>
  <c r="J57" i="77"/>
  <c r="H57" i="77"/>
  <c r="P225" i="77"/>
  <c r="N225" i="77"/>
  <c r="L225" i="77"/>
  <c r="J225" i="77"/>
  <c r="H225" i="77"/>
  <c r="O225" i="77"/>
  <c r="K225" i="77"/>
  <c r="G225" i="77"/>
  <c r="M225" i="77"/>
  <c r="Q225" i="77"/>
  <c r="I225" i="77"/>
  <c r="AB225" i="77"/>
  <c r="Z225" i="77"/>
  <c r="X225" i="77"/>
  <c r="V225" i="77"/>
  <c r="T225" i="77"/>
  <c r="R225" i="77"/>
  <c r="AA225" i="77"/>
  <c r="W225" i="77"/>
  <c r="S225" i="77"/>
  <c r="U225" i="77"/>
  <c r="Y225" i="77"/>
  <c r="O42" i="77"/>
  <c r="K42" i="77"/>
  <c r="G42" i="77"/>
  <c r="P42" i="77"/>
  <c r="N42" i="77"/>
  <c r="L42" i="77"/>
  <c r="J42" i="77"/>
  <c r="H42" i="77"/>
  <c r="Q42" i="77"/>
  <c r="M42" i="77"/>
  <c r="I42" i="77"/>
  <c r="AA42" i="77"/>
  <c r="W42" i="77"/>
  <c r="S42" i="77"/>
  <c r="AB42" i="77"/>
  <c r="Z42" i="77"/>
  <c r="X42" i="77"/>
  <c r="V42" i="77"/>
  <c r="T42" i="77"/>
  <c r="R42" i="77"/>
  <c r="Y42" i="77"/>
  <c r="U42" i="77"/>
  <c r="P118" i="77"/>
  <c r="N118" i="77"/>
  <c r="L118" i="77"/>
  <c r="J118" i="77"/>
  <c r="H118" i="77"/>
  <c r="Q118" i="77"/>
  <c r="O118" i="77"/>
  <c r="M118" i="77"/>
  <c r="K118" i="77"/>
  <c r="I118" i="77"/>
  <c r="G118" i="77"/>
  <c r="AB118" i="77"/>
  <c r="Z118" i="77"/>
  <c r="X118" i="77"/>
  <c r="V118" i="77"/>
  <c r="T118" i="77"/>
  <c r="R118" i="77"/>
  <c r="AA118" i="77"/>
  <c r="Y118" i="77"/>
  <c r="W118" i="77"/>
  <c r="U118" i="77"/>
  <c r="S118" i="77"/>
  <c r="C43" i="77"/>
  <c r="D43" i="77"/>
  <c r="D245" i="77"/>
  <c r="C245" i="77"/>
  <c r="C163" i="77"/>
  <c r="D163" i="77"/>
  <c r="E203" i="77"/>
  <c r="P197" i="77"/>
  <c r="N197" i="77"/>
  <c r="L197" i="77"/>
  <c r="J197" i="77"/>
  <c r="H197" i="77"/>
  <c r="O197" i="77"/>
  <c r="K197" i="77"/>
  <c r="G197" i="77"/>
  <c r="Q197" i="77"/>
  <c r="I197" i="77"/>
  <c r="M197" i="77"/>
  <c r="AB197" i="77"/>
  <c r="Z197" i="77"/>
  <c r="X197" i="77"/>
  <c r="V197" i="77"/>
  <c r="T197" i="77"/>
  <c r="R197" i="77"/>
  <c r="AA197" i="77"/>
  <c r="W197" i="77"/>
  <c r="S197" i="77"/>
  <c r="F203" i="77"/>
  <c r="Y197" i="77"/>
  <c r="U197" i="77"/>
  <c r="P249" i="77"/>
  <c r="N249" i="77"/>
  <c r="L249" i="77"/>
  <c r="J249" i="77"/>
  <c r="H249" i="77"/>
  <c r="O249" i="77"/>
  <c r="K249" i="77"/>
  <c r="G249" i="77"/>
  <c r="M249" i="77"/>
  <c r="Q249" i="77"/>
  <c r="I249" i="77"/>
  <c r="AB249" i="77"/>
  <c r="Z249" i="77"/>
  <c r="X249" i="77"/>
  <c r="V249" i="77"/>
  <c r="T249" i="77"/>
  <c r="R249" i="77"/>
  <c r="AA249" i="77"/>
  <c r="W249" i="77"/>
  <c r="S249" i="77"/>
  <c r="U249" i="77"/>
  <c r="Y249" i="77"/>
  <c r="AA66" i="77"/>
  <c r="Y66" i="77"/>
  <c r="W66" i="77"/>
  <c r="U66" i="77"/>
  <c r="S66" i="77"/>
  <c r="AB66" i="77"/>
  <c r="Z66" i="77"/>
  <c r="X66" i="77"/>
  <c r="V66" i="77"/>
  <c r="T66" i="77"/>
  <c r="R66" i="77"/>
  <c r="Q66" i="77"/>
  <c r="O66" i="77"/>
  <c r="M66" i="77"/>
  <c r="K66" i="77"/>
  <c r="I66" i="77"/>
  <c r="G66" i="77"/>
  <c r="P66" i="77"/>
  <c r="N66" i="77"/>
  <c r="L66" i="77"/>
  <c r="J66" i="77"/>
  <c r="H66" i="77"/>
  <c r="AA270" i="77"/>
  <c r="Y270" i="77"/>
  <c r="W270" i="77"/>
  <c r="U270" i="77"/>
  <c r="S270" i="77"/>
  <c r="AB270" i="77"/>
  <c r="X270" i="77"/>
  <c r="T270" i="77"/>
  <c r="Z270" i="77"/>
  <c r="V270" i="77"/>
  <c r="R270" i="77"/>
  <c r="Q270" i="77"/>
  <c r="O270" i="77"/>
  <c r="M270" i="77"/>
  <c r="K270" i="77"/>
  <c r="I270" i="77"/>
  <c r="G270" i="77"/>
  <c r="P270" i="77"/>
  <c r="L270" i="77"/>
  <c r="H270" i="77"/>
  <c r="N270" i="77"/>
  <c r="J270" i="77"/>
  <c r="P177" i="77"/>
  <c r="N177" i="77"/>
  <c r="L177" i="77"/>
  <c r="J177" i="77"/>
  <c r="H177" i="77"/>
  <c r="O177" i="77"/>
  <c r="K177" i="77"/>
  <c r="G177" i="77"/>
  <c r="Q177" i="77"/>
  <c r="M177" i="77"/>
  <c r="I177" i="77"/>
  <c r="AB177" i="77"/>
  <c r="Z177" i="77"/>
  <c r="X177" i="77"/>
  <c r="V177" i="77"/>
  <c r="T177" i="77"/>
  <c r="R177" i="77"/>
  <c r="AA177" i="77"/>
  <c r="W177" i="77"/>
  <c r="S177" i="77"/>
  <c r="Y177" i="77"/>
  <c r="U177" i="77"/>
  <c r="P105" i="77"/>
  <c r="N105" i="77"/>
  <c r="L105" i="77"/>
  <c r="J105" i="77"/>
  <c r="H105" i="77"/>
  <c r="Q105" i="77"/>
  <c r="M105" i="77"/>
  <c r="I105" i="77"/>
  <c r="O105" i="77"/>
  <c r="K105" i="77"/>
  <c r="G105" i="77"/>
  <c r="AB105" i="77"/>
  <c r="Z105" i="77"/>
  <c r="X105" i="77"/>
  <c r="V105" i="77"/>
  <c r="T105" i="77"/>
  <c r="R105" i="77"/>
  <c r="Y105" i="77"/>
  <c r="U105" i="77"/>
  <c r="AA105" i="77"/>
  <c r="W105" i="77"/>
  <c r="S105" i="77"/>
  <c r="AA92" i="77"/>
  <c r="Y92" i="77"/>
  <c r="W92" i="77"/>
  <c r="U92" i="77"/>
  <c r="S92" i="77"/>
  <c r="Z92" i="77"/>
  <c r="V92" i="77"/>
  <c r="R92" i="77"/>
  <c r="AB92" i="77"/>
  <c r="X92" i="77"/>
  <c r="T92" i="77"/>
  <c r="Q92" i="77"/>
  <c r="O92" i="77"/>
  <c r="M92" i="77"/>
  <c r="K92" i="77"/>
  <c r="I92" i="77"/>
  <c r="G92" i="77"/>
  <c r="N92" i="77"/>
  <c r="J92" i="77"/>
  <c r="P92" i="77"/>
  <c r="L92" i="77"/>
  <c r="H92" i="77"/>
  <c r="Z22" i="77"/>
  <c r="T22" i="77"/>
  <c r="AA22" i="77"/>
  <c r="Y22" i="77"/>
  <c r="W22" i="77"/>
  <c r="U22" i="77"/>
  <c r="S22" i="77"/>
  <c r="AB22" i="77"/>
  <c r="X22" i="77"/>
  <c r="V22" i="77"/>
  <c r="R22" i="77"/>
  <c r="AA7" i="77"/>
  <c r="Y7" i="77"/>
  <c r="U7" i="77"/>
  <c r="AB7" i="77"/>
  <c r="Z7" i="77"/>
  <c r="X7" i="77"/>
  <c r="V7" i="77"/>
  <c r="T7" i="77"/>
  <c r="R7" i="77"/>
  <c r="W7" i="77"/>
  <c r="S7" i="77"/>
  <c r="Q7" i="77"/>
  <c r="M7" i="77"/>
  <c r="I7" i="77"/>
  <c r="P7" i="77"/>
  <c r="N7" i="77"/>
  <c r="L7" i="77"/>
  <c r="J7" i="77"/>
  <c r="H7" i="77"/>
  <c r="O7" i="77"/>
  <c r="K7" i="77"/>
  <c r="G7" i="77"/>
  <c r="E299" i="77"/>
  <c r="P293" i="77"/>
  <c r="N293" i="77"/>
  <c r="L293" i="77"/>
  <c r="J293" i="77"/>
  <c r="H293" i="77"/>
  <c r="Q293" i="77"/>
  <c r="M293" i="77"/>
  <c r="I293" i="77"/>
  <c r="O293" i="77"/>
  <c r="K293" i="77"/>
  <c r="G293" i="77"/>
  <c r="D293" i="77"/>
  <c r="C293" i="77"/>
  <c r="C21" i="77"/>
  <c r="D21" i="77"/>
  <c r="C139" i="77"/>
  <c r="D139" i="77"/>
  <c r="D319" i="77"/>
  <c r="C319" i="77"/>
  <c r="C330" i="77"/>
  <c r="D330" i="77"/>
  <c r="F347" i="77"/>
  <c r="AA341" i="77"/>
  <c r="Y341" i="77"/>
  <c r="W341" i="77"/>
  <c r="U341" i="77"/>
  <c r="S341" i="77"/>
  <c r="Z341" i="77"/>
  <c r="V341" i="77"/>
  <c r="R341" i="77"/>
  <c r="AB341" i="77"/>
  <c r="X341" i="77"/>
  <c r="T341" i="77"/>
  <c r="Q341" i="77"/>
  <c r="O341" i="77"/>
  <c r="M341" i="77"/>
  <c r="K341" i="77"/>
  <c r="I341" i="77"/>
  <c r="G341" i="77"/>
  <c r="N341" i="77"/>
  <c r="J341" i="77"/>
  <c r="E347" i="77"/>
  <c r="P341" i="77"/>
  <c r="L341" i="77"/>
  <c r="H341" i="77"/>
  <c r="C353" i="77"/>
  <c r="D353" i="77"/>
  <c r="D354" i="77"/>
  <c r="C354" i="77"/>
  <c r="D358" i="77"/>
  <c r="C358" i="77"/>
  <c r="AB257" i="77"/>
  <c r="Z257" i="77"/>
  <c r="X257" i="77"/>
  <c r="V257" i="77"/>
  <c r="T257" i="77"/>
  <c r="R257" i="77"/>
  <c r="F263" i="77"/>
  <c r="Y257" i="77"/>
  <c r="U257" i="77"/>
  <c r="AA257" i="77"/>
  <c r="W257" i="77"/>
  <c r="S257" i="77"/>
  <c r="AA153" i="77"/>
  <c r="Y153" i="77"/>
  <c r="W153" i="77"/>
  <c r="U153" i="77"/>
  <c r="S153" i="77"/>
  <c r="AB153" i="77"/>
  <c r="Z153" i="77"/>
  <c r="X153" i="77"/>
  <c r="V153" i="77"/>
  <c r="T153" i="77"/>
  <c r="R153" i="77"/>
  <c r="Q153" i="77"/>
  <c r="O153" i="77"/>
  <c r="M153" i="77"/>
  <c r="K153" i="77"/>
  <c r="I153" i="77"/>
  <c r="G153" i="77"/>
  <c r="P153" i="77"/>
  <c r="N153" i="77"/>
  <c r="L153" i="77"/>
  <c r="J153" i="77"/>
  <c r="H153" i="77"/>
  <c r="P69" i="77"/>
  <c r="N69" i="77"/>
  <c r="L69" i="77"/>
  <c r="J69" i="77"/>
  <c r="H69" i="77"/>
  <c r="Q69" i="77"/>
  <c r="O69" i="77"/>
  <c r="M69" i="77"/>
  <c r="K69" i="77"/>
  <c r="I69" i="77"/>
  <c r="G69" i="77"/>
  <c r="AB69" i="77"/>
  <c r="Z69" i="77"/>
  <c r="X69" i="77"/>
  <c r="V69" i="77"/>
  <c r="T69" i="77"/>
  <c r="R69" i="77"/>
  <c r="AA69" i="77"/>
  <c r="Y69" i="77"/>
  <c r="W69" i="77"/>
  <c r="U69" i="77"/>
  <c r="S69" i="77"/>
  <c r="AA141" i="77"/>
  <c r="Y141" i="77"/>
  <c r="W141" i="77"/>
  <c r="U141" i="77"/>
  <c r="S141" i="77"/>
  <c r="AB141" i="77"/>
  <c r="Z141" i="77"/>
  <c r="X141" i="77"/>
  <c r="V141" i="77"/>
  <c r="T141" i="77"/>
  <c r="R141" i="77"/>
  <c r="Q141" i="77"/>
  <c r="O141" i="77"/>
  <c r="M141" i="77"/>
  <c r="K141" i="77"/>
  <c r="I141" i="77"/>
  <c r="G141" i="77"/>
  <c r="P141" i="77"/>
  <c r="N141" i="77"/>
  <c r="L141" i="77"/>
  <c r="J141" i="77"/>
  <c r="H141" i="77"/>
  <c r="AA272" i="77"/>
  <c r="Y272" i="77"/>
  <c r="W272" i="77"/>
  <c r="U272" i="77"/>
  <c r="S272" i="77"/>
  <c r="Z272" i="77"/>
  <c r="V272" i="77"/>
  <c r="R272" i="77"/>
  <c r="AB272" i="77"/>
  <c r="X272" i="77"/>
  <c r="T272" i="77"/>
  <c r="Q272" i="77"/>
  <c r="O272" i="77"/>
  <c r="M272" i="77"/>
  <c r="K272" i="77"/>
  <c r="I272" i="77"/>
  <c r="G272" i="77"/>
  <c r="N272" i="77"/>
  <c r="J272" i="77"/>
  <c r="P272" i="77"/>
  <c r="L272" i="77"/>
  <c r="H272" i="77"/>
  <c r="AA104" i="77"/>
  <c r="Y104" i="77"/>
  <c r="W104" i="77"/>
  <c r="U104" i="77"/>
  <c r="S104" i="77"/>
  <c r="Z104" i="77"/>
  <c r="V104" i="77"/>
  <c r="R104" i="77"/>
  <c r="AB104" i="77"/>
  <c r="X104" i="77"/>
  <c r="T104" i="77"/>
  <c r="Q104" i="77"/>
  <c r="O104" i="77"/>
  <c r="M104" i="77"/>
  <c r="K104" i="77"/>
  <c r="I104" i="77"/>
  <c r="G104" i="77"/>
  <c r="N104" i="77"/>
  <c r="J104" i="77"/>
  <c r="P104" i="77"/>
  <c r="L104" i="77"/>
  <c r="H104" i="77"/>
  <c r="C161" i="77"/>
  <c r="D161" i="77"/>
  <c r="C90" i="77"/>
  <c r="D90" i="77"/>
  <c r="AB101" i="77"/>
  <c r="Z101" i="77"/>
  <c r="X101" i="77"/>
  <c r="V101" i="77"/>
  <c r="T101" i="77"/>
  <c r="R101" i="77"/>
  <c r="F107" i="77"/>
  <c r="Y101" i="77"/>
  <c r="U101" i="77"/>
  <c r="AA101" i="77"/>
  <c r="W101" i="77"/>
  <c r="S101" i="77"/>
  <c r="E311" i="77"/>
  <c r="P305" i="77"/>
  <c r="N305" i="77"/>
  <c r="L305" i="77"/>
  <c r="J305" i="77"/>
  <c r="H305" i="77"/>
  <c r="Q305" i="77"/>
  <c r="M305" i="77"/>
  <c r="I305" i="77"/>
  <c r="O305" i="77"/>
  <c r="K305" i="77"/>
  <c r="G305" i="77"/>
  <c r="D305" i="77"/>
  <c r="C305" i="77"/>
  <c r="C176" i="77"/>
  <c r="D176" i="77"/>
  <c r="C127" i="77"/>
  <c r="D127" i="77"/>
  <c r="E227" i="77"/>
  <c r="P221" i="77"/>
  <c r="N221" i="77"/>
  <c r="L221" i="77"/>
  <c r="J221" i="77"/>
  <c r="H221" i="77"/>
  <c r="O221" i="77"/>
  <c r="K221" i="77"/>
  <c r="G221" i="77"/>
  <c r="Q221" i="77"/>
  <c r="I221" i="77"/>
  <c r="M221" i="77"/>
  <c r="AB221" i="77"/>
  <c r="Z221" i="77"/>
  <c r="X221" i="77"/>
  <c r="V221" i="77"/>
  <c r="T221" i="77"/>
  <c r="R221" i="77"/>
  <c r="AA221" i="77"/>
  <c r="W221" i="77"/>
  <c r="S221" i="77"/>
  <c r="F227" i="77"/>
  <c r="Y221" i="77"/>
  <c r="U221" i="77"/>
  <c r="P91" i="77"/>
  <c r="N91" i="77"/>
  <c r="L91" i="77"/>
  <c r="J91" i="77"/>
  <c r="H91" i="77"/>
  <c r="Q91" i="77"/>
  <c r="O91" i="77"/>
  <c r="M91" i="77"/>
  <c r="K91" i="77"/>
  <c r="I91" i="77"/>
  <c r="G91" i="77"/>
  <c r="AB91" i="77"/>
  <c r="Z91" i="77"/>
  <c r="AA91" i="77"/>
  <c r="X91" i="77"/>
  <c r="V91" i="77"/>
  <c r="T91" i="77"/>
  <c r="R91" i="77"/>
  <c r="Y91" i="77"/>
  <c r="W91" i="77"/>
  <c r="U91" i="77"/>
  <c r="S91" i="77"/>
  <c r="P140" i="77"/>
  <c r="N140" i="77"/>
  <c r="L140" i="77"/>
  <c r="J140" i="77"/>
  <c r="H140" i="77"/>
  <c r="Q140" i="77"/>
  <c r="O140" i="77"/>
  <c r="M140" i="77"/>
  <c r="K140" i="77"/>
  <c r="I140" i="77"/>
  <c r="G140" i="77"/>
  <c r="AB140" i="77"/>
  <c r="Z140" i="77"/>
  <c r="X140" i="77"/>
  <c r="V140" i="77"/>
  <c r="T140" i="77"/>
  <c r="R140" i="77"/>
  <c r="AA140" i="77"/>
  <c r="Y140" i="77"/>
  <c r="W140" i="77"/>
  <c r="U140" i="77"/>
  <c r="S140" i="77"/>
  <c r="E239" i="77"/>
  <c r="P233" i="77"/>
  <c r="N233" i="77"/>
  <c r="L233" i="77"/>
  <c r="J233" i="77"/>
  <c r="H233" i="77"/>
  <c r="O233" i="77"/>
  <c r="K233" i="77"/>
  <c r="G233" i="77"/>
  <c r="M233" i="77"/>
  <c r="Q233" i="77"/>
  <c r="I233" i="77"/>
  <c r="D233" i="77"/>
  <c r="C233" i="77"/>
  <c r="D46" i="77"/>
  <c r="C46" i="77"/>
  <c r="E71" i="77"/>
  <c r="P65" i="77"/>
  <c r="N65" i="77"/>
  <c r="L65" i="77"/>
  <c r="J65" i="77"/>
  <c r="H65" i="77"/>
  <c r="Q65" i="77"/>
  <c r="O65" i="77"/>
  <c r="M65" i="77"/>
  <c r="K65" i="77"/>
  <c r="I65" i="77"/>
  <c r="G65" i="77"/>
  <c r="AB65" i="77"/>
  <c r="Z65" i="77"/>
  <c r="X65" i="77"/>
  <c r="V65" i="77"/>
  <c r="T65" i="77"/>
  <c r="R65" i="77"/>
  <c r="F71" i="77"/>
  <c r="AA65" i="77"/>
  <c r="Y65" i="77"/>
  <c r="W65" i="77"/>
  <c r="U65" i="77"/>
  <c r="S65" i="77"/>
  <c r="AB213" i="77"/>
  <c r="Z213" i="77"/>
  <c r="X213" i="77"/>
  <c r="V213" i="77"/>
  <c r="T213" i="77"/>
  <c r="R213" i="77"/>
  <c r="AA213" i="77"/>
  <c r="W213" i="77"/>
  <c r="S213" i="77"/>
  <c r="Y213" i="77"/>
  <c r="U213" i="77"/>
  <c r="P295" i="77"/>
  <c r="N295" i="77"/>
  <c r="L295" i="77"/>
  <c r="J295" i="77"/>
  <c r="H295" i="77"/>
  <c r="O295" i="77"/>
  <c r="K295" i="77"/>
  <c r="G295" i="77"/>
  <c r="Q295" i="77"/>
  <c r="M295" i="77"/>
  <c r="I295" i="77"/>
  <c r="AB295" i="77"/>
  <c r="Z295" i="77"/>
  <c r="X295" i="77"/>
  <c r="V295" i="77"/>
  <c r="T295" i="77"/>
  <c r="R295" i="77"/>
  <c r="AA295" i="77"/>
  <c r="W295" i="77"/>
  <c r="S295" i="77"/>
  <c r="Y295" i="77"/>
  <c r="U295" i="77"/>
  <c r="P329" i="77"/>
  <c r="N329" i="77"/>
  <c r="L329" i="77"/>
  <c r="J329" i="77"/>
  <c r="H329" i="77"/>
  <c r="Q329" i="77"/>
  <c r="M329" i="77"/>
  <c r="I329" i="77"/>
  <c r="E335" i="77"/>
  <c r="O329" i="77"/>
  <c r="K329" i="77"/>
  <c r="G329" i="77"/>
  <c r="D329" i="77"/>
  <c r="C329" i="77"/>
  <c r="F155" i="77"/>
  <c r="AA149" i="77"/>
  <c r="Y149" i="77"/>
  <c r="W149" i="77"/>
  <c r="U149" i="77"/>
  <c r="S149" i="77"/>
  <c r="AB149" i="77"/>
  <c r="Z149" i="77"/>
  <c r="X149" i="77"/>
  <c r="V149" i="77"/>
  <c r="T149" i="77"/>
  <c r="R149" i="77"/>
  <c r="Q149" i="77"/>
  <c r="O149" i="77"/>
  <c r="M149" i="77"/>
  <c r="K149" i="77"/>
  <c r="I149" i="77"/>
  <c r="G149" i="77"/>
  <c r="E155" i="77"/>
  <c r="P149" i="77"/>
  <c r="N149" i="77"/>
  <c r="L149" i="77"/>
  <c r="J149" i="77"/>
  <c r="H149" i="77"/>
  <c r="AA222" i="77"/>
  <c r="Y222" i="77"/>
  <c r="W222" i="77"/>
  <c r="U222" i="77"/>
  <c r="S222" i="77"/>
  <c r="Z222" i="77"/>
  <c r="V222" i="77"/>
  <c r="R222" i="77"/>
  <c r="AB222" i="77"/>
  <c r="T222" i="77"/>
  <c r="X222" i="77"/>
  <c r="Q222" i="77"/>
  <c r="O222" i="77"/>
  <c r="M222" i="77"/>
  <c r="K222" i="77"/>
  <c r="I222" i="77"/>
  <c r="G222" i="77"/>
  <c r="N222" i="77"/>
  <c r="J222" i="77"/>
  <c r="L222" i="77"/>
  <c r="P222" i="77"/>
  <c r="H222" i="77"/>
  <c r="AA31" i="77"/>
  <c r="Y31" i="77"/>
  <c r="U31" i="77"/>
  <c r="AB31" i="77"/>
  <c r="Z31" i="77"/>
  <c r="X31" i="77"/>
  <c r="V31" i="77"/>
  <c r="T31" i="77"/>
  <c r="R31" i="77"/>
  <c r="W31" i="77"/>
  <c r="S31" i="77"/>
  <c r="Q31" i="77"/>
  <c r="M31" i="77"/>
  <c r="I31" i="77"/>
  <c r="P31" i="77"/>
  <c r="N31" i="77"/>
  <c r="L31" i="77"/>
  <c r="J31" i="77"/>
  <c r="H31" i="77"/>
  <c r="O31" i="77"/>
  <c r="K31" i="77"/>
  <c r="G31" i="77"/>
  <c r="P130" i="77"/>
  <c r="N130" i="77"/>
  <c r="L130" i="77"/>
  <c r="J130" i="77"/>
  <c r="H130" i="77"/>
  <c r="Q130" i="77"/>
  <c r="O130" i="77"/>
  <c r="M130" i="77"/>
  <c r="K130" i="77"/>
  <c r="I130" i="77"/>
  <c r="G130" i="77"/>
  <c r="AB130" i="77"/>
  <c r="Z130" i="77"/>
  <c r="X130" i="77"/>
  <c r="V130" i="77"/>
  <c r="T130" i="77"/>
  <c r="R130" i="77"/>
  <c r="AA130" i="77"/>
  <c r="Y130" i="77"/>
  <c r="W130" i="77"/>
  <c r="U130" i="77"/>
  <c r="S130" i="77"/>
  <c r="P154" i="77"/>
  <c r="N154" i="77"/>
  <c r="L154" i="77"/>
  <c r="J154" i="77"/>
  <c r="H154" i="77"/>
  <c r="Q154" i="77"/>
  <c r="O154" i="77"/>
  <c r="M154" i="77"/>
  <c r="K154" i="77"/>
  <c r="I154" i="77"/>
  <c r="G154" i="77"/>
  <c r="AB154" i="77"/>
  <c r="Z154" i="77"/>
  <c r="X154" i="77"/>
  <c r="V154" i="77"/>
  <c r="T154" i="77"/>
  <c r="R154" i="77"/>
  <c r="AA154" i="77"/>
  <c r="Y154" i="77"/>
  <c r="W154" i="77"/>
  <c r="U154" i="77"/>
  <c r="S154" i="77"/>
  <c r="AA282" i="77"/>
  <c r="Y282" i="77"/>
  <c r="W282" i="77"/>
  <c r="U282" i="77"/>
  <c r="S282" i="77"/>
  <c r="AB282" i="77"/>
  <c r="X282" i="77"/>
  <c r="T282" i="77"/>
  <c r="Z282" i="77"/>
  <c r="V282" i="77"/>
  <c r="R282" i="77"/>
  <c r="Q282" i="77"/>
  <c r="O282" i="77"/>
  <c r="M282" i="77"/>
  <c r="K282" i="77"/>
  <c r="I282" i="77"/>
  <c r="G282" i="77"/>
  <c r="P282" i="77"/>
  <c r="L282" i="77"/>
  <c r="H282" i="77"/>
  <c r="N282" i="77"/>
  <c r="J282" i="77"/>
  <c r="P187" i="77"/>
  <c r="N187" i="77"/>
  <c r="L187" i="77"/>
  <c r="J187" i="77"/>
  <c r="H187" i="77"/>
  <c r="Q187" i="77"/>
  <c r="M187" i="77"/>
  <c r="I187" i="77"/>
  <c r="O187" i="77"/>
  <c r="K187" i="77"/>
  <c r="G187" i="77"/>
  <c r="AB187" i="77"/>
  <c r="Z187" i="77"/>
  <c r="X187" i="77"/>
  <c r="V187" i="77"/>
  <c r="T187" i="77"/>
  <c r="R187" i="77"/>
  <c r="Y187" i="77"/>
  <c r="U187" i="77"/>
  <c r="AA187" i="77"/>
  <c r="W187" i="77"/>
  <c r="S187" i="77"/>
  <c r="AA214" i="77"/>
  <c r="Y214" i="77"/>
  <c r="W214" i="77"/>
  <c r="U214" i="77"/>
  <c r="S214" i="77"/>
  <c r="Z214" i="77"/>
  <c r="V214" i="77"/>
  <c r="R214" i="77"/>
  <c r="AB214" i="77"/>
  <c r="T214" i="77"/>
  <c r="X214" i="77"/>
  <c r="Q214" i="77"/>
  <c r="O214" i="77"/>
  <c r="M214" i="77"/>
  <c r="K214" i="77"/>
  <c r="I214" i="77"/>
  <c r="G214" i="77"/>
  <c r="N214" i="77"/>
  <c r="J214" i="77"/>
  <c r="L214" i="77"/>
  <c r="P214" i="77"/>
  <c r="H214" i="77"/>
  <c r="C248" i="77"/>
  <c r="D248" i="77"/>
  <c r="Q248" i="77"/>
  <c r="O248" i="77"/>
  <c r="M248" i="77"/>
  <c r="K248" i="77"/>
  <c r="I248" i="77"/>
  <c r="G248" i="77"/>
  <c r="P248" i="77"/>
  <c r="L248" i="77"/>
  <c r="H248" i="77"/>
  <c r="J248" i="77"/>
  <c r="N248" i="77"/>
  <c r="E323" i="77"/>
  <c r="P317" i="77"/>
  <c r="N317" i="77"/>
  <c r="L317" i="77"/>
  <c r="J317" i="77"/>
  <c r="H317" i="77"/>
  <c r="Q317" i="77"/>
  <c r="M317" i="77"/>
  <c r="I317" i="77"/>
  <c r="O317" i="77"/>
  <c r="K317" i="77"/>
  <c r="G317" i="77"/>
  <c r="D317" i="77"/>
  <c r="C317" i="77"/>
  <c r="C117" i="77"/>
  <c r="D117" i="77"/>
  <c r="C190" i="77"/>
  <c r="D190" i="77"/>
  <c r="D223" i="77"/>
  <c r="C223" i="77"/>
  <c r="C78" i="77"/>
  <c r="D78" i="77"/>
  <c r="D20" i="77"/>
  <c r="C20" i="77"/>
  <c r="D235" i="77"/>
  <c r="C235" i="77"/>
  <c r="D56" i="77"/>
  <c r="C56" i="77"/>
  <c r="D166" i="77"/>
  <c r="C166" i="77"/>
  <c r="S17" i="77"/>
  <c r="AB17" i="77"/>
  <c r="Z17" i="77"/>
  <c r="X17" i="77"/>
  <c r="V17" i="77"/>
  <c r="T17" i="77"/>
  <c r="R17" i="77"/>
  <c r="F23" i="77"/>
  <c r="AA17" i="77"/>
  <c r="Y17" i="77"/>
  <c r="W17" i="77"/>
  <c r="U17" i="77"/>
  <c r="M17" i="77"/>
  <c r="I17" i="77"/>
  <c r="E23" i="77"/>
  <c r="P17" i="77"/>
  <c r="N17" i="77"/>
  <c r="L17" i="77"/>
  <c r="J17" i="77"/>
  <c r="H17" i="77"/>
  <c r="Q17" i="77"/>
  <c r="O17" i="77"/>
  <c r="K17" i="77"/>
  <c r="G17" i="77"/>
  <c r="C318" i="77"/>
  <c r="D318" i="77"/>
  <c r="D332" i="77"/>
  <c r="C332" i="77"/>
  <c r="C345" i="77"/>
  <c r="D345" i="77"/>
  <c r="C258" i="77"/>
  <c r="D258" i="77"/>
  <c r="O5" i="77"/>
  <c r="K5" i="77"/>
  <c r="G5" i="77"/>
  <c r="E11" i="77"/>
  <c r="P5" i="77"/>
  <c r="N5" i="77"/>
  <c r="L5" i="77"/>
  <c r="J5" i="77"/>
  <c r="H5" i="77"/>
  <c r="Q5" i="77"/>
  <c r="M5" i="77"/>
  <c r="I5" i="77"/>
  <c r="U5" i="77"/>
  <c r="AB5" i="77"/>
  <c r="Z5" i="77"/>
  <c r="X5" i="77"/>
  <c r="V5" i="77"/>
  <c r="T5" i="77"/>
  <c r="R5" i="77"/>
  <c r="F11" i="77"/>
  <c r="AA5" i="77"/>
  <c r="Y5" i="77"/>
  <c r="W5" i="77"/>
  <c r="S5" i="77"/>
  <c r="C298" i="77"/>
  <c r="D298" i="77"/>
  <c r="C165" i="77"/>
  <c r="D165" i="77"/>
  <c r="C45" i="77"/>
  <c r="D45" i="77"/>
  <c r="C234" i="77"/>
  <c r="D234" i="77"/>
  <c r="C82" i="77"/>
  <c r="D82" i="77"/>
  <c r="C32" i="77"/>
  <c r="D32" i="77"/>
  <c r="N32" i="77"/>
  <c r="J32" i="77"/>
  <c r="Q32" i="77"/>
  <c r="O32" i="77"/>
  <c r="M32" i="77"/>
  <c r="K32" i="77"/>
  <c r="I32" i="77"/>
  <c r="G32" i="77"/>
  <c r="P32" i="77"/>
  <c r="L32" i="77"/>
  <c r="H32" i="77"/>
  <c r="D247" i="77"/>
  <c r="C247" i="77"/>
  <c r="D67" i="77"/>
  <c r="C67" i="77"/>
  <c r="AB173" i="77"/>
  <c r="Z173" i="77"/>
  <c r="X173" i="77"/>
  <c r="V173" i="77"/>
  <c r="T173" i="77"/>
  <c r="AA173" i="77"/>
  <c r="W173" i="77"/>
  <c r="S173" i="77"/>
  <c r="F179" i="77"/>
  <c r="Y173" i="77"/>
  <c r="U173" i="77"/>
  <c r="R173" i="77"/>
  <c r="E179" i="77"/>
  <c r="Q173" i="77"/>
  <c r="O173" i="77"/>
  <c r="M173" i="77"/>
  <c r="K173" i="77"/>
  <c r="I173" i="77"/>
  <c r="G173" i="77"/>
  <c r="P173" i="77"/>
  <c r="N173" i="77"/>
  <c r="L173" i="77"/>
  <c r="J173" i="77"/>
  <c r="H173" i="77"/>
  <c r="E287" i="77"/>
  <c r="P281" i="77"/>
  <c r="N281" i="77"/>
  <c r="L281" i="77"/>
  <c r="J281" i="77"/>
  <c r="H281" i="77"/>
  <c r="Q281" i="77"/>
  <c r="M281" i="77"/>
  <c r="I281" i="77"/>
  <c r="O281" i="77"/>
  <c r="K281" i="77"/>
  <c r="G281" i="77"/>
  <c r="D281" i="77"/>
  <c r="C281" i="77"/>
  <c r="C10" i="77"/>
  <c r="D10" i="77"/>
  <c r="D115" i="77"/>
  <c r="C115" i="77"/>
  <c r="D164" i="77"/>
  <c r="C164" i="77"/>
  <c r="D199" i="77"/>
  <c r="C199" i="77"/>
  <c r="D58" i="77"/>
  <c r="C58" i="77"/>
  <c r="C284" i="77"/>
  <c r="D284" i="77"/>
  <c r="D93" i="77"/>
  <c r="C93" i="77"/>
  <c r="C333" i="77"/>
  <c r="D333" i="77"/>
  <c r="D34" i="77"/>
  <c r="C34" i="77"/>
  <c r="AB269" i="77"/>
  <c r="Z269" i="77"/>
  <c r="X269" i="77"/>
  <c r="V269" i="77"/>
  <c r="T269" i="77"/>
  <c r="R269" i="77"/>
  <c r="F275" i="77"/>
  <c r="Y269" i="77"/>
  <c r="U269" i="77"/>
  <c r="AA269" i="77"/>
  <c r="W269" i="77"/>
  <c r="S269" i="77"/>
  <c r="AA188" i="77"/>
  <c r="Y188" i="77"/>
  <c r="W188" i="77"/>
  <c r="U188" i="77"/>
  <c r="S188" i="77"/>
  <c r="AB188" i="77"/>
  <c r="X188" i="77"/>
  <c r="T188" i="77"/>
  <c r="Z188" i="77"/>
  <c r="V188" i="77"/>
  <c r="R188" i="77"/>
  <c r="Q188" i="77"/>
  <c r="O188" i="77"/>
  <c r="M188" i="77"/>
  <c r="K188" i="77"/>
  <c r="I188" i="77"/>
  <c r="G188" i="77"/>
  <c r="P188" i="77"/>
  <c r="L188" i="77"/>
  <c r="H188" i="77"/>
  <c r="N188" i="77"/>
  <c r="J188" i="77"/>
  <c r="AA114" i="77"/>
  <c r="Y114" i="77"/>
  <c r="W114" i="77"/>
  <c r="U114" i="77"/>
  <c r="S114" i="77"/>
  <c r="AB114" i="77"/>
  <c r="X114" i="77"/>
  <c r="T114" i="77"/>
  <c r="Z114" i="77"/>
  <c r="V114" i="77"/>
  <c r="R114" i="77"/>
  <c r="Q114" i="77"/>
  <c r="O114" i="77"/>
  <c r="M114" i="77"/>
  <c r="K114" i="77"/>
  <c r="I114" i="77"/>
  <c r="G114" i="77"/>
  <c r="P114" i="77"/>
  <c r="L114" i="77"/>
  <c r="H114" i="77"/>
  <c r="N114" i="77"/>
  <c r="J114" i="77"/>
  <c r="AA296" i="77"/>
  <c r="Y296" i="77"/>
  <c r="W296" i="77"/>
  <c r="U296" i="77"/>
  <c r="S296" i="77"/>
  <c r="Z296" i="77"/>
  <c r="V296" i="77"/>
  <c r="R296" i="77"/>
  <c r="AB296" i="77"/>
  <c r="X296" i="77"/>
  <c r="T296" i="77"/>
  <c r="Q296" i="77"/>
  <c r="O296" i="77"/>
  <c r="M296" i="77"/>
  <c r="K296" i="77"/>
  <c r="I296" i="77"/>
  <c r="G296" i="77"/>
  <c r="N296" i="77"/>
  <c r="J296" i="77"/>
  <c r="P296" i="77"/>
  <c r="L296" i="77"/>
  <c r="H296" i="77"/>
  <c r="C200" i="77"/>
  <c r="D200" i="77"/>
  <c r="Q200" i="77"/>
  <c r="O200" i="77"/>
  <c r="M200" i="77"/>
  <c r="K200" i="77"/>
  <c r="I200" i="77"/>
  <c r="G200" i="77"/>
  <c r="P200" i="77"/>
  <c r="L200" i="77"/>
  <c r="H200" i="77"/>
  <c r="J200" i="77"/>
  <c r="N200" i="77"/>
  <c r="K33" i="77"/>
  <c r="G33" i="77"/>
  <c r="P33" i="77"/>
  <c r="N33" i="77"/>
  <c r="L33" i="77"/>
  <c r="J33" i="77"/>
  <c r="H33" i="77"/>
  <c r="Q33" i="77"/>
  <c r="O33" i="77"/>
  <c r="M33" i="77"/>
  <c r="I33" i="77"/>
  <c r="S33" i="77"/>
  <c r="AB33" i="77"/>
  <c r="Z33" i="77"/>
  <c r="X33" i="77"/>
  <c r="V33" i="77"/>
  <c r="T33" i="77"/>
  <c r="R33" i="77"/>
  <c r="AA33" i="77"/>
  <c r="Y33" i="77"/>
  <c r="W33" i="77"/>
  <c r="U33" i="77"/>
  <c r="AA274" i="77"/>
  <c r="Y274" i="77"/>
  <c r="W274" i="77"/>
  <c r="U274" i="77"/>
  <c r="S274" i="77"/>
  <c r="AB274" i="77"/>
  <c r="X274" i="77"/>
  <c r="T274" i="77"/>
  <c r="Z274" i="77"/>
  <c r="V274" i="77"/>
  <c r="R274" i="77"/>
  <c r="Q274" i="77"/>
  <c r="O274" i="77"/>
  <c r="M274" i="77"/>
  <c r="K274" i="77"/>
  <c r="I274" i="77"/>
  <c r="G274" i="77"/>
  <c r="P274" i="77"/>
  <c r="L274" i="77"/>
  <c r="H274" i="77"/>
  <c r="N274" i="77"/>
  <c r="J274" i="77"/>
  <c r="E95" i="77"/>
  <c r="P89" i="77"/>
  <c r="N89" i="77"/>
  <c r="L89" i="77"/>
  <c r="J89" i="77"/>
  <c r="H89" i="77"/>
  <c r="Q89" i="77"/>
  <c r="O89" i="77"/>
  <c r="M89" i="77"/>
  <c r="K89" i="77"/>
  <c r="I89" i="77"/>
  <c r="G89" i="77"/>
  <c r="D89" i="77"/>
  <c r="C89" i="77"/>
  <c r="D309" i="77"/>
  <c r="C309" i="77"/>
  <c r="D142" i="77"/>
  <c r="C142" i="77"/>
  <c r="C55" i="77"/>
  <c r="D55" i="77"/>
  <c r="C238" i="77"/>
  <c r="D238" i="77"/>
  <c r="C174" i="77"/>
  <c r="D174" i="77"/>
  <c r="D283" i="77"/>
  <c r="C283" i="77"/>
  <c r="P237" i="77"/>
  <c r="N237" i="77"/>
  <c r="L237" i="77"/>
  <c r="J237" i="77"/>
  <c r="H237" i="77"/>
  <c r="O237" i="77"/>
  <c r="K237" i="77"/>
  <c r="G237" i="77"/>
  <c r="Q237" i="77"/>
  <c r="I237" i="77"/>
  <c r="M237" i="77"/>
  <c r="D237" i="77"/>
  <c r="C237" i="77"/>
  <c r="D54" i="77"/>
  <c r="C54" i="77"/>
  <c r="F35" i="77"/>
  <c r="S29" i="77"/>
  <c r="AB29" i="77"/>
  <c r="Z29" i="77"/>
  <c r="X29" i="77"/>
  <c r="V29" i="77"/>
  <c r="T29" i="77"/>
  <c r="R29" i="77"/>
  <c r="AA29" i="77"/>
  <c r="Y29" i="77"/>
  <c r="W29" i="77"/>
  <c r="U29" i="77"/>
  <c r="AA212" i="77"/>
  <c r="Y212" i="77"/>
  <c r="W212" i="77"/>
  <c r="U212" i="77"/>
  <c r="S212" i="77"/>
  <c r="AB212" i="77"/>
  <c r="X212" i="77"/>
  <c r="T212" i="77"/>
  <c r="V212" i="77"/>
  <c r="Z212" i="77"/>
  <c r="R212" i="77"/>
  <c r="Q212" i="77"/>
  <c r="O212" i="77"/>
  <c r="M212" i="77"/>
  <c r="K212" i="77"/>
  <c r="I212" i="77"/>
  <c r="G212" i="77"/>
  <c r="P212" i="77"/>
  <c r="L212" i="77"/>
  <c r="H212" i="77"/>
  <c r="N212" i="77"/>
  <c r="J212" i="77"/>
  <c r="AA310" i="77"/>
  <c r="Y310" i="77"/>
  <c r="W310" i="77"/>
  <c r="U310" i="77"/>
  <c r="S310" i="77"/>
  <c r="AB310" i="77"/>
  <c r="X310" i="77"/>
  <c r="T310" i="77"/>
  <c r="Z310" i="77"/>
  <c r="V310" i="77"/>
  <c r="R310" i="77"/>
  <c r="Q310" i="77"/>
  <c r="O310" i="77"/>
  <c r="M310" i="77"/>
  <c r="K310" i="77"/>
  <c r="I310" i="77"/>
  <c r="G310" i="77"/>
  <c r="P310" i="77"/>
  <c r="L310" i="77"/>
  <c r="H310" i="77"/>
  <c r="N310" i="77"/>
  <c r="J310" i="77"/>
  <c r="AA331" i="77"/>
  <c r="Y331" i="77"/>
  <c r="W331" i="77"/>
  <c r="U331" i="77"/>
  <c r="S331" i="77"/>
  <c r="AB331" i="77"/>
  <c r="X331" i="77"/>
  <c r="T331" i="77"/>
  <c r="Z331" i="77"/>
  <c r="R331" i="77"/>
  <c r="V331" i="77"/>
  <c r="Q331" i="77"/>
  <c r="O331" i="77"/>
  <c r="M331" i="77"/>
  <c r="K331" i="77"/>
  <c r="I331" i="77"/>
  <c r="G331" i="77"/>
  <c r="P331" i="77"/>
  <c r="L331" i="77"/>
  <c r="H331" i="77"/>
  <c r="J331" i="77"/>
  <c r="N331" i="77"/>
  <c r="P342" i="77"/>
  <c r="N342" i="77"/>
  <c r="L342" i="77"/>
  <c r="J342" i="77"/>
  <c r="H342" i="77"/>
  <c r="Q342" i="77"/>
  <c r="M342" i="77"/>
  <c r="I342" i="77"/>
  <c r="O342" i="77"/>
  <c r="K342" i="77"/>
  <c r="G342" i="77"/>
  <c r="AB342" i="77"/>
  <c r="Z342" i="77"/>
  <c r="X342" i="77"/>
  <c r="V342" i="77"/>
  <c r="T342" i="77"/>
  <c r="R342" i="77"/>
  <c r="Y342" i="77"/>
  <c r="U342" i="77"/>
  <c r="AA342" i="77"/>
  <c r="W342" i="77"/>
  <c r="S342" i="77"/>
  <c r="P344" i="77"/>
  <c r="N344" i="77"/>
  <c r="L344" i="77"/>
  <c r="J344" i="77"/>
  <c r="H344" i="77"/>
  <c r="O344" i="77"/>
  <c r="K344" i="77"/>
  <c r="G344" i="77"/>
  <c r="Q344" i="77"/>
  <c r="M344" i="77"/>
  <c r="I344" i="77"/>
  <c r="AB344" i="77"/>
  <c r="Z344" i="77"/>
  <c r="X344" i="77"/>
  <c r="V344" i="77"/>
  <c r="T344" i="77"/>
  <c r="R344" i="77"/>
  <c r="AA344" i="77"/>
  <c r="W344" i="77"/>
  <c r="S344" i="77"/>
  <c r="Y344" i="77"/>
  <c r="U344" i="77"/>
  <c r="AA357" i="77"/>
  <c r="Y357" i="77"/>
  <c r="W357" i="77"/>
  <c r="U357" i="77"/>
  <c r="S357" i="77"/>
  <c r="AB357" i="77"/>
  <c r="X357" i="77"/>
  <c r="T357" i="77"/>
  <c r="Z357" i="77"/>
  <c r="V357" i="77"/>
  <c r="R357" i="77"/>
  <c r="Q357" i="77"/>
  <c r="O357" i="77"/>
  <c r="M357" i="77"/>
  <c r="K357" i="77"/>
  <c r="I357" i="77"/>
  <c r="G357" i="77"/>
  <c r="P357" i="77"/>
  <c r="L357" i="77"/>
  <c r="H357" i="77"/>
  <c r="N357" i="77"/>
  <c r="J357" i="77"/>
  <c r="P356" i="77"/>
  <c r="N356" i="77"/>
  <c r="L356" i="77"/>
  <c r="J356" i="77"/>
  <c r="H356" i="77"/>
  <c r="Q356" i="77"/>
  <c r="M356" i="77"/>
  <c r="I356" i="77"/>
  <c r="O356" i="77"/>
  <c r="K356" i="77"/>
  <c r="G356" i="77"/>
  <c r="AB356" i="77"/>
  <c r="Z356" i="77"/>
  <c r="X356" i="77"/>
  <c r="V356" i="77"/>
  <c r="T356" i="77"/>
  <c r="R356" i="77"/>
  <c r="Y356" i="77"/>
  <c r="U356" i="77"/>
  <c r="AA356" i="77"/>
  <c r="W356" i="77"/>
  <c r="S356" i="77"/>
  <c r="AA355" i="77"/>
  <c r="Y355" i="77"/>
  <c r="W355" i="77"/>
  <c r="U355" i="77"/>
  <c r="S355" i="77"/>
  <c r="Z355" i="77"/>
  <c r="V355" i="77"/>
  <c r="R355" i="77"/>
  <c r="AB355" i="77"/>
  <c r="X355" i="77"/>
  <c r="T355" i="77"/>
  <c r="Q355" i="77"/>
  <c r="O355" i="77"/>
  <c r="M355" i="77"/>
  <c r="K355" i="77"/>
  <c r="I355" i="77"/>
  <c r="G355" i="77"/>
  <c r="N355" i="77"/>
  <c r="J355" i="77"/>
  <c r="P355" i="77"/>
  <c r="L355" i="77"/>
  <c r="H355" i="77"/>
  <c r="B248" i="70"/>
  <c r="AD260" i="70"/>
  <c r="AD258" i="70"/>
  <c r="AD257" i="70"/>
  <c r="AD262" i="70"/>
  <c r="AD259" i="70"/>
  <c r="AD261" i="70"/>
  <c r="F246" i="70"/>
  <c r="E248" i="70"/>
  <c r="AN24" i="75"/>
  <c r="AJ24" i="75"/>
  <c r="AF24" i="75"/>
  <c r="AO24" i="75"/>
  <c r="AK24" i="75"/>
  <c r="AG24" i="75"/>
  <c r="AP24" i="75"/>
  <c r="AL24" i="75"/>
  <c r="AH24" i="75"/>
  <c r="AD25" i="75"/>
  <c r="AE27" i="75" s="1"/>
  <c r="AE28" i="75" s="1"/>
  <c r="AM24" i="75"/>
  <c r="AI24" i="75"/>
  <c r="D211" i="70"/>
  <c r="C211" i="70"/>
  <c r="Q233" i="70"/>
  <c r="J233" i="70"/>
  <c r="O233" i="70"/>
  <c r="I233" i="70"/>
  <c r="P233" i="70"/>
  <c r="H233" i="70"/>
  <c r="E239" i="70"/>
  <c r="M233" i="70"/>
  <c r="K233" i="70"/>
  <c r="G233" i="70"/>
  <c r="N233" i="70"/>
  <c r="L233" i="70"/>
  <c r="I69" i="70"/>
  <c r="N69" i="70"/>
  <c r="J69" i="70"/>
  <c r="G69" i="70"/>
  <c r="O69" i="70"/>
  <c r="L69" i="70"/>
  <c r="M69" i="70"/>
  <c r="Q69" i="70"/>
  <c r="P69" i="70"/>
  <c r="K69" i="70"/>
  <c r="H69" i="70"/>
  <c r="Y162" i="70"/>
  <c r="T162" i="70"/>
  <c r="X162" i="70"/>
  <c r="AB162" i="70"/>
  <c r="U162" i="70"/>
  <c r="AA162" i="70"/>
  <c r="S162" i="70"/>
  <c r="V162" i="70"/>
  <c r="W162" i="70"/>
  <c r="R162" i="70"/>
  <c r="Z162" i="70"/>
  <c r="C149" i="70"/>
  <c r="D149" i="70"/>
  <c r="G151" i="70"/>
  <c r="L151" i="70"/>
  <c r="O151" i="70"/>
  <c r="H151" i="70"/>
  <c r="P151" i="70"/>
  <c r="M151" i="70"/>
  <c r="K151" i="70"/>
  <c r="N151" i="70"/>
  <c r="I151" i="70"/>
  <c r="J151" i="70"/>
  <c r="Q151" i="70"/>
  <c r="X210" i="70"/>
  <c r="R210" i="70"/>
  <c r="U210" i="70"/>
  <c r="Y210" i="70"/>
  <c r="Z210" i="70"/>
  <c r="AB210" i="70"/>
  <c r="AA210" i="70"/>
  <c r="S210" i="70"/>
  <c r="T210" i="70"/>
  <c r="V210" i="70"/>
  <c r="W210" i="70"/>
  <c r="T8" i="70"/>
  <c r="AB8" i="70"/>
  <c r="Z8" i="70"/>
  <c r="W8" i="70"/>
  <c r="U8" i="70"/>
  <c r="AA8" i="70"/>
  <c r="X8" i="70"/>
  <c r="R8" i="70"/>
  <c r="S8" i="70"/>
  <c r="V8" i="70"/>
  <c r="Y8" i="70"/>
  <c r="L127" i="70"/>
  <c r="P127" i="70"/>
  <c r="H127" i="70"/>
  <c r="N127" i="70"/>
  <c r="G127" i="70"/>
  <c r="K127" i="70"/>
  <c r="O127" i="70"/>
  <c r="I127" i="70"/>
  <c r="Q127" i="70"/>
  <c r="J127" i="70"/>
  <c r="M127" i="70"/>
  <c r="N115" i="70"/>
  <c r="I115" i="70"/>
  <c r="J115" i="70"/>
  <c r="O115" i="70"/>
  <c r="G115" i="70"/>
  <c r="L115" i="70"/>
  <c r="M115" i="70"/>
  <c r="K115" i="70"/>
  <c r="Q115" i="70"/>
  <c r="P115" i="70"/>
  <c r="H115" i="70"/>
  <c r="I78" i="70"/>
  <c r="M78" i="70"/>
  <c r="G78" i="70"/>
  <c r="K78" i="70"/>
  <c r="O78" i="70"/>
  <c r="L78" i="70"/>
  <c r="P78" i="70"/>
  <c r="H78" i="70"/>
  <c r="N78" i="70"/>
  <c r="Q78" i="70"/>
  <c r="J78" i="70"/>
  <c r="M130" i="70"/>
  <c r="I130" i="70"/>
  <c r="H130" i="70"/>
  <c r="O130" i="70"/>
  <c r="G130" i="70"/>
  <c r="N130" i="70"/>
  <c r="Q130" i="70"/>
  <c r="L130" i="70"/>
  <c r="K130" i="70"/>
  <c r="J130" i="70"/>
  <c r="P130" i="70"/>
  <c r="I114" i="70"/>
  <c r="G114" i="70"/>
  <c r="K114" i="70"/>
  <c r="O114" i="70"/>
  <c r="N114" i="70"/>
  <c r="M114" i="70"/>
  <c r="P114" i="70"/>
  <c r="H114" i="70"/>
  <c r="J114" i="70"/>
  <c r="Q114" i="70"/>
  <c r="L114" i="70"/>
  <c r="R113" i="70"/>
  <c r="W113" i="70"/>
  <c r="U113" i="70"/>
  <c r="Z113" i="70"/>
  <c r="S113" i="70"/>
  <c r="X113" i="70"/>
  <c r="Y113" i="70"/>
  <c r="V113" i="70"/>
  <c r="AA113" i="70"/>
  <c r="AB113" i="70"/>
  <c r="T113" i="70"/>
  <c r="F119" i="70"/>
  <c r="Q65" i="70"/>
  <c r="H65" i="70"/>
  <c r="L65" i="70"/>
  <c r="I65" i="70"/>
  <c r="P65" i="70"/>
  <c r="K65" i="70"/>
  <c r="N65" i="70"/>
  <c r="M65" i="70"/>
  <c r="G65" i="70"/>
  <c r="O65" i="70"/>
  <c r="J65" i="70"/>
  <c r="E71" i="70"/>
  <c r="AB65" i="70"/>
  <c r="X65" i="70"/>
  <c r="T65" i="70"/>
  <c r="AA65" i="70"/>
  <c r="W65" i="70"/>
  <c r="S65" i="70"/>
  <c r="Z65" i="70"/>
  <c r="V65" i="70"/>
  <c r="R65" i="70"/>
  <c r="Y65" i="70"/>
  <c r="U65" i="70"/>
  <c r="F71" i="70"/>
  <c r="O128" i="70"/>
  <c r="K128" i="70"/>
  <c r="G128" i="70"/>
  <c r="I128" i="70"/>
  <c r="M128" i="70"/>
  <c r="J128" i="70"/>
  <c r="P128" i="70"/>
  <c r="N128" i="70"/>
  <c r="H128" i="70"/>
  <c r="Q128" i="70"/>
  <c r="L128" i="70"/>
  <c r="D70" i="70"/>
  <c r="C70" i="70"/>
  <c r="M70" i="70"/>
  <c r="I70" i="70"/>
  <c r="G70" i="70"/>
  <c r="O70" i="70"/>
  <c r="L70" i="70"/>
  <c r="K70" i="70"/>
  <c r="P70" i="70"/>
  <c r="H70" i="70"/>
  <c r="N70" i="70"/>
  <c r="Q70" i="70"/>
  <c r="J70" i="70"/>
  <c r="L103" i="70"/>
  <c r="M103" i="70"/>
  <c r="H103" i="70"/>
  <c r="G103" i="70"/>
  <c r="O103" i="70"/>
  <c r="J103" i="70"/>
  <c r="Q103" i="70"/>
  <c r="P103" i="70"/>
  <c r="I103" i="70"/>
  <c r="K103" i="70"/>
  <c r="N103" i="70"/>
  <c r="Z103" i="70"/>
  <c r="V103" i="70"/>
  <c r="R103" i="70"/>
  <c r="Y103" i="70"/>
  <c r="U103" i="70"/>
  <c r="AB103" i="70"/>
  <c r="X103" i="70"/>
  <c r="T103" i="70"/>
  <c r="AA103" i="70"/>
  <c r="W103" i="70"/>
  <c r="S103" i="70"/>
  <c r="G150" i="70"/>
  <c r="K150" i="70"/>
  <c r="O150" i="70"/>
  <c r="P150" i="70"/>
  <c r="M150" i="70"/>
  <c r="I150" i="70"/>
  <c r="H150" i="70"/>
  <c r="Q150" i="70"/>
  <c r="L150" i="70"/>
  <c r="J150" i="70"/>
  <c r="N150" i="70"/>
  <c r="G45" i="70"/>
  <c r="N45" i="70"/>
  <c r="H45" i="70"/>
  <c r="O45" i="70"/>
  <c r="I45" i="70"/>
  <c r="Q45" i="70"/>
  <c r="K45" i="70"/>
  <c r="J45" i="70"/>
  <c r="P45" i="70"/>
  <c r="L45" i="70"/>
  <c r="M45" i="70"/>
  <c r="AB45" i="70"/>
  <c r="X45" i="70"/>
  <c r="T45" i="70"/>
  <c r="AA45" i="70"/>
  <c r="W45" i="70"/>
  <c r="S45" i="70"/>
  <c r="Z45" i="70"/>
  <c r="V45" i="70"/>
  <c r="R45" i="70"/>
  <c r="Y45" i="70"/>
  <c r="U45" i="70"/>
  <c r="D222" i="70"/>
  <c r="C222" i="70"/>
  <c r="X222" i="70"/>
  <c r="AB222" i="70"/>
  <c r="S222" i="70"/>
  <c r="W222" i="70"/>
  <c r="Z222" i="70"/>
  <c r="R222" i="70"/>
  <c r="U222" i="70"/>
  <c r="AA222" i="70"/>
  <c r="Y222" i="70"/>
  <c r="T222" i="70"/>
  <c r="V222" i="70"/>
  <c r="I224" i="70"/>
  <c r="L224" i="70"/>
  <c r="O224" i="70"/>
  <c r="J224" i="70"/>
  <c r="Q224" i="70"/>
  <c r="G224" i="70"/>
  <c r="K224" i="70"/>
  <c r="H224" i="70"/>
  <c r="N224" i="70"/>
  <c r="M224" i="70"/>
  <c r="P224" i="70"/>
  <c r="H223" i="70"/>
  <c r="P223" i="70"/>
  <c r="Q223" i="70"/>
  <c r="G223" i="70"/>
  <c r="K223" i="70"/>
  <c r="O223" i="70"/>
  <c r="L223" i="70"/>
  <c r="I223" i="70"/>
  <c r="N223" i="70"/>
  <c r="M223" i="70"/>
  <c r="J223" i="70"/>
  <c r="I238" i="70"/>
  <c r="Q238" i="70"/>
  <c r="M238" i="70"/>
  <c r="J238" i="70"/>
  <c r="N238" i="70"/>
  <c r="P238" i="70"/>
  <c r="L238" i="70"/>
  <c r="K238" i="70"/>
  <c r="H238" i="70"/>
  <c r="O238" i="70"/>
  <c r="G238" i="70"/>
  <c r="AA197" i="70"/>
  <c r="X197" i="70"/>
  <c r="S197" i="70"/>
  <c r="F203" i="70"/>
  <c r="V197" i="70"/>
  <c r="Y197" i="70"/>
  <c r="AB197" i="70"/>
  <c r="W197" i="70"/>
  <c r="Z197" i="70"/>
  <c r="U197" i="70"/>
  <c r="R197" i="70"/>
  <c r="T197" i="70"/>
  <c r="C197" i="70"/>
  <c r="D197" i="70"/>
  <c r="H197" i="70"/>
  <c r="P197" i="70"/>
  <c r="K197" i="70"/>
  <c r="L197" i="70"/>
  <c r="G197" i="70"/>
  <c r="I197" i="70"/>
  <c r="O197" i="70"/>
  <c r="J197" i="70"/>
  <c r="M197" i="70"/>
  <c r="Q197" i="70"/>
  <c r="N197" i="70"/>
  <c r="E203" i="70"/>
  <c r="D94" i="70"/>
  <c r="C94" i="70"/>
  <c r="Q44" i="70"/>
  <c r="P44" i="70"/>
  <c r="N44" i="70"/>
  <c r="K44" i="70"/>
  <c r="H44" i="70"/>
  <c r="I44" i="70"/>
  <c r="J44" i="70"/>
  <c r="L44" i="70"/>
  <c r="G44" i="70"/>
  <c r="O44" i="70"/>
  <c r="M44" i="70"/>
  <c r="V44" i="70"/>
  <c r="T44" i="70"/>
  <c r="AB44" i="70"/>
  <c r="Z44" i="70"/>
  <c r="W44" i="70"/>
  <c r="Y44" i="70"/>
  <c r="AA44" i="70"/>
  <c r="R44" i="70"/>
  <c r="U44" i="70"/>
  <c r="X44" i="70"/>
  <c r="S44" i="70"/>
  <c r="D67" i="70"/>
  <c r="C67" i="70"/>
  <c r="AB67" i="70"/>
  <c r="X67" i="70"/>
  <c r="T67" i="70"/>
  <c r="AA67" i="70"/>
  <c r="W67" i="70"/>
  <c r="S67" i="70"/>
  <c r="Z67" i="70"/>
  <c r="V67" i="70"/>
  <c r="R67" i="70"/>
  <c r="Y67" i="70"/>
  <c r="U67" i="70"/>
  <c r="I142" i="70"/>
  <c r="M142" i="70"/>
  <c r="K142" i="70"/>
  <c r="P142" i="70"/>
  <c r="G142" i="70"/>
  <c r="J142" i="70"/>
  <c r="N142" i="70"/>
  <c r="O142" i="70"/>
  <c r="Q142" i="70"/>
  <c r="L142" i="70"/>
  <c r="H142" i="70"/>
  <c r="D33" i="70"/>
  <c r="C33" i="70"/>
  <c r="AA33" i="70"/>
  <c r="X33" i="70"/>
  <c r="W33" i="70"/>
  <c r="Z33" i="70"/>
  <c r="R33" i="70"/>
  <c r="U33" i="70"/>
  <c r="S33" i="70"/>
  <c r="Y33" i="70"/>
  <c r="AB33" i="70"/>
  <c r="T33" i="70"/>
  <c r="V33" i="70"/>
  <c r="D34" i="70"/>
  <c r="C34" i="70"/>
  <c r="AA34" i="70"/>
  <c r="T34" i="70"/>
  <c r="X34" i="70"/>
  <c r="AB34" i="70"/>
  <c r="R34" i="70"/>
  <c r="Z34" i="70"/>
  <c r="S34" i="70"/>
  <c r="W34" i="70"/>
  <c r="V34" i="70"/>
  <c r="U34" i="70"/>
  <c r="Y34" i="70"/>
  <c r="C178" i="70"/>
  <c r="D178" i="70"/>
  <c r="L178" i="70"/>
  <c r="P178" i="70"/>
  <c r="K178" i="70"/>
  <c r="I178" i="70"/>
  <c r="M178" i="70"/>
  <c r="G178" i="70"/>
  <c r="N178" i="70"/>
  <c r="J178" i="70"/>
  <c r="H178" i="70"/>
  <c r="O178" i="70"/>
  <c r="Q178" i="70"/>
  <c r="G42" i="70"/>
  <c r="K42" i="70"/>
  <c r="O42" i="70"/>
  <c r="I42" i="70"/>
  <c r="M42" i="70"/>
  <c r="P42" i="70"/>
  <c r="N42" i="70"/>
  <c r="Q42" i="70"/>
  <c r="L42" i="70"/>
  <c r="J42" i="70"/>
  <c r="H42" i="70"/>
  <c r="D90" i="70"/>
  <c r="C90" i="70"/>
  <c r="M161" i="70"/>
  <c r="L161" i="70"/>
  <c r="H161" i="70"/>
  <c r="P161" i="70"/>
  <c r="K161" i="70"/>
  <c r="I161" i="70"/>
  <c r="J161" i="70"/>
  <c r="O161" i="70"/>
  <c r="N161" i="70"/>
  <c r="G161" i="70"/>
  <c r="Q161" i="70"/>
  <c r="E167" i="70"/>
  <c r="D91" i="70"/>
  <c r="C91" i="70"/>
  <c r="AB91" i="70"/>
  <c r="X91" i="70"/>
  <c r="T91" i="70"/>
  <c r="AA91" i="70"/>
  <c r="W91" i="70"/>
  <c r="S91" i="70"/>
  <c r="Z91" i="70"/>
  <c r="V91" i="70"/>
  <c r="R91" i="70"/>
  <c r="Y91" i="70"/>
  <c r="U91" i="70"/>
  <c r="K140" i="70"/>
  <c r="H140" i="70"/>
  <c r="O140" i="70"/>
  <c r="M140" i="70"/>
  <c r="J140" i="70"/>
  <c r="I140" i="70"/>
  <c r="Q140" i="70"/>
  <c r="L140" i="70"/>
  <c r="G140" i="70"/>
  <c r="N140" i="70"/>
  <c r="P140" i="70"/>
  <c r="C163" i="70"/>
  <c r="D163" i="70"/>
  <c r="H163" i="70"/>
  <c r="G163" i="70"/>
  <c r="P163" i="70"/>
  <c r="K163" i="70"/>
  <c r="L163" i="70"/>
  <c r="J163" i="70"/>
  <c r="N163" i="70"/>
  <c r="I163" i="70"/>
  <c r="Q163" i="70"/>
  <c r="O163" i="70"/>
  <c r="M163" i="70"/>
  <c r="Y246" i="70"/>
  <c r="AB246" i="70"/>
  <c r="T246" i="70"/>
  <c r="U246" i="70"/>
  <c r="X246" i="70"/>
  <c r="W246" i="70"/>
  <c r="Z246" i="70"/>
  <c r="R246" i="70"/>
  <c r="S246" i="70"/>
  <c r="AA246" i="70"/>
  <c r="V246" i="70"/>
  <c r="D246" i="70"/>
  <c r="C246" i="70"/>
  <c r="C9" i="70"/>
  <c r="D9" i="70"/>
  <c r="Z9" i="70"/>
  <c r="V9" i="70"/>
  <c r="R9" i="70"/>
  <c r="Y9" i="70"/>
  <c r="U9" i="70"/>
  <c r="AB9" i="70"/>
  <c r="X9" i="70"/>
  <c r="T9" i="70"/>
  <c r="AA9" i="70"/>
  <c r="W9" i="70"/>
  <c r="S9" i="70"/>
  <c r="D56" i="70"/>
  <c r="C56" i="70"/>
  <c r="R56" i="70"/>
  <c r="Z56" i="70"/>
  <c r="S56" i="70"/>
  <c r="U56" i="70"/>
  <c r="Y56" i="70"/>
  <c r="W56" i="70"/>
  <c r="V56" i="70"/>
  <c r="AA56" i="70"/>
  <c r="X56" i="70"/>
  <c r="T56" i="70"/>
  <c r="AB56" i="70"/>
  <c r="H211" i="70"/>
  <c r="O211" i="70"/>
  <c r="L211" i="70"/>
  <c r="K211" i="70"/>
  <c r="M211" i="70"/>
  <c r="Q211" i="70"/>
  <c r="N211" i="70"/>
  <c r="I211" i="70"/>
  <c r="G211" i="70"/>
  <c r="P211" i="70"/>
  <c r="J211" i="70"/>
  <c r="M189" i="70"/>
  <c r="N189" i="70"/>
  <c r="I189" i="70"/>
  <c r="Q189" i="70"/>
  <c r="J189" i="70"/>
  <c r="P189" i="70"/>
  <c r="K189" i="70"/>
  <c r="H189" i="70"/>
  <c r="O189" i="70"/>
  <c r="G189" i="70"/>
  <c r="L189" i="70"/>
  <c r="C189" i="70"/>
  <c r="D189" i="70"/>
  <c r="AA233" i="70"/>
  <c r="W233" i="70"/>
  <c r="V233" i="70"/>
  <c r="R233" i="70"/>
  <c r="F239" i="70"/>
  <c r="U233" i="70"/>
  <c r="X233" i="70"/>
  <c r="S233" i="70"/>
  <c r="Z233" i="70"/>
  <c r="AB233" i="70"/>
  <c r="Y233" i="70"/>
  <c r="T233" i="70"/>
  <c r="U250" i="70"/>
  <c r="X250" i="70"/>
  <c r="Y250" i="70"/>
  <c r="AB250" i="70"/>
  <c r="T250" i="70"/>
  <c r="AA250" i="70"/>
  <c r="S250" i="70"/>
  <c r="V250" i="70"/>
  <c r="Z250" i="70"/>
  <c r="W250" i="70"/>
  <c r="R250" i="70"/>
  <c r="D250" i="70"/>
  <c r="C250" i="70"/>
  <c r="Z69" i="70"/>
  <c r="V69" i="70"/>
  <c r="R69" i="70"/>
  <c r="Y69" i="70"/>
  <c r="U69" i="70"/>
  <c r="AB69" i="70"/>
  <c r="X69" i="70"/>
  <c r="T69" i="70"/>
  <c r="AA69" i="70"/>
  <c r="W69" i="70"/>
  <c r="S69" i="70"/>
  <c r="AB19" i="70"/>
  <c r="X19" i="70"/>
  <c r="T19" i="70"/>
  <c r="AA19" i="70"/>
  <c r="W19" i="70"/>
  <c r="S19" i="70"/>
  <c r="Z19" i="70"/>
  <c r="V19" i="70"/>
  <c r="R19" i="70"/>
  <c r="Y19" i="70"/>
  <c r="U19" i="70"/>
  <c r="H162" i="70"/>
  <c r="I162" i="70"/>
  <c r="P162" i="70"/>
  <c r="Q162" i="70"/>
  <c r="N162" i="70"/>
  <c r="G162" i="70"/>
  <c r="O162" i="70"/>
  <c r="M162" i="70"/>
  <c r="L162" i="70"/>
  <c r="J162" i="70"/>
  <c r="K162" i="70"/>
  <c r="R151" i="70"/>
  <c r="U151" i="70"/>
  <c r="Z151" i="70"/>
  <c r="AB151" i="70"/>
  <c r="T151" i="70"/>
  <c r="W151" i="70"/>
  <c r="V151" i="70"/>
  <c r="X151" i="70"/>
  <c r="S151" i="70"/>
  <c r="AA151" i="70"/>
  <c r="Y151" i="70"/>
  <c r="C151" i="70"/>
  <c r="D151" i="70"/>
  <c r="M210" i="70"/>
  <c r="I210" i="70"/>
  <c r="Q210" i="70"/>
  <c r="J210" i="70"/>
  <c r="P210" i="70"/>
  <c r="K210" i="70"/>
  <c r="H210" i="70"/>
  <c r="N210" i="70"/>
  <c r="G210" i="70"/>
  <c r="L210" i="70"/>
  <c r="O210" i="70"/>
  <c r="C8" i="70"/>
  <c r="D8" i="70"/>
  <c r="C127" i="70"/>
  <c r="D127" i="70"/>
  <c r="X127" i="70"/>
  <c r="AB127" i="70"/>
  <c r="T127" i="70"/>
  <c r="S127" i="70"/>
  <c r="V127" i="70"/>
  <c r="Y127" i="70"/>
  <c r="AA127" i="70"/>
  <c r="W127" i="70"/>
  <c r="Z127" i="70"/>
  <c r="R127" i="70"/>
  <c r="U127" i="70"/>
  <c r="C115" i="70"/>
  <c r="D115" i="70"/>
  <c r="R115" i="70"/>
  <c r="AB115" i="70"/>
  <c r="X115" i="70"/>
  <c r="T115" i="70"/>
  <c r="Y115" i="70"/>
  <c r="AA115" i="70"/>
  <c r="S115" i="70"/>
  <c r="Z115" i="70"/>
  <c r="V115" i="70"/>
  <c r="U115" i="70"/>
  <c r="W115" i="70"/>
  <c r="D92" i="70"/>
  <c r="C92" i="70"/>
  <c r="I92" i="70"/>
  <c r="M92" i="70"/>
  <c r="H92" i="70"/>
  <c r="N92" i="70"/>
  <c r="O92" i="70"/>
  <c r="G92" i="70"/>
  <c r="Q92" i="70"/>
  <c r="P92" i="70"/>
  <c r="K92" i="70"/>
  <c r="L92" i="70"/>
  <c r="J92" i="70"/>
  <c r="D78" i="70"/>
  <c r="C78" i="70"/>
  <c r="C130" i="70"/>
  <c r="D130" i="70"/>
  <c r="S130" i="70"/>
  <c r="W130" i="70"/>
  <c r="R130" i="70"/>
  <c r="V130" i="70"/>
  <c r="Z130" i="70"/>
  <c r="Y130" i="70"/>
  <c r="U130" i="70"/>
  <c r="AA130" i="70"/>
  <c r="X130" i="70"/>
  <c r="T130" i="70"/>
  <c r="AB130" i="70"/>
  <c r="D114" i="70"/>
  <c r="C114" i="70"/>
  <c r="I113" i="70"/>
  <c r="H113" i="70"/>
  <c r="P113" i="70"/>
  <c r="Q113" i="70"/>
  <c r="N113" i="70"/>
  <c r="G113" i="70"/>
  <c r="M113" i="70"/>
  <c r="O113" i="70"/>
  <c r="L113" i="70"/>
  <c r="K113" i="70"/>
  <c r="J113" i="70"/>
  <c r="E119" i="70"/>
  <c r="X17" i="70"/>
  <c r="U17" i="70"/>
  <c r="Z17" i="70"/>
  <c r="V17" i="70"/>
  <c r="R17" i="70"/>
  <c r="AA17" i="70"/>
  <c r="W17" i="70"/>
  <c r="S17" i="70"/>
  <c r="AB17" i="70"/>
  <c r="T17" i="70"/>
  <c r="F23" i="70"/>
  <c r="Y17" i="70"/>
  <c r="E23" i="70"/>
  <c r="I17" i="70"/>
  <c r="O17" i="70"/>
  <c r="Q17" i="70"/>
  <c r="L17" i="70"/>
  <c r="N17" i="70"/>
  <c r="J17" i="70"/>
  <c r="K17" i="70"/>
  <c r="G17" i="70"/>
  <c r="H17" i="70"/>
  <c r="P17" i="70"/>
  <c r="M17" i="70"/>
  <c r="C128" i="70"/>
  <c r="D128" i="70"/>
  <c r="U128" i="70"/>
  <c r="Y128" i="70"/>
  <c r="R128" i="70"/>
  <c r="V128" i="70"/>
  <c r="Z128" i="70"/>
  <c r="S128" i="70"/>
  <c r="AA128" i="70"/>
  <c r="X128" i="70"/>
  <c r="W128" i="70"/>
  <c r="T128" i="70"/>
  <c r="AB128" i="70"/>
  <c r="X70" i="70"/>
  <c r="R70" i="70"/>
  <c r="AB70" i="70"/>
  <c r="T70" i="70"/>
  <c r="Z70" i="70"/>
  <c r="W70" i="70"/>
  <c r="Y70" i="70"/>
  <c r="V70" i="70"/>
  <c r="U70" i="70"/>
  <c r="AA70" i="70"/>
  <c r="S70" i="70"/>
  <c r="D103" i="70"/>
  <c r="C103" i="70"/>
  <c r="R150" i="70"/>
  <c r="U150" i="70"/>
  <c r="Z150" i="70"/>
  <c r="T150" i="70"/>
  <c r="AB150" i="70"/>
  <c r="S150" i="70"/>
  <c r="AA150" i="70"/>
  <c r="V150" i="70"/>
  <c r="Y150" i="70"/>
  <c r="X150" i="70"/>
  <c r="W150" i="70"/>
  <c r="C150" i="70"/>
  <c r="D150" i="70"/>
  <c r="D45" i="70"/>
  <c r="C45" i="70"/>
  <c r="G222" i="70"/>
  <c r="K222" i="70"/>
  <c r="N222" i="70"/>
  <c r="H222" i="70"/>
  <c r="O222" i="70"/>
  <c r="I222" i="70"/>
  <c r="Q222" i="70"/>
  <c r="J222" i="70"/>
  <c r="P222" i="70"/>
  <c r="L222" i="70"/>
  <c r="M222" i="70"/>
  <c r="D224" i="70"/>
  <c r="C224" i="70"/>
  <c r="Z224" i="70"/>
  <c r="Y224" i="70"/>
  <c r="V224" i="70"/>
  <c r="U224" i="70"/>
  <c r="X224" i="70"/>
  <c r="AA224" i="70"/>
  <c r="S224" i="70"/>
  <c r="R224" i="70"/>
  <c r="T224" i="70"/>
  <c r="AB224" i="70"/>
  <c r="W224" i="70"/>
  <c r="D223" i="70"/>
  <c r="C223" i="70"/>
  <c r="T223" i="70"/>
  <c r="AB223" i="70"/>
  <c r="AA223" i="70"/>
  <c r="X223" i="70"/>
  <c r="Y223" i="70"/>
  <c r="U223" i="70"/>
  <c r="R223" i="70"/>
  <c r="Z223" i="70"/>
  <c r="W223" i="70"/>
  <c r="V223" i="70"/>
  <c r="S223" i="70"/>
  <c r="C238" i="70"/>
  <c r="D238" i="70"/>
  <c r="Z238" i="70"/>
  <c r="R238" i="70"/>
  <c r="U238" i="70"/>
  <c r="AB238" i="70"/>
  <c r="Y238" i="70"/>
  <c r="V238" i="70"/>
  <c r="S238" i="70"/>
  <c r="AA238" i="70"/>
  <c r="X238" i="70"/>
  <c r="T238" i="70"/>
  <c r="W238" i="70"/>
  <c r="V94" i="70"/>
  <c r="S94" i="70"/>
  <c r="Z94" i="70"/>
  <c r="T94" i="70"/>
  <c r="AB94" i="70"/>
  <c r="Y94" i="70"/>
  <c r="W94" i="70"/>
  <c r="AA94" i="70"/>
  <c r="U94" i="70"/>
  <c r="R94" i="70"/>
  <c r="X94" i="70"/>
  <c r="K94" i="70"/>
  <c r="I94" i="70"/>
  <c r="O94" i="70"/>
  <c r="G94" i="70"/>
  <c r="M94" i="70"/>
  <c r="H94" i="70"/>
  <c r="Q94" i="70"/>
  <c r="L94" i="70"/>
  <c r="J94" i="70"/>
  <c r="P94" i="70"/>
  <c r="N94" i="70"/>
  <c r="D44" i="70"/>
  <c r="C44" i="70"/>
  <c r="H67" i="70"/>
  <c r="I67" i="70"/>
  <c r="L67" i="70"/>
  <c r="Q67" i="70"/>
  <c r="P67" i="70"/>
  <c r="K67" i="70"/>
  <c r="J67" i="70"/>
  <c r="M67" i="70"/>
  <c r="G67" i="70"/>
  <c r="O67" i="70"/>
  <c r="N67" i="70"/>
  <c r="C142" i="70"/>
  <c r="D142" i="70"/>
  <c r="Z142" i="70"/>
  <c r="S142" i="70"/>
  <c r="AA142" i="70"/>
  <c r="W142" i="70"/>
  <c r="U142" i="70"/>
  <c r="Y142" i="70"/>
  <c r="V142" i="70"/>
  <c r="T142" i="70"/>
  <c r="AB142" i="70"/>
  <c r="R142" i="70"/>
  <c r="X142" i="70"/>
  <c r="P33" i="70"/>
  <c r="K33" i="70"/>
  <c r="H33" i="70"/>
  <c r="I33" i="70"/>
  <c r="J33" i="70"/>
  <c r="N33" i="70"/>
  <c r="G33" i="70"/>
  <c r="O33" i="70"/>
  <c r="L33" i="70"/>
  <c r="Q33" i="70"/>
  <c r="M33" i="70"/>
  <c r="I34" i="70"/>
  <c r="N34" i="70"/>
  <c r="M34" i="70"/>
  <c r="L34" i="70"/>
  <c r="G34" i="70"/>
  <c r="O34" i="70"/>
  <c r="P34" i="70"/>
  <c r="H34" i="70"/>
  <c r="K34" i="70"/>
  <c r="Q34" i="70"/>
  <c r="J34" i="70"/>
  <c r="V178" i="70"/>
  <c r="S178" i="70"/>
  <c r="R178" i="70"/>
  <c r="AA178" i="70"/>
  <c r="W178" i="70"/>
  <c r="Z178" i="70"/>
  <c r="Y178" i="70"/>
  <c r="AB178" i="70"/>
  <c r="T178" i="70"/>
  <c r="U178" i="70"/>
  <c r="X178" i="70"/>
  <c r="X42" i="70"/>
  <c r="T42" i="70"/>
  <c r="S42" i="70"/>
  <c r="W42" i="70"/>
  <c r="AB42" i="70"/>
  <c r="R42" i="70"/>
  <c r="Z42" i="70"/>
  <c r="Y42" i="70"/>
  <c r="AA42" i="70"/>
  <c r="V42" i="70"/>
  <c r="U42" i="70"/>
  <c r="R90" i="70"/>
  <c r="Z90" i="70"/>
  <c r="T90" i="70"/>
  <c r="AB90" i="70"/>
  <c r="Y90" i="70"/>
  <c r="S90" i="70"/>
  <c r="V90" i="70"/>
  <c r="X90" i="70"/>
  <c r="W90" i="70"/>
  <c r="AA90" i="70"/>
  <c r="U90" i="70"/>
  <c r="M90" i="70"/>
  <c r="G90" i="70"/>
  <c r="I90" i="70"/>
  <c r="K90" i="70"/>
  <c r="O90" i="70"/>
  <c r="P90" i="70"/>
  <c r="Q90" i="70"/>
  <c r="L90" i="70"/>
  <c r="J90" i="70"/>
  <c r="H90" i="70"/>
  <c r="N90" i="70"/>
  <c r="C161" i="70"/>
  <c r="D161" i="70"/>
  <c r="Y161" i="70"/>
  <c r="T161" i="70"/>
  <c r="F167" i="70"/>
  <c r="X161" i="70"/>
  <c r="U161" i="70"/>
  <c r="V161" i="70"/>
  <c r="AA161" i="70"/>
  <c r="S161" i="70"/>
  <c r="AB161" i="70"/>
  <c r="Z161" i="70"/>
  <c r="R161" i="70"/>
  <c r="W161" i="70"/>
  <c r="O91" i="70"/>
  <c r="J91" i="70"/>
  <c r="G91" i="70"/>
  <c r="N91" i="70"/>
  <c r="I91" i="70"/>
  <c r="Q91" i="70"/>
  <c r="H91" i="70"/>
  <c r="K91" i="70"/>
  <c r="M91" i="70"/>
  <c r="P91" i="70"/>
  <c r="L91" i="70"/>
  <c r="C140" i="70"/>
  <c r="D140" i="70"/>
  <c r="V140" i="70"/>
  <c r="U140" i="70"/>
  <c r="Y140" i="70"/>
  <c r="W140" i="70"/>
  <c r="Z140" i="70"/>
  <c r="AA140" i="70"/>
  <c r="X140" i="70"/>
  <c r="R140" i="70"/>
  <c r="S140" i="70"/>
  <c r="T140" i="70"/>
  <c r="AB140" i="70"/>
  <c r="T163" i="70"/>
  <c r="AB163" i="70"/>
  <c r="AA163" i="70"/>
  <c r="W163" i="70"/>
  <c r="Z163" i="70"/>
  <c r="R163" i="70"/>
  <c r="U163" i="70"/>
  <c r="X163" i="70"/>
  <c r="S163" i="70"/>
  <c r="V163" i="70"/>
  <c r="Y163" i="70"/>
  <c r="J246" i="70"/>
  <c r="M246" i="70"/>
  <c r="N246" i="70"/>
  <c r="I246" i="70"/>
  <c r="Q246" i="70"/>
  <c r="L246" i="70"/>
  <c r="G246" i="70"/>
  <c r="O246" i="70"/>
  <c r="H246" i="70"/>
  <c r="K246" i="70"/>
  <c r="P246" i="70"/>
  <c r="N9" i="70"/>
  <c r="P9" i="70"/>
  <c r="J9" i="70"/>
  <c r="I9" i="70"/>
  <c r="Q9" i="70"/>
  <c r="H9" i="70"/>
  <c r="G9" i="70"/>
  <c r="O9" i="70"/>
  <c r="M9" i="70"/>
  <c r="K9" i="70"/>
  <c r="L9" i="70"/>
  <c r="D105" i="70"/>
  <c r="C105" i="70"/>
  <c r="Y209" i="70"/>
  <c r="AB209" i="70"/>
  <c r="T209" i="70"/>
  <c r="U209" i="70"/>
  <c r="X209" i="70"/>
  <c r="AA209" i="70"/>
  <c r="S209" i="70"/>
  <c r="V209" i="70"/>
  <c r="Z209" i="70"/>
  <c r="W209" i="70"/>
  <c r="R209" i="70"/>
  <c r="F215" i="70"/>
  <c r="D209" i="70"/>
  <c r="C209" i="70"/>
  <c r="P18" i="70"/>
  <c r="J18" i="70"/>
  <c r="K18" i="70"/>
  <c r="Q18" i="70"/>
  <c r="L18" i="70"/>
  <c r="N18" i="70"/>
  <c r="G18" i="70"/>
  <c r="M18" i="70"/>
  <c r="H18" i="70"/>
  <c r="O18" i="70"/>
  <c r="I18" i="70"/>
  <c r="D101" i="70"/>
  <c r="C101" i="70"/>
  <c r="Q10" i="70"/>
  <c r="P10" i="70"/>
  <c r="M10" i="70"/>
  <c r="I10" i="70"/>
  <c r="L10" i="70"/>
  <c r="H10" i="70"/>
  <c r="K10" i="70"/>
  <c r="J10" i="70"/>
  <c r="N10" i="70"/>
  <c r="G10" i="70"/>
  <c r="O10" i="70"/>
  <c r="D10" i="70"/>
  <c r="C10" i="70"/>
  <c r="W154" i="70"/>
  <c r="R154" i="70"/>
  <c r="Z154" i="70"/>
  <c r="Y154" i="70"/>
  <c r="AB154" i="70"/>
  <c r="T154" i="70"/>
  <c r="S154" i="70"/>
  <c r="X154" i="70"/>
  <c r="V154" i="70"/>
  <c r="U154" i="70"/>
  <c r="AA154" i="70"/>
  <c r="C154" i="70"/>
  <c r="D154" i="70"/>
  <c r="S66" i="70"/>
  <c r="AB66" i="70"/>
  <c r="W66" i="70"/>
  <c r="V66" i="70"/>
  <c r="X66" i="70"/>
  <c r="Y66" i="70"/>
  <c r="T66" i="70"/>
  <c r="AA66" i="70"/>
  <c r="Z66" i="70"/>
  <c r="R66" i="70"/>
  <c r="U66" i="70"/>
  <c r="P5" i="70"/>
  <c r="O5" i="70"/>
  <c r="H5" i="70"/>
  <c r="I5" i="70"/>
  <c r="Q5" i="70"/>
  <c r="J5" i="70"/>
  <c r="G5" i="70"/>
  <c r="L5" i="70"/>
  <c r="M5" i="70"/>
  <c r="K5" i="70"/>
  <c r="N5" i="70"/>
  <c r="E11" i="70"/>
  <c r="X5" i="70"/>
  <c r="AA5" i="70"/>
  <c r="S5" i="70"/>
  <c r="AB5" i="70"/>
  <c r="T5" i="70"/>
  <c r="W5" i="70"/>
  <c r="V5" i="70"/>
  <c r="Y5" i="70"/>
  <c r="R5" i="70"/>
  <c r="Z5" i="70"/>
  <c r="U5" i="70"/>
  <c r="F11" i="70"/>
  <c r="C7" i="70"/>
  <c r="D7" i="70"/>
  <c r="L7" i="70"/>
  <c r="P7" i="70"/>
  <c r="G7" i="70"/>
  <c r="O7" i="70"/>
  <c r="M7" i="70"/>
  <c r="K7" i="70"/>
  <c r="N7" i="70"/>
  <c r="H7" i="70"/>
  <c r="I7" i="70"/>
  <c r="Q7" i="70"/>
  <c r="J7" i="70"/>
  <c r="R68" i="70"/>
  <c r="AA68" i="70"/>
  <c r="X68" i="70"/>
  <c r="U68" i="70"/>
  <c r="AB68" i="70"/>
  <c r="S68" i="70"/>
  <c r="V68" i="70"/>
  <c r="W68" i="70"/>
  <c r="Z68" i="70"/>
  <c r="T68" i="70"/>
  <c r="Y68" i="70"/>
  <c r="O68" i="70"/>
  <c r="G68" i="70"/>
  <c r="H68" i="70"/>
  <c r="Q68" i="70"/>
  <c r="P68" i="70"/>
  <c r="I68" i="70"/>
  <c r="K68" i="70"/>
  <c r="L68" i="70"/>
  <c r="J68" i="70"/>
  <c r="N68" i="70"/>
  <c r="M68" i="70"/>
  <c r="I21" i="70"/>
  <c r="M21" i="70"/>
  <c r="P21" i="70"/>
  <c r="H21" i="70"/>
  <c r="L21" i="70"/>
  <c r="K21" i="70"/>
  <c r="J21" i="70"/>
  <c r="N21" i="70"/>
  <c r="Q21" i="70"/>
  <c r="O21" i="70"/>
  <c r="G21" i="70"/>
  <c r="Z21" i="70"/>
  <c r="AA21" i="70"/>
  <c r="X21" i="70"/>
  <c r="W21" i="70"/>
  <c r="AB21" i="70"/>
  <c r="U21" i="70"/>
  <c r="R21" i="70"/>
  <c r="Y21" i="70"/>
  <c r="S21" i="70"/>
  <c r="T21" i="70"/>
  <c r="V21" i="70"/>
  <c r="H141" i="70"/>
  <c r="K141" i="70"/>
  <c r="L141" i="70"/>
  <c r="I141" i="70"/>
  <c r="Q141" i="70"/>
  <c r="O141" i="70"/>
  <c r="N141" i="70"/>
  <c r="M141" i="70"/>
  <c r="J141" i="70"/>
  <c r="P141" i="70"/>
  <c r="G141" i="70"/>
  <c r="J177" i="70"/>
  <c r="N177" i="70"/>
  <c r="O177" i="70"/>
  <c r="P177" i="70"/>
  <c r="G177" i="70"/>
  <c r="L177" i="70"/>
  <c r="K177" i="70"/>
  <c r="I177" i="70"/>
  <c r="Q177" i="70"/>
  <c r="H177" i="70"/>
  <c r="M177" i="70"/>
  <c r="D234" i="70"/>
  <c r="C234" i="70"/>
  <c r="V234" i="70"/>
  <c r="U234" i="70"/>
  <c r="Z234" i="70"/>
  <c r="R234" i="70"/>
  <c r="Y234" i="70"/>
  <c r="AB234" i="70"/>
  <c r="W234" i="70"/>
  <c r="T234" i="70"/>
  <c r="AA234" i="70"/>
  <c r="S234" i="70"/>
  <c r="X234" i="70"/>
  <c r="D6" i="70"/>
  <c r="C6" i="70"/>
  <c r="C174" i="70"/>
  <c r="D174" i="70"/>
  <c r="H174" i="70"/>
  <c r="M174" i="70"/>
  <c r="Q174" i="70"/>
  <c r="P174" i="70"/>
  <c r="O174" i="70"/>
  <c r="G174" i="70"/>
  <c r="I174" i="70"/>
  <c r="K174" i="70"/>
  <c r="J174" i="70"/>
  <c r="L174" i="70"/>
  <c r="N174" i="70"/>
  <c r="I187" i="70"/>
  <c r="Q187" i="70"/>
  <c r="N187" i="70"/>
  <c r="M187" i="70"/>
  <c r="J187" i="70"/>
  <c r="P187" i="70"/>
  <c r="K187" i="70"/>
  <c r="H187" i="70"/>
  <c r="G187" i="70"/>
  <c r="L187" i="70"/>
  <c r="O187" i="70"/>
  <c r="D187" i="70"/>
  <c r="C187" i="70"/>
  <c r="X245" i="70"/>
  <c r="F251" i="70"/>
  <c r="AB245" i="70"/>
  <c r="AA245" i="70"/>
  <c r="T245" i="70"/>
  <c r="S245" i="70"/>
  <c r="Z245" i="70"/>
  <c r="R245" i="70"/>
  <c r="W245" i="70"/>
  <c r="V245" i="70"/>
  <c r="Y245" i="70"/>
  <c r="U245" i="70"/>
  <c r="R118" i="70"/>
  <c r="S118" i="70"/>
  <c r="Z118" i="70"/>
  <c r="W118" i="70"/>
  <c r="T118" i="70"/>
  <c r="AB118" i="70"/>
  <c r="U118" i="70"/>
  <c r="X118" i="70"/>
  <c r="Y118" i="70"/>
  <c r="AA118" i="70"/>
  <c r="V118" i="70"/>
  <c r="Y185" i="70"/>
  <c r="V185" i="70"/>
  <c r="AB185" i="70"/>
  <c r="T185" i="70"/>
  <c r="W185" i="70"/>
  <c r="Z185" i="70"/>
  <c r="U185" i="70"/>
  <c r="AA185" i="70"/>
  <c r="R185" i="70"/>
  <c r="X185" i="70"/>
  <c r="S185" i="70"/>
  <c r="F191" i="70"/>
  <c r="C32" i="70"/>
  <c r="D32" i="70"/>
  <c r="T32" i="70"/>
  <c r="U32" i="70"/>
  <c r="AB32" i="70"/>
  <c r="Y32" i="70"/>
  <c r="X32" i="70"/>
  <c r="R32" i="70"/>
  <c r="Z32" i="70"/>
  <c r="W32" i="70"/>
  <c r="AA32" i="70"/>
  <c r="V32" i="70"/>
  <c r="S32" i="70"/>
  <c r="D22" i="70"/>
  <c r="C22" i="70"/>
  <c r="Q22" i="70"/>
  <c r="I22" i="70"/>
  <c r="G22" i="70"/>
  <c r="J22" i="70"/>
  <c r="N22" i="70"/>
  <c r="H22" i="70"/>
  <c r="O22" i="70"/>
  <c r="P22" i="70"/>
  <c r="K22" i="70"/>
  <c r="M22" i="70"/>
  <c r="L22" i="70"/>
  <c r="M247" i="70"/>
  <c r="I247" i="70"/>
  <c r="N247" i="70"/>
  <c r="Q247" i="70"/>
  <c r="J247" i="70"/>
  <c r="L247" i="70"/>
  <c r="G247" i="70"/>
  <c r="O247" i="70"/>
  <c r="H247" i="70"/>
  <c r="K247" i="70"/>
  <c r="P247" i="70"/>
  <c r="D102" i="70"/>
  <c r="C102" i="70"/>
  <c r="L237" i="70"/>
  <c r="K237" i="70"/>
  <c r="H237" i="70"/>
  <c r="P237" i="70"/>
  <c r="G237" i="70"/>
  <c r="O237" i="70"/>
  <c r="J237" i="70"/>
  <c r="I237" i="70"/>
  <c r="Q237" i="70"/>
  <c r="M237" i="70"/>
  <c r="N237" i="70"/>
  <c r="P31" i="70"/>
  <c r="K31" i="70"/>
  <c r="J31" i="70"/>
  <c r="I31" i="70"/>
  <c r="L31" i="70"/>
  <c r="H31" i="70"/>
  <c r="G31" i="70"/>
  <c r="O31" i="70"/>
  <c r="N31" i="70"/>
  <c r="Q31" i="70"/>
  <c r="M31" i="70"/>
  <c r="K200" i="70"/>
  <c r="J200" i="70"/>
  <c r="G200" i="70"/>
  <c r="O200" i="70"/>
  <c r="N200" i="70"/>
  <c r="I200" i="70"/>
  <c r="Q200" i="70"/>
  <c r="L200" i="70"/>
  <c r="M200" i="70"/>
  <c r="P200" i="70"/>
  <c r="H200" i="70"/>
  <c r="I126" i="70"/>
  <c r="M126" i="70"/>
  <c r="N126" i="70"/>
  <c r="H126" i="70"/>
  <c r="O126" i="70"/>
  <c r="G126" i="70"/>
  <c r="Q126" i="70"/>
  <c r="L126" i="70"/>
  <c r="K126" i="70"/>
  <c r="J126" i="70"/>
  <c r="P126" i="70"/>
  <c r="V173" i="70"/>
  <c r="Z173" i="70"/>
  <c r="S173" i="70"/>
  <c r="AA173" i="70"/>
  <c r="W173" i="70"/>
  <c r="R173" i="70"/>
  <c r="X173" i="70"/>
  <c r="F179" i="70"/>
  <c r="U173" i="70"/>
  <c r="AB173" i="70"/>
  <c r="T173" i="70"/>
  <c r="Y173" i="70"/>
  <c r="AB201" i="70"/>
  <c r="Y201" i="70"/>
  <c r="T201" i="70"/>
  <c r="W201" i="70"/>
  <c r="Z201" i="70"/>
  <c r="R201" i="70"/>
  <c r="X201" i="70"/>
  <c r="S201" i="70"/>
  <c r="U201" i="70"/>
  <c r="AA201" i="70"/>
  <c r="V201" i="70"/>
  <c r="D201" i="70"/>
  <c r="C201" i="70"/>
  <c r="C188" i="70"/>
  <c r="D188" i="70"/>
  <c r="Z188" i="70"/>
  <c r="AA188" i="70"/>
  <c r="R188" i="70"/>
  <c r="W188" i="70"/>
  <c r="S188" i="70"/>
  <c r="V188" i="70"/>
  <c r="U188" i="70"/>
  <c r="X188" i="70"/>
  <c r="Y188" i="70"/>
  <c r="AB188" i="70"/>
  <c r="T188" i="70"/>
  <c r="U176" i="70"/>
  <c r="Y176" i="70"/>
  <c r="T176" i="70"/>
  <c r="W176" i="70"/>
  <c r="Z176" i="70"/>
  <c r="R176" i="70"/>
  <c r="X176" i="70"/>
  <c r="AB176" i="70"/>
  <c r="AA176" i="70"/>
  <c r="S176" i="70"/>
  <c r="V176" i="70"/>
  <c r="M214" i="70"/>
  <c r="Q214" i="70"/>
  <c r="I214" i="70"/>
  <c r="J214" i="70"/>
  <c r="G214" i="70"/>
  <c r="O214" i="70"/>
  <c r="L214" i="70"/>
  <c r="P214" i="70"/>
  <c r="H214" i="70"/>
  <c r="N214" i="70"/>
  <c r="K214" i="70"/>
  <c r="J213" i="70"/>
  <c r="M213" i="70"/>
  <c r="K213" i="70"/>
  <c r="H213" i="70"/>
  <c r="P213" i="70"/>
  <c r="O213" i="70"/>
  <c r="L213" i="70"/>
  <c r="N213" i="70"/>
  <c r="I213" i="70"/>
  <c r="G213" i="70"/>
  <c r="Q213" i="70"/>
  <c r="V199" i="70"/>
  <c r="R199" i="70"/>
  <c r="Z199" i="70"/>
  <c r="U199" i="70"/>
  <c r="X199" i="70"/>
  <c r="S199" i="70"/>
  <c r="W199" i="70"/>
  <c r="AB199" i="70"/>
  <c r="AA199" i="70"/>
  <c r="Y199" i="70"/>
  <c r="T199" i="70"/>
  <c r="C199" i="70"/>
  <c r="D199" i="70"/>
  <c r="D93" i="70"/>
  <c r="C93" i="70"/>
  <c r="T106" i="70"/>
  <c r="X106" i="70"/>
  <c r="AB106" i="70"/>
  <c r="U106" i="70"/>
  <c r="Y106" i="70"/>
  <c r="R106" i="70"/>
  <c r="Z106" i="70"/>
  <c r="W106" i="70"/>
  <c r="AA106" i="70"/>
  <c r="V106" i="70"/>
  <c r="S106" i="70"/>
  <c r="D77" i="70"/>
  <c r="C77" i="70"/>
  <c r="D117" i="70"/>
  <c r="C117" i="70"/>
  <c r="Z117" i="70"/>
  <c r="R117" i="70"/>
  <c r="V117" i="70"/>
  <c r="AA117" i="70"/>
  <c r="Y117" i="70"/>
  <c r="AB117" i="70"/>
  <c r="T117" i="70"/>
  <c r="W117" i="70"/>
  <c r="U117" i="70"/>
  <c r="S117" i="70"/>
  <c r="X117" i="70"/>
  <c r="P57" i="70"/>
  <c r="M57" i="70"/>
  <c r="Q57" i="70"/>
  <c r="N57" i="70"/>
  <c r="K57" i="70"/>
  <c r="H57" i="70"/>
  <c r="G57" i="70"/>
  <c r="O57" i="70"/>
  <c r="L57" i="70"/>
  <c r="J57" i="70"/>
  <c r="I57" i="70"/>
  <c r="S116" i="70"/>
  <c r="Y116" i="70"/>
  <c r="R116" i="70"/>
  <c r="W116" i="70"/>
  <c r="T116" i="70"/>
  <c r="AA116" i="70"/>
  <c r="Z116" i="70"/>
  <c r="AB116" i="70"/>
  <c r="U116" i="70"/>
  <c r="V116" i="70"/>
  <c r="X116" i="70"/>
  <c r="AA46" i="70"/>
  <c r="R46" i="70"/>
  <c r="Y46" i="70"/>
  <c r="Z46" i="70"/>
  <c r="U46" i="70"/>
  <c r="AB46" i="70"/>
  <c r="T46" i="70"/>
  <c r="V46" i="70"/>
  <c r="X46" i="70"/>
  <c r="W46" i="70"/>
  <c r="S46" i="70"/>
  <c r="O139" i="70"/>
  <c r="G139" i="70"/>
  <c r="L139" i="70"/>
  <c r="P139" i="70"/>
  <c r="M139" i="70"/>
  <c r="K139" i="70"/>
  <c r="N139" i="70"/>
  <c r="H139" i="70"/>
  <c r="Q139" i="70"/>
  <c r="I139" i="70"/>
  <c r="J139" i="70"/>
  <c r="C79" i="70"/>
  <c r="D79" i="70"/>
  <c r="M79" i="70"/>
  <c r="I79" i="70"/>
  <c r="Q79" i="70"/>
  <c r="L79" i="70"/>
  <c r="H79" i="70"/>
  <c r="P79" i="70"/>
  <c r="K79" i="70"/>
  <c r="J79" i="70"/>
  <c r="G79" i="70"/>
  <c r="O79" i="70"/>
  <c r="N79" i="70"/>
  <c r="G104" i="70"/>
  <c r="H104" i="70"/>
  <c r="K104" i="70"/>
  <c r="L104" i="70"/>
  <c r="J104" i="70"/>
  <c r="N104" i="70"/>
  <c r="M104" i="70"/>
  <c r="P104" i="70"/>
  <c r="O104" i="70"/>
  <c r="Q104" i="70"/>
  <c r="I104" i="70"/>
  <c r="D104" i="70"/>
  <c r="C104" i="70"/>
  <c r="L226" i="70"/>
  <c r="G226" i="70"/>
  <c r="P226" i="70"/>
  <c r="O226" i="70"/>
  <c r="H226" i="70"/>
  <c r="J226" i="70"/>
  <c r="M226" i="70"/>
  <c r="K226" i="70"/>
  <c r="Q226" i="70"/>
  <c r="N226" i="70"/>
  <c r="I226" i="70"/>
  <c r="K249" i="70"/>
  <c r="O249" i="70"/>
  <c r="N249" i="70"/>
  <c r="G249" i="70"/>
  <c r="J249" i="70"/>
  <c r="L249" i="70"/>
  <c r="P249" i="70"/>
  <c r="M249" i="70"/>
  <c r="Q249" i="70"/>
  <c r="H249" i="70"/>
  <c r="I249" i="70"/>
  <c r="H248" i="70"/>
  <c r="P248" i="70"/>
  <c r="K248" i="70"/>
  <c r="O248" i="70"/>
  <c r="L248" i="70"/>
  <c r="G248" i="70"/>
  <c r="M248" i="70"/>
  <c r="J248" i="70"/>
  <c r="I248" i="70"/>
  <c r="N248" i="70"/>
  <c r="Q248" i="70"/>
  <c r="T153" i="70"/>
  <c r="AA153" i="70"/>
  <c r="AB153" i="70"/>
  <c r="X153" i="70"/>
  <c r="W153" i="70"/>
  <c r="S153" i="70"/>
  <c r="Z153" i="70"/>
  <c r="R153" i="70"/>
  <c r="U153" i="70"/>
  <c r="Y153" i="70"/>
  <c r="V153" i="70"/>
  <c r="D153" i="70"/>
  <c r="C153" i="70"/>
  <c r="N81" i="70"/>
  <c r="Q81" i="70"/>
  <c r="J81" i="70"/>
  <c r="I81" i="70"/>
  <c r="P81" i="70"/>
  <c r="K81" i="70"/>
  <c r="H81" i="70"/>
  <c r="M81" i="70"/>
  <c r="O81" i="70"/>
  <c r="L81" i="70"/>
  <c r="G81" i="70"/>
  <c r="AB202" i="70"/>
  <c r="T202" i="70"/>
  <c r="W202" i="70"/>
  <c r="X202" i="70"/>
  <c r="AA202" i="70"/>
  <c r="S202" i="70"/>
  <c r="Z202" i="70"/>
  <c r="R202" i="70"/>
  <c r="U202" i="70"/>
  <c r="Y202" i="70"/>
  <c r="V202" i="70"/>
  <c r="J198" i="70"/>
  <c r="M198" i="70"/>
  <c r="N198" i="70"/>
  <c r="I198" i="70"/>
  <c r="H198" i="70"/>
  <c r="P198" i="70"/>
  <c r="K198" i="70"/>
  <c r="L198" i="70"/>
  <c r="O198" i="70"/>
  <c r="Q198" i="70"/>
  <c r="G198" i="70"/>
  <c r="D198" i="70"/>
  <c r="C198" i="70"/>
  <c r="D82" i="70"/>
  <c r="C82" i="70"/>
  <c r="M190" i="70"/>
  <c r="I190" i="70"/>
  <c r="N190" i="70"/>
  <c r="Q190" i="70"/>
  <c r="J190" i="70"/>
  <c r="K190" i="70"/>
  <c r="L190" i="70"/>
  <c r="O190" i="70"/>
  <c r="H190" i="70"/>
  <c r="G190" i="70"/>
  <c r="P190" i="70"/>
  <c r="J29" i="70"/>
  <c r="O29" i="70"/>
  <c r="G29" i="70"/>
  <c r="L29" i="70"/>
  <c r="M29" i="70"/>
  <c r="K29" i="70"/>
  <c r="H29" i="70"/>
  <c r="I29" i="70"/>
  <c r="N29" i="70"/>
  <c r="P29" i="70"/>
  <c r="Q29" i="70"/>
  <c r="E35" i="70"/>
  <c r="I212" i="70"/>
  <c r="M212" i="70"/>
  <c r="J212" i="70"/>
  <c r="N212" i="70"/>
  <c r="Q212" i="70"/>
  <c r="G212" i="70"/>
  <c r="O212" i="70"/>
  <c r="L212" i="70"/>
  <c r="P212" i="70"/>
  <c r="H212" i="70"/>
  <c r="K212" i="70"/>
  <c r="D55" i="70"/>
  <c r="C55" i="70"/>
  <c r="Z164" i="70"/>
  <c r="S164" i="70"/>
  <c r="W164" i="70"/>
  <c r="V164" i="70"/>
  <c r="AA164" i="70"/>
  <c r="R164" i="70"/>
  <c r="U164" i="70"/>
  <c r="X164" i="70"/>
  <c r="AB164" i="70"/>
  <c r="Y164" i="70"/>
  <c r="T164" i="70"/>
  <c r="C164" i="70"/>
  <c r="D164" i="70"/>
  <c r="R166" i="70"/>
  <c r="U166" i="70"/>
  <c r="AB166" i="70"/>
  <c r="X166" i="70"/>
  <c r="T166" i="70"/>
  <c r="Y166" i="70"/>
  <c r="AA166" i="70"/>
  <c r="S166" i="70"/>
  <c r="V166" i="70"/>
  <c r="Z166" i="70"/>
  <c r="W166" i="70"/>
  <c r="D166" i="70"/>
  <c r="C166" i="70"/>
  <c r="C129" i="70"/>
  <c r="D129" i="70"/>
  <c r="V129" i="70"/>
  <c r="Z129" i="70"/>
  <c r="U129" i="70"/>
  <c r="X129" i="70"/>
  <c r="AA129" i="70"/>
  <c r="S129" i="70"/>
  <c r="Y129" i="70"/>
  <c r="R129" i="70"/>
  <c r="AB129" i="70"/>
  <c r="T129" i="70"/>
  <c r="W129" i="70"/>
  <c r="V152" i="70"/>
  <c r="U152" i="70"/>
  <c r="Y152" i="70"/>
  <c r="AA152" i="70"/>
  <c r="X152" i="70"/>
  <c r="R152" i="70"/>
  <c r="S152" i="70"/>
  <c r="T152" i="70"/>
  <c r="Z152" i="70"/>
  <c r="AB152" i="70"/>
  <c r="W152" i="70"/>
  <c r="D152" i="70"/>
  <c r="C152" i="70"/>
  <c r="C175" i="70"/>
  <c r="D175" i="70"/>
  <c r="Y175" i="70"/>
  <c r="Z175" i="70"/>
  <c r="V175" i="70"/>
  <c r="U175" i="70"/>
  <c r="X175" i="70"/>
  <c r="AA175" i="70"/>
  <c r="S175" i="70"/>
  <c r="R175" i="70"/>
  <c r="AB175" i="70"/>
  <c r="T175" i="70"/>
  <c r="W175" i="70"/>
  <c r="U165" i="70"/>
  <c r="Z165" i="70"/>
  <c r="V165" i="70"/>
  <c r="Y165" i="70"/>
  <c r="AB165" i="70"/>
  <c r="T165" i="70"/>
  <c r="W165" i="70"/>
  <c r="R165" i="70"/>
  <c r="X165" i="70"/>
  <c r="AA165" i="70"/>
  <c r="S165" i="70"/>
  <c r="O20" i="70"/>
  <c r="G20" i="70"/>
  <c r="N20" i="70"/>
  <c r="Q20" i="70"/>
  <c r="J20" i="70"/>
  <c r="P20" i="70"/>
  <c r="I20" i="70"/>
  <c r="K20" i="70"/>
  <c r="H20" i="70"/>
  <c r="L20" i="70"/>
  <c r="M20" i="70"/>
  <c r="C20" i="70"/>
  <c r="D20" i="70"/>
  <c r="C138" i="70"/>
  <c r="D138" i="70"/>
  <c r="R138" i="70"/>
  <c r="Z138" i="70"/>
  <c r="Y138" i="70"/>
  <c r="W138" i="70"/>
  <c r="V138" i="70"/>
  <c r="AA138" i="70"/>
  <c r="X138" i="70"/>
  <c r="S138" i="70"/>
  <c r="U138" i="70"/>
  <c r="T138" i="70"/>
  <c r="AB138" i="70"/>
  <c r="M235" i="70"/>
  <c r="I235" i="70"/>
  <c r="L235" i="70"/>
  <c r="J235" i="70"/>
  <c r="H235" i="70"/>
  <c r="K235" i="70"/>
  <c r="Q235" i="70"/>
  <c r="G235" i="70"/>
  <c r="N235" i="70"/>
  <c r="P235" i="70"/>
  <c r="O235" i="70"/>
  <c r="C125" i="70"/>
  <c r="D125" i="70"/>
  <c r="C225" i="70"/>
  <c r="D225" i="70"/>
  <c r="W225" i="70"/>
  <c r="Y225" i="70"/>
  <c r="S225" i="70"/>
  <c r="Z225" i="70"/>
  <c r="R225" i="70"/>
  <c r="V225" i="70"/>
  <c r="AA225" i="70"/>
  <c r="T225" i="70"/>
  <c r="AB225" i="70"/>
  <c r="X225" i="70"/>
  <c r="U225" i="70"/>
  <c r="D80" i="70"/>
  <c r="C80" i="70"/>
  <c r="L80" i="70"/>
  <c r="Q80" i="70"/>
  <c r="J80" i="70"/>
  <c r="P80" i="70"/>
  <c r="N80" i="70"/>
  <c r="H80" i="70"/>
  <c r="G80" i="70"/>
  <c r="K80" i="70"/>
  <c r="O80" i="70"/>
  <c r="I80" i="70"/>
  <c r="M80" i="70"/>
  <c r="D236" i="70"/>
  <c r="C236" i="70"/>
  <c r="T236" i="70"/>
  <c r="W236" i="70"/>
  <c r="Z236" i="70"/>
  <c r="AA236" i="70"/>
  <c r="AB236" i="70"/>
  <c r="X236" i="70"/>
  <c r="S236" i="70"/>
  <c r="Y236" i="70"/>
  <c r="V236" i="70"/>
  <c r="R236" i="70"/>
  <c r="U236" i="70"/>
  <c r="M186" i="70"/>
  <c r="J186" i="70"/>
  <c r="N186" i="70"/>
  <c r="I186" i="70"/>
  <c r="Q186" i="70"/>
  <c r="O186" i="70"/>
  <c r="G186" i="70"/>
  <c r="P186" i="70"/>
  <c r="H186" i="70"/>
  <c r="L186" i="70"/>
  <c r="K186" i="70"/>
  <c r="H89" i="70"/>
  <c r="O89" i="70"/>
  <c r="G89" i="70"/>
  <c r="P89" i="70"/>
  <c r="L89" i="70"/>
  <c r="M89" i="70"/>
  <c r="J89" i="70"/>
  <c r="Q89" i="70"/>
  <c r="K89" i="70"/>
  <c r="I89" i="70"/>
  <c r="N89" i="70"/>
  <c r="E95" i="70"/>
  <c r="H43" i="70"/>
  <c r="G43" i="70"/>
  <c r="K43" i="70"/>
  <c r="J43" i="70"/>
  <c r="P43" i="70"/>
  <c r="M43" i="70"/>
  <c r="L43" i="70"/>
  <c r="N43" i="70"/>
  <c r="Q43" i="70"/>
  <c r="O43" i="70"/>
  <c r="I43" i="70"/>
  <c r="W221" i="70"/>
  <c r="S221" i="70"/>
  <c r="AA221" i="70"/>
  <c r="V221" i="70"/>
  <c r="R221" i="70"/>
  <c r="Y221" i="70"/>
  <c r="AB221" i="70"/>
  <c r="T221" i="70"/>
  <c r="U221" i="70"/>
  <c r="Z221" i="70"/>
  <c r="X221" i="70"/>
  <c r="F227" i="70"/>
  <c r="D221" i="70"/>
  <c r="C221" i="70"/>
  <c r="K56" i="70"/>
  <c r="P56" i="70"/>
  <c r="O56" i="70"/>
  <c r="N56" i="70"/>
  <c r="L56" i="70"/>
  <c r="I56" i="70"/>
  <c r="Q56" i="70"/>
  <c r="G56" i="70"/>
  <c r="H56" i="70"/>
  <c r="J56" i="70"/>
  <c r="M56" i="70"/>
  <c r="W211" i="70"/>
  <c r="V211" i="70"/>
  <c r="AA211" i="70"/>
  <c r="S211" i="70"/>
  <c r="Z211" i="70"/>
  <c r="U211" i="70"/>
  <c r="X211" i="70"/>
  <c r="R211" i="70"/>
  <c r="Y211" i="70"/>
  <c r="T211" i="70"/>
  <c r="AB211" i="70"/>
  <c r="Z189" i="70"/>
  <c r="U189" i="70"/>
  <c r="R189" i="70"/>
  <c r="AB189" i="70"/>
  <c r="T189" i="70"/>
  <c r="W189" i="70"/>
  <c r="V189" i="70"/>
  <c r="AA189" i="70"/>
  <c r="Y189" i="70"/>
  <c r="X189" i="70"/>
  <c r="S189" i="70"/>
  <c r="D233" i="70"/>
  <c r="C233" i="70"/>
  <c r="N250" i="70"/>
  <c r="I250" i="70"/>
  <c r="M250" i="70"/>
  <c r="J250" i="70"/>
  <c r="G250" i="70"/>
  <c r="K250" i="70"/>
  <c r="O250" i="70"/>
  <c r="Q250" i="70"/>
  <c r="L250" i="70"/>
  <c r="P250" i="70"/>
  <c r="H250" i="70"/>
  <c r="D69" i="70"/>
  <c r="C69" i="70"/>
  <c r="H19" i="70"/>
  <c r="P19" i="70"/>
  <c r="K19" i="70"/>
  <c r="L19" i="70"/>
  <c r="O19" i="70"/>
  <c r="I19" i="70"/>
  <c r="Q19" i="70"/>
  <c r="N19" i="70"/>
  <c r="G19" i="70"/>
  <c r="M19" i="70"/>
  <c r="J19" i="70"/>
  <c r="C162" i="70"/>
  <c r="D162" i="70"/>
  <c r="V149" i="70"/>
  <c r="S149" i="70"/>
  <c r="AA149" i="70"/>
  <c r="X149" i="70"/>
  <c r="F155" i="70"/>
  <c r="U149" i="70"/>
  <c r="R149" i="70"/>
  <c r="T149" i="70"/>
  <c r="Z149" i="70"/>
  <c r="AB149" i="70"/>
  <c r="Y149" i="70"/>
  <c r="W149" i="70"/>
  <c r="P149" i="70"/>
  <c r="H149" i="70"/>
  <c r="K149" i="70"/>
  <c r="J149" i="70"/>
  <c r="O149" i="70"/>
  <c r="L149" i="70"/>
  <c r="M149" i="70"/>
  <c r="G149" i="70"/>
  <c r="N149" i="70"/>
  <c r="I149" i="70"/>
  <c r="Q149" i="70"/>
  <c r="E155" i="70"/>
  <c r="D210" i="70"/>
  <c r="C210" i="70"/>
  <c r="N8" i="70"/>
  <c r="H8" i="70"/>
  <c r="L8" i="70"/>
  <c r="M8" i="70"/>
  <c r="K8" i="70"/>
  <c r="O8" i="70"/>
  <c r="Q8" i="70"/>
  <c r="J8" i="70"/>
  <c r="P8" i="70"/>
  <c r="I8" i="70"/>
  <c r="G8" i="70"/>
  <c r="AB92" i="70"/>
  <c r="T92" i="70"/>
  <c r="W92" i="70"/>
  <c r="R92" i="70"/>
  <c r="Z92" i="70"/>
  <c r="Y92" i="70"/>
  <c r="X92" i="70"/>
  <c r="V92" i="70"/>
  <c r="S92" i="70"/>
  <c r="AA92" i="70"/>
  <c r="U92" i="70"/>
  <c r="X78" i="70"/>
  <c r="AB78" i="70"/>
  <c r="W78" i="70"/>
  <c r="S78" i="70"/>
  <c r="T78" i="70"/>
  <c r="V78" i="70"/>
  <c r="U78" i="70"/>
  <c r="R78" i="70"/>
  <c r="Y78" i="70"/>
  <c r="AA78" i="70"/>
  <c r="Z78" i="70"/>
  <c r="S114" i="70"/>
  <c r="AB114" i="70"/>
  <c r="Y114" i="70"/>
  <c r="R114" i="70"/>
  <c r="W114" i="70"/>
  <c r="X114" i="70"/>
  <c r="T114" i="70"/>
  <c r="Z114" i="70"/>
  <c r="AA114" i="70"/>
  <c r="U114" i="70"/>
  <c r="V114" i="70"/>
  <c r="D113" i="70"/>
  <c r="C113" i="70"/>
  <c r="J105" i="70"/>
  <c r="N105" i="70"/>
  <c r="M105" i="70"/>
  <c r="I105" i="70"/>
  <c r="H105" i="70"/>
  <c r="G105" i="70"/>
  <c r="O105" i="70"/>
  <c r="L105" i="70"/>
  <c r="P105" i="70"/>
  <c r="Q105" i="70"/>
  <c r="K105" i="70"/>
  <c r="V105" i="70"/>
  <c r="AB105" i="70"/>
  <c r="T105" i="70"/>
  <c r="W105" i="70"/>
  <c r="Z105" i="70"/>
  <c r="U105" i="70"/>
  <c r="Y105" i="70"/>
  <c r="X105" i="70"/>
  <c r="AA105" i="70"/>
  <c r="S105" i="70"/>
  <c r="R105" i="70"/>
  <c r="N209" i="70"/>
  <c r="I209" i="70"/>
  <c r="J209" i="70"/>
  <c r="O209" i="70"/>
  <c r="G209" i="70"/>
  <c r="Q209" i="70"/>
  <c r="L209" i="70"/>
  <c r="M209" i="70"/>
  <c r="P209" i="70"/>
  <c r="K209" i="70"/>
  <c r="E215" i="70"/>
  <c r="H209" i="70"/>
  <c r="T18" i="70"/>
  <c r="AB18" i="70"/>
  <c r="Y18" i="70"/>
  <c r="Z18" i="70"/>
  <c r="V18" i="70"/>
  <c r="AA18" i="70"/>
  <c r="X18" i="70"/>
  <c r="U18" i="70"/>
  <c r="R18" i="70"/>
  <c r="W18" i="70"/>
  <c r="S18" i="70"/>
  <c r="I101" i="70"/>
  <c r="M101" i="70"/>
  <c r="L101" i="70"/>
  <c r="H101" i="70"/>
  <c r="Q101" i="70"/>
  <c r="K101" i="70"/>
  <c r="J101" i="70"/>
  <c r="P101" i="70"/>
  <c r="G101" i="70"/>
  <c r="O101" i="70"/>
  <c r="N101" i="70"/>
  <c r="E107" i="70"/>
  <c r="Z101" i="70"/>
  <c r="V101" i="70"/>
  <c r="R101" i="70"/>
  <c r="Y101" i="70"/>
  <c r="U101" i="70"/>
  <c r="AB101" i="70"/>
  <c r="T101" i="70"/>
  <c r="W101" i="70"/>
  <c r="X101" i="70"/>
  <c r="AA101" i="70"/>
  <c r="S101" i="70"/>
  <c r="F107" i="70"/>
  <c r="T10" i="70"/>
  <c r="U10" i="70"/>
  <c r="R10" i="70"/>
  <c r="Z10" i="70"/>
  <c r="AB10" i="70"/>
  <c r="V10" i="70"/>
  <c r="Y10" i="70"/>
  <c r="AA10" i="70"/>
  <c r="S10" i="70"/>
  <c r="X10" i="70"/>
  <c r="W10" i="70"/>
  <c r="H154" i="70"/>
  <c r="M154" i="70"/>
  <c r="P154" i="70"/>
  <c r="I154" i="70"/>
  <c r="J154" i="70"/>
  <c r="L154" i="70"/>
  <c r="K154" i="70"/>
  <c r="Q154" i="70"/>
  <c r="G154" i="70"/>
  <c r="N154" i="70"/>
  <c r="O154" i="70"/>
  <c r="G66" i="70"/>
  <c r="K66" i="70"/>
  <c r="O66" i="70"/>
  <c r="I66" i="70"/>
  <c r="M66" i="70"/>
  <c r="P66" i="70"/>
  <c r="Q66" i="70"/>
  <c r="L66" i="70"/>
  <c r="J66" i="70"/>
  <c r="H66" i="70"/>
  <c r="N66" i="70"/>
  <c r="V7" i="70"/>
  <c r="Y7" i="70"/>
  <c r="AB7" i="70"/>
  <c r="W7" i="70"/>
  <c r="X7" i="70"/>
  <c r="Z7" i="70"/>
  <c r="R7" i="70"/>
  <c r="U7" i="70"/>
  <c r="T7" i="70"/>
  <c r="AA7" i="70"/>
  <c r="S7" i="70"/>
  <c r="D68" i="70"/>
  <c r="C68" i="70"/>
  <c r="D21" i="70"/>
  <c r="C21" i="70"/>
  <c r="R141" i="70"/>
  <c r="Y141" i="70"/>
  <c r="U141" i="70"/>
  <c r="Z141" i="70"/>
  <c r="V141" i="70"/>
  <c r="X141" i="70"/>
  <c r="AA141" i="70"/>
  <c r="S141" i="70"/>
  <c r="AB141" i="70"/>
  <c r="W141" i="70"/>
  <c r="T141" i="70"/>
  <c r="C141" i="70"/>
  <c r="D141" i="70"/>
  <c r="C177" i="70"/>
  <c r="D177" i="70"/>
  <c r="T177" i="70"/>
  <c r="AB177" i="70"/>
  <c r="X177" i="70"/>
  <c r="W177" i="70"/>
  <c r="S177" i="70"/>
  <c r="AA177" i="70"/>
  <c r="V177" i="70"/>
  <c r="Y177" i="70"/>
  <c r="Z177" i="70"/>
  <c r="R177" i="70"/>
  <c r="U177" i="70"/>
  <c r="K234" i="70"/>
  <c r="G234" i="70"/>
  <c r="J234" i="70"/>
  <c r="P234" i="70"/>
  <c r="N234" i="70"/>
  <c r="O234" i="70"/>
  <c r="I234" i="70"/>
  <c r="L234" i="70"/>
  <c r="M234" i="70"/>
  <c r="H234" i="70"/>
  <c r="Q234" i="70"/>
  <c r="M6" i="70"/>
  <c r="I6" i="70"/>
  <c r="L6" i="70"/>
  <c r="Q6" i="70"/>
  <c r="H6" i="70"/>
  <c r="J6" i="70"/>
  <c r="K6" i="70"/>
  <c r="N6" i="70"/>
  <c r="P6" i="70"/>
  <c r="G6" i="70"/>
  <c r="O6" i="70"/>
  <c r="W6" i="70"/>
  <c r="S6" i="70"/>
  <c r="V6" i="70"/>
  <c r="AA6" i="70"/>
  <c r="X6" i="70"/>
  <c r="R6" i="70"/>
  <c r="U6" i="70"/>
  <c r="T6" i="70"/>
  <c r="AB6" i="70"/>
  <c r="Z6" i="70"/>
  <c r="Y6" i="70"/>
  <c r="Z174" i="70"/>
  <c r="AA174" i="70"/>
  <c r="R174" i="70"/>
  <c r="V174" i="70"/>
  <c r="W174" i="70"/>
  <c r="S174" i="70"/>
  <c r="U174" i="70"/>
  <c r="X174" i="70"/>
  <c r="Y174" i="70"/>
  <c r="AB174" i="70"/>
  <c r="T174" i="70"/>
  <c r="T187" i="70"/>
  <c r="AB187" i="70"/>
  <c r="W187" i="70"/>
  <c r="Z187" i="70"/>
  <c r="R187" i="70"/>
  <c r="U187" i="70"/>
  <c r="AA187" i="70"/>
  <c r="V187" i="70"/>
  <c r="X187" i="70"/>
  <c r="Y187" i="70"/>
  <c r="S187" i="70"/>
  <c r="D245" i="70"/>
  <c r="C245" i="70"/>
  <c r="Q245" i="70"/>
  <c r="G245" i="70"/>
  <c r="J245" i="70"/>
  <c r="K245" i="70"/>
  <c r="P245" i="70"/>
  <c r="O245" i="70"/>
  <c r="M245" i="70"/>
  <c r="N245" i="70"/>
  <c r="L245" i="70"/>
  <c r="I245" i="70"/>
  <c r="H245" i="70"/>
  <c r="E251" i="70"/>
  <c r="L118" i="70"/>
  <c r="I118" i="70"/>
  <c r="M118" i="70"/>
  <c r="N118" i="70"/>
  <c r="H118" i="70"/>
  <c r="Q118" i="70"/>
  <c r="K118" i="70"/>
  <c r="J118" i="70"/>
  <c r="O118" i="70"/>
  <c r="P118" i="70"/>
  <c r="G118" i="70"/>
  <c r="D118" i="70"/>
  <c r="C118" i="70"/>
  <c r="C185" i="70"/>
  <c r="D185" i="70"/>
  <c r="Q185" i="70"/>
  <c r="I185" i="70"/>
  <c r="G185" i="70"/>
  <c r="L185" i="70"/>
  <c r="J185" i="70"/>
  <c r="K185" i="70"/>
  <c r="P185" i="70"/>
  <c r="N185" i="70"/>
  <c r="E191" i="70"/>
  <c r="H185" i="70"/>
  <c r="M185" i="70"/>
  <c r="O185" i="70"/>
  <c r="P32" i="70"/>
  <c r="N32" i="70"/>
  <c r="H32" i="70"/>
  <c r="I32" i="70"/>
  <c r="M32" i="70"/>
  <c r="G32" i="70"/>
  <c r="K32" i="70"/>
  <c r="O32" i="70"/>
  <c r="Q32" i="70"/>
  <c r="L32" i="70"/>
  <c r="J32" i="70"/>
  <c r="W22" i="70"/>
  <c r="S22" i="70"/>
  <c r="AB22" i="70"/>
  <c r="T22" i="70"/>
  <c r="Y22" i="70"/>
  <c r="AA22" i="70"/>
  <c r="V22" i="70"/>
  <c r="X22" i="70"/>
  <c r="U22" i="70"/>
  <c r="Z22" i="70"/>
  <c r="R22" i="70"/>
  <c r="Z247" i="70"/>
  <c r="V247" i="70"/>
  <c r="Y247" i="70"/>
  <c r="U247" i="70"/>
  <c r="X247" i="70"/>
  <c r="AA247" i="70"/>
  <c r="S247" i="70"/>
  <c r="R247" i="70"/>
  <c r="T247" i="70"/>
  <c r="AB247" i="70"/>
  <c r="W247" i="70"/>
  <c r="D247" i="70"/>
  <c r="C247" i="70"/>
  <c r="X102" i="70"/>
  <c r="S102" i="70"/>
  <c r="T102" i="70"/>
  <c r="W102" i="70"/>
  <c r="AB102" i="70"/>
  <c r="AA102" i="70"/>
  <c r="R102" i="70"/>
  <c r="Z102" i="70"/>
  <c r="Y102" i="70"/>
  <c r="V102" i="70"/>
  <c r="U102" i="70"/>
  <c r="I102" i="70"/>
  <c r="M102" i="70"/>
  <c r="G102" i="70"/>
  <c r="K102" i="70"/>
  <c r="O102" i="70"/>
  <c r="L102" i="70"/>
  <c r="P102" i="70"/>
  <c r="H102" i="70"/>
  <c r="N102" i="70"/>
  <c r="Q102" i="70"/>
  <c r="J102" i="70"/>
  <c r="Y237" i="70"/>
  <c r="AB237" i="70"/>
  <c r="T237" i="70"/>
  <c r="U237" i="70"/>
  <c r="X237" i="70"/>
  <c r="AA237" i="70"/>
  <c r="S237" i="70"/>
  <c r="V237" i="70"/>
  <c r="Z237" i="70"/>
  <c r="W237" i="70"/>
  <c r="R237" i="70"/>
  <c r="D237" i="70"/>
  <c r="C237" i="70"/>
  <c r="Z31" i="70"/>
  <c r="R31" i="70"/>
  <c r="U31" i="70"/>
  <c r="X31" i="70"/>
  <c r="S31" i="70"/>
  <c r="AB31" i="70"/>
  <c r="V31" i="70"/>
  <c r="Y31" i="70"/>
  <c r="AA31" i="70"/>
  <c r="T31" i="70"/>
  <c r="W31" i="70"/>
  <c r="D31" i="70"/>
  <c r="C31" i="70"/>
  <c r="V200" i="70"/>
  <c r="Y200" i="70"/>
  <c r="Z200" i="70"/>
  <c r="R200" i="70"/>
  <c r="U200" i="70"/>
  <c r="X200" i="70"/>
  <c r="AA200" i="70"/>
  <c r="S200" i="70"/>
  <c r="AB200" i="70"/>
  <c r="W200" i="70"/>
  <c r="T200" i="70"/>
  <c r="D200" i="70"/>
  <c r="C200" i="70"/>
  <c r="C126" i="70"/>
  <c r="D126" i="70"/>
  <c r="W126" i="70"/>
  <c r="S126" i="70"/>
  <c r="R126" i="70"/>
  <c r="V126" i="70"/>
  <c r="Z126" i="70"/>
  <c r="Y126" i="70"/>
  <c r="U126" i="70"/>
  <c r="AA126" i="70"/>
  <c r="X126" i="70"/>
  <c r="T126" i="70"/>
  <c r="AB126" i="70"/>
  <c r="C173" i="70"/>
  <c r="D173" i="70"/>
  <c r="I173" i="70"/>
  <c r="L173" i="70"/>
  <c r="Q173" i="70"/>
  <c r="P173" i="70"/>
  <c r="K173" i="70"/>
  <c r="M173" i="70"/>
  <c r="N173" i="70"/>
  <c r="G173" i="70"/>
  <c r="J173" i="70"/>
  <c r="H173" i="70"/>
  <c r="O173" i="70"/>
  <c r="E179" i="70"/>
  <c r="J201" i="70"/>
  <c r="N201" i="70"/>
  <c r="K201" i="70"/>
  <c r="O201" i="70"/>
  <c r="H201" i="70"/>
  <c r="P201" i="70"/>
  <c r="M201" i="70"/>
  <c r="Q201" i="70"/>
  <c r="I201" i="70"/>
  <c r="G201" i="70"/>
  <c r="L201" i="70"/>
  <c r="I53" i="70"/>
  <c r="L53" i="70"/>
  <c r="Q53" i="70"/>
  <c r="H53" i="70"/>
  <c r="J53" i="70"/>
  <c r="K53" i="70"/>
  <c r="N53" i="70"/>
  <c r="G53" i="70"/>
  <c r="P53" i="70"/>
  <c r="M53" i="70"/>
  <c r="O53" i="70"/>
  <c r="E59" i="70"/>
  <c r="Z53" i="70"/>
  <c r="V53" i="70"/>
  <c r="R53" i="70"/>
  <c r="Y53" i="70"/>
  <c r="U53" i="70"/>
  <c r="AB53" i="70"/>
  <c r="X53" i="70"/>
  <c r="T53" i="70"/>
  <c r="AA53" i="70"/>
  <c r="W53" i="70"/>
  <c r="S53" i="70"/>
  <c r="F59" i="70"/>
  <c r="K188" i="70"/>
  <c r="P188" i="70"/>
  <c r="G188" i="70"/>
  <c r="O188" i="70"/>
  <c r="L188" i="70"/>
  <c r="H188" i="70"/>
  <c r="Q188" i="70"/>
  <c r="M188" i="70"/>
  <c r="N188" i="70"/>
  <c r="I188" i="70"/>
  <c r="J188" i="70"/>
  <c r="C176" i="70"/>
  <c r="D176" i="70"/>
  <c r="K176" i="70"/>
  <c r="N176" i="70"/>
  <c r="G176" i="70"/>
  <c r="M176" i="70"/>
  <c r="J176" i="70"/>
  <c r="I176" i="70"/>
  <c r="H176" i="70"/>
  <c r="P176" i="70"/>
  <c r="O176" i="70"/>
  <c r="Q176" i="70"/>
  <c r="L176" i="70"/>
  <c r="Z214" i="70"/>
  <c r="Y214" i="70"/>
  <c r="V214" i="70"/>
  <c r="U214" i="70"/>
  <c r="X214" i="70"/>
  <c r="AA214" i="70"/>
  <c r="S214" i="70"/>
  <c r="R214" i="70"/>
  <c r="T214" i="70"/>
  <c r="AB214" i="70"/>
  <c r="W214" i="70"/>
  <c r="D214" i="70"/>
  <c r="C214" i="70"/>
  <c r="D213" i="70"/>
  <c r="C213" i="70"/>
  <c r="U213" i="70"/>
  <c r="T213" i="70"/>
  <c r="X213" i="70"/>
  <c r="AA213" i="70"/>
  <c r="S213" i="70"/>
  <c r="V213" i="70"/>
  <c r="W213" i="70"/>
  <c r="R213" i="70"/>
  <c r="AB213" i="70"/>
  <c r="Y213" i="70"/>
  <c r="Z213" i="70"/>
  <c r="M199" i="70"/>
  <c r="H199" i="70"/>
  <c r="G199" i="70"/>
  <c r="O199" i="70"/>
  <c r="K199" i="70"/>
  <c r="J199" i="70"/>
  <c r="I199" i="70"/>
  <c r="Q199" i="70"/>
  <c r="N199" i="70"/>
  <c r="P199" i="70"/>
  <c r="L199" i="70"/>
  <c r="X54" i="70"/>
  <c r="T54" i="70"/>
  <c r="S54" i="70"/>
  <c r="Y54" i="70"/>
  <c r="U54" i="70"/>
  <c r="W54" i="70"/>
  <c r="AB54" i="70"/>
  <c r="R54" i="70"/>
  <c r="Z54" i="70"/>
  <c r="V54" i="70"/>
  <c r="AA54" i="70"/>
  <c r="I54" i="70"/>
  <c r="M54" i="70"/>
  <c r="G54" i="70"/>
  <c r="O54" i="70"/>
  <c r="K54" i="70"/>
  <c r="L54" i="70"/>
  <c r="P54" i="70"/>
  <c r="H54" i="70"/>
  <c r="N54" i="70"/>
  <c r="Q54" i="70"/>
  <c r="J54" i="70"/>
  <c r="K93" i="70"/>
  <c r="H93" i="70"/>
  <c r="P93" i="70"/>
  <c r="L93" i="70"/>
  <c r="M93" i="70"/>
  <c r="N93" i="70"/>
  <c r="O93" i="70"/>
  <c r="I93" i="70"/>
  <c r="Q93" i="70"/>
  <c r="J93" i="70"/>
  <c r="G93" i="70"/>
  <c r="AB93" i="70"/>
  <c r="X93" i="70"/>
  <c r="T93" i="70"/>
  <c r="AA93" i="70"/>
  <c r="W93" i="70"/>
  <c r="S93" i="70"/>
  <c r="V93" i="70"/>
  <c r="Y93" i="70"/>
  <c r="Z93" i="70"/>
  <c r="R93" i="70"/>
  <c r="U93" i="70"/>
  <c r="I106" i="70"/>
  <c r="K106" i="70"/>
  <c r="M106" i="70"/>
  <c r="O106" i="70"/>
  <c r="L106" i="70"/>
  <c r="G106" i="70"/>
  <c r="P106" i="70"/>
  <c r="H106" i="70"/>
  <c r="N106" i="70"/>
  <c r="Q106" i="70"/>
  <c r="J106" i="70"/>
  <c r="D106" i="70"/>
  <c r="C106" i="70"/>
  <c r="I77" i="70"/>
  <c r="J77" i="70"/>
  <c r="Q77" i="70"/>
  <c r="N77" i="70"/>
  <c r="G77" i="70"/>
  <c r="O77" i="70"/>
  <c r="L77" i="70"/>
  <c r="H77" i="70"/>
  <c r="K77" i="70"/>
  <c r="P77" i="70"/>
  <c r="M77" i="70"/>
  <c r="E83" i="70"/>
  <c r="AB77" i="70"/>
  <c r="X77" i="70"/>
  <c r="T77" i="70"/>
  <c r="AA77" i="70"/>
  <c r="W77" i="70"/>
  <c r="S77" i="70"/>
  <c r="Z77" i="70"/>
  <c r="V77" i="70"/>
  <c r="R77" i="70"/>
  <c r="Y77" i="70"/>
  <c r="U77" i="70"/>
  <c r="F83" i="70"/>
  <c r="N117" i="70"/>
  <c r="J117" i="70"/>
  <c r="I117" i="70"/>
  <c r="Q117" i="70"/>
  <c r="L117" i="70"/>
  <c r="M117" i="70"/>
  <c r="K117" i="70"/>
  <c r="P117" i="70"/>
  <c r="H117" i="70"/>
  <c r="G117" i="70"/>
  <c r="O117" i="70"/>
  <c r="AB57" i="70"/>
  <c r="AA57" i="70"/>
  <c r="S57" i="70"/>
  <c r="W57" i="70"/>
  <c r="X57" i="70"/>
  <c r="T57" i="70"/>
  <c r="V57" i="70"/>
  <c r="Y57" i="70"/>
  <c r="Z57" i="70"/>
  <c r="U57" i="70"/>
  <c r="R57" i="70"/>
  <c r="N116" i="70"/>
  <c r="P116" i="70"/>
  <c r="K116" i="70"/>
  <c r="G116" i="70"/>
  <c r="O116" i="70"/>
  <c r="Q116" i="70"/>
  <c r="L116" i="70"/>
  <c r="I116" i="70"/>
  <c r="J116" i="70"/>
  <c r="M116" i="70"/>
  <c r="H116" i="70"/>
  <c r="C116" i="70"/>
  <c r="D116" i="70"/>
  <c r="Q46" i="70"/>
  <c r="J46" i="70"/>
  <c r="P46" i="70"/>
  <c r="H46" i="70"/>
  <c r="N46" i="70"/>
  <c r="L46" i="70"/>
  <c r="G46" i="70"/>
  <c r="O46" i="70"/>
  <c r="M46" i="70"/>
  <c r="K46" i="70"/>
  <c r="I46" i="70"/>
  <c r="D46" i="70"/>
  <c r="C46" i="70"/>
  <c r="S139" i="70"/>
  <c r="W139" i="70"/>
  <c r="AB139" i="70"/>
  <c r="T139" i="70"/>
  <c r="AA139" i="70"/>
  <c r="V139" i="70"/>
  <c r="Y139" i="70"/>
  <c r="U139" i="70"/>
  <c r="R139" i="70"/>
  <c r="X139" i="70"/>
  <c r="Z139" i="70"/>
  <c r="D139" i="70"/>
  <c r="C139" i="70"/>
  <c r="W137" i="70"/>
  <c r="Z137" i="70"/>
  <c r="AA137" i="70"/>
  <c r="R137" i="70"/>
  <c r="V137" i="70"/>
  <c r="S137" i="70"/>
  <c r="AB137" i="70"/>
  <c r="T137" i="70"/>
  <c r="Y137" i="70"/>
  <c r="F143" i="70"/>
  <c r="X137" i="70"/>
  <c r="U137" i="70"/>
  <c r="C137" i="70"/>
  <c r="D137" i="70"/>
  <c r="H137" i="70"/>
  <c r="G137" i="70"/>
  <c r="L137" i="70"/>
  <c r="P137" i="70"/>
  <c r="K137" i="70"/>
  <c r="N137" i="70"/>
  <c r="M137" i="70"/>
  <c r="E143" i="70"/>
  <c r="J137" i="70"/>
  <c r="O137" i="70"/>
  <c r="I137" i="70"/>
  <c r="Q137" i="70"/>
  <c r="Z79" i="70"/>
  <c r="V79" i="70"/>
  <c r="R79" i="70"/>
  <c r="Y79" i="70"/>
  <c r="U79" i="70"/>
  <c r="AB79" i="70"/>
  <c r="X79" i="70"/>
  <c r="T79" i="70"/>
  <c r="AA79" i="70"/>
  <c r="W79" i="70"/>
  <c r="S79" i="70"/>
  <c r="U104" i="70"/>
  <c r="X104" i="70"/>
  <c r="Y104" i="70"/>
  <c r="T104" i="70"/>
  <c r="S104" i="70"/>
  <c r="R104" i="70"/>
  <c r="Z104" i="70"/>
  <c r="AB104" i="70"/>
  <c r="V104" i="70"/>
  <c r="W104" i="70"/>
  <c r="AA104" i="70"/>
  <c r="S58" i="70"/>
  <c r="T58" i="70"/>
  <c r="W58" i="70"/>
  <c r="X58" i="70"/>
  <c r="AB58" i="70"/>
  <c r="AA58" i="70"/>
  <c r="V58" i="70"/>
  <c r="U58" i="70"/>
  <c r="Z58" i="70"/>
  <c r="R58" i="70"/>
  <c r="Y58" i="70"/>
  <c r="M58" i="70"/>
  <c r="G58" i="70"/>
  <c r="O58" i="70"/>
  <c r="P58" i="70"/>
  <c r="I58" i="70"/>
  <c r="K58" i="70"/>
  <c r="Q58" i="70"/>
  <c r="L58" i="70"/>
  <c r="J58" i="70"/>
  <c r="H58" i="70"/>
  <c r="N58" i="70"/>
  <c r="D226" i="70"/>
  <c r="C226" i="70"/>
  <c r="X226" i="70"/>
  <c r="W226" i="70"/>
  <c r="S226" i="70"/>
  <c r="Z226" i="70"/>
  <c r="R226" i="70"/>
  <c r="U226" i="70"/>
  <c r="T226" i="70"/>
  <c r="V226" i="70"/>
  <c r="AB226" i="70"/>
  <c r="AA226" i="70"/>
  <c r="Y226" i="70"/>
  <c r="X249" i="70"/>
  <c r="AB249" i="70"/>
  <c r="W249" i="70"/>
  <c r="T249" i="70"/>
  <c r="S249" i="70"/>
  <c r="Z249" i="70"/>
  <c r="R249" i="70"/>
  <c r="U249" i="70"/>
  <c r="Y249" i="70"/>
  <c r="AA249" i="70"/>
  <c r="V249" i="70"/>
  <c r="D249" i="70"/>
  <c r="C249" i="70"/>
  <c r="W248" i="70"/>
  <c r="Z248" i="70"/>
  <c r="R248" i="70"/>
  <c r="AA248" i="70"/>
  <c r="S248" i="70"/>
  <c r="V248" i="70"/>
  <c r="U248" i="70"/>
  <c r="X248" i="70"/>
  <c r="AB248" i="70"/>
  <c r="Y248" i="70"/>
  <c r="T248" i="70"/>
  <c r="D248" i="70"/>
  <c r="C248" i="70"/>
  <c r="Q153" i="70"/>
  <c r="L153" i="70"/>
  <c r="I153" i="70"/>
  <c r="H153" i="70"/>
  <c r="P153" i="70"/>
  <c r="K153" i="70"/>
  <c r="M153" i="70"/>
  <c r="N153" i="70"/>
  <c r="O153" i="70"/>
  <c r="G153" i="70"/>
  <c r="J153" i="70"/>
  <c r="D81" i="70"/>
  <c r="C81" i="70"/>
  <c r="Z81" i="70"/>
  <c r="V81" i="70"/>
  <c r="R81" i="70"/>
  <c r="Y81" i="70"/>
  <c r="U81" i="70"/>
  <c r="AB81" i="70"/>
  <c r="X81" i="70"/>
  <c r="T81" i="70"/>
  <c r="AA81" i="70"/>
  <c r="W81" i="70"/>
  <c r="S81" i="70"/>
  <c r="M202" i="70"/>
  <c r="L202" i="70"/>
  <c r="I202" i="70"/>
  <c r="Q202" i="70"/>
  <c r="H202" i="70"/>
  <c r="P202" i="70"/>
  <c r="K202" i="70"/>
  <c r="J202" i="70"/>
  <c r="G202" i="70"/>
  <c r="N202" i="70"/>
  <c r="O202" i="70"/>
  <c r="C202" i="70"/>
  <c r="D202" i="70"/>
  <c r="Z198" i="70"/>
  <c r="W198" i="70"/>
  <c r="R198" i="70"/>
  <c r="U198" i="70"/>
  <c r="X198" i="70"/>
  <c r="AA198" i="70"/>
  <c r="V198" i="70"/>
  <c r="AB198" i="70"/>
  <c r="S198" i="70"/>
  <c r="Y198" i="70"/>
  <c r="T198" i="70"/>
  <c r="T82" i="70"/>
  <c r="AB82" i="70"/>
  <c r="S82" i="70"/>
  <c r="W82" i="70"/>
  <c r="X82" i="70"/>
  <c r="R82" i="70"/>
  <c r="Z82" i="70"/>
  <c r="Y82" i="70"/>
  <c r="AA82" i="70"/>
  <c r="U82" i="70"/>
  <c r="V82" i="70"/>
  <c r="G82" i="70"/>
  <c r="K82" i="70"/>
  <c r="O82" i="70"/>
  <c r="I82" i="70"/>
  <c r="M82" i="70"/>
  <c r="P82" i="70"/>
  <c r="Q82" i="70"/>
  <c r="L82" i="70"/>
  <c r="J82" i="70"/>
  <c r="H82" i="70"/>
  <c r="N82" i="70"/>
  <c r="C190" i="70"/>
  <c r="D190" i="70"/>
  <c r="U190" i="70"/>
  <c r="Y190" i="70"/>
  <c r="X190" i="70"/>
  <c r="AB190" i="70"/>
  <c r="W190" i="70"/>
  <c r="Z190" i="70"/>
  <c r="R190" i="70"/>
  <c r="T190" i="70"/>
  <c r="AA190" i="70"/>
  <c r="S190" i="70"/>
  <c r="V190" i="70"/>
  <c r="AB29" i="70"/>
  <c r="X29" i="70"/>
  <c r="T29" i="70"/>
  <c r="AA29" i="70"/>
  <c r="W29" i="70"/>
  <c r="S29" i="70"/>
  <c r="Z29" i="70"/>
  <c r="V29" i="70"/>
  <c r="R29" i="70"/>
  <c r="Y29" i="70"/>
  <c r="U29" i="70"/>
  <c r="F35" i="70"/>
  <c r="AB212" i="70"/>
  <c r="X212" i="70"/>
  <c r="S212" i="70"/>
  <c r="AA212" i="70"/>
  <c r="W212" i="70"/>
  <c r="V212" i="70"/>
  <c r="Y212" i="70"/>
  <c r="R212" i="70"/>
  <c r="T212" i="70"/>
  <c r="Z212" i="70"/>
  <c r="U212" i="70"/>
  <c r="D212" i="70"/>
  <c r="C212" i="70"/>
  <c r="V55" i="70"/>
  <c r="Y55" i="70"/>
  <c r="AB55" i="70"/>
  <c r="W55" i="70"/>
  <c r="X55" i="70"/>
  <c r="Z55" i="70"/>
  <c r="R55" i="70"/>
  <c r="U55" i="70"/>
  <c r="T55" i="70"/>
  <c r="AA55" i="70"/>
  <c r="S55" i="70"/>
  <c r="L55" i="70"/>
  <c r="I55" i="70"/>
  <c r="H55" i="70"/>
  <c r="Q55" i="70"/>
  <c r="P55" i="70"/>
  <c r="K55" i="70"/>
  <c r="J55" i="70"/>
  <c r="M55" i="70"/>
  <c r="G55" i="70"/>
  <c r="O55" i="70"/>
  <c r="N55" i="70"/>
  <c r="N164" i="70"/>
  <c r="O164" i="70"/>
  <c r="G164" i="70"/>
  <c r="K164" i="70"/>
  <c r="Q164" i="70"/>
  <c r="L164" i="70"/>
  <c r="J164" i="70"/>
  <c r="M164" i="70"/>
  <c r="H164" i="70"/>
  <c r="I164" i="70"/>
  <c r="P164" i="70"/>
  <c r="I166" i="70"/>
  <c r="L166" i="70"/>
  <c r="M166" i="70"/>
  <c r="J166" i="70"/>
  <c r="H166" i="70"/>
  <c r="G166" i="70"/>
  <c r="O166" i="70"/>
  <c r="N166" i="70"/>
  <c r="K166" i="70"/>
  <c r="Q166" i="70"/>
  <c r="P166" i="70"/>
  <c r="O30" i="70"/>
  <c r="J30" i="70"/>
  <c r="Q30" i="70"/>
  <c r="G30" i="70"/>
  <c r="I30" i="70"/>
  <c r="N30" i="70"/>
  <c r="H30" i="70"/>
  <c r="M30" i="70"/>
  <c r="L30" i="70"/>
  <c r="K30" i="70"/>
  <c r="P30" i="70"/>
  <c r="AA30" i="70"/>
  <c r="T30" i="70"/>
  <c r="X30" i="70"/>
  <c r="AB30" i="70"/>
  <c r="V30" i="70"/>
  <c r="U30" i="70"/>
  <c r="Y30" i="70"/>
  <c r="R30" i="70"/>
  <c r="Z30" i="70"/>
  <c r="S30" i="70"/>
  <c r="W30" i="70"/>
  <c r="J129" i="70"/>
  <c r="K129" i="70"/>
  <c r="G129" i="70"/>
  <c r="H129" i="70"/>
  <c r="O129" i="70"/>
  <c r="N129" i="70"/>
  <c r="L129" i="70"/>
  <c r="I129" i="70"/>
  <c r="Q129" i="70"/>
  <c r="P129" i="70"/>
  <c r="M129" i="70"/>
  <c r="K152" i="70"/>
  <c r="G152" i="70"/>
  <c r="O152" i="70"/>
  <c r="Q152" i="70"/>
  <c r="H152" i="70"/>
  <c r="N152" i="70"/>
  <c r="I152" i="70"/>
  <c r="J152" i="70"/>
  <c r="L152" i="70"/>
  <c r="P152" i="70"/>
  <c r="M152" i="70"/>
  <c r="L175" i="70"/>
  <c r="I175" i="70"/>
  <c r="M175" i="70"/>
  <c r="H175" i="70"/>
  <c r="N175" i="70"/>
  <c r="G175" i="70"/>
  <c r="O175" i="70"/>
  <c r="J175" i="70"/>
  <c r="Q175" i="70"/>
  <c r="P175" i="70"/>
  <c r="K175" i="70"/>
  <c r="C165" i="70"/>
  <c r="D165" i="70"/>
  <c r="N165" i="70"/>
  <c r="M165" i="70"/>
  <c r="J165" i="70"/>
  <c r="H165" i="70"/>
  <c r="I165" i="70"/>
  <c r="P165" i="70"/>
  <c r="K165" i="70"/>
  <c r="Q165" i="70"/>
  <c r="L165" i="70"/>
  <c r="G165" i="70"/>
  <c r="O165" i="70"/>
  <c r="U20" i="70"/>
  <c r="Y20" i="70"/>
  <c r="V20" i="70"/>
  <c r="AA20" i="70"/>
  <c r="X20" i="70"/>
  <c r="R20" i="70"/>
  <c r="S20" i="70"/>
  <c r="T20" i="70"/>
  <c r="Z20" i="70"/>
  <c r="AB20" i="70"/>
  <c r="W20" i="70"/>
  <c r="M138" i="70"/>
  <c r="P138" i="70"/>
  <c r="G138" i="70"/>
  <c r="O138" i="70"/>
  <c r="I138" i="70"/>
  <c r="K138" i="70"/>
  <c r="Q138" i="70"/>
  <c r="L138" i="70"/>
  <c r="H138" i="70"/>
  <c r="J138" i="70"/>
  <c r="N138" i="70"/>
  <c r="R235" i="70"/>
  <c r="Z235" i="70"/>
  <c r="W235" i="70"/>
  <c r="V235" i="70"/>
  <c r="S235" i="70"/>
  <c r="AA235" i="70"/>
  <c r="X235" i="70"/>
  <c r="U235" i="70"/>
  <c r="T235" i="70"/>
  <c r="Y235" i="70"/>
  <c r="AB235" i="70"/>
  <c r="D235" i="70"/>
  <c r="C235" i="70"/>
  <c r="K125" i="70"/>
  <c r="H125" i="70"/>
  <c r="P125" i="70"/>
  <c r="L125" i="70"/>
  <c r="I125" i="70"/>
  <c r="Q125" i="70"/>
  <c r="O125" i="70"/>
  <c r="N125" i="70"/>
  <c r="M125" i="70"/>
  <c r="J125" i="70"/>
  <c r="G125" i="70"/>
  <c r="E131" i="70"/>
  <c r="AA125" i="70"/>
  <c r="V125" i="70"/>
  <c r="W125" i="70"/>
  <c r="S125" i="70"/>
  <c r="R125" i="70"/>
  <c r="X125" i="70"/>
  <c r="F131" i="70"/>
  <c r="U125" i="70"/>
  <c r="Z125" i="70"/>
  <c r="AB125" i="70"/>
  <c r="T125" i="70"/>
  <c r="Y125" i="70"/>
  <c r="N225" i="70"/>
  <c r="I225" i="70"/>
  <c r="J225" i="70"/>
  <c r="Q225" i="70"/>
  <c r="M225" i="70"/>
  <c r="O225" i="70"/>
  <c r="G225" i="70"/>
  <c r="L225" i="70"/>
  <c r="P225" i="70"/>
  <c r="K225" i="70"/>
  <c r="H225" i="70"/>
  <c r="AB80" i="70"/>
  <c r="U80" i="70"/>
  <c r="T80" i="70"/>
  <c r="Y80" i="70"/>
  <c r="R80" i="70"/>
  <c r="Z80" i="70"/>
  <c r="W80" i="70"/>
  <c r="AA80" i="70"/>
  <c r="S80" i="70"/>
  <c r="X80" i="70"/>
  <c r="V80" i="70"/>
  <c r="O236" i="70"/>
  <c r="H236" i="70"/>
  <c r="K236" i="70"/>
  <c r="P236" i="70"/>
  <c r="G236" i="70"/>
  <c r="L236" i="70"/>
  <c r="N236" i="70"/>
  <c r="Q236" i="70"/>
  <c r="I236" i="70"/>
  <c r="M236" i="70"/>
  <c r="J236" i="70"/>
  <c r="C186" i="70"/>
  <c r="D186" i="70"/>
  <c r="Y186" i="70"/>
  <c r="T186" i="70"/>
  <c r="AB186" i="70"/>
  <c r="U186" i="70"/>
  <c r="W186" i="70"/>
  <c r="Z186" i="70"/>
  <c r="R186" i="70"/>
  <c r="X186" i="70"/>
  <c r="AA186" i="70"/>
  <c r="S186" i="70"/>
  <c r="V186" i="70"/>
  <c r="D89" i="70"/>
  <c r="C89" i="70"/>
  <c r="Z89" i="70"/>
  <c r="V89" i="70"/>
  <c r="R89" i="70"/>
  <c r="Y89" i="70"/>
  <c r="U89" i="70"/>
  <c r="X89" i="70"/>
  <c r="AA89" i="70"/>
  <c r="S89" i="70"/>
  <c r="AB89" i="70"/>
  <c r="T89" i="70"/>
  <c r="W89" i="70"/>
  <c r="F95" i="70"/>
  <c r="C43" i="70"/>
  <c r="D43" i="70"/>
  <c r="Z43" i="70"/>
  <c r="V43" i="70"/>
  <c r="R43" i="70"/>
  <c r="Y43" i="70"/>
  <c r="U43" i="70"/>
  <c r="AB43" i="70"/>
  <c r="X43" i="70"/>
  <c r="T43" i="70"/>
  <c r="AA43" i="70"/>
  <c r="W43" i="70"/>
  <c r="S43" i="70"/>
  <c r="J221" i="70"/>
  <c r="I221" i="70"/>
  <c r="N221" i="70"/>
  <c r="M221" i="70"/>
  <c r="H221" i="70"/>
  <c r="P221" i="70"/>
  <c r="K221" i="70"/>
  <c r="Q221" i="70"/>
  <c r="G221" i="70"/>
  <c r="L221" i="70"/>
  <c r="O221" i="70"/>
  <c r="E227" i="70"/>
  <c r="E47" i="70"/>
  <c r="M41" i="70"/>
  <c r="J41" i="70"/>
  <c r="G41" i="70"/>
  <c r="O41" i="70"/>
  <c r="L41" i="70"/>
  <c r="I41" i="70"/>
  <c r="Q41" i="70"/>
  <c r="N41" i="70"/>
  <c r="K41" i="70"/>
  <c r="H41" i="70"/>
  <c r="P41" i="70"/>
  <c r="Z41" i="70"/>
  <c r="V41" i="70"/>
  <c r="R41" i="70"/>
  <c r="Y41" i="70"/>
  <c r="U41" i="70"/>
  <c r="AB41" i="70"/>
  <c r="X41" i="70"/>
  <c r="T41" i="70"/>
  <c r="AA41" i="70"/>
  <c r="W41" i="70"/>
  <c r="S41" i="70"/>
  <c r="F47" i="70"/>
  <c r="U254" i="70"/>
  <c r="AC266" i="70"/>
  <c r="Q95" i="77" l="1"/>
  <c r="O95" i="77"/>
  <c r="M95" i="77"/>
  <c r="K95" i="77"/>
  <c r="I95" i="77"/>
  <c r="G95" i="77"/>
  <c r="N95" i="77"/>
  <c r="J95" i="77"/>
  <c r="P95" i="77"/>
  <c r="L95" i="77"/>
  <c r="H95" i="77"/>
  <c r="C95" i="77"/>
  <c r="P23" i="77"/>
  <c r="L23" i="77"/>
  <c r="H23" i="77"/>
  <c r="C23" i="77"/>
  <c r="Q23" i="77"/>
  <c r="O23" i="77"/>
  <c r="M23" i="77"/>
  <c r="K23" i="77"/>
  <c r="I23" i="77"/>
  <c r="G23" i="77"/>
  <c r="N23" i="77"/>
  <c r="J23" i="77"/>
  <c r="Q323" i="77"/>
  <c r="O323" i="77"/>
  <c r="M323" i="77"/>
  <c r="K323" i="77"/>
  <c r="I323" i="77"/>
  <c r="G323" i="77"/>
  <c r="N323" i="77"/>
  <c r="J323" i="77"/>
  <c r="P323" i="77"/>
  <c r="L323" i="77"/>
  <c r="H323" i="77"/>
  <c r="C323" i="77"/>
  <c r="AA71" i="77"/>
  <c r="Y71" i="77"/>
  <c r="W71" i="77"/>
  <c r="U71" i="77"/>
  <c r="S71" i="77"/>
  <c r="AB71" i="77"/>
  <c r="Z71" i="77"/>
  <c r="X71" i="77"/>
  <c r="V71" i="77"/>
  <c r="T71" i="77"/>
  <c r="R71" i="77"/>
  <c r="Q71" i="77"/>
  <c r="O71" i="77"/>
  <c r="M71" i="77"/>
  <c r="K71" i="77"/>
  <c r="I71" i="77"/>
  <c r="G71" i="77"/>
  <c r="P71" i="77"/>
  <c r="N71" i="77"/>
  <c r="L71" i="77"/>
  <c r="J71" i="77"/>
  <c r="H71" i="77"/>
  <c r="C71" i="77"/>
  <c r="Q239" i="77"/>
  <c r="O239" i="77"/>
  <c r="M239" i="77"/>
  <c r="K239" i="77"/>
  <c r="I239" i="77"/>
  <c r="G239" i="77"/>
  <c r="P239" i="77"/>
  <c r="L239" i="77"/>
  <c r="H239" i="77"/>
  <c r="C239" i="77"/>
  <c r="J239" i="77"/>
  <c r="N239" i="77"/>
  <c r="Q227" i="77"/>
  <c r="O227" i="77"/>
  <c r="M227" i="77"/>
  <c r="K227" i="77"/>
  <c r="I227" i="77"/>
  <c r="G227" i="77"/>
  <c r="P227" i="77"/>
  <c r="L227" i="77"/>
  <c r="H227" i="77"/>
  <c r="C227" i="77"/>
  <c r="N227" i="77"/>
  <c r="J227" i="77"/>
  <c r="Q311" i="77"/>
  <c r="O311" i="77"/>
  <c r="M311" i="77"/>
  <c r="K311" i="77"/>
  <c r="I311" i="77"/>
  <c r="G311" i="77"/>
  <c r="N311" i="77"/>
  <c r="J311" i="77"/>
  <c r="P311" i="77"/>
  <c r="L311" i="77"/>
  <c r="H311" i="77"/>
  <c r="C311" i="77"/>
  <c r="AA107" i="77"/>
  <c r="Y107" i="77"/>
  <c r="W107" i="77"/>
  <c r="U107" i="77"/>
  <c r="S107" i="77"/>
  <c r="Z107" i="77"/>
  <c r="V107" i="77"/>
  <c r="R107" i="77"/>
  <c r="AB107" i="77"/>
  <c r="X107" i="77"/>
  <c r="T107" i="77"/>
  <c r="AA263" i="77"/>
  <c r="Y263" i="77"/>
  <c r="W263" i="77"/>
  <c r="U263" i="77"/>
  <c r="S263" i="77"/>
  <c r="Z263" i="77"/>
  <c r="V263" i="77"/>
  <c r="R263" i="77"/>
  <c r="AB263" i="77"/>
  <c r="X263" i="77"/>
  <c r="T263" i="77"/>
  <c r="P347" i="77"/>
  <c r="N347" i="77"/>
  <c r="L347" i="77"/>
  <c r="J347" i="77"/>
  <c r="H347" i="77"/>
  <c r="C347" i="77"/>
  <c r="O347" i="77"/>
  <c r="K347" i="77"/>
  <c r="G347" i="77"/>
  <c r="Q347" i="77"/>
  <c r="M347" i="77"/>
  <c r="I347" i="77"/>
  <c r="AB347" i="77"/>
  <c r="Z347" i="77"/>
  <c r="X347" i="77"/>
  <c r="V347" i="77"/>
  <c r="T347" i="77"/>
  <c r="R347" i="77"/>
  <c r="AA347" i="77"/>
  <c r="W347" i="77"/>
  <c r="S347" i="77"/>
  <c r="Y347" i="77"/>
  <c r="U347" i="77"/>
  <c r="Q299" i="77"/>
  <c r="O299" i="77"/>
  <c r="M299" i="77"/>
  <c r="K299" i="77"/>
  <c r="I299" i="77"/>
  <c r="G299" i="77"/>
  <c r="N299" i="77"/>
  <c r="J299" i="77"/>
  <c r="P299" i="77"/>
  <c r="L299" i="77"/>
  <c r="H299" i="77"/>
  <c r="C299" i="77"/>
  <c r="AA203" i="77"/>
  <c r="Y203" i="77"/>
  <c r="W203" i="77"/>
  <c r="U203" i="77"/>
  <c r="S203" i="77"/>
  <c r="AB203" i="77"/>
  <c r="X203" i="77"/>
  <c r="T203" i="77"/>
  <c r="V203" i="77"/>
  <c r="Z203" i="77"/>
  <c r="R203" i="77"/>
  <c r="Q83" i="77"/>
  <c r="O83" i="77"/>
  <c r="M83" i="77"/>
  <c r="K83" i="77"/>
  <c r="I83" i="77"/>
  <c r="G83" i="77"/>
  <c r="P83" i="77"/>
  <c r="N83" i="77"/>
  <c r="L83" i="77"/>
  <c r="J83" i="77"/>
  <c r="H83" i="77"/>
  <c r="C83" i="77"/>
  <c r="AA215" i="77"/>
  <c r="Y215" i="77"/>
  <c r="W215" i="77"/>
  <c r="U215" i="77"/>
  <c r="S215" i="77"/>
  <c r="AB215" i="77"/>
  <c r="X215" i="77"/>
  <c r="T215" i="77"/>
  <c r="Z215" i="77"/>
  <c r="R215" i="77"/>
  <c r="V215" i="77"/>
  <c r="Q275" i="77"/>
  <c r="O275" i="77"/>
  <c r="M275" i="77"/>
  <c r="K275" i="77"/>
  <c r="I275" i="77"/>
  <c r="G275" i="77"/>
  <c r="N275" i="77"/>
  <c r="J275" i="77"/>
  <c r="P275" i="77"/>
  <c r="L275" i="77"/>
  <c r="H275" i="77"/>
  <c r="C275" i="77"/>
  <c r="AA287" i="77"/>
  <c r="Y287" i="77"/>
  <c r="W287" i="77"/>
  <c r="U287" i="77"/>
  <c r="S287" i="77"/>
  <c r="Z287" i="77"/>
  <c r="V287" i="77"/>
  <c r="R287" i="77"/>
  <c r="AB287" i="77"/>
  <c r="X287" i="77"/>
  <c r="T287" i="77"/>
  <c r="AB335" i="77"/>
  <c r="Z335" i="77"/>
  <c r="X335" i="77"/>
  <c r="V335" i="77"/>
  <c r="T335" i="77"/>
  <c r="R335" i="77"/>
  <c r="AA335" i="77"/>
  <c r="W335" i="77"/>
  <c r="S335" i="77"/>
  <c r="Y335" i="77"/>
  <c r="U335" i="77"/>
  <c r="Q251" i="77"/>
  <c r="O251" i="77"/>
  <c r="M251" i="77"/>
  <c r="K251" i="77"/>
  <c r="I251" i="77"/>
  <c r="G251" i="77"/>
  <c r="P251" i="77"/>
  <c r="L251" i="77"/>
  <c r="H251" i="77"/>
  <c r="C251" i="77"/>
  <c r="N251" i="77"/>
  <c r="J251" i="77"/>
  <c r="P119" i="77"/>
  <c r="N119" i="77"/>
  <c r="L119" i="77"/>
  <c r="J119" i="77"/>
  <c r="H119" i="77"/>
  <c r="C119" i="77"/>
  <c r="Q119" i="77"/>
  <c r="O119" i="77"/>
  <c r="M119" i="77"/>
  <c r="K119" i="77"/>
  <c r="I119" i="77"/>
  <c r="G119" i="77"/>
  <c r="P59" i="77"/>
  <c r="N59" i="77"/>
  <c r="L59" i="77"/>
  <c r="J59" i="77"/>
  <c r="H59" i="77"/>
  <c r="C59" i="77"/>
  <c r="Q59" i="77"/>
  <c r="O59" i="77"/>
  <c r="M59" i="77"/>
  <c r="K59" i="77"/>
  <c r="I59" i="77"/>
  <c r="G59" i="77"/>
  <c r="AB59" i="77"/>
  <c r="Z59" i="77"/>
  <c r="X59" i="77"/>
  <c r="V59" i="77"/>
  <c r="T59" i="77"/>
  <c r="R59" i="77"/>
  <c r="AA59" i="77"/>
  <c r="Y59" i="77"/>
  <c r="W59" i="77"/>
  <c r="U59" i="77"/>
  <c r="S59" i="77"/>
  <c r="X35" i="77"/>
  <c r="R35" i="77"/>
  <c r="AA35" i="77"/>
  <c r="Y35" i="77"/>
  <c r="W35" i="77"/>
  <c r="U35" i="77"/>
  <c r="S35" i="77"/>
  <c r="AB35" i="77"/>
  <c r="Z35" i="77"/>
  <c r="V35" i="77"/>
  <c r="T35" i="77"/>
  <c r="AA275" i="77"/>
  <c r="Y275" i="77"/>
  <c r="W275" i="77"/>
  <c r="U275" i="77"/>
  <c r="S275" i="77"/>
  <c r="Z275" i="77"/>
  <c r="V275" i="77"/>
  <c r="R275" i="77"/>
  <c r="AB275" i="77"/>
  <c r="X275" i="77"/>
  <c r="T275" i="77"/>
  <c r="Q287" i="77"/>
  <c r="O287" i="77"/>
  <c r="M287" i="77"/>
  <c r="K287" i="77"/>
  <c r="I287" i="77"/>
  <c r="G287" i="77"/>
  <c r="N287" i="77"/>
  <c r="J287" i="77"/>
  <c r="P287" i="77"/>
  <c r="L287" i="77"/>
  <c r="H287" i="77"/>
  <c r="C287" i="77"/>
  <c r="Q179" i="77"/>
  <c r="O179" i="77"/>
  <c r="M179" i="77"/>
  <c r="K179" i="77"/>
  <c r="I179" i="77"/>
  <c r="G179" i="77"/>
  <c r="P179" i="77"/>
  <c r="L179" i="77"/>
  <c r="H179" i="77"/>
  <c r="C179" i="77"/>
  <c r="N179" i="77"/>
  <c r="J179" i="77"/>
  <c r="AA179" i="77"/>
  <c r="Y179" i="77"/>
  <c r="W179" i="77"/>
  <c r="U179" i="77"/>
  <c r="S179" i="77"/>
  <c r="AB179" i="77"/>
  <c r="X179" i="77"/>
  <c r="T179" i="77"/>
  <c r="Z179" i="77"/>
  <c r="V179" i="77"/>
  <c r="R179" i="77"/>
  <c r="AB11" i="77"/>
  <c r="Z11" i="77"/>
  <c r="X11" i="77"/>
  <c r="V11" i="77"/>
  <c r="T11" i="77"/>
  <c r="R11" i="77"/>
  <c r="AA11" i="77"/>
  <c r="Y11" i="77"/>
  <c r="W11" i="77"/>
  <c r="U11" i="77"/>
  <c r="S11" i="77"/>
  <c r="N11" i="77"/>
  <c r="J11" i="77"/>
  <c r="C11" i="77"/>
  <c r="Q11" i="77"/>
  <c r="O11" i="77"/>
  <c r="M11" i="77"/>
  <c r="K11" i="77"/>
  <c r="I11" i="77"/>
  <c r="G11" i="77"/>
  <c r="P11" i="77"/>
  <c r="L11" i="77"/>
  <c r="H11" i="77"/>
  <c r="X23" i="77"/>
  <c r="AA23" i="77"/>
  <c r="Y23" i="77"/>
  <c r="W23" i="77"/>
  <c r="U23" i="77"/>
  <c r="S23" i="77"/>
  <c r="AB23" i="77"/>
  <c r="Z23" i="77"/>
  <c r="V23" i="77"/>
  <c r="T23" i="77"/>
  <c r="R23" i="77"/>
  <c r="P155" i="77"/>
  <c r="N155" i="77"/>
  <c r="L155" i="77"/>
  <c r="J155" i="77"/>
  <c r="H155" i="77"/>
  <c r="C155" i="77"/>
  <c r="Q155" i="77"/>
  <c r="O155" i="77"/>
  <c r="M155" i="77"/>
  <c r="K155" i="77"/>
  <c r="I155" i="77"/>
  <c r="G155" i="77"/>
  <c r="AB155" i="77"/>
  <c r="Z155" i="77"/>
  <c r="X155" i="77"/>
  <c r="V155" i="77"/>
  <c r="T155" i="77"/>
  <c r="R155" i="77"/>
  <c r="AA155" i="77"/>
  <c r="Y155" i="77"/>
  <c r="W155" i="77"/>
  <c r="U155" i="77"/>
  <c r="S155" i="77"/>
  <c r="P335" i="77"/>
  <c r="N335" i="77"/>
  <c r="L335" i="77"/>
  <c r="J335" i="77"/>
  <c r="H335" i="77"/>
  <c r="C335" i="77"/>
  <c r="O335" i="77"/>
  <c r="K335" i="77"/>
  <c r="G335" i="77"/>
  <c r="Q335" i="77"/>
  <c r="I335" i="77"/>
  <c r="M335" i="77"/>
  <c r="AA227" i="77"/>
  <c r="Y227" i="77"/>
  <c r="W227" i="77"/>
  <c r="U227" i="77"/>
  <c r="S227" i="77"/>
  <c r="AB227" i="77"/>
  <c r="X227" i="77"/>
  <c r="T227" i="77"/>
  <c r="V227" i="77"/>
  <c r="Z227" i="77"/>
  <c r="R227" i="77"/>
  <c r="Q203" i="77"/>
  <c r="O203" i="77"/>
  <c r="M203" i="77"/>
  <c r="K203" i="77"/>
  <c r="I203" i="77"/>
  <c r="G203" i="77"/>
  <c r="P203" i="77"/>
  <c r="L203" i="77"/>
  <c r="H203" i="77"/>
  <c r="C203" i="77"/>
  <c r="N203" i="77"/>
  <c r="J203" i="77"/>
  <c r="AB119" i="77"/>
  <c r="Z119" i="77"/>
  <c r="X119" i="77"/>
  <c r="V119" i="77"/>
  <c r="T119" i="77"/>
  <c r="R119" i="77"/>
  <c r="AA119" i="77"/>
  <c r="Y119" i="77"/>
  <c r="W119" i="77"/>
  <c r="U119" i="77"/>
  <c r="S119" i="77"/>
  <c r="AA191" i="77"/>
  <c r="Y191" i="77"/>
  <c r="W191" i="77"/>
  <c r="U191" i="77"/>
  <c r="S191" i="77"/>
  <c r="AB191" i="77"/>
  <c r="X191" i="77"/>
  <c r="T191" i="77"/>
  <c r="Z191" i="77"/>
  <c r="R191" i="77"/>
  <c r="V191" i="77"/>
  <c r="AB47" i="77"/>
  <c r="Z47" i="77"/>
  <c r="X47" i="77"/>
  <c r="V47" i="77"/>
  <c r="T47" i="77"/>
  <c r="R47" i="77"/>
  <c r="AA47" i="77"/>
  <c r="Y47" i="77"/>
  <c r="W47" i="77"/>
  <c r="U47" i="77"/>
  <c r="S47" i="77"/>
  <c r="P143" i="77"/>
  <c r="N143" i="77"/>
  <c r="L143" i="77"/>
  <c r="J143" i="77"/>
  <c r="H143" i="77"/>
  <c r="C143" i="77"/>
  <c r="Q143" i="77"/>
  <c r="O143" i="77"/>
  <c r="M143" i="77"/>
  <c r="K143" i="77"/>
  <c r="I143" i="77"/>
  <c r="G143" i="77"/>
  <c r="AB143" i="77"/>
  <c r="Z143" i="77"/>
  <c r="X143" i="77"/>
  <c r="V143" i="77"/>
  <c r="T143" i="77"/>
  <c r="R143" i="77"/>
  <c r="AA143" i="77"/>
  <c r="Y143" i="77"/>
  <c r="W143" i="77"/>
  <c r="U143" i="77"/>
  <c r="S143" i="77"/>
  <c r="N35" i="77"/>
  <c r="J35" i="77"/>
  <c r="Q35" i="77"/>
  <c r="O35" i="77"/>
  <c r="M35" i="77"/>
  <c r="K35" i="77"/>
  <c r="I35" i="77"/>
  <c r="G35" i="77"/>
  <c r="P35" i="77"/>
  <c r="L35" i="77"/>
  <c r="H35" i="77"/>
  <c r="C35" i="77"/>
  <c r="AA95" i="77"/>
  <c r="Y95" i="77"/>
  <c r="W95" i="77"/>
  <c r="U95" i="77"/>
  <c r="S95" i="77"/>
  <c r="Z95" i="77"/>
  <c r="V95" i="77"/>
  <c r="R95" i="77"/>
  <c r="AB95" i="77"/>
  <c r="X95" i="77"/>
  <c r="T95" i="77"/>
  <c r="AA323" i="77"/>
  <c r="Y323" i="77"/>
  <c r="W323" i="77"/>
  <c r="U323" i="77"/>
  <c r="S323" i="77"/>
  <c r="Z323" i="77"/>
  <c r="V323" i="77"/>
  <c r="R323" i="77"/>
  <c r="AB323" i="77"/>
  <c r="X323" i="77"/>
  <c r="T323" i="77"/>
  <c r="AA239" i="77"/>
  <c r="Y239" i="77"/>
  <c r="W239" i="77"/>
  <c r="U239" i="77"/>
  <c r="S239" i="77"/>
  <c r="AB239" i="77"/>
  <c r="X239" i="77"/>
  <c r="T239" i="77"/>
  <c r="Z239" i="77"/>
  <c r="R239" i="77"/>
  <c r="V239" i="77"/>
  <c r="AA311" i="77"/>
  <c r="Y311" i="77"/>
  <c r="W311" i="77"/>
  <c r="U311" i="77"/>
  <c r="S311" i="77"/>
  <c r="Z311" i="77"/>
  <c r="V311" i="77"/>
  <c r="R311" i="77"/>
  <c r="AB311" i="77"/>
  <c r="X311" i="77"/>
  <c r="T311" i="77"/>
  <c r="Q107" i="77"/>
  <c r="O107" i="77"/>
  <c r="M107" i="77"/>
  <c r="K107" i="77"/>
  <c r="I107" i="77"/>
  <c r="G107" i="77"/>
  <c r="N107" i="77"/>
  <c r="J107" i="77"/>
  <c r="P107" i="77"/>
  <c r="L107" i="77"/>
  <c r="H107" i="77"/>
  <c r="C107" i="77"/>
  <c r="P167" i="77"/>
  <c r="N167" i="77"/>
  <c r="L167" i="77"/>
  <c r="J167" i="77"/>
  <c r="H167" i="77"/>
  <c r="C167" i="77"/>
  <c r="Q167" i="77"/>
  <c r="O167" i="77"/>
  <c r="M167" i="77"/>
  <c r="K167" i="77"/>
  <c r="I167" i="77"/>
  <c r="G167" i="77"/>
  <c r="AB167" i="77"/>
  <c r="Z167" i="77"/>
  <c r="X167" i="77"/>
  <c r="V167" i="77"/>
  <c r="T167" i="77"/>
  <c r="R167" i="77"/>
  <c r="AA167" i="77"/>
  <c r="Y167" i="77"/>
  <c r="W167" i="77"/>
  <c r="U167" i="77"/>
  <c r="S167" i="77"/>
  <c r="Q263" i="77"/>
  <c r="O263" i="77"/>
  <c r="M263" i="77"/>
  <c r="K263" i="77"/>
  <c r="I263" i="77"/>
  <c r="G263" i="77"/>
  <c r="N263" i="77"/>
  <c r="J263" i="77"/>
  <c r="P263" i="77"/>
  <c r="L263" i="77"/>
  <c r="H263" i="77"/>
  <c r="C263" i="77"/>
  <c r="P359" i="77"/>
  <c r="N359" i="77"/>
  <c r="L359" i="77"/>
  <c r="J359" i="77"/>
  <c r="H359" i="77"/>
  <c r="C359" i="77"/>
  <c r="Q359" i="77"/>
  <c r="M359" i="77"/>
  <c r="I359" i="77"/>
  <c r="O359" i="77"/>
  <c r="K359" i="77"/>
  <c r="G359" i="77"/>
  <c r="AB359" i="77"/>
  <c r="Z359" i="77"/>
  <c r="X359" i="77"/>
  <c r="V359" i="77"/>
  <c r="T359" i="77"/>
  <c r="R359" i="77"/>
  <c r="Y359" i="77"/>
  <c r="U359" i="77"/>
  <c r="AA359" i="77"/>
  <c r="W359" i="77"/>
  <c r="S359" i="77"/>
  <c r="AA299" i="77"/>
  <c r="Y299" i="77"/>
  <c r="W299" i="77"/>
  <c r="U299" i="77"/>
  <c r="S299" i="77"/>
  <c r="Z299" i="77"/>
  <c r="V299" i="77"/>
  <c r="R299" i="77"/>
  <c r="AB299" i="77"/>
  <c r="X299" i="77"/>
  <c r="T299" i="77"/>
  <c r="AA251" i="77"/>
  <c r="Y251" i="77"/>
  <c r="W251" i="77"/>
  <c r="U251" i="77"/>
  <c r="S251" i="77"/>
  <c r="Z251" i="77"/>
  <c r="V251" i="77"/>
  <c r="AB251" i="77"/>
  <c r="X251" i="77"/>
  <c r="T251" i="77"/>
  <c r="R251" i="77"/>
  <c r="AA83" i="77"/>
  <c r="Y83" i="77"/>
  <c r="W83" i="77"/>
  <c r="U83" i="77"/>
  <c r="S83" i="77"/>
  <c r="AB83" i="77"/>
  <c r="Z83" i="77"/>
  <c r="X83" i="77"/>
  <c r="V83" i="77"/>
  <c r="T83" i="77"/>
  <c r="R83" i="77"/>
  <c r="Q191" i="77"/>
  <c r="O191" i="77"/>
  <c r="P191" i="77"/>
  <c r="M191" i="77"/>
  <c r="K191" i="77"/>
  <c r="I191" i="77"/>
  <c r="G191" i="77"/>
  <c r="L191" i="77"/>
  <c r="H191" i="77"/>
  <c r="C191" i="77"/>
  <c r="N191" i="77"/>
  <c r="J191" i="77"/>
  <c r="P47" i="77"/>
  <c r="N47" i="77"/>
  <c r="L47" i="77"/>
  <c r="J47" i="77"/>
  <c r="H47" i="77"/>
  <c r="C47" i="77"/>
  <c r="Q47" i="77"/>
  <c r="O47" i="77"/>
  <c r="M47" i="77"/>
  <c r="K47" i="77"/>
  <c r="I47" i="77"/>
  <c r="G47" i="77"/>
  <c r="Q215" i="77"/>
  <c r="O215" i="77"/>
  <c r="M215" i="77"/>
  <c r="K215" i="77"/>
  <c r="I215" i="77"/>
  <c r="G215" i="77"/>
  <c r="P215" i="77"/>
  <c r="L215" i="77"/>
  <c r="H215" i="77"/>
  <c r="C215" i="77"/>
  <c r="J215" i="77"/>
  <c r="N215" i="77"/>
  <c r="P131" i="77"/>
  <c r="N131" i="77"/>
  <c r="L131" i="77"/>
  <c r="J131" i="77"/>
  <c r="H131" i="77"/>
  <c r="C131" i="77"/>
  <c r="Q131" i="77"/>
  <c r="O131" i="77"/>
  <c r="M131" i="77"/>
  <c r="K131" i="77"/>
  <c r="I131" i="77"/>
  <c r="G131" i="77"/>
  <c r="AB131" i="77"/>
  <c r="Z131" i="77"/>
  <c r="X131" i="77"/>
  <c r="V131" i="77"/>
  <c r="T131" i="77"/>
  <c r="R131" i="77"/>
  <c r="AA131" i="77"/>
  <c r="Y131" i="77"/>
  <c r="W131" i="77"/>
  <c r="U131" i="77"/>
  <c r="S131" i="77"/>
  <c r="AD272" i="70"/>
  <c r="AD269" i="70"/>
  <c r="AD271" i="70"/>
  <c r="AD273" i="70"/>
  <c r="AD274" i="70"/>
  <c r="AD270" i="70"/>
  <c r="B261" i="70"/>
  <c r="E261" i="70"/>
  <c r="F261" i="70"/>
  <c r="A261" i="70"/>
  <c r="B262" i="70"/>
  <c r="F262" i="70"/>
  <c r="E262" i="70"/>
  <c r="A262" i="70"/>
  <c r="B258" i="70"/>
  <c r="F258" i="70"/>
  <c r="A258" i="70"/>
  <c r="E258" i="70"/>
  <c r="B259" i="70"/>
  <c r="E259" i="70"/>
  <c r="F259" i="70"/>
  <c r="A259" i="70"/>
  <c r="A257" i="70"/>
  <c r="U253" i="70"/>
  <c r="F257" i="70"/>
  <c r="B257" i="70"/>
  <c r="E257" i="70"/>
  <c r="A260" i="70"/>
  <c r="E260" i="70"/>
  <c r="B260" i="70"/>
  <c r="F260" i="70"/>
  <c r="AM25" i="75"/>
  <c r="AI25" i="75"/>
  <c r="AN25" i="75"/>
  <c r="AJ25" i="75"/>
  <c r="AF25" i="75"/>
  <c r="AO25" i="75"/>
  <c r="AK25" i="75"/>
  <c r="AG25" i="75"/>
  <c r="AP25" i="75"/>
  <c r="AL25" i="75"/>
  <c r="AH25" i="75"/>
  <c r="K47" i="70"/>
  <c r="N47" i="70"/>
  <c r="C47" i="70"/>
  <c r="M47" i="70"/>
  <c r="P47" i="70"/>
  <c r="H47" i="70"/>
  <c r="O47" i="70"/>
  <c r="G47" i="70"/>
  <c r="J47" i="70"/>
  <c r="Q47" i="70"/>
  <c r="I47" i="70"/>
  <c r="L47" i="70"/>
  <c r="W95" i="70"/>
  <c r="Y95" i="70"/>
  <c r="U95" i="70"/>
  <c r="AB95" i="70"/>
  <c r="X95" i="70"/>
  <c r="T95" i="70"/>
  <c r="AA95" i="70"/>
  <c r="S95" i="70"/>
  <c r="Z95" i="70"/>
  <c r="V95" i="70"/>
  <c r="R95" i="70"/>
  <c r="Y47" i="70"/>
  <c r="U47" i="70"/>
  <c r="AB47" i="70"/>
  <c r="X47" i="70"/>
  <c r="T47" i="70"/>
  <c r="AA47" i="70"/>
  <c r="S47" i="70"/>
  <c r="V47" i="70"/>
  <c r="W47" i="70"/>
  <c r="Z47" i="70"/>
  <c r="R47" i="70"/>
  <c r="P227" i="70"/>
  <c r="H227" i="70"/>
  <c r="I227" i="70"/>
  <c r="N227" i="70"/>
  <c r="J227" i="70"/>
  <c r="C227" i="70"/>
  <c r="O227" i="70"/>
  <c r="K227" i="70"/>
  <c r="G227" i="70"/>
  <c r="L227" i="70"/>
  <c r="Q227" i="70"/>
  <c r="M227" i="70"/>
  <c r="K131" i="70"/>
  <c r="N131" i="70"/>
  <c r="C131" i="70"/>
  <c r="M131" i="70"/>
  <c r="P131" i="70"/>
  <c r="H131" i="70"/>
  <c r="O131" i="70"/>
  <c r="G131" i="70"/>
  <c r="J131" i="70"/>
  <c r="Q131" i="70"/>
  <c r="I131" i="70"/>
  <c r="L131" i="70"/>
  <c r="M143" i="70"/>
  <c r="P143" i="70"/>
  <c r="H143" i="70"/>
  <c r="K143" i="70"/>
  <c r="N143" i="70"/>
  <c r="C143" i="70"/>
  <c r="Q143" i="70"/>
  <c r="I143" i="70"/>
  <c r="L143" i="70"/>
  <c r="O143" i="70"/>
  <c r="G143" i="70"/>
  <c r="J143" i="70"/>
  <c r="AA143" i="70"/>
  <c r="Z143" i="70"/>
  <c r="R143" i="70"/>
  <c r="Y143" i="70"/>
  <c r="U143" i="70"/>
  <c r="AB143" i="70"/>
  <c r="X143" i="70"/>
  <c r="T143" i="70"/>
  <c r="W143" i="70"/>
  <c r="S143" i="70"/>
  <c r="V143" i="70"/>
  <c r="W83" i="70"/>
  <c r="R83" i="70"/>
  <c r="Y83" i="70"/>
  <c r="U83" i="70"/>
  <c r="AB83" i="70"/>
  <c r="X83" i="70"/>
  <c r="T83" i="70"/>
  <c r="AA83" i="70"/>
  <c r="S83" i="70"/>
  <c r="Z83" i="70"/>
  <c r="V83" i="70"/>
  <c r="M83" i="70"/>
  <c r="P83" i="70"/>
  <c r="H83" i="70"/>
  <c r="K83" i="70"/>
  <c r="N83" i="70"/>
  <c r="C83" i="70"/>
  <c r="Q83" i="70"/>
  <c r="I83" i="70"/>
  <c r="L83" i="70"/>
  <c r="O83" i="70"/>
  <c r="G83" i="70"/>
  <c r="J83" i="70"/>
  <c r="O191" i="70"/>
  <c r="N191" i="70"/>
  <c r="C191" i="70"/>
  <c r="L191" i="70"/>
  <c r="Q191" i="70"/>
  <c r="G191" i="70"/>
  <c r="M191" i="70"/>
  <c r="H191" i="70"/>
  <c r="P191" i="70"/>
  <c r="K191" i="70"/>
  <c r="I191" i="70"/>
  <c r="J191" i="70"/>
  <c r="M251" i="70"/>
  <c r="H251" i="70"/>
  <c r="O251" i="70"/>
  <c r="K251" i="70"/>
  <c r="G251" i="70"/>
  <c r="N251" i="70"/>
  <c r="J251" i="70"/>
  <c r="C251" i="70"/>
  <c r="Q251" i="70"/>
  <c r="I251" i="70"/>
  <c r="P251" i="70"/>
  <c r="L251" i="70"/>
  <c r="L215" i="70"/>
  <c r="M215" i="70"/>
  <c r="N215" i="70"/>
  <c r="J215" i="70"/>
  <c r="C215" i="70"/>
  <c r="O215" i="70"/>
  <c r="K215" i="70"/>
  <c r="G215" i="70"/>
  <c r="P215" i="70"/>
  <c r="H215" i="70"/>
  <c r="Q215" i="70"/>
  <c r="I215" i="70"/>
  <c r="AA155" i="70"/>
  <c r="V155" i="70"/>
  <c r="Y155" i="70"/>
  <c r="U155" i="70"/>
  <c r="AB155" i="70"/>
  <c r="X155" i="70"/>
  <c r="T155" i="70"/>
  <c r="W155" i="70"/>
  <c r="S155" i="70"/>
  <c r="Z155" i="70"/>
  <c r="R155" i="70"/>
  <c r="AB227" i="70"/>
  <c r="AA227" i="70"/>
  <c r="S227" i="70"/>
  <c r="Z227" i="70"/>
  <c r="V227" i="70"/>
  <c r="R227" i="70"/>
  <c r="Y227" i="70"/>
  <c r="U227" i="70"/>
  <c r="X227" i="70"/>
  <c r="T227" i="70"/>
  <c r="W227" i="70"/>
  <c r="U251" i="70"/>
  <c r="AA251" i="70"/>
  <c r="W251" i="70"/>
  <c r="S251" i="70"/>
  <c r="Z251" i="70"/>
  <c r="V251" i="70"/>
  <c r="R251" i="70"/>
  <c r="Y251" i="70"/>
  <c r="AB251" i="70"/>
  <c r="X251" i="70"/>
  <c r="T251" i="70"/>
  <c r="Y11" i="70"/>
  <c r="AB11" i="70"/>
  <c r="T11" i="70"/>
  <c r="W11" i="70"/>
  <c r="Z11" i="70"/>
  <c r="R11" i="70"/>
  <c r="U11" i="70"/>
  <c r="X11" i="70"/>
  <c r="AA11" i="70"/>
  <c r="S11" i="70"/>
  <c r="V11" i="70"/>
  <c r="M11" i="70"/>
  <c r="P11" i="70"/>
  <c r="H11" i="70"/>
  <c r="K11" i="70"/>
  <c r="N11" i="70"/>
  <c r="C11" i="70"/>
  <c r="Q11" i="70"/>
  <c r="I11" i="70"/>
  <c r="L11" i="70"/>
  <c r="O11" i="70"/>
  <c r="G11" i="70"/>
  <c r="J11" i="70"/>
  <c r="W167" i="70"/>
  <c r="R167" i="70"/>
  <c r="Y167" i="70"/>
  <c r="U167" i="70"/>
  <c r="AB167" i="70"/>
  <c r="X167" i="70"/>
  <c r="T167" i="70"/>
  <c r="AA167" i="70"/>
  <c r="S167" i="70"/>
  <c r="Z167" i="70"/>
  <c r="V167" i="70"/>
  <c r="Q119" i="70"/>
  <c r="P119" i="70"/>
  <c r="O119" i="70"/>
  <c r="K119" i="70"/>
  <c r="G119" i="70"/>
  <c r="N119" i="70"/>
  <c r="J119" i="70"/>
  <c r="C119" i="70"/>
  <c r="M119" i="70"/>
  <c r="I119" i="70"/>
  <c r="L119" i="70"/>
  <c r="H119" i="70"/>
  <c r="V239" i="70"/>
  <c r="Y239" i="70"/>
  <c r="AB239" i="70"/>
  <c r="X239" i="70"/>
  <c r="T239" i="70"/>
  <c r="AA239" i="70"/>
  <c r="W239" i="70"/>
  <c r="S239" i="70"/>
  <c r="Z239" i="70"/>
  <c r="R239" i="70"/>
  <c r="U239" i="70"/>
  <c r="J203" i="70"/>
  <c r="O203" i="70"/>
  <c r="G203" i="70"/>
  <c r="L203" i="70"/>
  <c r="Q203" i="70"/>
  <c r="I203" i="70"/>
  <c r="N203" i="70"/>
  <c r="C203" i="70"/>
  <c r="K203" i="70"/>
  <c r="P203" i="70"/>
  <c r="H203" i="70"/>
  <c r="M203" i="70"/>
  <c r="V203" i="70"/>
  <c r="AB203" i="70"/>
  <c r="X203" i="70"/>
  <c r="T203" i="70"/>
  <c r="AA203" i="70"/>
  <c r="W203" i="70"/>
  <c r="S203" i="70"/>
  <c r="Z203" i="70"/>
  <c r="R203" i="70"/>
  <c r="Y203" i="70"/>
  <c r="U203" i="70"/>
  <c r="AA71" i="70"/>
  <c r="W71" i="70"/>
  <c r="S71" i="70"/>
  <c r="Z71" i="70"/>
  <c r="V71" i="70"/>
  <c r="R71" i="70"/>
  <c r="Y71" i="70"/>
  <c r="AB71" i="70"/>
  <c r="U71" i="70"/>
  <c r="X71" i="70"/>
  <c r="T71" i="70"/>
  <c r="K71" i="70"/>
  <c r="N71" i="70"/>
  <c r="C71" i="70"/>
  <c r="M71" i="70"/>
  <c r="P71" i="70"/>
  <c r="H71" i="70"/>
  <c r="O71" i="70"/>
  <c r="G71" i="70"/>
  <c r="J71" i="70"/>
  <c r="Q71" i="70"/>
  <c r="I71" i="70"/>
  <c r="L71" i="70"/>
  <c r="N239" i="70"/>
  <c r="O239" i="70"/>
  <c r="G239" i="70"/>
  <c r="P239" i="70"/>
  <c r="L239" i="70"/>
  <c r="H239" i="70"/>
  <c r="Q239" i="70"/>
  <c r="M239" i="70"/>
  <c r="I239" i="70"/>
  <c r="J239" i="70"/>
  <c r="C239" i="70"/>
  <c r="K239" i="70"/>
  <c r="U131" i="70"/>
  <c r="T131" i="70"/>
  <c r="AA131" i="70"/>
  <c r="W131" i="70"/>
  <c r="S131" i="70"/>
  <c r="Z131" i="70"/>
  <c r="V131" i="70"/>
  <c r="R131" i="70"/>
  <c r="Y131" i="70"/>
  <c r="AB131" i="70"/>
  <c r="X131" i="70"/>
  <c r="AA35" i="70"/>
  <c r="S35" i="70"/>
  <c r="V35" i="70"/>
  <c r="Y35" i="70"/>
  <c r="AB35" i="70"/>
  <c r="T35" i="70"/>
  <c r="W35" i="70"/>
  <c r="Z35" i="70"/>
  <c r="R35" i="70"/>
  <c r="U35" i="70"/>
  <c r="X35" i="70"/>
  <c r="U59" i="70"/>
  <c r="X59" i="70"/>
  <c r="AA59" i="70"/>
  <c r="S59" i="70"/>
  <c r="V59" i="70"/>
  <c r="Y59" i="70"/>
  <c r="AB59" i="70"/>
  <c r="T59" i="70"/>
  <c r="W59" i="70"/>
  <c r="Z59" i="70"/>
  <c r="R59" i="70"/>
  <c r="M59" i="70"/>
  <c r="P59" i="70"/>
  <c r="H59" i="70"/>
  <c r="K59" i="70"/>
  <c r="N59" i="70"/>
  <c r="C59" i="70"/>
  <c r="Q59" i="70"/>
  <c r="I59" i="70"/>
  <c r="L59" i="70"/>
  <c r="O59" i="70"/>
  <c r="G59" i="70"/>
  <c r="J59" i="70"/>
  <c r="K179" i="70"/>
  <c r="N179" i="70"/>
  <c r="C179" i="70"/>
  <c r="M179" i="70"/>
  <c r="P179" i="70"/>
  <c r="H179" i="70"/>
  <c r="O179" i="70"/>
  <c r="G179" i="70"/>
  <c r="J179" i="70"/>
  <c r="Q179" i="70"/>
  <c r="I179" i="70"/>
  <c r="L179" i="70"/>
  <c r="U107" i="70"/>
  <c r="T107" i="70"/>
  <c r="AA107" i="70"/>
  <c r="W107" i="70"/>
  <c r="S107" i="70"/>
  <c r="Z107" i="70"/>
  <c r="V107" i="70"/>
  <c r="R107" i="70"/>
  <c r="Y107" i="70"/>
  <c r="AB107" i="70"/>
  <c r="X107" i="70"/>
  <c r="M107" i="70"/>
  <c r="P107" i="70"/>
  <c r="H107" i="70"/>
  <c r="K107" i="70"/>
  <c r="N107" i="70"/>
  <c r="C107" i="70"/>
  <c r="Q107" i="70"/>
  <c r="I107" i="70"/>
  <c r="L107" i="70"/>
  <c r="O107" i="70"/>
  <c r="G107" i="70"/>
  <c r="J107" i="70"/>
  <c r="K155" i="70"/>
  <c r="N155" i="70"/>
  <c r="C155" i="70"/>
  <c r="M155" i="70"/>
  <c r="P155" i="70"/>
  <c r="H155" i="70"/>
  <c r="O155" i="70"/>
  <c r="G155" i="70"/>
  <c r="J155" i="70"/>
  <c r="Q155" i="70"/>
  <c r="I155" i="70"/>
  <c r="L155" i="70"/>
  <c r="K95" i="70"/>
  <c r="N95" i="70"/>
  <c r="C95" i="70"/>
  <c r="M95" i="70"/>
  <c r="P95" i="70"/>
  <c r="H95" i="70"/>
  <c r="O95" i="70"/>
  <c r="G95" i="70"/>
  <c r="J95" i="70"/>
  <c r="Q95" i="70"/>
  <c r="I95" i="70"/>
  <c r="L95" i="70"/>
  <c r="M35" i="70"/>
  <c r="P35" i="70"/>
  <c r="H35" i="70"/>
  <c r="K35" i="70"/>
  <c r="N35" i="70"/>
  <c r="C35" i="70"/>
  <c r="Q35" i="70"/>
  <c r="I35" i="70"/>
  <c r="L35" i="70"/>
  <c r="O35" i="70"/>
  <c r="G35" i="70"/>
  <c r="J35" i="70"/>
  <c r="Y179" i="70"/>
  <c r="X179" i="70"/>
  <c r="AA179" i="70"/>
  <c r="W179" i="70"/>
  <c r="S179" i="70"/>
  <c r="Z179" i="70"/>
  <c r="V179" i="70"/>
  <c r="R179" i="70"/>
  <c r="U179" i="70"/>
  <c r="AB179" i="70"/>
  <c r="T179" i="70"/>
  <c r="Y191" i="70"/>
  <c r="X191" i="70"/>
  <c r="AA191" i="70"/>
  <c r="W191" i="70"/>
  <c r="S191" i="70"/>
  <c r="Z191" i="70"/>
  <c r="V191" i="70"/>
  <c r="R191" i="70"/>
  <c r="U191" i="70"/>
  <c r="AB191" i="70"/>
  <c r="T191" i="70"/>
  <c r="AB215" i="70"/>
  <c r="T215" i="70"/>
  <c r="W215" i="70"/>
  <c r="Z215" i="70"/>
  <c r="V215" i="70"/>
  <c r="R215" i="70"/>
  <c r="Y215" i="70"/>
  <c r="U215" i="70"/>
  <c r="X215" i="70"/>
  <c r="AA215" i="70"/>
  <c r="S215" i="70"/>
  <c r="K23" i="70"/>
  <c r="N23" i="70"/>
  <c r="C23" i="70"/>
  <c r="M23" i="70"/>
  <c r="P23" i="70"/>
  <c r="H23" i="70"/>
  <c r="O23" i="70"/>
  <c r="G23" i="70"/>
  <c r="J23" i="70"/>
  <c r="Q23" i="70"/>
  <c r="I23" i="70"/>
  <c r="L23" i="70"/>
  <c r="AA23" i="70"/>
  <c r="W23" i="70"/>
  <c r="S23" i="70"/>
  <c r="Z23" i="70"/>
  <c r="V23" i="70"/>
  <c r="R23" i="70"/>
  <c r="Y23" i="70"/>
  <c r="U23" i="70"/>
  <c r="AB23" i="70"/>
  <c r="X23" i="70"/>
  <c r="T23" i="70"/>
  <c r="O167" i="70"/>
  <c r="G167" i="70"/>
  <c r="J167" i="70"/>
  <c r="Q167" i="70"/>
  <c r="L167" i="70"/>
  <c r="P167" i="70"/>
  <c r="K167" i="70"/>
  <c r="N167" i="70"/>
  <c r="C167" i="70"/>
  <c r="I167" i="70"/>
  <c r="M167" i="70"/>
  <c r="H167" i="70"/>
  <c r="Y119" i="70"/>
  <c r="U119" i="70"/>
  <c r="AB119" i="70"/>
  <c r="X119" i="70"/>
  <c r="T119" i="70"/>
  <c r="AA119" i="70"/>
  <c r="W119" i="70"/>
  <c r="S119" i="70"/>
  <c r="Z119" i="70"/>
  <c r="V119" i="70"/>
  <c r="R119" i="70"/>
  <c r="U266" i="70"/>
  <c r="AC278" i="70"/>
  <c r="D260" i="70" l="1"/>
  <c r="C260" i="70"/>
  <c r="D257" i="70"/>
  <c r="C257" i="70"/>
  <c r="P259" i="70"/>
  <c r="N259" i="70"/>
  <c r="Q259" i="70"/>
  <c r="J259" i="70"/>
  <c r="K259" i="70"/>
  <c r="M259" i="70"/>
  <c r="G259" i="70"/>
  <c r="H259" i="70"/>
  <c r="I259" i="70"/>
  <c r="O259" i="70"/>
  <c r="L259" i="70"/>
  <c r="Q258" i="70"/>
  <c r="M258" i="70"/>
  <c r="K258" i="70"/>
  <c r="G258" i="70"/>
  <c r="O258" i="70"/>
  <c r="N258" i="70"/>
  <c r="J258" i="70"/>
  <c r="I258" i="70"/>
  <c r="L258" i="70"/>
  <c r="H258" i="70"/>
  <c r="P258" i="70"/>
  <c r="AB258" i="70"/>
  <c r="T258" i="70"/>
  <c r="S258" i="70"/>
  <c r="X258" i="70"/>
  <c r="R258" i="70"/>
  <c r="U258" i="70"/>
  <c r="Y258" i="70"/>
  <c r="AA258" i="70"/>
  <c r="V258" i="70"/>
  <c r="W258" i="70"/>
  <c r="Z258" i="70"/>
  <c r="X262" i="70"/>
  <c r="AB262" i="70"/>
  <c r="Z262" i="70"/>
  <c r="T262" i="70"/>
  <c r="AA262" i="70"/>
  <c r="Y262" i="70"/>
  <c r="U262" i="70"/>
  <c r="W262" i="70"/>
  <c r="R262" i="70"/>
  <c r="S262" i="70"/>
  <c r="V262" i="70"/>
  <c r="Q261" i="70"/>
  <c r="I261" i="70"/>
  <c r="J261" i="70"/>
  <c r="H261" i="70"/>
  <c r="G261" i="70"/>
  <c r="P261" i="70"/>
  <c r="L261" i="70"/>
  <c r="M261" i="70"/>
  <c r="K261" i="70"/>
  <c r="N261" i="70"/>
  <c r="O261" i="70"/>
  <c r="B270" i="70"/>
  <c r="E270" i="70"/>
  <c r="F270" i="70"/>
  <c r="A270" i="70"/>
  <c r="B273" i="70"/>
  <c r="E273" i="70"/>
  <c r="F273" i="70"/>
  <c r="A273" i="70"/>
  <c r="A269" i="70"/>
  <c r="E269" i="70"/>
  <c r="B269" i="70"/>
  <c r="F269" i="70"/>
  <c r="U265" i="70"/>
  <c r="AD286" i="70"/>
  <c r="AD281" i="70"/>
  <c r="AD285" i="70"/>
  <c r="AD282" i="70"/>
  <c r="AD284" i="70"/>
  <c r="AD283" i="70"/>
  <c r="AA260" i="70"/>
  <c r="R260" i="70"/>
  <c r="S260" i="70"/>
  <c r="AB260" i="70"/>
  <c r="U260" i="70"/>
  <c r="X260" i="70"/>
  <c r="W260" i="70"/>
  <c r="Z260" i="70"/>
  <c r="Y260" i="70"/>
  <c r="T260" i="70"/>
  <c r="V260" i="70"/>
  <c r="L260" i="70"/>
  <c r="K260" i="70"/>
  <c r="G260" i="70"/>
  <c r="I260" i="70"/>
  <c r="M260" i="70"/>
  <c r="N260" i="70"/>
  <c r="P260" i="70"/>
  <c r="H260" i="70"/>
  <c r="O260" i="70"/>
  <c r="J260" i="70"/>
  <c r="Q260" i="70"/>
  <c r="K257" i="70"/>
  <c r="L257" i="70"/>
  <c r="G257" i="70"/>
  <c r="J257" i="70"/>
  <c r="I257" i="70"/>
  <c r="M257" i="70"/>
  <c r="H257" i="70"/>
  <c r="P257" i="70"/>
  <c r="O257" i="70"/>
  <c r="N257" i="70"/>
  <c r="Q257" i="70"/>
  <c r="E263" i="70"/>
  <c r="AB257" i="70"/>
  <c r="W257" i="70"/>
  <c r="AA257" i="70"/>
  <c r="V257" i="70"/>
  <c r="Z257" i="70"/>
  <c r="R257" i="70"/>
  <c r="T257" i="70"/>
  <c r="X257" i="70"/>
  <c r="S257" i="70"/>
  <c r="Y257" i="70"/>
  <c r="U257" i="70"/>
  <c r="F263" i="70"/>
  <c r="Z259" i="70"/>
  <c r="AB259" i="70"/>
  <c r="X259" i="70"/>
  <c r="R259" i="70"/>
  <c r="AA259" i="70"/>
  <c r="Y259" i="70"/>
  <c r="T259" i="70"/>
  <c r="S259" i="70"/>
  <c r="U259" i="70"/>
  <c r="W259" i="70"/>
  <c r="V259" i="70"/>
  <c r="C259" i="70"/>
  <c r="D259" i="70"/>
  <c r="D258" i="70"/>
  <c r="C258" i="70"/>
  <c r="I262" i="70"/>
  <c r="M262" i="70"/>
  <c r="G262" i="70"/>
  <c r="P262" i="70"/>
  <c r="K262" i="70"/>
  <c r="J262" i="70"/>
  <c r="N262" i="70"/>
  <c r="O262" i="70"/>
  <c r="H262" i="70"/>
  <c r="L262" i="70"/>
  <c r="Q262" i="70"/>
  <c r="D262" i="70"/>
  <c r="C262" i="70"/>
  <c r="U261" i="70"/>
  <c r="AB261" i="70"/>
  <c r="Y261" i="70"/>
  <c r="T261" i="70"/>
  <c r="X261" i="70"/>
  <c r="AA261" i="70"/>
  <c r="Z261" i="70"/>
  <c r="R261" i="70"/>
  <c r="W261" i="70"/>
  <c r="S261" i="70"/>
  <c r="V261" i="70"/>
  <c r="C261" i="70"/>
  <c r="D261" i="70"/>
  <c r="E274" i="70"/>
  <c r="A274" i="70"/>
  <c r="F274" i="70"/>
  <c r="B274" i="70"/>
  <c r="E271" i="70"/>
  <c r="A271" i="70"/>
  <c r="B271" i="70"/>
  <c r="F271" i="70"/>
  <c r="F272" i="70"/>
  <c r="E272" i="70"/>
  <c r="A272" i="70"/>
  <c r="B272" i="70"/>
  <c r="AN26" i="75"/>
  <c r="AJ26" i="75"/>
  <c r="AF26" i="75"/>
  <c r="AO26" i="75"/>
  <c r="AK26" i="75"/>
  <c r="AG26" i="75"/>
  <c r="AP26" i="75"/>
  <c r="AL26" i="75"/>
  <c r="AH26" i="75"/>
  <c r="AD27" i="75"/>
  <c r="AM26" i="75"/>
  <c r="AI26" i="75"/>
  <c r="U278" i="70"/>
  <c r="AC290" i="70"/>
  <c r="AD295" i="70" l="1"/>
  <c r="AD294" i="70"/>
  <c r="AD296" i="70"/>
  <c r="AD293" i="70"/>
  <c r="AD298" i="70"/>
  <c r="AD297" i="70"/>
  <c r="M272" i="70"/>
  <c r="I272" i="70"/>
  <c r="O272" i="70"/>
  <c r="L272" i="70"/>
  <c r="J272" i="70"/>
  <c r="H272" i="70"/>
  <c r="K272" i="70"/>
  <c r="G272" i="70"/>
  <c r="Q272" i="70"/>
  <c r="P272" i="70"/>
  <c r="N272" i="70"/>
  <c r="AA271" i="70"/>
  <c r="W271" i="70"/>
  <c r="T271" i="70"/>
  <c r="Z271" i="70"/>
  <c r="V271" i="70"/>
  <c r="U271" i="70"/>
  <c r="AB271" i="70"/>
  <c r="X271" i="70"/>
  <c r="S271" i="70"/>
  <c r="Y271" i="70"/>
  <c r="R271" i="70"/>
  <c r="D274" i="70"/>
  <c r="C274" i="70"/>
  <c r="U272" i="70"/>
  <c r="Z272" i="70"/>
  <c r="S272" i="70"/>
  <c r="V272" i="70"/>
  <c r="AB272" i="70"/>
  <c r="R272" i="70"/>
  <c r="AA272" i="70"/>
  <c r="Y272" i="70"/>
  <c r="W272" i="70"/>
  <c r="X272" i="70"/>
  <c r="T272" i="70"/>
  <c r="D271" i="70"/>
  <c r="C271" i="70"/>
  <c r="H271" i="70"/>
  <c r="K271" i="70"/>
  <c r="P271" i="70"/>
  <c r="N271" i="70"/>
  <c r="Q271" i="70"/>
  <c r="M271" i="70"/>
  <c r="J271" i="70"/>
  <c r="L271" i="70"/>
  <c r="O271" i="70"/>
  <c r="G271" i="70"/>
  <c r="I271" i="70"/>
  <c r="V274" i="70"/>
  <c r="W274" i="70"/>
  <c r="Z274" i="70"/>
  <c r="R274" i="70"/>
  <c r="X274" i="70"/>
  <c r="AB274" i="70"/>
  <c r="Y274" i="70"/>
  <c r="U274" i="70"/>
  <c r="S274" i="70"/>
  <c r="T274" i="70"/>
  <c r="AA274" i="70"/>
  <c r="I274" i="70"/>
  <c r="K274" i="70"/>
  <c r="N274" i="70"/>
  <c r="G274" i="70"/>
  <c r="L274" i="70"/>
  <c r="P274" i="70"/>
  <c r="O274" i="70"/>
  <c r="M274" i="70"/>
  <c r="H274" i="70"/>
  <c r="Q274" i="70"/>
  <c r="J274" i="70"/>
  <c r="R263" i="70"/>
  <c r="U263" i="70"/>
  <c r="X263" i="70"/>
  <c r="AA263" i="70"/>
  <c r="Z263" i="70"/>
  <c r="W263" i="70"/>
  <c r="Y263" i="70"/>
  <c r="AB263" i="70"/>
  <c r="T263" i="70"/>
  <c r="S263" i="70"/>
  <c r="V263" i="70"/>
  <c r="M263" i="70"/>
  <c r="H263" i="70"/>
  <c r="N263" i="70"/>
  <c r="Q263" i="70"/>
  <c r="L263" i="70"/>
  <c r="G263" i="70"/>
  <c r="P263" i="70"/>
  <c r="K263" i="70"/>
  <c r="C263" i="70"/>
  <c r="I263" i="70"/>
  <c r="O263" i="70"/>
  <c r="J263" i="70"/>
  <c r="A283" i="70"/>
  <c r="E283" i="70"/>
  <c r="B283" i="70"/>
  <c r="F283" i="70"/>
  <c r="A282" i="70"/>
  <c r="F282" i="70"/>
  <c r="B282" i="70"/>
  <c r="E282" i="70"/>
  <c r="F281" i="70"/>
  <c r="U277" i="70"/>
  <c r="A281" i="70"/>
  <c r="E281" i="70"/>
  <c r="B281" i="70"/>
  <c r="D269" i="70"/>
  <c r="C269" i="70"/>
  <c r="S273" i="70"/>
  <c r="Z273" i="70"/>
  <c r="W273" i="70"/>
  <c r="Y273" i="70"/>
  <c r="U273" i="70"/>
  <c r="R273" i="70"/>
  <c r="X273" i="70"/>
  <c r="AA273" i="70"/>
  <c r="AB273" i="70"/>
  <c r="V273" i="70"/>
  <c r="T273" i="70"/>
  <c r="C273" i="70"/>
  <c r="D273" i="70"/>
  <c r="R270" i="70"/>
  <c r="S270" i="70"/>
  <c r="T270" i="70"/>
  <c r="X270" i="70"/>
  <c r="Z270" i="70"/>
  <c r="AA270" i="70"/>
  <c r="Y270" i="70"/>
  <c r="AB270" i="70"/>
  <c r="W270" i="70"/>
  <c r="U270" i="70"/>
  <c r="V270" i="70"/>
  <c r="C270" i="70"/>
  <c r="D270" i="70"/>
  <c r="C272" i="70"/>
  <c r="D272" i="70"/>
  <c r="A284" i="70"/>
  <c r="F284" i="70"/>
  <c r="B284" i="70"/>
  <c r="E284" i="70"/>
  <c r="A285" i="70"/>
  <c r="E285" i="70"/>
  <c r="F285" i="70"/>
  <c r="B285" i="70"/>
  <c r="A286" i="70"/>
  <c r="F286" i="70"/>
  <c r="B286" i="70"/>
  <c r="E286" i="70"/>
  <c r="X269" i="70"/>
  <c r="AB269" i="70"/>
  <c r="AA269" i="70"/>
  <c r="R269" i="70"/>
  <c r="Y269" i="70"/>
  <c r="V269" i="70"/>
  <c r="T269" i="70"/>
  <c r="W269" i="70"/>
  <c r="Z269" i="70"/>
  <c r="U269" i="70"/>
  <c r="S269" i="70"/>
  <c r="F275" i="70"/>
  <c r="G269" i="70"/>
  <c r="H269" i="70"/>
  <c r="L269" i="70"/>
  <c r="O269" i="70"/>
  <c r="J269" i="70"/>
  <c r="I269" i="70"/>
  <c r="K269" i="70"/>
  <c r="P269" i="70"/>
  <c r="N269" i="70"/>
  <c r="M269" i="70"/>
  <c r="Q269" i="70"/>
  <c r="E275" i="70"/>
  <c r="K273" i="70"/>
  <c r="L273" i="70"/>
  <c r="J273" i="70"/>
  <c r="H273" i="70"/>
  <c r="Q273" i="70"/>
  <c r="I273" i="70"/>
  <c r="P273" i="70"/>
  <c r="G273" i="70"/>
  <c r="M273" i="70"/>
  <c r="O273" i="70"/>
  <c r="N273" i="70"/>
  <c r="K270" i="70"/>
  <c r="G270" i="70"/>
  <c r="P270" i="70"/>
  <c r="O270" i="70"/>
  <c r="N270" i="70"/>
  <c r="L270" i="70"/>
  <c r="J270" i="70"/>
  <c r="I270" i="70"/>
  <c r="Q270" i="70"/>
  <c r="M270" i="70"/>
  <c r="H270" i="70"/>
  <c r="AM27" i="75"/>
  <c r="AI27" i="75"/>
  <c r="AN27" i="75"/>
  <c r="AJ27" i="75"/>
  <c r="AF27" i="75"/>
  <c r="AO27" i="75"/>
  <c r="AK27" i="75"/>
  <c r="AG27" i="75"/>
  <c r="AP27" i="75"/>
  <c r="AL27" i="75"/>
  <c r="AH27" i="75"/>
  <c r="U290" i="70"/>
  <c r="AC302" i="70"/>
  <c r="AD310" i="70" l="1"/>
  <c r="AD309" i="70"/>
  <c r="AD308" i="70"/>
  <c r="AD305" i="70"/>
  <c r="AD307" i="70"/>
  <c r="AD306" i="70"/>
  <c r="M275" i="70"/>
  <c r="H275" i="70"/>
  <c r="N275" i="70"/>
  <c r="Q275" i="70"/>
  <c r="L275" i="70"/>
  <c r="G275" i="70"/>
  <c r="P275" i="70"/>
  <c r="K275" i="70"/>
  <c r="C275" i="70"/>
  <c r="I275" i="70"/>
  <c r="O275" i="70"/>
  <c r="J275" i="70"/>
  <c r="V275" i="70"/>
  <c r="U275" i="70"/>
  <c r="X275" i="70"/>
  <c r="AA275" i="70"/>
  <c r="Z275" i="70"/>
  <c r="S275" i="70"/>
  <c r="Y275" i="70"/>
  <c r="AB275" i="70"/>
  <c r="T275" i="70"/>
  <c r="W275" i="70"/>
  <c r="R275" i="70"/>
  <c r="I286" i="70"/>
  <c r="O286" i="70"/>
  <c r="K286" i="70"/>
  <c r="H286" i="70"/>
  <c r="P286" i="70"/>
  <c r="J286" i="70"/>
  <c r="M286" i="70"/>
  <c r="G286" i="70"/>
  <c r="N286" i="70"/>
  <c r="L286" i="70"/>
  <c r="Q286" i="70"/>
  <c r="Y286" i="70"/>
  <c r="S286" i="70"/>
  <c r="W286" i="70"/>
  <c r="R286" i="70"/>
  <c r="T286" i="70"/>
  <c r="AB286" i="70"/>
  <c r="Z286" i="70"/>
  <c r="AA286" i="70"/>
  <c r="X286" i="70"/>
  <c r="U286" i="70"/>
  <c r="V286" i="70"/>
  <c r="D285" i="70"/>
  <c r="C285" i="70"/>
  <c r="H285" i="70"/>
  <c r="P285" i="70"/>
  <c r="M285" i="70"/>
  <c r="Q285" i="70"/>
  <c r="I285" i="70"/>
  <c r="L285" i="70"/>
  <c r="K285" i="70"/>
  <c r="G285" i="70"/>
  <c r="J285" i="70"/>
  <c r="O285" i="70"/>
  <c r="N285" i="70"/>
  <c r="L284" i="70"/>
  <c r="G284" i="70"/>
  <c r="O284" i="70"/>
  <c r="Q284" i="70"/>
  <c r="J284" i="70"/>
  <c r="N284" i="70"/>
  <c r="K284" i="70"/>
  <c r="I284" i="70"/>
  <c r="H284" i="70"/>
  <c r="M284" i="70"/>
  <c r="P284" i="70"/>
  <c r="AB284" i="70"/>
  <c r="W284" i="70"/>
  <c r="R284" i="70"/>
  <c r="AA284" i="70"/>
  <c r="X284" i="70"/>
  <c r="T284" i="70"/>
  <c r="V284" i="70"/>
  <c r="S284" i="70"/>
  <c r="Y284" i="70"/>
  <c r="U284" i="70"/>
  <c r="Z284" i="70"/>
  <c r="D281" i="70"/>
  <c r="C281" i="70"/>
  <c r="V281" i="70"/>
  <c r="AB281" i="70"/>
  <c r="Z281" i="70"/>
  <c r="W281" i="70"/>
  <c r="AA281" i="70"/>
  <c r="X281" i="70"/>
  <c r="Y281" i="70"/>
  <c r="R281" i="70"/>
  <c r="U281" i="70"/>
  <c r="T281" i="70"/>
  <c r="S281" i="70"/>
  <c r="F287" i="70"/>
  <c r="C282" i="70"/>
  <c r="D282" i="70"/>
  <c r="C283" i="70"/>
  <c r="D283" i="70"/>
  <c r="E297" i="70"/>
  <c r="A297" i="70"/>
  <c r="F297" i="70"/>
  <c r="B297" i="70"/>
  <c r="B293" i="70"/>
  <c r="E293" i="70"/>
  <c r="U289" i="70"/>
  <c r="F293" i="70"/>
  <c r="A293" i="70"/>
  <c r="E294" i="70"/>
  <c r="B294" i="70"/>
  <c r="F294" i="70"/>
  <c r="A294" i="70"/>
  <c r="C286" i="70"/>
  <c r="D286" i="70"/>
  <c r="W285" i="70"/>
  <c r="X285" i="70"/>
  <c r="AA285" i="70"/>
  <c r="U285" i="70"/>
  <c r="R285" i="70"/>
  <c r="Z285" i="70"/>
  <c r="AB285" i="70"/>
  <c r="T285" i="70"/>
  <c r="S285" i="70"/>
  <c r="V285" i="70"/>
  <c r="Y285" i="70"/>
  <c r="C284" i="70"/>
  <c r="D284" i="70"/>
  <c r="K281" i="70"/>
  <c r="L281" i="70"/>
  <c r="N281" i="70"/>
  <c r="P281" i="70"/>
  <c r="Q281" i="70"/>
  <c r="E287" i="70"/>
  <c r="J281" i="70"/>
  <c r="G281" i="70"/>
  <c r="H281" i="70"/>
  <c r="O281" i="70"/>
  <c r="I281" i="70"/>
  <c r="M281" i="70"/>
  <c r="K282" i="70"/>
  <c r="I282" i="70"/>
  <c r="Q282" i="70"/>
  <c r="H282" i="70"/>
  <c r="J282" i="70"/>
  <c r="P282" i="70"/>
  <c r="G282" i="70"/>
  <c r="M282" i="70"/>
  <c r="L282" i="70"/>
  <c r="O282" i="70"/>
  <c r="N282" i="70"/>
  <c r="Z282" i="70"/>
  <c r="Y282" i="70"/>
  <c r="S282" i="70"/>
  <c r="T282" i="70"/>
  <c r="W282" i="70"/>
  <c r="AA282" i="70"/>
  <c r="R282" i="70"/>
  <c r="V282" i="70"/>
  <c r="AB282" i="70"/>
  <c r="U282" i="70"/>
  <c r="X282" i="70"/>
  <c r="AA283" i="70"/>
  <c r="Z283" i="70"/>
  <c r="R283" i="70"/>
  <c r="Y283" i="70"/>
  <c r="T283" i="70"/>
  <c r="AB283" i="70"/>
  <c r="U283" i="70"/>
  <c r="V283" i="70"/>
  <c r="W283" i="70"/>
  <c r="X283" i="70"/>
  <c r="S283" i="70"/>
  <c r="L283" i="70"/>
  <c r="G283" i="70"/>
  <c r="O283" i="70"/>
  <c r="Q283" i="70"/>
  <c r="I283" i="70"/>
  <c r="N283" i="70"/>
  <c r="H283" i="70"/>
  <c r="P283" i="70"/>
  <c r="J283" i="70"/>
  <c r="M283" i="70"/>
  <c r="K283" i="70"/>
  <c r="E298" i="70"/>
  <c r="A298" i="70"/>
  <c r="F298" i="70"/>
  <c r="B298" i="70"/>
  <c r="B296" i="70"/>
  <c r="F296" i="70"/>
  <c r="A296" i="70"/>
  <c r="E296" i="70"/>
  <c r="E295" i="70"/>
  <c r="A295" i="70"/>
  <c r="F295" i="70"/>
  <c r="B295" i="70"/>
  <c r="AP28" i="75"/>
  <c r="AG28" i="75"/>
  <c r="AN28" i="75"/>
  <c r="AJ28" i="75"/>
  <c r="AF28" i="75"/>
  <c r="AM28" i="75"/>
  <c r="AI28" i="75"/>
  <c r="AL28" i="75"/>
  <c r="AH28" i="75"/>
  <c r="AO28" i="75"/>
  <c r="AK28" i="75"/>
  <c r="U302" i="70"/>
  <c r="AC314" i="70"/>
  <c r="AD322" i="70" l="1"/>
  <c r="AD319" i="70"/>
  <c r="AD317" i="70"/>
  <c r="AD318" i="70"/>
  <c r="AD320" i="70"/>
  <c r="AD321" i="70"/>
  <c r="C295" i="70"/>
  <c r="D295" i="70"/>
  <c r="N296" i="70"/>
  <c r="I296" i="70"/>
  <c r="H296" i="70"/>
  <c r="K296" i="70"/>
  <c r="L296" i="70"/>
  <c r="G296" i="70"/>
  <c r="M296" i="70"/>
  <c r="O296" i="70"/>
  <c r="P296" i="70"/>
  <c r="J296" i="70"/>
  <c r="Q296" i="70"/>
  <c r="AA296" i="70"/>
  <c r="W296" i="70"/>
  <c r="AB296" i="70"/>
  <c r="Y296" i="70"/>
  <c r="U296" i="70"/>
  <c r="Z296" i="70"/>
  <c r="X296" i="70"/>
  <c r="T296" i="70"/>
  <c r="S296" i="70"/>
  <c r="V296" i="70"/>
  <c r="R296" i="70"/>
  <c r="C298" i="70"/>
  <c r="D298" i="70"/>
  <c r="O287" i="70"/>
  <c r="L287" i="70"/>
  <c r="C287" i="70"/>
  <c r="P287" i="70"/>
  <c r="N287" i="70"/>
  <c r="H287" i="70"/>
  <c r="K287" i="70"/>
  <c r="I287" i="70"/>
  <c r="G287" i="70"/>
  <c r="J287" i="70"/>
  <c r="Q287" i="70"/>
  <c r="M287" i="70"/>
  <c r="S294" i="70"/>
  <c r="AA294" i="70"/>
  <c r="T294" i="70"/>
  <c r="Z294" i="70"/>
  <c r="Y294" i="70"/>
  <c r="W294" i="70"/>
  <c r="AB294" i="70"/>
  <c r="V294" i="70"/>
  <c r="X294" i="70"/>
  <c r="U294" i="70"/>
  <c r="R294" i="70"/>
  <c r="I294" i="70"/>
  <c r="O294" i="70"/>
  <c r="M294" i="70"/>
  <c r="N294" i="70"/>
  <c r="H294" i="70"/>
  <c r="J294" i="70"/>
  <c r="G294" i="70"/>
  <c r="K294" i="70"/>
  <c r="L294" i="70"/>
  <c r="Q294" i="70"/>
  <c r="P294" i="70"/>
  <c r="Y293" i="70"/>
  <c r="AB293" i="70"/>
  <c r="T293" i="70"/>
  <c r="U293" i="70"/>
  <c r="Z293" i="70"/>
  <c r="AA293" i="70"/>
  <c r="V293" i="70"/>
  <c r="S293" i="70"/>
  <c r="X293" i="70"/>
  <c r="F299" i="70"/>
  <c r="W293" i="70"/>
  <c r="R293" i="70"/>
  <c r="P293" i="70"/>
  <c r="M293" i="70"/>
  <c r="J293" i="70"/>
  <c r="K293" i="70"/>
  <c r="L293" i="70"/>
  <c r="I293" i="70"/>
  <c r="O293" i="70"/>
  <c r="H293" i="70"/>
  <c r="Q293" i="70"/>
  <c r="E299" i="70"/>
  <c r="G293" i="70"/>
  <c r="N293" i="70"/>
  <c r="C297" i="70"/>
  <c r="D297" i="70"/>
  <c r="Y287" i="70"/>
  <c r="Z287" i="70"/>
  <c r="X287" i="70"/>
  <c r="W287" i="70"/>
  <c r="V287" i="70"/>
  <c r="T287" i="70"/>
  <c r="U287" i="70"/>
  <c r="R287" i="70"/>
  <c r="AA287" i="70"/>
  <c r="S287" i="70"/>
  <c r="AB287" i="70"/>
  <c r="A306" i="70"/>
  <c r="E306" i="70"/>
  <c r="F306" i="70"/>
  <c r="B306" i="70"/>
  <c r="F305" i="70"/>
  <c r="U301" i="70"/>
  <c r="A305" i="70"/>
  <c r="E305" i="70"/>
  <c r="B305" i="70"/>
  <c r="B309" i="70"/>
  <c r="F309" i="70"/>
  <c r="E309" i="70"/>
  <c r="A309" i="70"/>
  <c r="S295" i="70"/>
  <c r="V295" i="70"/>
  <c r="Y295" i="70"/>
  <c r="AB295" i="70"/>
  <c r="T295" i="70"/>
  <c r="W295" i="70"/>
  <c r="Z295" i="70"/>
  <c r="R295" i="70"/>
  <c r="U295" i="70"/>
  <c r="X295" i="70"/>
  <c r="AA295" i="70"/>
  <c r="J295" i="70"/>
  <c r="Q295" i="70"/>
  <c r="L295" i="70"/>
  <c r="M295" i="70"/>
  <c r="G295" i="70"/>
  <c r="N295" i="70"/>
  <c r="I295" i="70"/>
  <c r="P295" i="70"/>
  <c r="H295" i="70"/>
  <c r="K295" i="70"/>
  <c r="O295" i="70"/>
  <c r="C296" i="70"/>
  <c r="D296" i="70"/>
  <c r="R298" i="70"/>
  <c r="Z298" i="70"/>
  <c r="W298" i="70"/>
  <c r="X298" i="70"/>
  <c r="U298" i="70"/>
  <c r="AA298" i="70"/>
  <c r="V298" i="70"/>
  <c r="S298" i="70"/>
  <c r="T298" i="70"/>
  <c r="AB298" i="70"/>
  <c r="Y298" i="70"/>
  <c r="I298" i="70"/>
  <c r="G298" i="70"/>
  <c r="O298" i="70"/>
  <c r="H298" i="70"/>
  <c r="L298" i="70"/>
  <c r="J298" i="70"/>
  <c r="M298" i="70"/>
  <c r="K298" i="70"/>
  <c r="N298" i="70"/>
  <c r="P298" i="70"/>
  <c r="Q298" i="70"/>
  <c r="C294" i="70"/>
  <c r="D294" i="70"/>
  <c r="C293" i="70"/>
  <c r="D293" i="70"/>
  <c r="R297" i="70"/>
  <c r="V297" i="70"/>
  <c r="AB297" i="70"/>
  <c r="W297" i="70"/>
  <c r="S297" i="70"/>
  <c r="Z297" i="70"/>
  <c r="U297" i="70"/>
  <c r="Y297" i="70"/>
  <c r="T297" i="70"/>
  <c r="X297" i="70"/>
  <c r="AA297" i="70"/>
  <c r="P297" i="70"/>
  <c r="K297" i="70"/>
  <c r="J297" i="70"/>
  <c r="I297" i="70"/>
  <c r="Q297" i="70"/>
  <c r="L297" i="70"/>
  <c r="G297" i="70"/>
  <c r="O297" i="70"/>
  <c r="N297" i="70"/>
  <c r="M297" i="70"/>
  <c r="H297" i="70"/>
  <c r="B307" i="70"/>
  <c r="F307" i="70"/>
  <c r="A307" i="70"/>
  <c r="E307" i="70"/>
  <c r="B308" i="70"/>
  <c r="F308" i="70"/>
  <c r="E308" i="70"/>
  <c r="A308" i="70"/>
  <c r="A310" i="70"/>
  <c r="E310" i="70"/>
  <c r="B310" i="70"/>
  <c r="F310" i="70"/>
  <c r="AC326" i="70"/>
  <c r="U314" i="70"/>
  <c r="D310" i="70" l="1"/>
  <c r="C310" i="70"/>
  <c r="C308" i="70"/>
  <c r="D308" i="70"/>
  <c r="D307" i="70"/>
  <c r="C307" i="70"/>
  <c r="AA310" i="70"/>
  <c r="AB310" i="70"/>
  <c r="U310" i="70"/>
  <c r="R310" i="70"/>
  <c r="W310" i="70"/>
  <c r="V310" i="70"/>
  <c r="Y310" i="70"/>
  <c r="T310" i="70"/>
  <c r="X310" i="70"/>
  <c r="Z310" i="70"/>
  <c r="S310" i="70"/>
  <c r="Q310" i="70"/>
  <c r="G310" i="70"/>
  <c r="J310" i="70"/>
  <c r="I310" i="70"/>
  <c r="M310" i="70"/>
  <c r="P310" i="70"/>
  <c r="N310" i="70"/>
  <c r="O310" i="70"/>
  <c r="K310" i="70"/>
  <c r="L310" i="70"/>
  <c r="H310" i="70"/>
  <c r="Y308" i="70"/>
  <c r="S308" i="70"/>
  <c r="W308" i="70"/>
  <c r="R308" i="70"/>
  <c r="U308" i="70"/>
  <c r="T308" i="70"/>
  <c r="AA308" i="70"/>
  <c r="V308" i="70"/>
  <c r="Z308" i="70"/>
  <c r="X308" i="70"/>
  <c r="AB308" i="70"/>
  <c r="Q307" i="70"/>
  <c r="K307" i="70"/>
  <c r="M307" i="70"/>
  <c r="J307" i="70"/>
  <c r="H307" i="70"/>
  <c r="P307" i="70"/>
  <c r="L307" i="70"/>
  <c r="N307" i="70"/>
  <c r="G307" i="70"/>
  <c r="I307" i="70"/>
  <c r="O307" i="70"/>
  <c r="Y307" i="70"/>
  <c r="Z307" i="70"/>
  <c r="AA307" i="70"/>
  <c r="R307" i="70"/>
  <c r="W307" i="70"/>
  <c r="V307" i="70"/>
  <c r="U307" i="70"/>
  <c r="S307" i="70"/>
  <c r="X307" i="70"/>
  <c r="T307" i="70"/>
  <c r="AB307" i="70"/>
  <c r="AB309" i="70"/>
  <c r="Z309" i="70"/>
  <c r="AA309" i="70"/>
  <c r="R309" i="70"/>
  <c r="V309" i="70"/>
  <c r="Y309" i="70"/>
  <c r="W309" i="70"/>
  <c r="T309" i="70"/>
  <c r="U309" i="70"/>
  <c r="S309" i="70"/>
  <c r="X309" i="70"/>
  <c r="D305" i="70"/>
  <c r="C305" i="70"/>
  <c r="X305" i="70"/>
  <c r="S305" i="70"/>
  <c r="T305" i="70"/>
  <c r="Z305" i="70"/>
  <c r="U305" i="70"/>
  <c r="V305" i="70"/>
  <c r="AA305" i="70"/>
  <c r="W305" i="70"/>
  <c r="Y305" i="70"/>
  <c r="AB305" i="70"/>
  <c r="R305" i="70"/>
  <c r="F311" i="70"/>
  <c r="U306" i="70"/>
  <c r="Y306" i="70"/>
  <c r="T306" i="70"/>
  <c r="S306" i="70"/>
  <c r="R306" i="70"/>
  <c r="AA306" i="70"/>
  <c r="X306" i="70"/>
  <c r="AB306" i="70"/>
  <c r="V306" i="70"/>
  <c r="Z306" i="70"/>
  <c r="W306" i="70"/>
  <c r="N299" i="70"/>
  <c r="M299" i="70"/>
  <c r="P299" i="70"/>
  <c r="H299" i="70"/>
  <c r="G299" i="70"/>
  <c r="C299" i="70"/>
  <c r="O299" i="70"/>
  <c r="Q299" i="70"/>
  <c r="I299" i="70"/>
  <c r="L299" i="70"/>
  <c r="K299" i="70"/>
  <c r="J299" i="70"/>
  <c r="W299" i="70"/>
  <c r="Z299" i="70"/>
  <c r="R299" i="70"/>
  <c r="U299" i="70"/>
  <c r="X299" i="70"/>
  <c r="AA299" i="70"/>
  <c r="S299" i="70"/>
  <c r="V299" i="70"/>
  <c r="Y299" i="70"/>
  <c r="AB299" i="70"/>
  <c r="T299" i="70"/>
  <c r="E321" i="70"/>
  <c r="A321" i="70"/>
  <c r="F321" i="70"/>
  <c r="B321" i="70"/>
  <c r="B318" i="70"/>
  <c r="F318" i="70"/>
  <c r="A318" i="70"/>
  <c r="E318" i="70"/>
  <c r="E319" i="70"/>
  <c r="A319" i="70"/>
  <c r="F319" i="70"/>
  <c r="B319" i="70"/>
  <c r="AD331" i="70"/>
  <c r="AD333" i="70"/>
  <c r="AD332" i="70"/>
  <c r="AD329" i="70"/>
  <c r="AD330" i="70"/>
  <c r="AD334" i="70"/>
  <c r="H308" i="70"/>
  <c r="I308" i="70"/>
  <c r="M308" i="70"/>
  <c r="N308" i="70"/>
  <c r="O308" i="70"/>
  <c r="Q308" i="70"/>
  <c r="P308" i="70"/>
  <c r="L308" i="70"/>
  <c r="K308" i="70"/>
  <c r="G308" i="70"/>
  <c r="J308" i="70"/>
  <c r="P309" i="70"/>
  <c r="K309" i="70"/>
  <c r="O309" i="70"/>
  <c r="Q309" i="70"/>
  <c r="G309" i="70"/>
  <c r="M309" i="70"/>
  <c r="H309" i="70"/>
  <c r="L309" i="70"/>
  <c r="N309" i="70"/>
  <c r="I309" i="70"/>
  <c r="J309" i="70"/>
  <c r="C309" i="70"/>
  <c r="D309" i="70"/>
  <c r="G305" i="70"/>
  <c r="O305" i="70"/>
  <c r="L305" i="70"/>
  <c r="I305" i="70"/>
  <c r="Q305" i="70"/>
  <c r="N305" i="70"/>
  <c r="K305" i="70"/>
  <c r="H305" i="70"/>
  <c r="P305" i="70"/>
  <c r="M305" i="70"/>
  <c r="J305" i="70"/>
  <c r="E311" i="70"/>
  <c r="D306" i="70"/>
  <c r="C306" i="70"/>
  <c r="J306" i="70"/>
  <c r="N306" i="70"/>
  <c r="O306" i="70"/>
  <c r="P306" i="70"/>
  <c r="L306" i="70"/>
  <c r="Q306" i="70"/>
  <c r="K306" i="70"/>
  <c r="G306" i="70"/>
  <c r="M306" i="70"/>
  <c r="H306" i="70"/>
  <c r="I306" i="70"/>
  <c r="B320" i="70"/>
  <c r="F320" i="70"/>
  <c r="E320" i="70"/>
  <c r="A320" i="70"/>
  <c r="A317" i="70"/>
  <c r="F317" i="70"/>
  <c r="U313" i="70"/>
  <c r="B317" i="70"/>
  <c r="E317" i="70"/>
  <c r="F322" i="70"/>
  <c r="A322" i="70"/>
  <c r="E322" i="70"/>
  <c r="B322" i="70"/>
  <c r="U326" i="70"/>
  <c r="AC338" i="70"/>
  <c r="Q322" i="70" l="1"/>
  <c r="J322" i="70"/>
  <c r="N322" i="70"/>
  <c r="L322" i="70"/>
  <c r="H322" i="70"/>
  <c r="P322" i="70"/>
  <c r="G322" i="70"/>
  <c r="O322" i="70"/>
  <c r="M322" i="70"/>
  <c r="I322" i="70"/>
  <c r="K322" i="70"/>
  <c r="C317" i="70"/>
  <c r="D317" i="70"/>
  <c r="AD345" i="70"/>
  <c r="AD343" i="70"/>
  <c r="AD342" i="70"/>
  <c r="AD341" i="70"/>
  <c r="AD346" i="70"/>
  <c r="AD344" i="70"/>
  <c r="D322" i="70"/>
  <c r="C322" i="70"/>
  <c r="K317" i="70"/>
  <c r="G317" i="70"/>
  <c r="J317" i="70"/>
  <c r="H317" i="70"/>
  <c r="Q317" i="70"/>
  <c r="E323" i="70"/>
  <c r="I317" i="70"/>
  <c r="N317" i="70"/>
  <c r="O317" i="70"/>
  <c r="P317" i="70"/>
  <c r="M317" i="70"/>
  <c r="L317" i="70"/>
  <c r="L320" i="70"/>
  <c r="M320" i="70"/>
  <c r="O320" i="70"/>
  <c r="N320" i="70"/>
  <c r="K320" i="70"/>
  <c r="Q320" i="70"/>
  <c r="I320" i="70"/>
  <c r="H320" i="70"/>
  <c r="G320" i="70"/>
  <c r="P320" i="70"/>
  <c r="J320" i="70"/>
  <c r="D320" i="70"/>
  <c r="C320" i="70"/>
  <c r="N311" i="70"/>
  <c r="M311" i="70"/>
  <c r="H311" i="70"/>
  <c r="G311" i="70"/>
  <c r="Q311" i="70"/>
  <c r="L311" i="70"/>
  <c r="K311" i="70"/>
  <c r="C311" i="70"/>
  <c r="P311" i="70"/>
  <c r="O311" i="70"/>
  <c r="J311" i="70"/>
  <c r="I311" i="70"/>
  <c r="E334" i="70"/>
  <c r="A334" i="70"/>
  <c r="B334" i="70"/>
  <c r="F334" i="70"/>
  <c r="A329" i="70"/>
  <c r="U325" i="70"/>
  <c r="B329" i="70"/>
  <c r="E329" i="70"/>
  <c r="F329" i="70"/>
  <c r="F333" i="70"/>
  <c r="A333" i="70"/>
  <c r="E333" i="70"/>
  <c r="B333" i="70"/>
  <c r="D319" i="70"/>
  <c r="C319" i="70"/>
  <c r="Q318" i="70"/>
  <c r="O318" i="70"/>
  <c r="L318" i="70"/>
  <c r="P318" i="70"/>
  <c r="J318" i="70"/>
  <c r="H318" i="70"/>
  <c r="G318" i="70"/>
  <c r="M318" i="70"/>
  <c r="K318" i="70"/>
  <c r="N318" i="70"/>
  <c r="I318" i="70"/>
  <c r="AB318" i="70"/>
  <c r="U318" i="70"/>
  <c r="S318" i="70"/>
  <c r="W318" i="70"/>
  <c r="X318" i="70"/>
  <c r="AA318" i="70"/>
  <c r="V318" i="70"/>
  <c r="Y318" i="70"/>
  <c r="T318" i="70"/>
  <c r="R318" i="70"/>
  <c r="Z318" i="70"/>
  <c r="D321" i="70"/>
  <c r="C321" i="70"/>
  <c r="T311" i="70"/>
  <c r="W311" i="70"/>
  <c r="Z311" i="70"/>
  <c r="R311" i="70"/>
  <c r="AB311" i="70"/>
  <c r="U311" i="70"/>
  <c r="AA311" i="70"/>
  <c r="S311" i="70"/>
  <c r="V311" i="70"/>
  <c r="Y311" i="70"/>
  <c r="X311" i="70"/>
  <c r="Y322" i="70"/>
  <c r="AB322" i="70"/>
  <c r="V322" i="70"/>
  <c r="U322" i="70"/>
  <c r="W322" i="70"/>
  <c r="AA322" i="70"/>
  <c r="T322" i="70"/>
  <c r="X322" i="70"/>
  <c r="S322" i="70"/>
  <c r="R322" i="70"/>
  <c r="Z322" i="70"/>
  <c r="X317" i="70"/>
  <c r="S317" i="70"/>
  <c r="T317" i="70"/>
  <c r="U317" i="70"/>
  <c r="F323" i="70"/>
  <c r="Y317" i="70"/>
  <c r="Z317" i="70"/>
  <c r="AA317" i="70"/>
  <c r="AB317" i="70"/>
  <c r="W317" i="70"/>
  <c r="R317" i="70"/>
  <c r="V317" i="70"/>
  <c r="S320" i="70"/>
  <c r="AA320" i="70"/>
  <c r="W320" i="70"/>
  <c r="AB320" i="70"/>
  <c r="Z320" i="70"/>
  <c r="Y320" i="70"/>
  <c r="V320" i="70"/>
  <c r="R320" i="70"/>
  <c r="T320" i="70"/>
  <c r="U320" i="70"/>
  <c r="X320" i="70"/>
  <c r="F330" i="70"/>
  <c r="B330" i="70"/>
  <c r="E330" i="70"/>
  <c r="A330" i="70"/>
  <c r="F332" i="70"/>
  <c r="B332" i="70"/>
  <c r="E332" i="70"/>
  <c r="A332" i="70"/>
  <c r="F331" i="70"/>
  <c r="E331" i="70"/>
  <c r="B331" i="70"/>
  <c r="A331" i="70"/>
  <c r="AB319" i="70"/>
  <c r="Z319" i="70"/>
  <c r="X319" i="70"/>
  <c r="T319" i="70"/>
  <c r="R319" i="70"/>
  <c r="U319" i="70"/>
  <c r="V319" i="70"/>
  <c r="S319" i="70"/>
  <c r="AA319" i="70"/>
  <c r="W319" i="70"/>
  <c r="Y319" i="70"/>
  <c r="P319" i="70"/>
  <c r="M319" i="70"/>
  <c r="I319" i="70"/>
  <c r="K319" i="70"/>
  <c r="Q319" i="70"/>
  <c r="O319" i="70"/>
  <c r="J319" i="70"/>
  <c r="N319" i="70"/>
  <c r="H319" i="70"/>
  <c r="G319" i="70"/>
  <c r="L319" i="70"/>
  <c r="D318" i="70"/>
  <c r="C318" i="70"/>
  <c r="Z321" i="70"/>
  <c r="S321" i="70"/>
  <c r="X321" i="70"/>
  <c r="Y321" i="70"/>
  <c r="R321" i="70"/>
  <c r="AB321" i="70"/>
  <c r="V321" i="70"/>
  <c r="AA321" i="70"/>
  <c r="U321" i="70"/>
  <c r="T321" i="70"/>
  <c r="W321" i="70"/>
  <c r="Q321" i="70"/>
  <c r="N321" i="70"/>
  <c r="O321" i="70"/>
  <c r="H321" i="70"/>
  <c r="J321" i="70"/>
  <c r="P321" i="70"/>
  <c r="I321" i="70"/>
  <c r="L321" i="70"/>
  <c r="G321" i="70"/>
  <c r="K321" i="70"/>
  <c r="M321" i="70"/>
  <c r="AC350" i="70"/>
  <c r="U338" i="70"/>
  <c r="I331" i="70" l="1"/>
  <c r="Q331" i="70"/>
  <c r="L331" i="70"/>
  <c r="K331" i="70"/>
  <c r="J331" i="70"/>
  <c r="P331" i="70"/>
  <c r="M331" i="70"/>
  <c r="H331" i="70"/>
  <c r="G331" i="70"/>
  <c r="O331" i="70"/>
  <c r="N331" i="70"/>
  <c r="C332" i="70"/>
  <c r="D332" i="70"/>
  <c r="D330" i="70"/>
  <c r="C330" i="70"/>
  <c r="AA323" i="70"/>
  <c r="V323" i="70"/>
  <c r="U323" i="70"/>
  <c r="X323" i="70"/>
  <c r="W323" i="70"/>
  <c r="R323" i="70"/>
  <c r="S323" i="70"/>
  <c r="Y323" i="70"/>
  <c r="AB323" i="70"/>
  <c r="T323" i="70"/>
  <c r="Z323" i="70"/>
  <c r="I333" i="70"/>
  <c r="Q333" i="70"/>
  <c r="L333" i="70"/>
  <c r="K333" i="70"/>
  <c r="J333" i="70"/>
  <c r="P333" i="70"/>
  <c r="M333" i="70"/>
  <c r="H333" i="70"/>
  <c r="G333" i="70"/>
  <c r="O333" i="70"/>
  <c r="N333" i="70"/>
  <c r="X333" i="70"/>
  <c r="AA333" i="70"/>
  <c r="S333" i="70"/>
  <c r="V333" i="70"/>
  <c r="Y333" i="70"/>
  <c r="AB333" i="70"/>
  <c r="T333" i="70"/>
  <c r="W333" i="70"/>
  <c r="Z333" i="70"/>
  <c r="R333" i="70"/>
  <c r="U333" i="70"/>
  <c r="N329" i="70"/>
  <c r="O329" i="70"/>
  <c r="L329" i="70"/>
  <c r="K329" i="70"/>
  <c r="Q329" i="70"/>
  <c r="E335" i="70"/>
  <c r="I329" i="70"/>
  <c r="G329" i="70"/>
  <c r="J329" i="70"/>
  <c r="M329" i="70"/>
  <c r="P329" i="70"/>
  <c r="H329" i="70"/>
  <c r="Y334" i="70"/>
  <c r="W334" i="70"/>
  <c r="U334" i="70"/>
  <c r="T334" i="70"/>
  <c r="V334" i="70"/>
  <c r="AB334" i="70"/>
  <c r="R334" i="70"/>
  <c r="X334" i="70"/>
  <c r="Z334" i="70"/>
  <c r="AA334" i="70"/>
  <c r="S334" i="70"/>
  <c r="F346" i="70"/>
  <c r="A346" i="70"/>
  <c r="B346" i="70"/>
  <c r="E346" i="70"/>
  <c r="F342" i="70"/>
  <c r="A342" i="70"/>
  <c r="E342" i="70"/>
  <c r="B342" i="70"/>
  <c r="A345" i="70"/>
  <c r="E345" i="70"/>
  <c r="B345" i="70"/>
  <c r="F345" i="70"/>
  <c r="U350" i="70"/>
  <c r="AD356" i="70"/>
  <c r="AD357" i="70"/>
  <c r="AD354" i="70"/>
  <c r="AD353" i="70"/>
  <c r="AD358" i="70"/>
  <c r="AD355" i="70"/>
  <c r="D331" i="70"/>
  <c r="C331" i="70"/>
  <c r="Z331" i="70"/>
  <c r="R331" i="70"/>
  <c r="U331" i="70"/>
  <c r="X331" i="70"/>
  <c r="AA331" i="70"/>
  <c r="S331" i="70"/>
  <c r="V331" i="70"/>
  <c r="Y331" i="70"/>
  <c r="AB331" i="70"/>
  <c r="T331" i="70"/>
  <c r="W331" i="70"/>
  <c r="Q332" i="70"/>
  <c r="J332" i="70"/>
  <c r="I332" i="70"/>
  <c r="H332" i="70"/>
  <c r="K332" i="70"/>
  <c r="L332" i="70"/>
  <c r="O332" i="70"/>
  <c r="N332" i="70"/>
  <c r="P332" i="70"/>
  <c r="G332" i="70"/>
  <c r="M332" i="70"/>
  <c r="U332" i="70"/>
  <c r="AB332" i="70"/>
  <c r="S332" i="70"/>
  <c r="R332" i="70"/>
  <c r="T332" i="70"/>
  <c r="AA332" i="70"/>
  <c r="X332" i="70"/>
  <c r="V332" i="70"/>
  <c r="Y332" i="70"/>
  <c r="W332" i="70"/>
  <c r="Z332" i="70"/>
  <c r="Q330" i="70"/>
  <c r="M330" i="70"/>
  <c r="K330" i="70"/>
  <c r="L330" i="70"/>
  <c r="O330" i="70"/>
  <c r="G330" i="70"/>
  <c r="I330" i="70"/>
  <c r="H330" i="70"/>
  <c r="J330" i="70"/>
  <c r="P330" i="70"/>
  <c r="N330" i="70"/>
  <c r="Y330" i="70"/>
  <c r="V330" i="70"/>
  <c r="T330" i="70"/>
  <c r="Z330" i="70"/>
  <c r="U330" i="70"/>
  <c r="X330" i="70"/>
  <c r="W330" i="70"/>
  <c r="AA330" i="70"/>
  <c r="AB330" i="70"/>
  <c r="R330" i="70"/>
  <c r="S330" i="70"/>
  <c r="C333" i="70"/>
  <c r="D333" i="70"/>
  <c r="X329" i="70"/>
  <c r="U329" i="70"/>
  <c r="S329" i="70"/>
  <c r="V329" i="70"/>
  <c r="W329" i="70"/>
  <c r="R329" i="70"/>
  <c r="Z329" i="70"/>
  <c r="F335" i="70"/>
  <c r="T329" i="70"/>
  <c r="AA329" i="70"/>
  <c r="Y329" i="70"/>
  <c r="AB329" i="70"/>
  <c r="C329" i="70"/>
  <c r="D329" i="70"/>
  <c r="C334" i="70"/>
  <c r="D334" i="70"/>
  <c r="Q334" i="70"/>
  <c r="H334" i="70"/>
  <c r="O334" i="70"/>
  <c r="N334" i="70"/>
  <c r="K334" i="70"/>
  <c r="L334" i="70"/>
  <c r="M334" i="70"/>
  <c r="I334" i="70"/>
  <c r="G334" i="70"/>
  <c r="P334" i="70"/>
  <c r="J334" i="70"/>
  <c r="K323" i="70"/>
  <c r="C323" i="70"/>
  <c r="P323" i="70"/>
  <c r="O323" i="70"/>
  <c r="J323" i="70"/>
  <c r="I323" i="70"/>
  <c r="N323" i="70"/>
  <c r="M323" i="70"/>
  <c r="H323" i="70"/>
  <c r="G323" i="70"/>
  <c r="Q323" i="70"/>
  <c r="L323" i="70"/>
  <c r="F344" i="70"/>
  <c r="A344" i="70"/>
  <c r="B344" i="70"/>
  <c r="E344" i="70"/>
  <c r="F341" i="70"/>
  <c r="U337" i="70"/>
  <c r="A341" i="70"/>
  <c r="B341" i="70"/>
  <c r="E341" i="70"/>
  <c r="B343" i="70"/>
  <c r="F343" i="70"/>
  <c r="E343" i="70"/>
  <c r="A343" i="70"/>
  <c r="H10" i="4"/>
  <c r="F10" i="4"/>
  <c r="H9" i="4"/>
  <c r="F9" i="4"/>
  <c r="H11" i="4"/>
  <c r="H12" i="4"/>
  <c r="F7" i="4"/>
  <c r="F6" i="4" s="1"/>
  <c r="H8" i="4"/>
  <c r="G341" i="70" l="1"/>
  <c r="P341" i="70"/>
  <c r="N341" i="70"/>
  <c r="Q341" i="70"/>
  <c r="H341" i="70"/>
  <c r="K341" i="70"/>
  <c r="L341" i="70"/>
  <c r="I341" i="70"/>
  <c r="O341" i="70"/>
  <c r="M341" i="70"/>
  <c r="J341" i="70"/>
  <c r="E347" i="70"/>
  <c r="AB341" i="70"/>
  <c r="U341" i="70"/>
  <c r="Z341" i="70"/>
  <c r="W341" i="70"/>
  <c r="Y341" i="70"/>
  <c r="X341" i="70"/>
  <c r="AA341" i="70"/>
  <c r="R341" i="70"/>
  <c r="F347" i="70"/>
  <c r="S341" i="70"/>
  <c r="T341" i="70"/>
  <c r="V341" i="70"/>
  <c r="AB344" i="70"/>
  <c r="T344" i="70"/>
  <c r="W344" i="70"/>
  <c r="Z344" i="70"/>
  <c r="R344" i="70"/>
  <c r="U344" i="70"/>
  <c r="X344" i="70"/>
  <c r="AA344" i="70"/>
  <c r="S344" i="70"/>
  <c r="V344" i="70"/>
  <c r="Y344" i="70"/>
  <c r="H343" i="70"/>
  <c r="I343" i="70"/>
  <c r="M343" i="70"/>
  <c r="J343" i="70"/>
  <c r="G343" i="70"/>
  <c r="Q343" i="70"/>
  <c r="P343" i="70"/>
  <c r="L343" i="70"/>
  <c r="K343" i="70"/>
  <c r="O343" i="70"/>
  <c r="N343" i="70"/>
  <c r="C343" i="70"/>
  <c r="D343" i="70"/>
  <c r="D341" i="70"/>
  <c r="C341" i="70"/>
  <c r="P344" i="70"/>
  <c r="M344" i="70"/>
  <c r="H344" i="70"/>
  <c r="G344" i="70"/>
  <c r="O344" i="70"/>
  <c r="N344" i="70"/>
  <c r="I344" i="70"/>
  <c r="Q344" i="70"/>
  <c r="L344" i="70"/>
  <c r="K344" i="70"/>
  <c r="J344" i="70"/>
  <c r="A355" i="70"/>
  <c r="F355" i="70"/>
  <c r="E355" i="70"/>
  <c r="B355" i="70"/>
  <c r="E353" i="70"/>
  <c r="A353" i="70"/>
  <c r="U349" i="70"/>
  <c r="F353" i="70"/>
  <c r="B353" i="70"/>
  <c r="B357" i="70"/>
  <c r="A357" i="70"/>
  <c r="F357" i="70"/>
  <c r="E357" i="70"/>
  <c r="D345" i="70"/>
  <c r="C345" i="70"/>
  <c r="K342" i="70"/>
  <c r="L342" i="70"/>
  <c r="M342" i="70"/>
  <c r="N342" i="70"/>
  <c r="I342" i="70"/>
  <c r="O342" i="70"/>
  <c r="P342" i="70"/>
  <c r="H342" i="70"/>
  <c r="G342" i="70"/>
  <c r="J342" i="70"/>
  <c r="Q342" i="70"/>
  <c r="AB342" i="70"/>
  <c r="T342" i="70"/>
  <c r="Z342" i="70"/>
  <c r="R342" i="70"/>
  <c r="Y342" i="70"/>
  <c r="W342" i="70"/>
  <c r="X342" i="70"/>
  <c r="S342" i="70"/>
  <c r="V342" i="70"/>
  <c r="U342" i="70"/>
  <c r="AA342" i="70"/>
  <c r="C346" i="70"/>
  <c r="D346" i="70"/>
  <c r="V346" i="70"/>
  <c r="Y346" i="70"/>
  <c r="AB346" i="70"/>
  <c r="T346" i="70"/>
  <c r="W346" i="70"/>
  <c r="Z346" i="70"/>
  <c r="R346" i="70"/>
  <c r="U346" i="70"/>
  <c r="X346" i="70"/>
  <c r="AA346" i="70"/>
  <c r="S346" i="70"/>
  <c r="P335" i="70"/>
  <c r="K335" i="70"/>
  <c r="C335" i="70"/>
  <c r="I335" i="70"/>
  <c r="O335" i="70"/>
  <c r="J335" i="70"/>
  <c r="M335" i="70"/>
  <c r="H335" i="70"/>
  <c r="N335" i="70"/>
  <c r="Q335" i="70"/>
  <c r="L335" i="70"/>
  <c r="G335" i="70"/>
  <c r="Y343" i="70"/>
  <c r="Z343" i="70"/>
  <c r="AA343" i="70"/>
  <c r="V343" i="70"/>
  <c r="AB343" i="70"/>
  <c r="X343" i="70"/>
  <c r="W343" i="70"/>
  <c r="R343" i="70"/>
  <c r="S343" i="70"/>
  <c r="T343" i="70"/>
  <c r="U343" i="70"/>
  <c r="D344" i="70"/>
  <c r="C344" i="70"/>
  <c r="V335" i="70"/>
  <c r="U335" i="70"/>
  <c r="X335" i="70"/>
  <c r="AA335" i="70"/>
  <c r="Z335" i="70"/>
  <c r="W335" i="70"/>
  <c r="Y335" i="70"/>
  <c r="AB335" i="70"/>
  <c r="T335" i="70"/>
  <c r="S335" i="70"/>
  <c r="R335" i="70"/>
  <c r="A358" i="70"/>
  <c r="E358" i="70"/>
  <c r="F358" i="70"/>
  <c r="B358" i="70"/>
  <c r="B354" i="70"/>
  <c r="A354" i="70"/>
  <c r="E354" i="70"/>
  <c r="F354" i="70"/>
  <c r="A356" i="70"/>
  <c r="E356" i="70"/>
  <c r="B356" i="70"/>
  <c r="F356" i="70"/>
  <c r="U345" i="70"/>
  <c r="AA345" i="70"/>
  <c r="X345" i="70"/>
  <c r="AB345" i="70"/>
  <c r="V345" i="70"/>
  <c r="R345" i="70"/>
  <c r="Z345" i="70"/>
  <c r="Y345" i="70"/>
  <c r="S345" i="70"/>
  <c r="T345" i="70"/>
  <c r="W345" i="70"/>
  <c r="N345" i="70"/>
  <c r="O345" i="70"/>
  <c r="K345" i="70"/>
  <c r="P345" i="70"/>
  <c r="L345" i="70"/>
  <c r="Q345" i="70"/>
  <c r="G345" i="70"/>
  <c r="J345" i="70"/>
  <c r="I345" i="70"/>
  <c r="H345" i="70"/>
  <c r="M345" i="70"/>
  <c r="C342" i="70"/>
  <c r="D342" i="70"/>
  <c r="I346" i="70"/>
  <c r="Q346" i="70"/>
  <c r="N346" i="70"/>
  <c r="K346" i="70"/>
  <c r="H346" i="70"/>
  <c r="P346" i="70"/>
  <c r="M346" i="70"/>
  <c r="J346" i="70"/>
  <c r="G346" i="70"/>
  <c r="O346" i="70"/>
  <c r="L346" i="70"/>
  <c r="I9" i="7"/>
  <c r="I11" i="7"/>
  <c r="I23" i="7"/>
  <c r="I28" i="7"/>
  <c r="I30" i="7"/>
  <c r="I36" i="7"/>
  <c r="I38" i="7"/>
  <c r="I83" i="7"/>
  <c r="I98" i="7"/>
  <c r="I102" i="7"/>
  <c r="I104" i="7"/>
  <c r="I113" i="7"/>
  <c r="I121" i="7"/>
  <c r="I123" i="7"/>
  <c r="I132" i="7"/>
  <c r="I140" i="7"/>
  <c r="I149" i="7"/>
  <c r="I31" i="7"/>
  <c r="I48" i="7"/>
  <c r="I55" i="7"/>
  <c r="I57" i="7"/>
  <c r="I59" i="7"/>
  <c r="I61" i="7"/>
  <c r="I72" i="7"/>
  <c r="I80" i="7"/>
  <c r="I82" i="7"/>
  <c r="I141" i="7"/>
  <c r="I5" i="7"/>
  <c r="B5" i="77" s="1"/>
  <c r="F362" i="70"/>
  <c r="D5" i="77" l="1"/>
  <c r="C5" i="77"/>
  <c r="B30" i="70"/>
  <c r="B30" i="77"/>
  <c r="B19" i="70"/>
  <c r="B19" i="77"/>
  <c r="C356" i="70"/>
  <c r="D356" i="70"/>
  <c r="M354" i="70"/>
  <c r="I354" i="70"/>
  <c r="N354" i="70"/>
  <c r="K354" i="70"/>
  <c r="L354" i="70"/>
  <c r="P354" i="70"/>
  <c r="J354" i="70"/>
  <c r="Q354" i="70"/>
  <c r="H354" i="70"/>
  <c r="G354" i="70"/>
  <c r="O354" i="70"/>
  <c r="D354" i="70"/>
  <c r="C354" i="70"/>
  <c r="Z358" i="70"/>
  <c r="AA358" i="70"/>
  <c r="AB358" i="70"/>
  <c r="W358" i="70"/>
  <c r="R358" i="70"/>
  <c r="Y358" i="70"/>
  <c r="X358" i="70"/>
  <c r="S358" i="70"/>
  <c r="T358" i="70"/>
  <c r="U358" i="70"/>
  <c r="V358" i="70"/>
  <c r="K357" i="70"/>
  <c r="G357" i="70"/>
  <c r="H357" i="70"/>
  <c r="I357" i="70"/>
  <c r="M357" i="70"/>
  <c r="Q357" i="70"/>
  <c r="P357" i="70"/>
  <c r="L357" i="70"/>
  <c r="O357" i="70"/>
  <c r="N357" i="70"/>
  <c r="J357" i="70"/>
  <c r="D353" i="70"/>
  <c r="C353" i="70"/>
  <c r="Q353" i="70"/>
  <c r="N353" i="70"/>
  <c r="K353" i="70"/>
  <c r="M353" i="70"/>
  <c r="L353" i="70"/>
  <c r="O353" i="70"/>
  <c r="J353" i="70"/>
  <c r="G353" i="70"/>
  <c r="H353" i="70"/>
  <c r="P353" i="70"/>
  <c r="I353" i="70"/>
  <c r="E359" i="70"/>
  <c r="M355" i="70"/>
  <c r="I355" i="70"/>
  <c r="K355" i="70"/>
  <c r="H355" i="70"/>
  <c r="L355" i="70"/>
  <c r="Q355" i="70"/>
  <c r="J355" i="70"/>
  <c r="N355" i="70"/>
  <c r="P355" i="70"/>
  <c r="G355" i="70"/>
  <c r="O355" i="70"/>
  <c r="O347" i="70"/>
  <c r="L347" i="70"/>
  <c r="I347" i="70"/>
  <c r="C347" i="70"/>
  <c r="P347" i="70"/>
  <c r="M347" i="70"/>
  <c r="J347" i="70"/>
  <c r="G347" i="70"/>
  <c r="Q347" i="70"/>
  <c r="N347" i="70"/>
  <c r="K347" i="70"/>
  <c r="H347" i="70"/>
  <c r="AB356" i="70"/>
  <c r="R356" i="70"/>
  <c r="V356" i="70"/>
  <c r="S356" i="70"/>
  <c r="X356" i="70"/>
  <c r="W356" i="70"/>
  <c r="Z356" i="70"/>
  <c r="U356" i="70"/>
  <c r="Y356" i="70"/>
  <c r="AA356" i="70"/>
  <c r="T356" i="70"/>
  <c r="P356" i="70"/>
  <c r="Q356" i="70"/>
  <c r="M356" i="70"/>
  <c r="H356" i="70"/>
  <c r="G356" i="70"/>
  <c r="K356" i="70"/>
  <c r="J356" i="70"/>
  <c r="O356" i="70"/>
  <c r="I356" i="70"/>
  <c r="N356" i="70"/>
  <c r="L356" i="70"/>
  <c r="AB354" i="70"/>
  <c r="W354" i="70"/>
  <c r="AA354" i="70"/>
  <c r="Y354" i="70"/>
  <c r="R354" i="70"/>
  <c r="Z354" i="70"/>
  <c r="T354" i="70"/>
  <c r="X354" i="70"/>
  <c r="S354" i="70"/>
  <c r="V354" i="70"/>
  <c r="U354" i="70"/>
  <c r="C358" i="70"/>
  <c r="D358" i="70"/>
  <c r="P358" i="70"/>
  <c r="J358" i="70"/>
  <c r="Q358" i="70"/>
  <c r="H358" i="70"/>
  <c r="O358" i="70"/>
  <c r="G358" i="70"/>
  <c r="M358" i="70"/>
  <c r="I358" i="70"/>
  <c r="N358" i="70"/>
  <c r="K358" i="70"/>
  <c r="L358" i="70"/>
  <c r="X357" i="70"/>
  <c r="AB357" i="70"/>
  <c r="Z357" i="70"/>
  <c r="Y357" i="70"/>
  <c r="T357" i="70"/>
  <c r="AA357" i="70"/>
  <c r="U357" i="70"/>
  <c r="R357" i="70"/>
  <c r="W357" i="70"/>
  <c r="V357" i="70"/>
  <c r="S357" i="70"/>
  <c r="D357" i="70"/>
  <c r="C357" i="70"/>
  <c r="Z353" i="70"/>
  <c r="R353" i="70"/>
  <c r="AB353" i="70"/>
  <c r="T353" i="70"/>
  <c r="AA353" i="70"/>
  <c r="W353" i="70"/>
  <c r="V353" i="70"/>
  <c r="U353" i="70"/>
  <c r="X353" i="70"/>
  <c r="Y353" i="70"/>
  <c r="S353" i="70"/>
  <c r="F359" i="70"/>
  <c r="D355" i="70"/>
  <c r="C355" i="70"/>
  <c r="W355" i="70"/>
  <c r="R355" i="70"/>
  <c r="AA355" i="70"/>
  <c r="U355" i="70"/>
  <c r="S355" i="70"/>
  <c r="Y355" i="70"/>
  <c r="Z355" i="70"/>
  <c r="V355" i="70"/>
  <c r="X355" i="70"/>
  <c r="T355" i="70"/>
  <c r="AB355" i="70"/>
  <c r="Y347" i="70"/>
  <c r="X347" i="70"/>
  <c r="AA347" i="70"/>
  <c r="S347" i="70"/>
  <c r="R347" i="70"/>
  <c r="Z347" i="70"/>
  <c r="AB347" i="70"/>
  <c r="T347" i="70"/>
  <c r="W347" i="70"/>
  <c r="V347" i="70"/>
  <c r="U347" i="70"/>
  <c r="D19" i="70"/>
  <c r="C19" i="70"/>
  <c r="B5" i="70"/>
  <c r="C30" i="70"/>
  <c r="D30" i="70"/>
  <c r="F374" i="70"/>
  <c r="D19" i="77" l="1"/>
  <c r="C19" i="77"/>
  <c r="C30" i="77"/>
  <c r="D30" i="77"/>
  <c r="U359" i="70"/>
  <c r="X359" i="70"/>
  <c r="AA359" i="70"/>
  <c r="S359" i="70"/>
  <c r="R359" i="70"/>
  <c r="V359" i="70"/>
  <c r="AB359" i="70"/>
  <c r="T359" i="70"/>
  <c r="W359" i="70"/>
  <c r="Z359" i="70"/>
  <c r="Y359" i="70"/>
  <c r="N359" i="70"/>
  <c r="G359" i="70"/>
  <c r="L359" i="70"/>
  <c r="Q359" i="70"/>
  <c r="I359" i="70"/>
  <c r="C359" i="70"/>
  <c r="O359" i="70"/>
  <c r="P359" i="70"/>
  <c r="H359" i="70"/>
  <c r="M359" i="70"/>
  <c r="J359" i="70"/>
  <c r="K359" i="70"/>
  <c r="C5" i="70"/>
  <c r="D5" i="70"/>
  <c r="F386" i="70"/>
  <c r="F398" i="70" l="1"/>
  <c r="F410" i="70" l="1"/>
  <c r="F422" i="70" l="1"/>
  <c r="F434" i="70" l="1"/>
  <c r="G222" i="4"/>
  <c r="G167" i="4"/>
  <c r="G161" i="4"/>
  <c r="G160" i="4" s="1"/>
  <c r="F145" i="4"/>
  <c r="H396" i="4"/>
  <c r="H395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27" i="4"/>
  <c r="H326" i="4"/>
  <c r="H325" i="4"/>
  <c r="H324" i="4"/>
  <c r="H323" i="4"/>
  <c r="H322" i="4"/>
  <c r="H321" i="4"/>
  <c r="H305" i="4"/>
  <c r="H304" i="4"/>
  <c r="H303" i="4"/>
  <c r="H302" i="4"/>
  <c r="H301" i="4"/>
  <c r="H300" i="4"/>
  <c r="H306" i="4"/>
  <c r="H297" i="4"/>
  <c r="H296" i="4"/>
  <c r="H295" i="4"/>
  <c r="H294" i="4"/>
  <c r="H293" i="4"/>
  <c r="H292" i="4"/>
  <c r="H291" i="4"/>
  <c r="H290" i="4"/>
  <c r="H276" i="4"/>
  <c r="H275" i="4"/>
  <c r="H270" i="4"/>
  <c r="H269" i="4"/>
  <c r="H267" i="4"/>
  <c r="H262" i="4"/>
  <c r="H235" i="4"/>
  <c r="H217" i="4"/>
  <c r="H216" i="4"/>
  <c r="H215" i="4"/>
  <c r="H207" i="4"/>
  <c r="H184" i="4"/>
  <c r="H183" i="4"/>
  <c r="H182" i="4"/>
  <c r="H151" i="4"/>
  <c r="H148" i="4"/>
  <c r="H147" i="4"/>
  <c r="H146" i="4"/>
  <c r="H122" i="4"/>
  <c r="H90" i="4"/>
  <c r="H89" i="4"/>
  <c r="F54" i="4"/>
  <c r="F58" i="4"/>
  <c r="F64" i="4"/>
  <c r="F67" i="4"/>
  <c r="H35" i="4"/>
  <c r="H271" i="4"/>
  <c r="H268" i="4"/>
  <c r="H266" i="4"/>
  <c r="H265" i="4"/>
  <c r="H264" i="4"/>
  <c r="H263" i="4"/>
  <c r="H280" i="4"/>
  <c r="H279" i="4"/>
  <c r="H278" i="4"/>
  <c r="H277" i="4"/>
  <c r="H274" i="4"/>
  <c r="H273" i="4"/>
  <c r="H272" i="4"/>
  <c r="H212" i="4"/>
  <c r="H281" i="4"/>
  <c r="H261" i="4"/>
  <c r="H236" i="4"/>
  <c r="H113" i="4"/>
  <c r="H106" i="4"/>
  <c r="H87" i="4"/>
  <c r="H86" i="4"/>
  <c r="H85" i="4"/>
  <c r="F446" i="70" l="1"/>
  <c r="F53" i="4"/>
  <c r="F458" i="70" l="1"/>
  <c r="F38" i="4"/>
  <c r="F37" i="4" s="1"/>
  <c r="F28" i="4"/>
  <c r="F17" i="4"/>
  <c r="F470" i="70" l="1"/>
  <c r="F16" i="4"/>
  <c r="H132" i="4"/>
  <c r="H126" i="4"/>
  <c r="H125" i="4"/>
  <c r="H130" i="4"/>
  <c r="F482" i="70" l="1"/>
  <c r="H179" i="4"/>
  <c r="F494" i="70" l="1"/>
  <c r="F506" i="70" l="1"/>
  <c r="H175" i="4"/>
  <c r="H223" i="4"/>
  <c r="F518" i="70" l="1"/>
  <c r="F530" i="70" l="1"/>
  <c r="H167" i="4"/>
  <c r="F542" i="70" l="1"/>
  <c r="H178" i="4"/>
  <c r="F554" i="70" l="1"/>
  <c r="H233" i="4"/>
  <c r="F566" i="70" l="1"/>
  <c r="H34" i="4"/>
  <c r="F578" i="70" l="1"/>
  <c r="H49" i="4"/>
  <c r="F590" i="70" l="1"/>
  <c r="H166" i="4"/>
  <c r="H165" i="4"/>
  <c r="F602" i="70" l="1"/>
  <c r="G170" i="4"/>
  <c r="G169" i="4"/>
  <c r="F614" i="70" l="1"/>
  <c r="H177" i="4"/>
  <c r="H176" i="4"/>
  <c r="F626" i="70" l="1"/>
  <c r="H164" i="4"/>
  <c r="F638" i="70" l="1"/>
  <c r="H33" i="4"/>
  <c r="H174" i="4"/>
  <c r="F650" i="70" l="1"/>
  <c r="F662" i="70" l="1"/>
  <c r="H32" i="4"/>
  <c r="F674" i="70" l="1"/>
  <c r="H31" i="4"/>
  <c r="F686" i="70" l="1"/>
  <c r="H173" i="4"/>
  <c r="F698" i="70" l="1"/>
  <c r="H180" i="4"/>
  <c r="H172" i="4"/>
  <c r="H171" i="4"/>
  <c r="F710" i="70" l="1"/>
  <c r="H232" i="4"/>
  <c r="F722" i="70" l="1"/>
  <c r="H231" i="4"/>
  <c r="F734" i="70" l="1"/>
  <c r="H289" i="4"/>
  <c r="H287" i="4"/>
  <c r="H286" i="4"/>
  <c r="H283" i="4"/>
  <c r="J76" i="4"/>
  <c r="H185" i="4"/>
  <c r="H181" i="4"/>
  <c r="H170" i="4"/>
  <c r="F99" i="4"/>
  <c r="H105" i="4"/>
  <c r="H104" i="4"/>
  <c r="H103" i="4"/>
  <c r="H102" i="4"/>
  <c r="F92" i="4"/>
  <c r="H100" i="4"/>
  <c r="H99" i="4"/>
  <c r="H98" i="4"/>
  <c r="H97" i="4"/>
  <c r="H96" i="4"/>
  <c r="H95" i="4"/>
  <c r="H94" i="4"/>
  <c r="H93" i="4"/>
  <c r="H101" i="4"/>
  <c r="H39" i="4"/>
  <c r="F746" i="70" l="1"/>
  <c r="F91" i="4"/>
  <c r="F758" i="70" l="1"/>
  <c r="H260" i="4"/>
  <c r="F770" i="70" l="1"/>
  <c r="F76" i="4"/>
  <c r="H158" i="4"/>
  <c r="H80" i="4"/>
  <c r="H79" i="4"/>
  <c r="H77" i="4"/>
  <c r="H298" i="4"/>
  <c r="H149" i="4"/>
  <c r="H121" i="4"/>
  <c r="H118" i="4"/>
  <c r="H107" i="4"/>
  <c r="H230" i="4"/>
  <c r="F782" i="70" l="1"/>
  <c r="H394" i="4"/>
  <c r="F794" i="70" l="1"/>
  <c r="H48" i="4"/>
  <c r="H47" i="4"/>
  <c r="H46" i="4"/>
  <c r="H163" i="4"/>
  <c r="F806" i="70" l="1"/>
  <c r="H45" i="4"/>
  <c r="H44" i="4"/>
  <c r="H43" i="4"/>
  <c r="F818" i="70" l="1"/>
  <c r="H30" i="4"/>
  <c r="F830" i="70" l="1"/>
  <c r="H29" i="4"/>
  <c r="H28" i="4"/>
  <c r="F842" i="70" l="1"/>
  <c r="H162" i="4"/>
  <c r="H161" i="4"/>
  <c r="F854" i="70" l="1"/>
  <c r="H81" i="4"/>
  <c r="F866" i="70" l="1"/>
  <c r="F878" i="70" l="1"/>
  <c r="F890" i="70" l="1"/>
  <c r="F902" i="70" l="1"/>
  <c r="F914" i="70" l="1"/>
  <c r="F926" i="70" l="1"/>
  <c r="F938" i="70" l="1"/>
  <c r="F950" i="70" l="1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3" i="4"/>
  <c r="H392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34" i="4"/>
  <c r="H333" i="4"/>
  <c r="H332" i="4"/>
  <c r="H331" i="4"/>
  <c r="H330" i="4"/>
  <c r="H329" i="4"/>
  <c r="H328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299" i="4"/>
  <c r="H288" i="4"/>
  <c r="H285" i="4"/>
  <c r="H284" i="4"/>
  <c r="H282" i="4"/>
  <c r="H259" i="4"/>
  <c r="H258" i="4"/>
  <c r="H257" i="4"/>
  <c r="H256" i="4"/>
  <c r="H255" i="4"/>
  <c r="G255" i="4"/>
  <c r="H254" i="4"/>
  <c r="H253" i="4"/>
  <c r="H252" i="4"/>
  <c r="H251" i="4"/>
  <c r="H250" i="4"/>
  <c r="G250" i="4"/>
  <c r="H249" i="4"/>
  <c r="H248" i="4"/>
  <c r="H247" i="4"/>
  <c r="G247" i="4"/>
  <c r="H246" i="4"/>
  <c r="H245" i="4"/>
  <c r="H244" i="4"/>
  <c r="H243" i="4"/>
  <c r="G243" i="4"/>
  <c r="H242" i="4"/>
  <c r="H241" i="4"/>
  <c r="H240" i="4"/>
  <c r="H239" i="4"/>
  <c r="H238" i="4"/>
  <c r="H237" i="4"/>
  <c r="H234" i="4"/>
  <c r="H229" i="4"/>
  <c r="H228" i="4"/>
  <c r="H227" i="4"/>
  <c r="H226" i="4"/>
  <c r="H225" i="4"/>
  <c r="H224" i="4"/>
  <c r="H222" i="4"/>
  <c r="H221" i="4"/>
  <c r="H220" i="4"/>
  <c r="H219" i="4"/>
  <c r="H218" i="4"/>
  <c r="H214" i="4"/>
  <c r="H213" i="4"/>
  <c r="H211" i="4"/>
  <c r="H210" i="4"/>
  <c r="H209" i="4"/>
  <c r="H208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G195" i="4"/>
  <c r="H194" i="4"/>
  <c r="H193" i="4"/>
  <c r="H192" i="4"/>
  <c r="H191" i="4"/>
  <c r="H190" i="4"/>
  <c r="H189" i="4"/>
  <c r="H188" i="4"/>
  <c r="H187" i="4"/>
  <c r="H186" i="4"/>
  <c r="G186" i="4"/>
  <c r="H169" i="4"/>
  <c r="H168" i="4"/>
  <c r="H160" i="4"/>
  <c r="H159" i="4"/>
  <c r="H157" i="4"/>
  <c r="H156" i="4"/>
  <c r="H155" i="4"/>
  <c r="H154" i="4"/>
  <c r="H153" i="4"/>
  <c r="H152" i="4"/>
  <c r="F152" i="4"/>
  <c r="H150" i="4"/>
  <c r="H145" i="4"/>
  <c r="H144" i="4"/>
  <c r="H143" i="4"/>
  <c r="H142" i="4"/>
  <c r="H141" i="4"/>
  <c r="H140" i="4"/>
  <c r="H139" i="4"/>
  <c r="H138" i="4"/>
  <c r="H137" i="4"/>
  <c r="H136" i="4"/>
  <c r="H135" i="4"/>
  <c r="H128" i="4"/>
  <c r="H129" i="4"/>
  <c r="H127" i="4"/>
  <c r="H134" i="4"/>
  <c r="H133" i="4"/>
  <c r="H131" i="4"/>
  <c r="H124" i="4"/>
  <c r="H123" i="4"/>
  <c r="F123" i="4"/>
  <c r="F1" i="4" s="1"/>
  <c r="H120" i="4"/>
  <c r="H119" i="4"/>
  <c r="H117" i="4"/>
  <c r="H116" i="4"/>
  <c r="H115" i="4"/>
  <c r="H114" i="4"/>
  <c r="H112" i="4"/>
  <c r="H111" i="4"/>
  <c r="H110" i="4"/>
  <c r="H109" i="4"/>
  <c r="H108" i="4"/>
  <c r="H92" i="4"/>
  <c r="H91" i="4"/>
  <c r="H88" i="4"/>
  <c r="H84" i="4"/>
  <c r="H83" i="4"/>
  <c r="H82" i="4"/>
  <c r="H78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2" i="4"/>
  <c r="H41" i="4"/>
  <c r="H40" i="4"/>
  <c r="H38" i="4"/>
  <c r="H37" i="4"/>
  <c r="H36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7" i="4"/>
  <c r="H6" i="4"/>
  <c r="H5" i="4"/>
  <c r="I7" i="7" l="1"/>
  <c r="B17" i="77" s="1"/>
  <c r="I20" i="7"/>
  <c r="B66" i="77" s="1"/>
  <c r="I25" i="7"/>
  <c r="I34" i="7"/>
  <c r="I42" i="7"/>
  <c r="I47" i="7"/>
  <c r="I52" i="7"/>
  <c r="I56" i="7"/>
  <c r="I60" i="7"/>
  <c r="I64" i="7"/>
  <c r="I69" i="7"/>
  <c r="I73" i="7"/>
  <c r="I77" i="7"/>
  <c r="I81" i="7"/>
  <c r="I85" i="7"/>
  <c r="I89" i="7"/>
  <c r="I94" i="7"/>
  <c r="I106" i="7"/>
  <c r="I111" i="7"/>
  <c r="I115" i="7"/>
  <c r="I119" i="7"/>
  <c r="I127" i="7"/>
  <c r="I136" i="7"/>
  <c r="I144" i="7"/>
  <c r="I154" i="7"/>
  <c r="I158" i="7"/>
  <c r="I162" i="7"/>
  <c r="I166" i="7"/>
  <c r="I170" i="7"/>
  <c r="I174" i="7"/>
  <c r="I178" i="7"/>
  <c r="I182" i="7"/>
  <c r="I186" i="7"/>
  <c r="I8" i="7"/>
  <c r="I12" i="7"/>
  <c r="I22" i="7"/>
  <c r="I27" i="7"/>
  <c r="I35" i="7"/>
  <c r="I39" i="7"/>
  <c r="I43" i="7"/>
  <c r="I53" i="7"/>
  <c r="I65" i="7"/>
  <c r="I70" i="7"/>
  <c r="I74" i="7"/>
  <c r="I78" i="7"/>
  <c r="I86" i="7"/>
  <c r="I91" i="7"/>
  <c r="I95" i="7"/>
  <c r="I99" i="7"/>
  <c r="I103" i="7"/>
  <c r="I107" i="7"/>
  <c r="I112" i="7"/>
  <c r="I116" i="7"/>
  <c r="I120" i="7"/>
  <c r="I124" i="7"/>
  <c r="I129" i="7"/>
  <c r="I133" i="7"/>
  <c r="I137" i="7"/>
  <c r="I145" i="7"/>
  <c r="I150" i="7"/>
  <c r="I155" i="7"/>
  <c r="I159" i="7"/>
  <c r="I163" i="7"/>
  <c r="I167" i="7"/>
  <c r="I171" i="7"/>
  <c r="I175" i="7"/>
  <c r="I179" i="7"/>
  <c r="I183" i="7"/>
  <c r="I187" i="7"/>
  <c r="I161" i="7"/>
  <c r="I169" i="7"/>
  <c r="I173" i="7"/>
  <c r="I181" i="7"/>
  <c r="I18" i="7"/>
  <c r="B53" i="77" s="1"/>
  <c r="I32" i="7"/>
  <c r="I40" i="7"/>
  <c r="I44" i="7"/>
  <c r="I49" i="7"/>
  <c r="I54" i="7"/>
  <c r="I58" i="7"/>
  <c r="I62" i="7"/>
  <c r="I66" i="7"/>
  <c r="I71" i="7"/>
  <c r="I75" i="7"/>
  <c r="I79" i="7"/>
  <c r="I87" i="7"/>
  <c r="I92" i="7"/>
  <c r="I96" i="7"/>
  <c r="I100" i="7"/>
  <c r="I108" i="7"/>
  <c r="I117" i="7"/>
  <c r="I125" i="7"/>
  <c r="I130" i="7"/>
  <c r="I134" i="7"/>
  <c r="I138" i="7"/>
  <c r="I142" i="7"/>
  <c r="I146" i="7"/>
  <c r="I151" i="7"/>
  <c r="I156" i="7"/>
  <c r="I160" i="7"/>
  <c r="I164" i="7"/>
  <c r="I168" i="7"/>
  <c r="I172" i="7"/>
  <c r="I176" i="7"/>
  <c r="I180" i="7"/>
  <c r="I184" i="7"/>
  <c r="I188" i="7"/>
  <c r="I10" i="7"/>
  <c r="I19" i="7"/>
  <c r="I24" i="7"/>
  <c r="I29" i="7"/>
  <c r="I33" i="7"/>
  <c r="I37" i="7"/>
  <c r="I41" i="7"/>
  <c r="I45" i="7"/>
  <c r="I50" i="7"/>
  <c r="I63" i="7"/>
  <c r="I67" i="7"/>
  <c r="I76" i="7"/>
  <c r="I84" i="7"/>
  <c r="I88" i="7"/>
  <c r="I93" i="7"/>
  <c r="I97" i="7"/>
  <c r="I101" i="7"/>
  <c r="I105" i="7"/>
  <c r="I110" i="7"/>
  <c r="I114" i="7"/>
  <c r="I118" i="7"/>
  <c r="I122" i="7"/>
  <c r="I126" i="7"/>
  <c r="I131" i="7"/>
  <c r="I135" i="7"/>
  <c r="I139" i="7"/>
  <c r="I143" i="7"/>
  <c r="I148" i="7"/>
  <c r="I153" i="7"/>
  <c r="I157" i="7"/>
  <c r="I165" i="7"/>
  <c r="I177" i="7"/>
  <c r="I185" i="7"/>
  <c r="F962" i="70"/>
  <c r="B29" i="70" l="1"/>
  <c r="D29" i="70" s="1"/>
  <c r="B29" i="77"/>
  <c r="C53" i="77"/>
  <c r="D53" i="77"/>
  <c r="B18" i="70"/>
  <c r="C18" i="70" s="1"/>
  <c r="B18" i="77"/>
  <c r="C66" i="77"/>
  <c r="D66" i="77"/>
  <c r="B65" i="70"/>
  <c r="C65" i="70" s="1"/>
  <c r="B65" i="77"/>
  <c r="B41" i="70"/>
  <c r="D41" i="70" s="1"/>
  <c r="B41" i="77"/>
  <c r="D17" i="77"/>
  <c r="C17" i="77"/>
  <c r="B54" i="70"/>
  <c r="D54" i="70" s="1"/>
  <c r="B66" i="70"/>
  <c r="D65" i="70"/>
  <c r="B42" i="70"/>
  <c r="C42" i="70" s="1"/>
  <c r="B57" i="70"/>
  <c r="B53" i="70"/>
  <c r="D53" i="70" s="1"/>
  <c r="B58" i="70"/>
  <c r="C29" i="70"/>
  <c r="D42" i="70"/>
  <c r="D18" i="70"/>
  <c r="C41" i="70"/>
  <c r="B17" i="70"/>
  <c r="AQ1000" i="76" a="1"/>
  <c r="AQ1000" i="76" s="1"/>
  <c r="AQ995" i="76" a="1"/>
  <c r="AQ995" i="76" s="1"/>
  <c r="AQ990" i="76" a="1"/>
  <c r="AQ990" i="76" s="1"/>
  <c r="AQ988" i="76" a="1"/>
  <c r="AQ988" i="76" s="1"/>
  <c r="AQ982" i="76" a="1"/>
  <c r="AQ982" i="76" s="1"/>
  <c r="AQ980" i="76" a="1"/>
  <c r="AQ980" i="76" s="1"/>
  <c r="AQ973" i="76" a="1"/>
  <c r="AQ973" i="76" s="1"/>
  <c r="AQ978" i="76" a="1"/>
  <c r="AQ978" i="76" s="1"/>
  <c r="AQ970" i="76" a="1"/>
  <c r="AQ970" i="76" s="1"/>
  <c r="AQ963" i="76" a="1"/>
  <c r="AQ963" i="76" s="1"/>
  <c r="AQ955" i="76" a="1"/>
  <c r="AQ955" i="76" s="1"/>
  <c r="AQ947" i="76" a="1"/>
  <c r="AQ947" i="76" s="1"/>
  <c r="AQ939" i="76" a="1"/>
  <c r="AQ939" i="76" s="1"/>
  <c r="AQ958" i="76" a="1"/>
  <c r="AQ958" i="76" s="1"/>
  <c r="AQ956" i="76" a="1"/>
  <c r="AQ956" i="76" s="1"/>
  <c r="AQ940" i="76" a="1"/>
  <c r="AQ940" i="76" s="1"/>
  <c r="AQ929" i="76" a="1"/>
  <c r="AQ929" i="76" s="1"/>
  <c r="AQ921" i="76" a="1"/>
  <c r="AQ921" i="76" s="1"/>
  <c r="AQ913" i="76" a="1"/>
  <c r="AQ913" i="76" s="1"/>
  <c r="AQ905" i="76" a="1"/>
  <c r="AQ905" i="76" s="1"/>
  <c r="AQ897" i="76" a="1"/>
  <c r="AQ897" i="76" s="1"/>
  <c r="AQ889" i="76" a="1"/>
  <c r="AQ889" i="76" s="1"/>
  <c r="AQ930" i="76" a="1"/>
  <c r="AQ930" i="76" s="1"/>
  <c r="AQ914" i="76" a="1"/>
  <c r="AQ914" i="76" s="1"/>
  <c r="AQ928" i="76" a="1"/>
  <c r="AQ928" i="76" s="1"/>
  <c r="AQ912" i="76" a="1"/>
  <c r="AQ912" i="76" s="1"/>
  <c r="AQ896" i="76" a="1"/>
  <c r="AQ896" i="76" s="1"/>
  <c r="AQ888" i="76" a="1"/>
  <c r="AQ888" i="76" s="1"/>
  <c r="AQ880" i="76" a="1"/>
  <c r="AQ880" i="76" s="1"/>
  <c r="AQ872" i="76" a="1"/>
  <c r="AQ872" i="76" s="1"/>
  <c r="AQ902" i="76" a="1"/>
  <c r="AQ902" i="76" s="1"/>
  <c r="AQ885" i="76" a="1"/>
  <c r="AQ885" i="76" s="1"/>
  <c r="AQ877" i="76" a="1"/>
  <c r="AQ877" i="76" s="1"/>
  <c r="AQ998" i="76" a="1"/>
  <c r="AQ998" i="76" s="1"/>
  <c r="AQ996" i="76" a="1"/>
  <c r="AQ996" i="76" s="1"/>
  <c r="AQ993" i="76" a="1"/>
  <c r="AQ993" i="76" s="1"/>
  <c r="AQ987" i="76" a="1"/>
  <c r="AQ987" i="76" s="1"/>
  <c r="AQ985" i="76" a="1"/>
  <c r="AQ985" i="76" s="1"/>
  <c r="AQ979" i="76" a="1"/>
  <c r="AQ979" i="76" s="1"/>
  <c r="AQ971" i="76" a="1"/>
  <c r="AQ971" i="76" s="1"/>
  <c r="AQ976" i="76" a="1"/>
  <c r="AQ976" i="76" s="1"/>
  <c r="AQ968" i="76" a="1"/>
  <c r="AQ968" i="76" s="1"/>
  <c r="AQ961" i="76" a="1"/>
  <c r="AQ961" i="76" s="1"/>
  <c r="AQ953" i="76" a="1"/>
  <c r="AQ953" i="76" s="1"/>
  <c r="AQ945" i="76" a="1"/>
  <c r="AQ945" i="76" s="1"/>
  <c r="AQ937" i="76" a="1"/>
  <c r="AQ937" i="76" s="1"/>
  <c r="AQ954" i="76" a="1"/>
  <c r="AQ954" i="76" s="1"/>
  <c r="AQ952" i="76" a="1"/>
  <c r="AQ952" i="76" s="1"/>
  <c r="AQ936" i="76" a="1"/>
  <c r="AQ936" i="76" s="1"/>
  <c r="AQ927" i="76" a="1"/>
  <c r="AQ927" i="76" s="1"/>
  <c r="AQ919" i="76" a="1"/>
  <c r="AQ919" i="76" s="1"/>
  <c r="AQ911" i="76" a="1"/>
  <c r="AQ911" i="76" s="1"/>
  <c r="AQ903" i="76" a="1"/>
  <c r="AQ903" i="76" s="1"/>
  <c r="AQ895" i="76" a="1"/>
  <c r="AQ895" i="76" s="1"/>
  <c r="AQ950" i="76" a="1"/>
  <c r="AQ950" i="76" s="1"/>
  <c r="AQ926" i="76" a="1"/>
  <c r="AQ926" i="76" s="1"/>
  <c r="AQ946" i="76" a="1"/>
  <c r="AQ946" i="76" s="1"/>
  <c r="AQ924" i="76" a="1"/>
  <c r="AQ924" i="76" s="1"/>
  <c r="AQ908" i="76" a="1"/>
  <c r="AQ908" i="76" s="1"/>
  <c r="AQ906" i="76" a="1"/>
  <c r="AQ906" i="76" s="1"/>
  <c r="AQ886" i="76" a="1"/>
  <c r="AQ886" i="76" s="1"/>
  <c r="AQ878" i="76" a="1"/>
  <c r="AQ878" i="76" s="1"/>
  <c r="AQ870" i="76" a="1"/>
  <c r="AQ870" i="76" s="1"/>
  <c r="AQ894" i="76" a="1"/>
  <c r="AQ894" i="76" s="1"/>
  <c r="AQ883" i="76" a="1"/>
  <c r="AQ883" i="76" s="1"/>
  <c r="AQ875" i="76" a="1"/>
  <c r="AQ875" i="76" s="1"/>
  <c r="AQ867" i="76" a="1"/>
  <c r="AQ867" i="76" s="1"/>
  <c r="AQ860" i="76" a="1"/>
  <c r="AQ860" i="76" s="1"/>
  <c r="AQ852" i="76" a="1"/>
  <c r="AQ852" i="76" s="1"/>
  <c r="AQ844" i="76" a="1"/>
  <c r="AQ844" i="76" s="1"/>
  <c r="AQ836" i="76" a="1"/>
  <c r="AQ836" i="76" s="1"/>
  <c r="AQ828" i="76" a="1"/>
  <c r="AQ828" i="76" s="1"/>
  <c r="AQ820" i="76" a="1"/>
  <c r="AQ820" i="76" s="1"/>
  <c r="AQ812" i="76" a="1"/>
  <c r="AQ812" i="76" s="1"/>
  <c r="AQ864" i="76" a="1"/>
  <c r="AQ864" i="76" s="1"/>
  <c r="AQ857" i="76" a="1"/>
  <c r="AQ857" i="76" s="1"/>
  <c r="AQ862" i="76" a="1"/>
  <c r="AQ862" i="76" s="1"/>
  <c r="AQ846" i="76" a="1"/>
  <c r="AQ846" i="76" s="1"/>
  <c r="AQ830" i="76" a="1"/>
  <c r="AQ830" i="76" s="1"/>
  <c r="AQ814" i="76" a="1"/>
  <c r="AQ814" i="76" s="1"/>
  <c r="AQ999" i="76" a="1"/>
  <c r="AQ999" i="76" s="1"/>
  <c r="AQ994" i="76" a="1"/>
  <c r="AQ994" i="76" s="1"/>
  <c r="AQ989" i="76" a="1"/>
  <c r="AQ989" i="76" s="1"/>
  <c r="AQ986" i="76" a="1"/>
  <c r="AQ986" i="76" s="1"/>
  <c r="AQ983" i="76" a="1"/>
  <c r="AQ983" i="76" s="1"/>
  <c r="AQ977" i="76" a="1"/>
  <c r="AQ977" i="76" s="1"/>
  <c r="AQ969" i="76" a="1"/>
  <c r="AQ969" i="76" s="1"/>
  <c r="AQ974" i="76" a="1"/>
  <c r="AQ974" i="76" s="1"/>
  <c r="AQ966" i="76" a="1"/>
  <c r="AQ966" i="76" s="1"/>
  <c r="AQ959" i="76" a="1"/>
  <c r="AQ959" i="76" s="1"/>
  <c r="AQ951" i="76" a="1"/>
  <c r="AQ951" i="76" s="1"/>
  <c r="AQ943" i="76" a="1"/>
  <c r="AQ943" i="76" s="1"/>
  <c r="AQ935" i="76" a="1"/>
  <c r="AQ935" i="76" s="1"/>
  <c r="AQ964" i="76" a="1"/>
  <c r="AQ964" i="76" s="1"/>
  <c r="AQ948" i="76" a="1"/>
  <c r="AQ948" i="76" s="1"/>
  <c r="AQ933" i="76" a="1"/>
  <c r="AQ933" i="76" s="1"/>
  <c r="AQ925" i="76" a="1"/>
  <c r="AQ925" i="76" s="1"/>
  <c r="AQ917" i="76" a="1"/>
  <c r="AQ917" i="76" s="1"/>
  <c r="AQ909" i="76" a="1"/>
  <c r="AQ909" i="76" s="1"/>
  <c r="AQ901" i="76" a="1"/>
  <c r="AQ901" i="76" s="1"/>
  <c r="AQ893" i="76" a="1"/>
  <c r="AQ893" i="76" s="1"/>
  <c r="AQ942" i="76" a="1"/>
  <c r="AQ942" i="76" s="1"/>
  <c r="AQ922" i="76" a="1"/>
  <c r="AQ922" i="76" s="1"/>
  <c r="AQ938" i="76" a="1"/>
  <c r="AQ938" i="76" s="1"/>
  <c r="AQ920" i="76" a="1"/>
  <c r="AQ920" i="76" s="1"/>
  <c r="AQ904" i="76" a="1"/>
  <c r="AQ904" i="76" s="1"/>
  <c r="AQ898" i="76" a="1"/>
  <c r="AQ898" i="76" s="1"/>
  <c r="AQ884" i="76" a="1"/>
  <c r="AQ884" i="76" s="1"/>
  <c r="AQ876" i="76" a="1"/>
  <c r="AQ876" i="76" s="1"/>
  <c r="AQ868" i="76" a="1"/>
  <c r="AQ868" i="76" s="1"/>
  <c r="AQ890" i="76" a="1"/>
  <c r="AQ890" i="76" s="1"/>
  <c r="AQ881" i="76" a="1"/>
  <c r="AQ881" i="76" s="1"/>
  <c r="AQ873" i="76" a="1"/>
  <c r="AQ873" i="76" s="1"/>
  <c r="AQ997" i="76" a="1"/>
  <c r="AQ997" i="76" s="1"/>
  <c r="AQ992" i="76" a="1"/>
  <c r="AQ992" i="76" s="1"/>
  <c r="AQ991" i="76" a="1"/>
  <c r="AQ991" i="76" s="1"/>
  <c r="AQ984" i="76" a="1"/>
  <c r="AQ984" i="76" s="1"/>
  <c r="AQ981" i="76" a="1"/>
  <c r="AQ981" i="76" s="1"/>
  <c r="AQ975" i="76" a="1"/>
  <c r="AQ975" i="76" s="1"/>
  <c r="AQ967" i="76" a="1"/>
  <c r="AQ967" i="76" s="1"/>
  <c r="AQ972" i="76" a="1"/>
  <c r="AQ972" i="76" s="1"/>
  <c r="AQ965" i="76" a="1"/>
  <c r="AQ965" i="76" s="1"/>
  <c r="AQ957" i="76" a="1"/>
  <c r="AQ957" i="76" s="1"/>
  <c r="AQ949" i="76" a="1"/>
  <c r="AQ949" i="76" s="1"/>
  <c r="AQ941" i="76" a="1"/>
  <c r="AQ941" i="76" s="1"/>
  <c r="AQ962" i="76" a="1"/>
  <c r="AQ962" i="76" s="1"/>
  <c r="AQ960" i="76" a="1"/>
  <c r="AQ960" i="76" s="1"/>
  <c r="AQ944" i="76" a="1"/>
  <c r="AQ944" i="76" s="1"/>
  <c r="AQ931" i="76" a="1"/>
  <c r="AQ931" i="76" s="1"/>
  <c r="AQ923" i="76" a="1"/>
  <c r="AQ923" i="76" s="1"/>
  <c r="AQ915" i="76" a="1"/>
  <c r="AQ915" i="76" s="1"/>
  <c r="AQ907" i="76" a="1"/>
  <c r="AQ907" i="76" s="1"/>
  <c r="AQ899" i="76" a="1"/>
  <c r="AQ899" i="76" s="1"/>
  <c r="AQ891" i="76" a="1"/>
  <c r="AQ891" i="76" s="1"/>
  <c r="AQ934" i="76" a="1"/>
  <c r="AQ934" i="76" s="1"/>
  <c r="AQ918" i="76" a="1"/>
  <c r="AQ918" i="76" s="1"/>
  <c r="AQ932" i="76" a="1"/>
  <c r="AQ932" i="76" s="1"/>
  <c r="AQ916" i="76" a="1"/>
  <c r="AQ916" i="76" s="1"/>
  <c r="AQ900" i="76" a="1"/>
  <c r="AQ900" i="76" s="1"/>
  <c r="AQ892" i="76" a="1"/>
  <c r="AQ892" i="76" s="1"/>
  <c r="AQ882" i="76" a="1"/>
  <c r="AQ882" i="76" s="1"/>
  <c r="AQ874" i="76" a="1"/>
  <c r="AQ874" i="76" s="1"/>
  <c r="AQ910" i="76" a="1"/>
  <c r="AQ910" i="76" s="1"/>
  <c r="AQ887" i="76" a="1"/>
  <c r="AQ887" i="76" s="1"/>
  <c r="AQ879" i="76" a="1"/>
  <c r="AQ879" i="76" s="1"/>
  <c r="AQ871" i="76" a="1"/>
  <c r="AQ871" i="76" s="1"/>
  <c r="AQ866" i="76" a="1"/>
  <c r="AQ866" i="76" s="1"/>
  <c r="AQ856" i="76" a="1"/>
  <c r="AQ856" i="76" s="1"/>
  <c r="AQ848" i="76" a="1"/>
  <c r="AQ848" i="76" s="1"/>
  <c r="AQ840" i="76" a="1"/>
  <c r="AQ840" i="76" s="1"/>
  <c r="AQ832" i="76" a="1"/>
  <c r="AQ832" i="76" s="1"/>
  <c r="AQ824" i="76" a="1"/>
  <c r="AQ824" i="76" s="1"/>
  <c r="AQ816" i="76" a="1"/>
  <c r="AQ816" i="76" s="1"/>
  <c r="AQ808" i="76" a="1"/>
  <c r="AQ808" i="76" s="1"/>
  <c r="AQ861" i="76" a="1"/>
  <c r="AQ861" i="76" s="1"/>
  <c r="AQ869" i="76" a="1"/>
  <c r="AQ869" i="76" s="1"/>
  <c r="AQ854" i="76" a="1"/>
  <c r="AQ854" i="76" s="1"/>
  <c r="AQ838" i="76" a="1"/>
  <c r="AQ838" i="76" s="1"/>
  <c r="AQ822" i="76" a="1"/>
  <c r="AQ822" i="76" s="1"/>
  <c r="AQ806" i="76" a="1"/>
  <c r="AQ806" i="76" s="1"/>
  <c r="AQ853" i="76" a="1"/>
  <c r="AQ853" i="76" s="1"/>
  <c r="AQ845" i="76" a="1"/>
  <c r="AQ845" i="76" s="1"/>
  <c r="AQ859" i="76" a="1"/>
  <c r="AQ859" i="76" s="1"/>
  <c r="AQ841" i="76" a="1"/>
  <c r="AQ841" i="76" s="1"/>
  <c r="AQ833" i="76" a="1"/>
  <c r="AQ833" i="76" s="1"/>
  <c r="AQ825" i="76" a="1"/>
  <c r="AQ825" i="76" s="1"/>
  <c r="AQ817" i="76" a="1"/>
  <c r="AQ817" i="76" s="1"/>
  <c r="AQ809" i="76" a="1"/>
  <c r="AQ809" i="76" s="1"/>
  <c r="AQ801" i="76" a="1"/>
  <c r="AQ801" i="76" s="1"/>
  <c r="AQ796" i="76" a="1"/>
  <c r="AQ796" i="76" s="1"/>
  <c r="AQ788" i="76" a="1"/>
  <c r="AQ788" i="76" s="1"/>
  <c r="AQ780" i="76" a="1"/>
  <c r="AQ780" i="76" s="1"/>
  <c r="AQ772" i="76" a="1"/>
  <c r="AQ772" i="76" s="1"/>
  <c r="AQ764" i="76" a="1"/>
  <c r="AQ764" i="76" s="1"/>
  <c r="AQ756" i="76" a="1"/>
  <c r="AQ756" i="76" s="1"/>
  <c r="AQ748" i="76" a="1"/>
  <c r="AQ748" i="76" s="1"/>
  <c r="AQ740" i="76" a="1"/>
  <c r="AQ740" i="76" s="1"/>
  <c r="AQ732" i="76" a="1"/>
  <c r="AQ732" i="76" s="1"/>
  <c r="AQ724" i="76" a="1"/>
  <c r="AQ724" i="76" s="1"/>
  <c r="AQ716" i="76" a="1"/>
  <c r="AQ716" i="76" s="1"/>
  <c r="AQ708" i="76" a="1"/>
  <c r="AQ708" i="76" s="1"/>
  <c r="AQ700" i="76" a="1"/>
  <c r="AQ700" i="76" s="1"/>
  <c r="AQ692" i="76" a="1"/>
  <c r="AQ692" i="76" s="1"/>
  <c r="AQ684" i="76" a="1"/>
  <c r="AQ684" i="76" s="1"/>
  <c r="AQ797" i="76" a="1"/>
  <c r="AQ797" i="76" s="1"/>
  <c r="AQ789" i="76" a="1"/>
  <c r="AQ789" i="76" s="1"/>
  <c r="AQ781" i="76" a="1"/>
  <c r="AQ781" i="76" s="1"/>
  <c r="AQ773" i="76" a="1"/>
  <c r="AQ773" i="76" s="1"/>
  <c r="AQ765" i="76" a="1"/>
  <c r="AQ765" i="76" s="1"/>
  <c r="AQ757" i="76" a="1"/>
  <c r="AQ757" i="76" s="1"/>
  <c r="AQ749" i="76" a="1"/>
  <c r="AQ749" i="76" s="1"/>
  <c r="AQ741" i="76" a="1"/>
  <c r="AQ741" i="76" s="1"/>
  <c r="AQ733" i="76" a="1"/>
  <c r="AQ733" i="76" s="1"/>
  <c r="AQ725" i="76" a="1"/>
  <c r="AQ725" i="76" s="1"/>
  <c r="AQ717" i="76" a="1"/>
  <c r="AQ717" i="76" s="1"/>
  <c r="AQ709" i="76" a="1"/>
  <c r="AQ709" i="76" s="1"/>
  <c r="AQ701" i="76" a="1"/>
  <c r="AQ701" i="76" s="1"/>
  <c r="AQ689" i="76" a="1"/>
  <c r="AQ689" i="76" s="1"/>
  <c r="AQ678" i="76" a="1"/>
  <c r="AQ678" i="76" s="1"/>
  <c r="AQ865" i="76" a="1"/>
  <c r="AQ865" i="76" s="1"/>
  <c r="AQ850" i="76" a="1"/>
  <c r="AQ850" i="76" s="1"/>
  <c r="AQ834" i="76" a="1"/>
  <c r="AQ834" i="76" s="1"/>
  <c r="AQ818" i="76" a="1"/>
  <c r="AQ818" i="76" s="1"/>
  <c r="AQ863" i="76" a="1"/>
  <c r="AQ863" i="76" s="1"/>
  <c r="AQ851" i="76" a="1"/>
  <c r="AQ851" i="76" s="1"/>
  <c r="AQ843" i="76" a="1"/>
  <c r="AQ843" i="76" s="1"/>
  <c r="AQ835" i="76" a="1"/>
  <c r="AQ835" i="76" s="1"/>
  <c r="AQ827" i="76" a="1"/>
  <c r="AQ827" i="76" s="1"/>
  <c r="AQ819" i="76" a="1"/>
  <c r="AQ819" i="76" s="1"/>
  <c r="AQ811" i="76" a="1"/>
  <c r="AQ811" i="76" s="1"/>
  <c r="AQ803" i="76" a="1"/>
  <c r="AQ803" i="76" s="1"/>
  <c r="AQ798" i="76" a="1"/>
  <c r="AQ798" i="76" s="1"/>
  <c r="AQ790" i="76" a="1"/>
  <c r="AQ790" i="76" s="1"/>
  <c r="AQ782" i="76" a="1"/>
  <c r="AQ782" i="76" s="1"/>
  <c r="AQ774" i="76" a="1"/>
  <c r="AQ774" i="76" s="1"/>
  <c r="AQ766" i="76" a="1"/>
  <c r="AQ766" i="76" s="1"/>
  <c r="AQ758" i="76" a="1"/>
  <c r="AQ758" i="76" s="1"/>
  <c r="AQ750" i="76" a="1"/>
  <c r="AQ750" i="76" s="1"/>
  <c r="AQ742" i="76" a="1"/>
  <c r="AQ742" i="76" s="1"/>
  <c r="AQ734" i="76" a="1"/>
  <c r="AQ734" i="76" s="1"/>
  <c r="AQ726" i="76" a="1"/>
  <c r="AQ726" i="76" s="1"/>
  <c r="AQ718" i="76" a="1"/>
  <c r="AQ718" i="76" s="1"/>
  <c r="AQ710" i="76" a="1"/>
  <c r="AQ710" i="76" s="1"/>
  <c r="AQ702" i="76" a="1"/>
  <c r="AQ702" i="76" s="1"/>
  <c r="AQ694" i="76" a="1"/>
  <c r="AQ694" i="76" s="1"/>
  <c r="AQ686" i="76" a="1"/>
  <c r="AQ686" i="76" s="1"/>
  <c r="AQ799" i="76" a="1"/>
  <c r="AQ799" i="76" s="1"/>
  <c r="AQ791" i="76" a="1"/>
  <c r="AQ791" i="76" s="1"/>
  <c r="AQ783" i="76" a="1"/>
  <c r="AQ783" i="76" s="1"/>
  <c r="AQ775" i="76" a="1"/>
  <c r="AQ775" i="76" s="1"/>
  <c r="AQ767" i="76" a="1"/>
  <c r="AQ767" i="76" s="1"/>
  <c r="AQ759" i="76" a="1"/>
  <c r="AQ759" i="76" s="1"/>
  <c r="AQ751" i="76" a="1"/>
  <c r="AQ751" i="76" s="1"/>
  <c r="AQ743" i="76" a="1"/>
  <c r="AQ743" i="76" s="1"/>
  <c r="AQ735" i="76" a="1"/>
  <c r="AQ735" i="76" s="1"/>
  <c r="AQ727" i="76" a="1"/>
  <c r="AQ727" i="76" s="1"/>
  <c r="AQ719" i="76" a="1"/>
  <c r="AQ719" i="76" s="1"/>
  <c r="AQ711" i="76" a="1"/>
  <c r="AQ711" i="76" s="1"/>
  <c r="AQ703" i="76" a="1"/>
  <c r="AQ703" i="76" s="1"/>
  <c r="AQ693" i="76" a="1"/>
  <c r="AQ693" i="76" s="1"/>
  <c r="AQ672" i="76" a="1"/>
  <c r="AQ672" i="76" s="1"/>
  <c r="AQ664" i="76" a="1"/>
  <c r="AQ664" i="76" s="1"/>
  <c r="AQ656" i="76" a="1"/>
  <c r="AQ656" i="76" s="1"/>
  <c r="AQ648" i="76" a="1"/>
  <c r="AQ648" i="76" s="1"/>
  <c r="AQ640" i="76" a="1"/>
  <c r="AQ640" i="76" s="1"/>
  <c r="AQ632" i="76" a="1"/>
  <c r="AQ632" i="76" s="1"/>
  <c r="AQ624" i="76" a="1"/>
  <c r="AQ624" i="76" s="1"/>
  <c r="AQ849" i="76" a="1"/>
  <c r="AQ849" i="76" s="1"/>
  <c r="AQ837" i="76" a="1"/>
  <c r="AQ837" i="76" s="1"/>
  <c r="AQ829" i="76" a="1"/>
  <c r="AQ829" i="76" s="1"/>
  <c r="AQ821" i="76" a="1"/>
  <c r="AQ821" i="76" s="1"/>
  <c r="AQ813" i="76" a="1"/>
  <c r="AQ813" i="76" s="1"/>
  <c r="AQ805" i="76" a="1"/>
  <c r="AQ805" i="76" s="1"/>
  <c r="AQ800" i="76" a="1"/>
  <c r="AQ800" i="76" s="1"/>
  <c r="AQ792" i="76" a="1"/>
  <c r="AQ792" i="76" s="1"/>
  <c r="AQ784" i="76" a="1"/>
  <c r="AQ784" i="76" s="1"/>
  <c r="AQ776" i="76" a="1"/>
  <c r="AQ776" i="76" s="1"/>
  <c r="AQ768" i="76" a="1"/>
  <c r="AQ768" i="76" s="1"/>
  <c r="AQ760" i="76" a="1"/>
  <c r="AQ760" i="76" s="1"/>
  <c r="AQ752" i="76" a="1"/>
  <c r="AQ752" i="76" s="1"/>
  <c r="AQ744" i="76" a="1"/>
  <c r="AQ744" i="76" s="1"/>
  <c r="AQ736" i="76" a="1"/>
  <c r="AQ736" i="76" s="1"/>
  <c r="AQ728" i="76" a="1"/>
  <c r="AQ728" i="76" s="1"/>
  <c r="AQ720" i="76" a="1"/>
  <c r="AQ720" i="76" s="1"/>
  <c r="AQ712" i="76" a="1"/>
  <c r="AQ712" i="76" s="1"/>
  <c r="AQ704" i="76" a="1"/>
  <c r="AQ704" i="76" s="1"/>
  <c r="AQ696" i="76" a="1"/>
  <c r="AQ696" i="76" s="1"/>
  <c r="AQ688" i="76" a="1"/>
  <c r="AQ688" i="76" s="1"/>
  <c r="AQ804" i="76" a="1"/>
  <c r="AQ804" i="76" s="1"/>
  <c r="AQ793" i="76" a="1"/>
  <c r="AQ793" i="76" s="1"/>
  <c r="AQ785" i="76" a="1"/>
  <c r="AQ785" i="76" s="1"/>
  <c r="AQ777" i="76" a="1"/>
  <c r="AQ777" i="76" s="1"/>
  <c r="AQ769" i="76" a="1"/>
  <c r="AQ769" i="76" s="1"/>
  <c r="AQ761" i="76" a="1"/>
  <c r="AQ761" i="76" s="1"/>
  <c r="AQ753" i="76" a="1"/>
  <c r="AQ753" i="76" s="1"/>
  <c r="AQ745" i="76" a="1"/>
  <c r="AQ745" i="76" s="1"/>
  <c r="AQ737" i="76" a="1"/>
  <c r="AQ737" i="76" s="1"/>
  <c r="AQ729" i="76" a="1"/>
  <c r="AQ729" i="76" s="1"/>
  <c r="AQ721" i="76" a="1"/>
  <c r="AQ721" i="76" s="1"/>
  <c r="AQ713" i="76" a="1"/>
  <c r="AQ713" i="76" s="1"/>
  <c r="AQ705" i="76" a="1"/>
  <c r="AQ705" i="76" s="1"/>
  <c r="AQ697" i="76" a="1"/>
  <c r="AQ697" i="76" s="1"/>
  <c r="AQ681" i="76" a="1"/>
  <c r="AQ681" i="76" s="1"/>
  <c r="AQ674" i="76" a="1"/>
  <c r="AQ674" i="76" s="1"/>
  <c r="AQ858" i="76" a="1"/>
  <c r="AQ858" i="76" s="1"/>
  <c r="AQ842" i="76" a="1"/>
  <c r="AQ842" i="76" s="1"/>
  <c r="AQ826" i="76" a="1"/>
  <c r="AQ826" i="76" s="1"/>
  <c r="AQ810" i="76" a="1"/>
  <c r="AQ810" i="76" s="1"/>
  <c r="AQ855" i="76" a="1"/>
  <c r="AQ855" i="76" s="1"/>
  <c r="AQ847" i="76" a="1"/>
  <c r="AQ847" i="76" s="1"/>
  <c r="AQ839" i="76" a="1"/>
  <c r="AQ839" i="76" s="1"/>
  <c r="AQ831" i="76" a="1"/>
  <c r="AQ831" i="76" s="1"/>
  <c r="AQ823" i="76" a="1"/>
  <c r="AQ823" i="76" s="1"/>
  <c r="AQ815" i="76" a="1"/>
  <c r="AQ815" i="76" s="1"/>
  <c r="AQ807" i="76" a="1"/>
  <c r="AQ807" i="76" s="1"/>
  <c r="AQ802" i="76" a="1"/>
  <c r="AQ802" i="76" s="1"/>
  <c r="AQ794" i="76" a="1"/>
  <c r="AQ794" i="76" s="1"/>
  <c r="AQ786" i="76" a="1"/>
  <c r="AQ786" i="76" s="1"/>
  <c r="AQ778" i="76" a="1"/>
  <c r="AQ778" i="76" s="1"/>
  <c r="AQ770" i="76" a="1"/>
  <c r="AQ770" i="76" s="1"/>
  <c r="AQ762" i="76" a="1"/>
  <c r="AQ762" i="76" s="1"/>
  <c r="AQ754" i="76" a="1"/>
  <c r="AQ754" i="76" s="1"/>
  <c r="AQ746" i="76" a="1"/>
  <c r="AQ746" i="76" s="1"/>
  <c r="AQ738" i="76" a="1"/>
  <c r="AQ738" i="76" s="1"/>
  <c r="AQ730" i="76" a="1"/>
  <c r="AQ730" i="76" s="1"/>
  <c r="AQ722" i="76" a="1"/>
  <c r="AQ722" i="76" s="1"/>
  <c r="AQ714" i="76" a="1"/>
  <c r="AQ714" i="76" s="1"/>
  <c r="AQ706" i="76" a="1"/>
  <c r="AQ706" i="76" s="1"/>
  <c r="AQ698" i="76" a="1"/>
  <c r="AQ698" i="76" s="1"/>
  <c r="AQ690" i="76" a="1"/>
  <c r="AQ690" i="76" s="1"/>
  <c r="AQ682" i="76" a="1"/>
  <c r="AQ682" i="76" s="1"/>
  <c r="AQ795" i="76" a="1"/>
  <c r="AQ795" i="76" s="1"/>
  <c r="AQ787" i="76" a="1"/>
  <c r="AQ787" i="76" s="1"/>
  <c r="AQ779" i="76" a="1"/>
  <c r="AQ779" i="76" s="1"/>
  <c r="AQ771" i="76" a="1"/>
  <c r="AQ771" i="76" s="1"/>
  <c r="AQ763" i="76" a="1"/>
  <c r="AQ763" i="76" s="1"/>
  <c r="AQ755" i="76" a="1"/>
  <c r="AQ755" i="76" s="1"/>
  <c r="AQ747" i="76" a="1"/>
  <c r="AQ747" i="76" s="1"/>
  <c r="AQ739" i="76" a="1"/>
  <c r="AQ739" i="76" s="1"/>
  <c r="AQ731" i="76" a="1"/>
  <c r="AQ731" i="76" s="1"/>
  <c r="AQ723" i="76" a="1"/>
  <c r="AQ723" i="76" s="1"/>
  <c r="AQ715" i="76" a="1"/>
  <c r="AQ715" i="76" s="1"/>
  <c r="AQ707" i="76" a="1"/>
  <c r="AQ707" i="76" s="1"/>
  <c r="AQ699" i="76" a="1"/>
  <c r="AQ699" i="76" s="1"/>
  <c r="AQ680" i="76" a="1"/>
  <c r="AQ680" i="76" s="1"/>
  <c r="AQ668" i="76" a="1"/>
  <c r="AQ668" i="76" s="1"/>
  <c r="AQ660" i="76" a="1"/>
  <c r="AQ660" i="76" s="1"/>
  <c r="AQ652" i="76" a="1"/>
  <c r="AQ652" i="76" s="1"/>
  <c r="AQ644" i="76" a="1"/>
  <c r="AQ644" i="76" s="1"/>
  <c r="AQ636" i="76" a="1"/>
  <c r="AQ636" i="76" s="1"/>
  <c r="AQ628" i="76" a="1"/>
  <c r="AQ628" i="76" s="1"/>
  <c r="AQ620" i="76" a="1"/>
  <c r="AQ620" i="76" s="1"/>
  <c r="AQ612" i="76" a="1"/>
  <c r="AQ612" i="76" s="1"/>
  <c r="AQ604" i="76" a="1"/>
  <c r="AQ604" i="76" s="1"/>
  <c r="AQ596" i="76" a="1"/>
  <c r="AQ596" i="76" s="1"/>
  <c r="AQ616" i="76" a="1"/>
  <c r="AQ616" i="76" s="1"/>
  <c r="AQ600" i="76" a="1"/>
  <c r="AQ600" i="76" s="1"/>
  <c r="AQ588" i="76" a="1"/>
  <c r="AQ588" i="76" s="1"/>
  <c r="AQ580" i="76" a="1"/>
  <c r="AQ580" i="76" s="1"/>
  <c r="AQ687" i="76" a="1"/>
  <c r="AQ687" i="76" s="1"/>
  <c r="AQ675" i="76" a="1"/>
  <c r="AQ675" i="76" s="1"/>
  <c r="AQ667" i="76" a="1"/>
  <c r="AQ667" i="76" s="1"/>
  <c r="AQ659" i="76" a="1"/>
  <c r="AQ659" i="76" s="1"/>
  <c r="AQ651" i="76" a="1"/>
  <c r="AQ651" i="76" s="1"/>
  <c r="AQ643" i="76" a="1"/>
  <c r="AQ643" i="76" s="1"/>
  <c r="AQ635" i="76" a="1"/>
  <c r="AQ635" i="76" s="1"/>
  <c r="AQ627" i="76" a="1"/>
  <c r="AQ627" i="76" s="1"/>
  <c r="AQ619" i="76" a="1"/>
  <c r="AQ619" i="76" s="1"/>
  <c r="AQ611" i="76" a="1"/>
  <c r="AQ611" i="76" s="1"/>
  <c r="AQ603" i="76" a="1"/>
  <c r="AQ603" i="76" s="1"/>
  <c r="AQ595" i="76" a="1"/>
  <c r="AQ595" i="76" s="1"/>
  <c r="AQ587" i="76" a="1"/>
  <c r="AQ587" i="76" s="1"/>
  <c r="AQ579" i="76" a="1"/>
  <c r="AQ579" i="76" s="1"/>
  <c r="AQ571" i="76" a="1"/>
  <c r="AQ571" i="76" s="1"/>
  <c r="AQ568" i="76" a="1"/>
  <c r="AQ568" i="76" s="1"/>
  <c r="AQ560" i="76" a="1"/>
  <c r="AQ560" i="76" s="1"/>
  <c r="AQ552" i="76" a="1"/>
  <c r="AQ552" i="76" s="1"/>
  <c r="AQ544" i="76" a="1"/>
  <c r="AQ544" i="76" s="1"/>
  <c r="AQ536" i="76" a="1"/>
  <c r="AQ536" i="76" s="1"/>
  <c r="AQ528" i="76" a="1"/>
  <c r="AQ528" i="76" s="1"/>
  <c r="AQ520" i="76" a="1"/>
  <c r="AQ520" i="76" s="1"/>
  <c r="AQ512" i="76" a="1"/>
  <c r="AQ512" i="76" s="1"/>
  <c r="AQ504" i="76" a="1"/>
  <c r="AQ504" i="76" s="1"/>
  <c r="AQ496" i="76" a="1"/>
  <c r="AQ496" i="76" s="1"/>
  <c r="AQ488" i="76" a="1"/>
  <c r="AQ488" i="76" s="1"/>
  <c r="AQ480" i="76" a="1"/>
  <c r="AQ480" i="76" s="1"/>
  <c r="AQ472" i="76" a="1"/>
  <c r="AQ472" i="76" s="1"/>
  <c r="AQ464" i="76" a="1"/>
  <c r="AQ464" i="76" s="1"/>
  <c r="AQ456" i="76" a="1"/>
  <c r="AQ456" i="76" s="1"/>
  <c r="AQ448" i="76" a="1"/>
  <c r="AQ448" i="76" s="1"/>
  <c r="AQ440" i="76" a="1"/>
  <c r="AQ440" i="76" s="1"/>
  <c r="AQ432" i="76" a="1"/>
  <c r="AQ432" i="76" s="1"/>
  <c r="AQ424" i="76" a="1"/>
  <c r="AQ424" i="76" s="1"/>
  <c r="AQ416" i="76" a="1"/>
  <c r="AQ416" i="76" s="1"/>
  <c r="AQ408" i="76" a="1"/>
  <c r="AQ408" i="76" s="1"/>
  <c r="AQ400" i="76" a="1"/>
  <c r="AQ400" i="76" s="1"/>
  <c r="AQ392" i="76" a="1"/>
  <c r="AQ392" i="76" s="1"/>
  <c r="AQ384" i="76" a="1"/>
  <c r="AQ384" i="76" s="1"/>
  <c r="AQ376" i="76" a="1"/>
  <c r="AQ376" i="76" s="1"/>
  <c r="AQ368" i="76" a="1"/>
  <c r="AQ368" i="76" s="1"/>
  <c r="AQ360" i="76" a="1"/>
  <c r="AQ360" i="76" s="1"/>
  <c r="AQ352" i="76" a="1"/>
  <c r="AQ352" i="76" s="1"/>
  <c r="AQ344" i="76" a="1"/>
  <c r="AQ344" i="76" s="1"/>
  <c r="AQ336" i="76" a="1"/>
  <c r="AQ336" i="76" s="1"/>
  <c r="AQ570" i="76" a="1"/>
  <c r="AQ570" i="76" s="1"/>
  <c r="AQ561" i="76" a="1"/>
  <c r="AQ561" i="76" s="1"/>
  <c r="AQ553" i="76" a="1"/>
  <c r="AQ553" i="76" s="1"/>
  <c r="AQ545" i="76" a="1"/>
  <c r="AQ545" i="76" s="1"/>
  <c r="AQ537" i="76" a="1"/>
  <c r="AQ537" i="76" s="1"/>
  <c r="AQ529" i="76" a="1"/>
  <c r="AQ529" i="76" s="1"/>
  <c r="AQ521" i="76" a="1"/>
  <c r="AQ521" i="76" s="1"/>
  <c r="AQ513" i="76" a="1"/>
  <c r="AQ513" i="76" s="1"/>
  <c r="AQ505" i="76" a="1"/>
  <c r="AQ505" i="76" s="1"/>
  <c r="AQ497" i="76" a="1"/>
  <c r="AQ497" i="76" s="1"/>
  <c r="AQ489" i="76" a="1"/>
  <c r="AQ489" i="76" s="1"/>
  <c r="AQ481" i="76" a="1"/>
  <c r="AQ481" i="76" s="1"/>
  <c r="AQ473" i="76" a="1"/>
  <c r="AQ473" i="76" s="1"/>
  <c r="AQ465" i="76" a="1"/>
  <c r="AQ465" i="76" s="1"/>
  <c r="AQ457" i="76" a="1"/>
  <c r="AQ457" i="76" s="1"/>
  <c r="AQ449" i="76" a="1"/>
  <c r="AQ449" i="76" s="1"/>
  <c r="AQ441" i="76" a="1"/>
  <c r="AQ441" i="76" s="1"/>
  <c r="AQ433" i="76" a="1"/>
  <c r="AQ433" i="76" s="1"/>
  <c r="AQ425" i="76" a="1"/>
  <c r="AQ425" i="76" s="1"/>
  <c r="AQ417" i="76" a="1"/>
  <c r="AQ417" i="76" s="1"/>
  <c r="AQ409" i="76" a="1"/>
  <c r="AQ409" i="76" s="1"/>
  <c r="AQ401" i="76" a="1"/>
  <c r="AQ401" i="76" s="1"/>
  <c r="AQ393" i="76" a="1"/>
  <c r="AQ393" i="76" s="1"/>
  <c r="AQ385" i="76" a="1"/>
  <c r="AQ385" i="76" s="1"/>
  <c r="AQ377" i="76" a="1"/>
  <c r="AQ377" i="76" s="1"/>
  <c r="AQ369" i="76" a="1"/>
  <c r="AQ369" i="76" s="1"/>
  <c r="AQ361" i="76" a="1"/>
  <c r="AQ361" i="76" s="1"/>
  <c r="AQ670" i="76" a="1"/>
  <c r="AQ670" i="76" s="1"/>
  <c r="AQ654" i="76" a="1"/>
  <c r="AQ654" i="76" s="1"/>
  <c r="AQ638" i="76" a="1"/>
  <c r="AQ638" i="76" s="1"/>
  <c r="AQ622" i="76" a="1"/>
  <c r="AQ622" i="76" s="1"/>
  <c r="AQ606" i="76" a="1"/>
  <c r="AQ606" i="76" s="1"/>
  <c r="AQ590" i="76" a="1"/>
  <c r="AQ590" i="76" s="1"/>
  <c r="AQ691" i="76" a="1"/>
  <c r="AQ691" i="76" s="1"/>
  <c r="AQ669" i="76" a="1"/>
  <c r="AQ669" i="76" s="1"/>
  <c r="AQ653" i="76" a="1"/>
  <c r="AQ653" i="76" s="1"/>
  <c r="AQ637" i="76" a="1"/>
  <c r="AQ637" i="76" s="1"/>
  <c r="AQ621" i="76" a="1"/>
  <c r="AQ621" i="76" s="1"/>
  <c r="AQ605" i="76" a="1"/>
  <c r="AQ605" i="76" s="1"/>
  <c r="AQ589" i="76" a="1"/>
  <c r="AQ589" i="76" s="1"/>
  <c r="AQ573" i="76" a="1"/>
  <c r="AQ573" i="76" s="1"/>
  <c r="AQ562" i="76" a="1"/>
  <c r="AQ562" i="76" s="1"/>
  <c r="AQ546" i="76" a="1"/>
  <c r="AQ546" i="76" s="1"/>
  <c r="AQ530" i="76" a="1"/>
  <c r="AQ530" i="76" s="1"/>
  <c r="AQ514" i="76" a="1"/>
  <c r="AQ514" i="76" s="1"/>
  <c r="AQ498" i="76" a="1"/>
  <c r="AQ498" i="76" s="1"/>
  <c r="AQ482" i="76" a="1"/>
  <c r="AQ482" i="76" s="1"/>
  <c r="AQ466" i="76" a="1"/>
  <c r="AQ466" i="76" s="1"/>
  <c r="AQ450" i="76" a="1"/>
  <c r="AQ450" i="76" s="1"/>
  <c r="AQ434" i="76" a="1"/>
  <c r="AQ434" i="76" s="1"/>
  <c r="AQ418" i="76" a="1"/>
  <c r="AQ418" i="76" s="1"/>
  <c r="AQ402" i="76" a="1"/>
  <c r="AQ402" i="76" s="1"/>
  <c r="AQ386" i="76" a="1"/>
  <c r="AQ386" i="76" s="1"/>
  <c r="AQ370" i="76" a="1"/>
  <c r="AQ370" i="76" s="1"/>
  <c r="AQ354" i="76" a="1"/>
  <c r="AQ354" i="76" s="1"/>
  <c r="AQ338" i="76" a="1"/>
  <c r="AQ338" i="76" s="1"/>
  <c r="AQ563" i="76" a="1"/>
  <c r="AQ563" i="76" s="1"/>
  <c r="AQ547" i="76" a="1"/>
  <c r="AQ547" i="76" s="1"/>
  <c r="AQ531" i="76" a="1"/>
  <c r="AQ531" i="76" s="1"/>
  <c r="AQ515" i="76" a="1"/>
  <c r="AQ515" i="76" s="1"/>
  <c r="AQ499" i="76" a="1"/>
  <c r="AQ499" i="76" s="1"/>
  <c r="AQ483" i="76" a="1"/>
  <c r="AQ483" i="76" s="1"/>
  <c r="AQ467" i="76" a="1"/>
  <c r="AQ467" i="76" s="1"/>
  <c r="AQ451" i="76" a="1"/>
  <c r="AQ451" i="76" s="1"/>
  <c r="AQ435" i="76" a="1"/>
  <c r="AQ435" i="76" s="1"/>
  <c r="AQ419" i="76" a="1"/>
  <c r="AQ419" i="76" s="1"/>
  <c r="AQ403" i="76" a="1"/>
  <c r="AQ403" i="76" s="1"/>
  <c r="AQ387" i="76" a="1"/>
  <c r="AQ387" i="76" s="1"/>
  <c r="AQ371" i="76" a="1"/>
  <c r="AQ371" i="76" s="1"/>
  <c r="AQ357" i="76" a="1"/>
  <c r="AQ357" i="76" s="1"/>
  <c r="AQ349" i="76" a="1"/>
  <c r="AQ349" i="76" s="1"/>
  <c r="AQ341" i="76" a="1"/>
  <c r="AQ341" i="76" s="1"/>
  <c r="AQ331" i="76" a="1"/>
  <c r="AQ331" i="76" s="1"/>
  <c r="AQ324" i="76" a="1"/>
  <c r="AQ324" i="76" s="1"/>
  <c r="AQ316" i="76" a="1"/>
  <c r="AQ316" i="76" s="1"/>
  <c r="AQ308" i="76" a="1"/>
  <c r="AQ308" i="76" s="1"/>
  <c r="AQ300" i="76" a="1"/>
  <c r="AQ300" i="76" s="1"/>
  <c r="AQ292" i="76" a="1"/>
  <c r="AQ292" i="76" s="1"/>
  <c r="AQ284" i="76" a="1"/>
  <c r="AQ284" i="76" s="1"/>
  <c r="AQ276" i="76" a="1"/>
  <c r="AQ276" i="76" s="1"/>
  <c r="AQ268" i="76" a="1"/>
  <c r="AQ268" i="76" s="1"/>
  <c r="AQ260" i="76" a="1"/>
  <c r="AQ260" i="76" s="1"/>
  <c r="AQ252" i="76" a="1"/>
  <c r="AQ252" i="76" s="1"/>
  <c r="AQ244" i="76" a="1"/>
  <c r="AQ244" i="76" s="1"/>
  <c r="AQ236" i="76" a="1"/>
  <c r="AQ236" i="76" s="1"/>
  <c r="AQ228" i="76" a="1"/>
  <c r="AQ228" i="76" s="1"/>
  <c r="AQ220" i="76" a="1"/>
  <c r="AQ220" i="76" s="1"/>
  <c r="AQ212" i="76" a="1"/>
  <c r="AQ212" i="76" s="1"/>
  <c r="AQ204" i="76" a="1"/>
  <c r="AQ204" i="76" s="1"/>
  <c r="AQ196" i="76" a="1"/>
  <c r="AQ196" i="76" s="1"/>
  <c r="AQ188" i="76" a="1"/>
  <c r="AQ188" i="76" s="1"/>
  <c r="AQ180" i="76" a="1"/>
  <c r="AQ180" i="76" s="1"/>
  <c r="AQ172" i="76" a="1"/>
  <c r="AQ172" i="76" s="1"/>
  <c r="AQ164" i="76" a="1"/>
  <c r="AQ164" i="76" s="1"/>
  <c r="AQ156" i="76" a="1"/>
  <c r="AQ156" i="76" s="1"/>
  <c r="AQ148" i="76" a="1"/>
  <c r="AQ148" i="76" s="1"/>
  <c r="AQ140" i="76" a="1"/>
  <c r="AQ140" i="76" s="1"/>
  <c r="AQ132" i="76" a="1"/>
  <c r="AQ132" i="76" s="1"/>
  <c r="AQ124" i="76" a="1"/>
  <c r="AQ124" i="76" s="1"/>
  <c r="AQ116" i="76" a="1"/>
  <c r="AQ116" i="76" s="1"/>
  <c r="AQ108" i="76" a="1"/>
  <c r="AQ108" i="76" s="1"/>
  <c r="AQ100" i="76" a="1"/>
  <c r="AQ100" i="76" s="1"/>
  <c r="AQ327" i="76" a="1"/>
  <c r="AQ327" i="76" s="1"/>
  <c r="AQ319" i="76" a="1"/>
  <c r="AQ319" i="76" s="1"/>
  <c r="AQ311" i="76" a="1"/>
  <c r="AQ311" i="76" s="1"/>
  <c r="AQ303" i="76" a="1"/>
  <c r="AQ303" i="76" s="1"/>
  <c r="AQ295" i="76" a="1"/>
  <c r="AQ295" i="76" s="1"/>
  <c r="AQ287" i="76" a="1"/>
  <c r="AQ287" i="76" s="1"/>
  <c r="AQ279" i="76" a="1"/>
  <c r="AQ279" i="76" s="1"/>
  <c r="AQ271" i="76" a="1"/>
  <c r="AQ271" i="76" s="1"/>
  <c r="AQ263" i="76" a="1"/>
  <c r="AQ263" i="76" s="1"/>
  <c r="AQ255" i="76" a="1"/>
  <c r="AQ255" i="76" s="1"/>
  <c r="AQ247" i="76" a="1"/>
  <c r="AQ247" i="76" s="1"/>
  <c r="AQ239" i="76" a="1"/>
  <c r="AQ239" i="76" s="1"/>
  <c r="AQ666" i="76" a="1"/>
  <c r="AQ666" i="76" s="1"/>
  <c r="AQ650" i="76" a="1"/>
  <c r="AQ650" i="76" s="1"/>
  <c r="AQ634" i="76" a="1"/>
  <c r="AQ634" i="76" s="1"/>
  <c r="AQ608" i="76" a="1"/>
  <c r="AQ608" i="76" s="1"/>
  <c r="AQ592" i="76" a="1"/>
  <c r="AQ592" i="76" s="1"/>
  <c r="AQ584" i="76" a="1"/>
  <c r="AQ584" i="76" s="1"/>
  <c r="AQ695" i="76" a="1"/>
  <c r="AQ695" i="76" s="1"/>
  <c r="AQ679" i="76" a="1"/>
  <c r="AQ679" i="76" s="1"/>
  <c r="AQ671" i="76" a="1"/>
  <c r="AQ671" i="76" s="1"/>
  <c r="AQ663" i="76" a="1"/>
  <c r="AQ663" i="76" s="1"/>
  <c r="AQ655" i="76" a="1"/>
  <c r="AQ655" i="76" s="1"/>
  <c r="AQ647" i="76" a="1"/>
  <c r="AQ647" i="76" s="1"/>
  <c r="AQ639" i="76" a="1"/>
  <c r="AQ639" i="76" s="1"/>
  <c r="AQ631" i="76" a="1"/>
  <c r="AQ631" i="76" s="1"/>
  <c r="AQ623" i="76" a="1"/>
  <c r="AQ623" i="76" s="1"/>
  <c r="AQ615" i="76" a="1"/>
  <c r="AQ615" i="76" s="1"/>
  <c r="AQ607" i="76" a="1"/>
  <c r="AQ607" i="76" s="1"/>
  <c r="AQ599" i="76" a="1"/>
  <c r="AQ599" i="76" s="1"/>
  <c r="AQ591" i="76" a="1"/>
  <c r="AQ591" i="76" s="1"/>
  <c r="AQ583" i="76" a="1"/>
  <c r="AQ583" i="76" s="1"/>
  <c r="AQ575" i="76" a="1"/>
  <c r="AQ575" i="76" s="1"/>
  <c r="AQ576" i="76" a="1"/>
  <c r="AQ576" i="76" s="1"/>
  <c r="AQ564" i="76" a="1"/>
  <c r="AQ564" i="76" s="1"/>
  <c r="AQ556" i="76" a="1"/>
  <c r="AQ556" i="76" s="1"/>
  <c r="AQ548" i="76" a="1"/>
  <c r="AQ548" i="76" s="1"/>
  <c r="AQ540" i="76" a="1"/>
  <c r="AQ540" i="76" s="1"/>
  <c r="AQ532" i="76" a="1"/>
  <c r="AQ532" i="76" s="1"/>
  <c r="AQ524" i="76" a="1"/>
  <c r="AQ524" i="76" s="1"/>
  <c r="AQ516" i="76" a="1"/>
  <c r="AQ516" i="76" s="1"/>
  <c r="AQ508" i="76" a="1"/>
  <c r="AQ508" i="76" s="1"/>
  <c r="AQ500" i="76" a="1"/>
  <c r="AQ500" i="76" s="1"/>
  <c r="AQ492" i="76" a="1"/>
  <c r="AQ492" i="76" s="1"/>
  <c r="AQ484" i="76" a="1"/>
  <c r="AQ484" i="76" s="1"/>
  <c r="AQ476" i="76" a="1"/>
  <c r="AQ476" i="76" s="1"/>
  <c r="AQ468" i="76" a="1"/>
  <c r="AQ468" i="76" s="1"/>
  <c r="AQ460" i="76" a="1"/>
  <c r="AQ460" i="76" s="1"/>
  <c r="AQ452" i="76" a="1"/>
  <c r="AQ452" i="76" s="1"/>
  <c r="AQ444" i="76" a="1"/>
  <c r="AQ444" i="76" s="1"/>
  <c r="AQ436" i="76" a="1"/>
  <c r="AQ436" i="76" s="1"/>
  <c r="AQ428" i="76" a="1"/>
  <c r="AQ428" i="76" s="1"/>
  <c r="AQ420" i="76" a="1"/>
  <c r="AQ420" i="76" s="1"/>
  <c r="AQ412" i="76" a="1"/>
  <c r="AQ412" i="76" s="1"/>
  <c r="AQ404" i="76" a="1"/>
  <c r="AQ404" i="76" s="1"/>
  <c r="AQ396" i="76" a="1"/>
  <c r="AQ396" i="76" s="1"/>
  <c r="AQ388" i="76" a="1"/>
  <c r="AQ388" i="76" s="1"/>
  <c r="AQ380" i="76" a="1"/>
  <c r="AQ380" i="76" s="1"/>
  <c r="AQ372" i="76" a="1"/>
  <c r="AQ372" i="76" s="1"/>
  <c r="AQ364" i="76" a="1"/>
  <c r="AQ364" i="76" s="1"/>
  <c r="AQ356" i="76" a="1"/>
  <c r="AQ356" i="76" s="1"/>
  <c r="AQ348" i="76" a="1"/>
  <c r="AQ348" i="76" s="1"/>
  <c r="AQ340" i="76" a="1"/>
  <c r="AQ340" i="76" s="1"/>
  <c r="AQ332" i="76" a="1"/>
  <c r="AQ332" i="76" s="1"/>
  <c r="AQ565" i="76" a="1"/>
  <c r="AQ565" i="76" s="1"/>
  <c r="AQ557" i="76" a="1"/>
  <c r="AQ557" i="76" s="1"/>
  <c r="AQ549" i="76" a="1"/>
  <c r="AQ549" i="76" s="1"/>
  <c r="AQ541" i="76" a="1"/>
  <c r="AQ541" i="76" s="1"/>
  <c r="AQ533" i="76" a="1"/>
  <c r="AQ533" i="76" s="1"/>
  <c r="AQ525" i="76" a="1"/>
  <c r="AQ525" i="76" s="1"/>
  <c r="AQ517" i="76" a="1"/>
  <c r="AQ517" i="76" s="1"/>
  <c r="AQ509" i="76" a="1"/>
  <c r="AQ509" i="76" s="1"/>
  <c r="AQ501" i="76" a="1"/>
  <c r="AQ501" i="76" s="1"/>
  <c r="AQ493" i="76" a="1"/>
  <c r="AQ493" i="76" s="1"/>
  <c r="AQ485" i="76" a="1"/>
  <c r="AQ485" i="76" s="1"/>
  <c r="AQ477" i="76" a="1"/>
  <c r="AQ477" i="76" s="1"/>
  <c r="AQ469" i="76" a="1"/>
  <c r="AQ469" i="76" s="1"/>
  <c r="AQ461" i="76" a="1"/>
  <c r="AQ461" i="76" s="1"/>
  <c r="AQ453" i="76" a="1"/>
  <c r="AQ453" i="76" s="1"/>
  <c r="AQ445" i="76" a="1"/>
  <c r="AQ445" i="76" s="1"/>
  <c r="AQ437" i="76" a="1"/>
  <c r="AQ437" i="76" s="1"/>
  <c r="AQ429" i="76" a="1"/>
  <c r="AQ429" i="76" s="1"/>
  <c r="AQ421" i="76" a="1"/>
  <c r="AQ421" i="76" s="1"/>
  <c r="AQ413" i="76" a="1"/>
  <c r="AQ413" i="76" s="1"/>
  <c r="AQ405" i="76" a="1"/>
  <c r="AQ405" i="76" s="1"/>
  <c r="AQ397" i="76" a="1"/>
  <c r="AQ397" i="76" s="1"/>
  <c r="AQ389" i="76" a="1"/>
  <c r="AQ389" i="76" s="1"/>
  <c r="AQ381" i="76" a="1"/>
  <c r="AQ381" i="76" s="1"/>
  <c r="AQ373" i="76" a="1"/>
  <c r="AQ373" i="76" s="1"/>
  <c r="AQ365" i="76" a="1"/>
  <c r="AQ365" i="76" s="1"/>
  <c r="AQ685" i="76" a="1"/>
  <c r="AQ685" i="76" s="1"/>
  <c r="AQ662" i="76" a="1"/>
  <c r="AQ662" i="76" s="1"/>
  <c r="AQ646" i="76" a="1"/>
  <c r="AQ646" i="76" s="1"/>
  <c r="AQ630" i="76" a="1"/>
  <c r="AQ630" i="76" s="1"/>
  <c r="AQ614" i="76" a="1"/>
  <c r="AQ614" i="76" s="1"/>
  <c r="AQ598" i="76" a="1"/>
  <c r="AQ598" i="76" s="1"/>
  <c r="AQ582" i="76" a="1"/>
  <c r="AQ582" i="76" s="1"/>
  <c r="AQ677" i="76" a="1"/>
  <c r="AQ677" i="76" s="1"/>
  <c r="AQ661" i="76" a="1"/>
  <c r="AQ661" i="76" s="1"/>
  <c r="AQ645" i="76" a="1"/>
  <c r="AQ645" i="76" s="1"/>
  <c r="AQ629" i="76" a="1"/>
  <c r="AQ629" i="76" s="1"/>
  <c r="AQ613" i="76" a="1"/>
  <c r="AQ613" i="76" s="1"/>
  <c r="AQ597" i="76" a="1"/>
  <c r="AQ597" i="76" s="1"/>
  <c r="AQ581" i="76" a="1"/>
  <c r="AQ581" i="76" s="1"/>
  <c r="AQ572" i="76" a="1"/>
  <c r="AQ572" i="76" s="1"/>
  <c r="AQ554" i="76" a="1"/>
  <c r="AQ554" i="76" s="1"/>
  <c r="AQ538" i="76" a="1"/>
  <c r="AQ538" i="76" s="1"/>
  <c r="AQ522" i="76" a="1"/>
  <c r="AQ522" i="76" s="1"/>
  <c r="AQ506" i="76" a="1"/>
  <c r="AQ506" i="76" s="1"/>
  <c r="AQ490" i="76" a="1"/>
  <c r="AQ490" i="76" s="1"/>
  <c r="AQ474" i="76" a="1"/>
  <c r="AQ474" i="76" s="1"/>
  <c r="AQ458" i="76" a="1"/>
  <c r="AQ458" i="76" s="1"/>
  <c r="AQ442" i="76" a="1"/>
  <c r="AQ442" i="76" s="1"/>
  <c r="AQ426" i="76" a="1"/>
  <c r="AQ426" i="76" s="1"/>
  <c r="AQ410" i="76" a="1"/>
  <c r="AQ410" i="76" s="1"/>
  <c r="AQ394" i="76" a="1"/>
  <c r="AQ394" i="76" s="1"/>
  <c r="AQ378" i="76" a="1"/>
  <c r="AQ378" i="76" s="1"/>
  <c r="AQ362" i="76" a="1"/>
  <c r="AQ362" i="76" s="1"/>
  <c r="AQ346" i="76" a="1"/>
  <c r="AQ346" i="76" s="1"/>
  <c r="AQ574" i="76" a="1"/>
  <c r="AQ574" i="76" s="1"/>
  <c r="AQ555" i="76" a="1"/>
  <c r="AQ555" i="76" s="1"/>
  <c r="AQ539" i="76" a="1"/>
  <c r="AQ539" i="76" s="1"/>
  <c r="AQ523" i="76" a="1"/>
  <c r="AQ523" i="76" s="1"/>
  <c r="AQ507" i="76" a="1"/>
  <c r="AQ507" i="76" s="1"/>
  <c r="AQ491" i="76" a="1"/>
  <c r="AQ491" i="76" s="1"/>
  <c r="AQ475" i="76" a="1"/>
  <c r="AQ475" i="76" s="1"/>
  <c r="AQ459" i="76" a="1"/>
  <c r="AQ459" i="76" s="1"/>
  <c r="AQ443" i="76" a="1"/>
  <c r="AQ443" i="76" s="1"/>
  <c r="AQ427" i="76" a="1"/>
  <c r="AQ427" i="76" s="1"/>
  <c r="AQ411" i="76" a="1"/>
  <c r="AQ411" i="76" s="1"/>
  <c r="AQ395" i="76" a="1"/>
  <c r="AQ395" i="76" s="1"/>
  <c r="AQ379" i="76" a="1"/>
  <c r="AQ379" i="76" s="1"/>
  <c r="AQ363" i="76" a="1"/>
  <c r="AQ363" i="76" s="1"/>
  <c r="AQ353" i="76" a="1"/>
  <c r="AQ353" i="76" s="1"/>
  <c r="AQ345" i="76" a="1"/>
  <c r="AQ345" i="76" s="1"/>
  <c r="AQ337" i="76" a="1"/>
  <c r="AQ337" i="76" s="1"/>
  <c r="AQ328" i="76" a="1"/>
  <c r="AQ328" i="76" s="1"/>
  <c r="AQ320" i="76" a="1"/>
  <c r="AQ320" i="76" s="1"/>
  <c r="AQ312" i="76" a="1"/>
  <c r="AQ312" i="76" s="1"/>
  <c r="AQ304" i="76" a="1"/>
  <c r="AQ304" i="76" s="1"/>
  <c r="AQ296" i="76" a="1"/>
  <c r="AQ296" i="76" s="1"/>
  <c r="AQ288" i="76" a="1"/>
  <c r="AQ288" i="76" s="1"/>
  <c r="AQ280" i="76" a="1"/>
  <c r="AQ280" i="76" s="1"/>
  <c r="AQ272" i="76" a="1"/>
  <c r="AQ272" i="76" s="1"/>
  <c r="AQ264" i="76" a="1"/>
  <c r="AQ264" i="76" s="1"/>
  <c r="AQ256" i="76" a="1"/>
  <c r="AQ256" i="76" s="1"/>
  <c r="AQ248" i="76" a="1"/>
  <c r="AQ248" i="76" s="1"/>
  <c r="AQ240" i="76" a="1"/>
  <c r="AQ240" i="76" s="1"/>
  <c r="AQ232" i="76" a="1"/>
  <c r="AQ232" i="76" s="1"/>
  <c r="AQ224" i="76" a="1"/>
  <c r="AQ224" i="76" s="1"/>
  <c r="AQ216" i="76" a="1"/>
  <c r="AQ216" i="76" s="1"/>
  <c r="AQ208" i="76" a="1"/>
  <c r="AQ208" i="76" s="1"/>
  <c r="AQ200" i="76" a="1"/>
  <c r="AQ200" i="76" s="1"/>
  <c r="AQ192" i="76" a="1"/>
  <c r="AQ192" i="76" s="1"/>
  <c r="AQ184" i="76" a="1"/>
  <c r="AQ184" i="76" s="1"/>
  <c r="AQ176" i="76" a="1"/>
  <c r="AQ176" i="76" s="1"/>
  <c r="AQ168" i="76" a="1"/>
  <c r="AQ168" i="76" s="1"/>
  <c r="AQ160" i="76" a="1"/>
  <c r="AQ160" i="76" s="1"/>
  <c r="AQ152" i="76" a="1"/>
  <c r="AQ152" i="76" s="1"/>
  <c r="AQ144" i="76" a="1"/>
  <c r="AQ144" i="76" s="1"/>
  <c r="AQ136" i="76" a="1"/>
  <c r="AQ136" i="76" s="1"/>
  <c r="AQ128" i="76" a="1"/>
  <c r="AQ128" i="76" s="1"/>
  <c r="AQ120" i="76" a="1"/>
  <c r="AQ120" i="76" s="1"/>
  <c r="AQ112" i="76" a="1"/>
  <c r="AQ112" i="76" s="1"/>
  <c r="AQ104" i="76" a="1"/>
  <c r="AQ104" i="76" s="1"/>
  <c r="AQ333" i="76" a="1"/>
  <c r="AQ333" i="76" s="1"/>
  <c r="AQ323" i="76" a="1"/>
  <c r="AQ323" i="76" s="1"/>
  <c r="AQ315" i="76" a="1"/>
  <c r="AQ315" i="76" s="1"/>
  <c r="AQ307" i="76" a="1"/>
  <c r="AQ307" i="76" s="1"/>
  <c r="AQ299" i="76" a="1"/>
  <c r="AQ299" i="76" s="1"/>
  <c r="AQ291" i="76" a="1"/>
  <c r="AQ291" i="76" s="1"/>
  <c r="AQ283" i="76" a="1"/>
  <c r="AQ283" i="76" s="1"/>
  <c r="AQ275" i="76" a="1"/>
  <c r="AQ275" i="76" s="1"/>
  <c r="AQ267" i="76" a="1"/>
  <c r="AQ267" i="76" s="1"/>
  <c r="AQ259" i="76" a="1"/>
  <c r="AQ259" i="76" s="1"/>
  <c r="AQ251" i="76" a="1"/>
  <c r="AQ251" i="76" s="1"/>
  <c r="AQ243" i="76" a="1"/>
  <c r="AQ243" i="76" s="1"/>
  <c r="AQ676" i="76" a="1"/>
  <c r="AQ676" i="76" s="1"/>
  <c r="AQ658" i="76" a="1"/>
  <c r="AQ658" i="76" s="1"/>
  <c r="AQ642" i="76" a="1"/>
  <c r="AQ642" i="76" s="1"/>
  <c r="AQ626" i="76" a="1"/>
  <c r="AQ626" i="76" s="1"/>
  <c r="AQ610" i="76" a="1"/>
  <c r="AQ610" i="76" s="1"/>
  <c r="AQ594" i="76" a="1"/>
  <c r="AQ594" i="76" s="1"/>
  <c r="AQ578" i="76" a="1"/>
  <c r="AQ578" i="76" s="1"/>
  <c r="AQ673" i="76" a="1"/>
  <c r="AQ673" i="76" s="1"/>
  <c r="AQ618" i="76" a="1"/>
  <c r="AQ618" i="76" s="1"/>
  <c r="AQ586" i="76" a="1"/>
  <c r="AQ586" i="76" s="1"/>
  <c r="AQ665" i="76" a="1"/>
  <c r="AQ665" i="76" s="1"/>
  <c r="AQ649" i="76" a="1"/>
  <c r="AQ649" i="76" s="1"/>
  <c r="AQ633" i="76" a="1"/>
  <c r="AQ633" i="76" s="1"/>
  <c r="AQ617" i="76" a="1"/>
  <c r="AQ617" i="76" s="1"/>
  <c r="AQ601" i="76" a="1"/>
  <c r="AQ601" i="76" s="1"/>
  <c r="AQ585" i="76" a="1"/>
  <c r="AQ585" i="76" s="1"/>
  <c r="AQ569" i="76" a="1"/>
  <c r="AQ569" i="76" s="1"/>
  <c r="AQ558" i="76" a="1"/>
  <c r="AQ558" i="76" s="1"/>
  <c r="AQ542" i="76" a="1"/>
  <c r="AQ542" i="76" s="1"/>
  <c r="AQ526" i="76" a="1"/>
  <c r="AQ526" i="76" s="1"/>
  <c r="AQ510" i="76" a="1"/>
  <c r="AQ510" i="76" s="1"/>
  <c r="AQ494" i="76" a="1"/>
  <c r="AQ494" i="76" s="1"/>
  <c r="AQ478" i="76" a="1"/>
  <c r="AQ478" i="76" s="1"/>
  <c r="AQ462" i="76" a="1"/>
  <c r="AQ462" i="76" s="1"/>
  <c r="AQ446" i="76" a="1"/>
  <c r="AQ446" i="76" s="1"/>
  <c r="AQ430" i="76" a="1"/>
  <c r="AQ430" i="76" s="1"/>
  <c r="AQ414" i="76" a="1"/>
  <c r="AQ414" i="76" s="1"/>
  <c r="AQ398" i="76" a="1"/>
  <c r="AQ398" i="76" s="1"/>
  <c r="AQ382" i="76" a="1"/>
  <c r="AQ382" i="76" s="1"/>
  <c r="AQ366" i="76" a="1"/>
  <c r="AQ366" i="76" s="1"/>
  <c r="AQ350" i="76" a="1"/>
  <c r="AQ350" i="76" s="1"/>
  <c r="AQ334" i="76" a="1"/>
  <c r="AQ334" i="76" s="1"/>
  <c r="AQ559" i="76" a="1"/>
  <c r="AQ559" i="76" s="1"/>
  <c r="AQ543" i="76" a="1"/>
  <c r="AQ543" i="76" s="1"/>
  <c r="AQ527" i="76" a="1"/>
  <c r="AQ527" i="76" s="1"/>
  <c r="AQ511" i="76" a="1"/>
  <c r="AQ511" i="76" s="1"/>
  <c r="AQ495" i="76" a="1"/>
  <c r="AQ495" i="76" s="1"/>
  <c r="AQ479" i="76" a="1"/>
  <c r="AQ479" i="76" s="1"/>
  <c r="AQ463" i="76" a="1"/>
  <c r="AQ463" i="76" s="1"/>
  <c r="AQ447" i="76" a="1"/>
  <c r="AQ447" i="76" s="1"/>
  <c r="AQ431" i="76" a="1"/>
  <c r="AQ431" i="76" s="1"/>
  <c r="AQ415" i="76" a="1"/>
  <c r="AQ415" i="76" s="1"/>
  <c r="AQ399" i="76" a="1"/>
  <c r="AQ399" i="76" s="1"/>
  <c r="AQ383" i="76" a="1"/>
  <c r="AQ383" i="76" s="1"/>
  <c r="AQ367" i="76" a="1"/>
  <c r="AQ367" i="76" s="1"/>
  <c r="AQ355" i="76" a="1"/>
  <c r="AQ355" i="76" s="1"/>
  <c r="AQ347" i="76" a="1"/>
  <c r="AQ347" i="76" s="1"/>
  <c r="AQ339" i="76" a="1"/>
  <c r="AQ339" i="76" s="1"/>
  <c r="AQ330" i="76" a="1"/>
  <c r="AQ330" i="76" s="1"/>
  <c r="AQ322" i="76" a="1"/>
  <c r="AQ322" i="76" s="1"/>
  <c r="AQ314" i="76" a="1"/>
  <c r="AQ314" i="76" s="1"/>
  <c r="AQ306" i="76" a="1"/>
  <c r="AQ306" i="76" s="1"/>
  <c r="AQ298" i="76" a="1"/>
  <c r="AQ298" i="76" s="1"/>
  <c r="AQ290" i="76" a="1"/>
  <c r="AQ290" i="76" s="1"/>
  <c r="AQ282" i="76" a="1"/>
  <c r="AQ282" i="76" s="1"/>
  <c r="AQ274" i="76" a="1"/>
  <c r="AQ274" i="76" s="1"/>
  <c r="AQ266" i="76" a="1"/>
  <c r="AQ266" i="76" s="1"/>
  <c r="AQ258" i="76" a="1"/>
  <c r="AQ258" i="76" s="1"/>
  <c r="AQ250" i="76" a="1"/>
  <c r="AQ250" i="76" s="1"/>
  <c r="AQ242" i="76" a="1"/>
  <c r="AQ242" i="76" s="1"/>
  <c r="AQ234" i="76" a="1"/>
  <c r="AQ234" i="76" s="1"/>
  <c r="AQ226" i="76" a="1"/>
  <c r="AQ226" i="76" s="1"/>
  <c r="AQ218" i="76" a="1"/>
  <c r="AQ218" i="76" s="1"/>
  <c r="AQ210" i="76" a="1"/>
  <c r="AQ210" i="76" s="1"/>
  <c r="AQ202" i="76" a="1"/>
  <c r="AQ202" i="76" s="1"/>
  <c r="AQ194" i="76" a="1"/>
  <c r="AQ194" i="76" s="1"/>
  <c r="AQ186" i="76" a="1"/>
  <c r="AQ186" i="76" s="1"/>
  <c r="AQ178" i="76" a="1"/>
  <c r="AQ178" i="76" s="1"/>
  <c r="AQ170" i="76" a="1"/>
  <c r="AQ170" i="76" s="1"/>
  <c r="AQ162" i="76" a="1"/>
  <c r="AQ162" i="76" s="1"/>
  <c r="AQ154" i="76" a="1"/>
  <c r="AQ154" i="76" s="1"/>
  <c r="AQ146" i="76" a="1"/>
  <c r="AQ146" i="76" s="1"/>
  <c r="AQ138" i="76" a="1"/>
  <c r="AQ138" i="76" s="1"/>
  <c r="AQ130" i="76" a="1"/>
  <c r="AQ130" i="76" s="1"/>
  <c r="AQ122" i="76" a="1"/>
  <c r="AQ122" i="76" s="1"/>
  <c r="AQ114" i="76" a="1"/>
  <c r="AQ114" i="76" s="1"/>
  <c r="AQ106" i="76" a="1"/>
  <c r="AQ106" i="76" s="1"/>
  <c r="AQ98" i="76" a="1"/>
  <c r="AQ98" i="76" s="1"/>
  <c r="AQ325" i="76" a="1"/>
  <c r="AQ325" i="76" s="1"/>
  <c r="AQ317" i="76" a="1"/>
  <c r="AQ317" i="76" s="1"/>
  <c r="AQ309" i="76" a="1"/>
  <c r="AQ309" i="76" s="1"/>
  <c r="AQ301" i="76" a="1"/>
  <c r="AQ301" i="76" s="1"/>
  <c r="AQ293" i="76" a="1"/>
  <c r="AQ293" i="76" s="1"/>
  <c r="AQ285" i="76" a="1"/>
  <c r="AQ285" i="76" s="1"/>
  <c r="AQ277" i="76" a="1"/>
  <c r="AQ277" i="76" s="1"/>
  <c r="AQ269" i="76" a="1"/>
  <c r="AQ269" i="76" s="1"/>
  <c r="AQ261" i="76" a="1"/>
  <c r="AQ261" i="76" s="1"/>
  <c r="AQ253" i="76" a="1"/>
  <c r="AQ253" i="76" s="1"/>
  <c r="AQ241" i="76" a="1"/>
  <c r="AQ241" i="76" s="1"/>
  <c r="AQ231" i="76" a="1"/>
  <c r="AQ231" i="76" s="1"/>
  <c r="AQ223" i="76" a="1"/>
  <c r="AQ223" i="76" s="1"/>
  <c r="AQ215" i="76" a="1"/>
  <c r="AQ215" i="76" s="1"/>
  <c r="AQ207" i="76" a="1"/>
  <c r="AQ207" i="76" s="1"/>
  <c r="AQ199" i="76" a="1"/>
  <c r="AQ199" i="76" s="1"/>
  <c r="AQ191" i="76" a="1"/>
  <c r="AQ191" i="76" s="1"/>
  <c r="AQ183" i="76" a="1"/>
  <c r="AQ183" i="76" s="1"/>
  <c r="AQ175" i="76" a="1"/>
  <c r="AQ175" i="76" s="1"/>
  <c r="AQ167" i="76" a="1"/>
  <c r="AQ167" i="76" s="1"/>
  <c r="AQ159" i="76" a="1"/>
  <c r="AQ159" i="76" s="1"/>
  <c r="AQ151" i="76" a="1"/>
  <c r="AQ151" i="76" s="1"/>
  <c r="AQ143" i="76" a="1"/>
  <c r="AQ143" i="76" s="1"/>
  <c r="AQ135" i="76" a="1"/>
  <c r="AQ135" i="76" s="1"/>
  <c r="AQ127" i="76" a="1"/>
  <c r="AQ127" i="76" s="1"/>
  <c r="AQ119" i="76" a="1"/>
  <c r="AQ119" i="76" s="1"/>
  <c r="AQ111" i="76" a="1"/>
  <c r="AQ111" i="76" s="1"/>
  <c r="AQ103" i="76" a="1"/>
  <c r="AQ103" i="76" s="1"/>
  <c r="AQ95" i="76" a="1"/>
  <c r="AQ95" i="76" s="1"/>
  <c r="AQ89" i="76" a="1"/>
  <c r="AQ89" i="76" s="1"/>
  <c r="AQ81" i="76" a="1"/>
  <c r="AQ81" i="76" s="1"/>
  <c r="AQ73" i="76" a="1"/>
  <c r="AQ73" i="76" s="1"/>
  <c r="AQ65" i="76" a="1"/>
  <c r="AQ65" i="76" s="1"/>
  <c r="AQ57" i="76" a="1"/>
  <c r="AQ57" i="76" s="1"/>
  <c r="AQ49" i="76" a="1"/>
  <c r="AQ49" i="76" s="1"/>
  <c r="AQ41" i="76" a="1"/>
  <c r="AQ41" i="76" s="1"/>
  <c r="AQ33" i="76" a="1"/>
  <c r="AQ33" i="76" s="1"/>
  <c r="AQ25" i="76" a="1"/>
  <c r="AQ25" i="76" s="1"/>
  <c r="AQ17" i="76" a="1"/>
  <c r="AQ17" i="76" s="1"/>
  <c r="AQ9" i="76" a="1"/>
  <c r="AQ9" i="76" s="1"/>
  <c r="BB2" i="76"/>
  <c r="AQ96" i="76" a="1"/>
  <c r="AQ96" i="76" s="1"/>
  <c r="AQ86" i="76" a="1"/>
  <c r="AQ86" i="76" s="1"/>
  <c r="AQ78" i="76" a="1"/>
  <c r="AQ78" i="76" s="1"/>
  <c r="AQ70" i="76" a="1"/>
  <c r="AQ70" i="76" s="1"/>
  <c r="AQ62" i="76" a="1"/>
  <c r="AQ62" i="76" s="1"/>
  <c r="AQ54" i="76" a="1"/>
  <c r="AQ54" i="76" s="1"/>
  <c r="AQ46" i="76" a="1"/>
  <c r="AQ46" i="76" s="1"/>
  <c r="AQ38" i="76" a="1"/>
  <c r="AQ38" i="76" s="1"/>
  <c r="AQ30" i="76" a="1"/>
  <c r="AQ30" i="76" s="1"/>
  <c r="AQ22" i="76" a="1"/>
  <c r="AQ22" i="76" s="1"/>
  <c r="AQ14" i="76" a="1"/>
  <c r="AQ14" i="76" s="1"/>
  <c r="AQ6" i="76" a="1"/>
  <c r="AQ6" i="76" s="1"/>
  <c r="AY2" i="76"/>
  <c r="AQ245" i="76" a="1"/>
  <c r="AQ245" i="76" s="1"/>
  <c r="AQ233" i="76" a="1"/>
  <c r="AQ233" i="76" s="1"/>
  <c r="AQ225" i="76" a="1"/>
  <c r="AQ225" i="76" s="1"/>
  <c r="AQ217" i="76" a="1"/>
  <c r="AQ217" i="76" s="1"/>
  <c r="AQ209" i="76" a="1"/>
  <c r="AQ209" i="76" s="1"/>
  <c r="AQ201" i="76" a="1"/>
  <c r="AQ201" i="76" s="1"/>
  <c r="AQ193" i="76" a="1"/>
  <c r="AQ193" i="76" s="1"/>
  <c r="AQ185" i="76" a="1"/>
  <c r="AQ185" i="76" s="1"/>
  <c r="AQ177" i="76" a="1"/>
  <c r="AQ177" i="76" s="1"/>
  <c r="AQ169" i="76" a="1"/>
  <c r="AQ169" i="76" s="1"/>
  <c r="AQ161" i="76" a="1"/>
  <c r="AQ161" i="76" s="1"/>
  <c r="AQ153" i="76" a="1"/>
  <c r="AQ153" i="76" s="1"/>
  <c r="AQ145" i="76" a="1"/>
  <c r="AQ145" i="76" s="1"/>
  <c r="AQ137" i="76" a="1"/>
  <c r="AQ137" i="76" s="1"/>
  <c r="AQ129" i="76" a="1"/>
  <c r="AQ129" i="76" s="1"/>
  <c r="AQ121" i="76" a="1"/>
  <c r="AQ121" i="76" s="1"/>
  <c r="AQ113" i="76" a="1"/>
  <c r="AQ113" i="76" s="1"/>
  <c r="AQ105" i="76" a="1"/>
  <c r="AQ105" i="76" s="1"/>
  <c r="AQ97" i="76" a="1"/>
  <c r="AQ97" i="76" s="1"/>
  <c r="AQ94" i="76" a="1"/>
  <c r="AQ94" i="76" s="1"/>
  <c r="AQ83" i="76" a="1"/>
  <c r="AQ83" i="76" s="1"/>
  <c r="AQ75" i="76" a="1"/>
  <c r="AQ75" i="76" s="1"/>
  <c r="AQ67" i="76" a="1"/>
  <c r="AQ67" i="76" s="1"/>
  <c r="AQ59" i="76" a="1"/>
  <c r="AQ59" i="76" s="1"/>
  <c r="AQ51" i="76" a="1"/>
  <c r="AQ51" i="76" s="1"/>
  <c r="AQ43" i="76" a="1"/>
  <c r="AQ43" i="76" s="1"/>
  <c r="AQ35" i="76" a="1"/>
  <c r="AQ35" i="76" s="1"/>
  <c r="AQ27" i="76" a="1"/>
  <c r="AQ27" i="76" s="1"/>
  <c r="AQ19" i="76" a="1"/>
  <c r="AQ19" i="76" s="1"/>
  <c r="AQ11" i="76" a="1"/>
  <c r="AQ11" i="76" s="1"/>
  <c r="BD2" i="76"/>
  <c r="AV2" i="76"/>
  <c r="AQ88" i="76" a="1"/>
  <c r="AQ88" i="76" s="1"/>
  <c r="AQ80" i="76" a="1"/>
  <c r="AQ80" i="76" s="1"/>
  <c r="AQ72" i="76" a="1"/>
  <c r="AQ72" i="76" s="1"/>
  <c r="AQ64" i="76" a="1"/>
  <c r="AQ64" i="76" s="1"/>
  <c r="AQ56" i="76" a="1"/>
  <c r="AQ56" i="76" s="1"/>
  <c r="AQ48" i="76" a="1"/>
  <c r="AQ48" i="76" s="1"/>
  <c r="AQ40" i="76" a="1"/>
  <c r="AQ40" i="76" s="1"/>
  <c r="AQ32" i="76" a="1"/>
  <c r="AQ32" i="76" s="1"/>
  <c r="AQ24" i="76" a="1"/>
  <c r="AQ24" i="76" s="1"/>
  <c r="AQ16" i="76" a="1"/>
  <c r="AQ16" i="76" s="1"/>
  <c r="AQ8" i="76" a="1"/>
  <c r="AQ8" i="76" s="1"/>
  <c r="BA2" i="76"/>
  <c r="AQ602" i="76" a="1"/>
  <c r="AQ602" i="76" s="1"/>
  <c r="AQ683" i="76" a="1"/>
  <c r="AQ683" i="76" s="1"/>
  <c r="AQ657" i="76" a="1"/>
  <c r="AQ657" i="76" s="1"/>
  <c r="AQ641" i="76" a="1"/>
  <c r="AQ641" i="76" s="1"/>
  <c r="AQ625" i="76" a="1"/>
  <c r="AQ625" i="76" s="1"/>
  <c r="AQ609" i="76" a="1"/>
  <c r="AQ609" i="76" s="1"/>
  <c r="AQ593" i="76" a="1"/>
  <c r="AQ593" i="76" s="1"/>
  <c r="AQ577" i="76" a="1"/>
  <c r="AQ577" i="76" s="1"/>
  <c r="AQ566" i="76" a="1"/>
  <c r="AQ566" i="76" s="1"/>
  <c r="AQ550" i="76" a="1"/>
  <c r="AQ550" i="76" s="1"/>
  <c r="AQ534" i="76" a="1"/>
  <c r="AQ534" i="76" s="1"/>
  <c r="AQ518" i="76" a="1"/>
  <c r="AQ518" i="76" s="1"/>
  <c r="AQ502" i="76" a="1"/>
  <c r="AQ502" i="76" s="1"/>
  <c r="AQ486" i="76" a="1"/>
  <c r="AQ486" i="76" s="1"/>
  <c r="AQ470" i="76" a="1"/>
  <c r="AQ470" i="76" s="1"/>
  <c r="AQ454" i="76" a="1"/>
  <c r="AQ454" i="76" s="1"/>
  <c r="AQ438" i="76" a="1"/>
  <c r="AQ438" i="76" s="1"/>
  <c r="AQ422" i="76" a="1"/>
  <c r="AQ422" i="76" s="1"/>
  <c r="AQ406" i="76" a="1"/>
  <c r="AQ406" i="76" s="1"/>
  <c r="AQ390" i="76" a="1"/>
  <c r="AQ390" i="76" s="1"/>
  <c r="AQ374" i="76" a="1"/>
  <c r="AQ374" i="76" s="1"/>
  <c r="AQ358" i="76" a="1"/>
  <c r="AQ358" i="76" s="1"/>
  <c r="AQ342" i="76" a="1"/>
  <c r="AQ342" i="76" s="1"/>
  <c r="AQ567" i="76" a="1"/>
  <c r="AQ567" i="76" s="1"/>
  <c r="AQ551" i="76" a="1"/>
  <c r="AQ551" i="76" s="1"/>
  <c r="AQ535" i="76" a="1"/>
  <c r="AQ535" i="76" s="1"/>
  <c r="AQ519" i="76" a="1"/>
  <c r="AQ519" i="76" s="1"/>
  <c r="AQ503" i="76" a="1"/>
  <c r="AQ503" i="76" s="1"/>
  <c r="AQ487" i="76" a="1"/>
  <c r="AQ487" i="76" s="1"/>
  <c r="AQ471" i="76" a="1"/>
  <c r="AQ471" i="76" s="1"/>
  <c r="AQ455" i="76" a="1"/>
  <c r="AQ455" i="76" s="1"/>
  <c r="AQ439" i="76" a="1"/>
  <c r="AQ439" i="76" s="1"/>
  <c r="AQ423" i="76" a="1"/>
  <c r="AQ423" i="76" s="1"/>
  <c r="AQ407" i="76" a="1"/>
  <c r="AQ407" i="76" s="1"/>
  <c r="AQ391" i="76" a="1"/>
  <c r="AQ391" i="76" s="1"/>
  <c r="AQ375" i="76" a="1"/>
  <c r="AQ375" i="76" s="1"/>
  <c r="AQ359" i="76" a="1"/>
  <c r="AQ359" i="76" s="1"/>
  <c r="AQ351" i="76" a="1"/>
  <c r="AQ351" i="76" s="1"/>
  <c r="AQ343" i="76" a="1"/>
  <c r="AQ343" i="76" s="1"/>
  <c r="AQ335" i="76" a="1"/>
  <c r="AQ335" i="76" s="1"/>
  <c r="AQ326" i="76" a="1"/>
  <c r="AQ326" i="76" s="1"/>
  <c r="AQ318" i="76" a="1"/>
  <c r="AQ318" i="76" s="1"/>
  <c r="AQ310" i="76" a="1"/>
  <c r="AQ310" i="76" s="1"/>
  <c r="AQ302" i="76" a="1"/>
  <c r="AQ302" i="76" s="1"/>
  <c r="AQ294" i="76" a="1"/>
  <c r="AQ294" i="76" s="1"/>
  <c r="AQ286" i="76" a="1"/>
  <c r="AQ286" i="76" s="1"/>
  <c r="AQ278" i="76" a="1"/>
  <c r="AQ278" i="76" s="1"/>
  <c r="AQ270" i="76" a="1"/>
  <c r="AQ270" i="76" s="1"/>
  <c r="AQ262" i="76" a="1"/>
  <c r="AQ262" i="76" s="1"/>
  <c r="AQ254" i="76" a="1"/>
  <c r="AQ254" i="76" s="1"/>
  <c r="AQ246" i="76" a="1"/>
  <c r="AQ246" i="76" s="1"/>
  <c r="AQ238" i="76" a="1"/>
  <c r="AQ238" i="76" s="1"/>
  <c r="AQ230" i="76" a="1"/>
  <c r="AQ230" i="76" s="1"/>
  <c r="AQ222" i="76" a="1"/>
  <c r="AQ222" i="76" s="1"/>
  <c r="AQ214" i="76" a="1"/>
  <c r="AQ214" i="76" s="1"/>
  <c r="AQ206" i="76" a="1"/>
  <c r="AQ206" i="76" s="1"/>
  <c r="AQ198" i="76" a="1"/>
  <c r="AQ198" i="76" s="1"/>
  <c r="AQ190" i="76" a="1"/>
  <c r="AQ190" i="76" s="1"/>
  <c r="AQ182" i="76" a="1"/>
  <c r="AQ182" i="76" s="1"/>
  <c r="AQ174" i="76" a="1"/>
  <c r="AQ174" i="76" s="1"/>
  <c r="AQ166" i="76" a="1"/>
  <c r="AQ166" i="76" s="1"/>
  <c r="AQ158" i="76" a="1"/>
  <c r="AQ158" i="76" s="1"/>
  <c r="AQ150" i="76" a="1"/>
  <c r="AQ150" i="76" s="1"/>
  <c r="AQ142" i="76" a="1"/>
  <c r="AQ142" i="76" s="1"/>
  <c r="AQ134" i="76" a="1"/>
  <c r="AQ134" i="76" s="1"/>
  <c r="AQ126" i="76" a="1"/>
  <c r="AQ126" i="76" s="1"/>
  <c r="AQ118" i="76" a="1"/>
  <c r="AQ118" i="76" s="1"/>
  <c r="AQ110" i="76" a="1"/>
  <c r="AQ110" i="76" s="1"/>
  <c r="AQ102" i="76" a="1"/>
  <c r="AQ102" i="76" s="1"/>
  <c r="AQ329" i="76" a="1"/>
  <c r="AQ329" i="76" s="1"/>
  <c r="AQ321" i="76" a="1"/>
  <c r="AQ321" i="76" s="1"/>
  <c r="AQ313" i="76" a="1"/>
  <c r="AQ313" i="76" s="1"/>
  <c r="AQ305" i="76" a="1"/>
  <c r="AQ305" i="76" s="1"/>
  <c r="AQ297" i="76" a="1"/>
  <c r="AQ297" i="76" s="1"/>
  <c r="AQ289" i="76" a="1"/>
  <c r="AQ289" i="76" s="1"/>
  <c r="AQ281" i="76" a="1"/>
  <c r="AQ281" i="76" s="1"/>
  <c r="AQ273" i="76" a="1"/>
  <c r="AQ273" i="76" s="1"/>
  <c r="AQ265" i="76" a="1"/>
  <c r="AQ265" i="76" s="1"/>
  <c r="AQ257" i="76" a="1"/>
  <c r="AQ257" i="76" s="1"/>
  <c r="AQ249" i="76" a="1"/>
  <c r="AQ249" i="76" s="1"/>
  <c r="AQ235" i="76" a="1"/>
  <c r="AQ235" i="76" s="1"/>
  <c r="AQ227" i="76" a="1"/>
  <c r="AQ227" i="76" s="1"/>
  <c r="AQ219" i="76" a="1"/>
  <c r="AQ219" i="76" s="1"/>
  <c r="AQ211" i="76" a="1"/>
  <c r="AQ211" i="76" s="1"/>
  <c r="AQ203" i="76" a="1"/>
  <c r="AQ203" i="76" s="1"/>
  <c r="AQ195" i="76" a="1"/>
  <c r="AQ195" i="76" s="1"/>
  <c r="AQ187" i="76" a="1"/>
  <c r="AQ187" i="76" s="1"/>
  <c r="AQ179" i="76" a="1"/>
  <c r="AQ179" i="76" s="1"/>
  <c r="AQ171" i="76" a="1"/>
  <c r="AQ171" i="76" s="1"/>
  <c r="AQ163" i="76" a="1"/>
  <c r="AQ163" i="76" s="1"/>
  <c r="AQ155" i="76" a="1"/>
  <c r="AQ155" i="76" s="1"/>
  <c r="AQ147" i="76" a="1"/>
  <c r="AQ147" i="76" s="1"/>
  <c r="AQ139" i="76" a="1"/>
  <c r="AQ139" i="76" s="1"/>
  <c r="AQ131" i="76" a="1"/>
  <c r="AQ131" i="76" s="1"/>
  <c r="AQ123" i="76" a="1"/>
  <c r="AQ123" i="76" s="1"/>
  <c r="AQ115" i="76" a="1"/>
  <c r="AQ115" i="76" s="1"/>
  <c r="AQ107" i="76" a="1"/>
  <c r="AQ107" i="76" s="1"/>
  <c r="AQ99" i="76" a="1"/>
  <c r="AQ99" i="76" s="1"/>
  <c r="AQ91" i="76" a="1"/>
  <c r="AQ91" i="76" s="1"/>
  <c r="AQ85" i="76" a="1"/>
  <c r="AQ85" i="76" s="1"/>
  <c r="AQ77" i="76" a="1"/>
  <c r="AQ77" i="76" s="1"/>
  <c r="AQ69" i="76" a="1"/>
  <c r="AQ69" i="76" s="1"/>
  <c r="AQ61" i="76" a="1"/>
  <c r="AQ61" i="76" s="1"/>
  <c r="AQ53" i="76" a="1"/>
  <c r="AQ53" i="76" s="1"/>
  <c r="AQ45" i="76" a="1"/>
  <c r="AQ45" i="76" s="1"/>
  <c r="AQ37" i="76" a="1"/>
  <c r="AQ37" i="76" s="1"/>
  <c r="AQ29" i="76" a="1"/>
  <c r="AQ29" i="76" s="1"/>
  <c r="AQ21" i="76" a="1"/>
  <c r="AQ21" i="76" s="1"/>
  <c r="AQ13" i="76" a="1"/>
  <c r="AQ13" i="76" s="1"/>
  <c r="BF2" i="76"/>
  <c r="AX2" i="76"/>
  <c r="AQ90" i="76" a="1"/>
  <c r="AQ90" i="76" s="1"/>
  <c r="AQ82" i="76" a="1"/>
  <c r="AQ82" i="76" s="1"/>
  <c r="AQ74" i="76" a="1"/>
  <c r="AQ74" i="76" s="1"/>
  <c r="AQ66" i="76" a="1"/>
  <c r="AQ66" i="76" s="1"/>
  <c r="AQ58" i="76" a="1"/>
  <c r="AQ58" i="76" s="1"/>
  <c r="AQ50" i="76" a="1"/>
  <c r="AQ50" i="76" s="1"/>
  <c r="AQ42" i="76" a="1"/>
  <c r="AQ42" i="76" s="1"/>
  <c r="AQ34" i="76" a="1"/>
  <c r="AQ34" i="76" s="1"/>
  <c r="AQ26" i="76" a="1"/>
  <c r="AQ26" i="76" s="1"/>
  <c r="AQ18" i="76" a="1"/>
  <c r="AQ18" i="76" s="1"/>
  <c r="AQ10" i="76" a="1"/>
  <c r="AQ10" i="76" s="1"/>
  <c r="BC2" i="76"/>
  <c r="AU2" i="76"/>
  <c r="AQ237" i="76" a="1"/>
  <c r="AQ237" i="76" s="1"/>
  <c r="AQ229" i="76" a="1"/>
  <c r="AQ229" i="76" s="1"/>
  <c r="AQ221" i="76" a="1"/>
  <c r="AQ221" i="76" s="1"/>
  <c r="AQ213" i="76" a="1"/>
  <c r="AQ213" i="76" s="1"/>
  <c r="AQ205" i="76" a="1"/>
  <c r="AQ205" i="76" s="1"/>
  <c r="AQ197" i="76" a="1"/>
  <c r="AQ197" i="76" s="1"/>
  <c r="AQ189" i="76" a="1"/>
  <c r="AQ189" i="76" s="1"/>
  <c r="AQ181" i="76" a="1"/>
  <c r="AQ181" i="76" s="1"/>
  <c r="AQ173" i="76" a="1"/>
  <c r="AQ173" i="76" s="1"/>
  <c r="AQ165" i="76" a="1"/>
  <c r="AQ165" i="76" s="1"/>
  <c r="AQ157" i="76" a="1"/>
  <c r="AQ157" i="76" s="1"/>
  <c r="AQ149" i="76" a="1"/>
  <c r="AQ149" i="76" s="1"/>
  <c r="AQ141" i="76" a="1"/>
  <c r="AQ141" i="76" s="1"/>
  <c r="AQ133" i="76" a="1"/>
  <c r="AQ133" i="76" s="1"/>
  <c r="AQ125" i="76" a="1"/>
  <c r="AQ125" i="76" s="1"/>
  <c r="AQ117" i="76" a="1"/>
  <c r="AQ117" i="76" s="1"/>
  <c r="AQ109" i="76" a="1"/>
  <c r="AQ109" i="76" s="1"/>
  <c r="AQ101" i="76" a="1"/>
  <c r="AQ101" i="76" s="1"/>
  <c r="AQ93" i="76" a="1"/>
  <c r="AQ93" i="76" s="1"/>
  <c r="AQ87" i="76" a="1"/>
  <c r="AQ87" i="76" s="1"/>
  <c r="AQ79" i="76" a="1"/>
  <c r="AQ79" i="76" s="1"/>
  <c r="AQ71" i="76" a="1"/>
  <c r="AQ71" i="76" s="1"/>
  <c r="AQ63" i="76" a="1"/>
  <c r="AQ63" i="76" s="1"/>
  <c r="AQ55" i="76" a="1"/>
  <c r="AQ55" i="76" s="1"/>
  <c r="AQ47" i="76" a="1"/>
  <c r="AQ47" i="76" s="1"/>
  <c r="AQ39" i="76" a="1"/>
  <c r="AQ39" i="76" s="1"/>
  <c r="AQ31" i="76" a="1"/>
  <c r="AQ31" i="76" s="1"/>
  <c r="AQ23" i="76" a="1"/>
  <c r="AQ23" i="76" s="1"/>
  <c r="AQ15" i="76" a="1"/>
  <c r="AQ15" i="76" s="1"/>
  <c r="AQ7" i="76" a="1"/>
  <c r="AQ7" i="76" s="1"/>
  <c r="AZ2" i="76"/>
  <c r="AQ92" i="76" a="1"/>
  <c r="AQ92" i="76" s="1"/>
  <c r="AQ84" i="76" a="1"/>
  <c r="AQ84" i="76" s="1"/>
  <c r="AQ76" i="76" a="1"/>
  <c r="AQ76" i="76" s="1"/>
  <c r="AQ68" i="76" a="1"/>
  <c r="AQ68" i="76" s="1"/>
  <c r="AQ60" i="76" a="1"/>
  <c r="AQ60" i="76" s="1"/>
  <c r="AQ52" i="76" a="1"/>
  <c r="AQ52" i="76" s="1"/>
  <c r="AQ44" i="76" a="1"/>
  <c r="AQ44" i="76" s="1"/>
  <c r="AQ36" i="76" a="1"/>
  <c r="AQ36" i="76" s="1"/>
  <c r="AQ28" i="76" a="1"/>
  <c r="AQ28" i="76" s="1"/>
  <c r="AQ20" i="76" a="1"/>
  <c r="AQ20" i="76" s="1"/>
  <c r="AQ12" i="76" a="1"/>
  <c r="AQ12" i="76" s="1"/>
  <c r="BE2" i="76"/>
  <c r="AW2" i="76"/>
  <c r="F974" i="70"/>
  <c r="A3" i="69"/>
  <c r="F1" i="69"/>
  <c r="I4" i="68"/>
  <c r="A3" i="68"/>
  <c r="D41" i="77" l="1"/>
  <c r="C41" i="77"/>
  <c r="D65" i="77"/>
  <c r="C65" i="77"/>
  <c r="D18" i="77"/>
  <c r="C18" i="77"/>
  <c r="C29" i="77"/>
  <c r="D29" i="77"/>
  <c r="C54" i="70"/>
  <c r="C66" i="70"/>
  <c r="D66" i="70"/>
  <c r="C53" i="70"/>
  <c r="D58" i="70"/>
  <c r="C58" i="70"/>
  <c r="D57" i="70"/>
  <c r="C57" i="70"/>
  <c r="AU3" i="76"/>
  <c r="BG2" i="76"/>
  <c r="C17" i="70"/>
  <c r="D17" i="70"/>
  <c r="F986" i="70"/>
  <c r="AV3" i="76" l="1"/>
  <c r="AW3" i="76" s="1"/>
  <c r="AX3" i="76" s="1"/>
  <c r="AY3" i="76" s="1"/>
  <c r="F998" i="70"/>
  <c r="H1200" i="70"/>
  <c r="H793" i="70"/>
  <c r="H481" i="70"/>
  <c r="H469" i="70"/>
  <c r="H457" i="70"/>
  <c r="H445" i="70"/>
  <c r="H433" i="70"/>
  <c r="H421" i="70"/>
  <c r="H409" i="70"/>
  <c r="H397" i="70"/>
  <c r="H385" i="70"/>
  <c r="H373" i="70"/>
  <c r="H361" i="70"/>
  <c r="H371" i="70"/>
  <c r="H383" i="70"/>
  <c r="H395" i="70"/>
  <c r="H407" i="70"/>
  <c r="H419" i="70"/>
  <c r="H431" i="70"/>
  <c r="H443" i="70"/>
  <c r="H455" i="70"/>
  <c r="H467" i="70"/>
  <c r="H479" i="70"/>
  <c r="H815" i="70"/>
  <c r="H814" i="70"/>
  <c r="H813" i="70"/>
  <c r="H812" i="70"/>
  <c r="H811" i="70"/>
  <c r="H810" i="70"/>
  <c r="H809" i="70"/>
  <c r="H808" i="70"/>
  <c r="H807" i="70"/>
  <c r="H806" i="70"/>
  <c r="H805" i="70"/>
  <c r="H804" i="70"/>
  <c r="H794" i="70"/>
  <c r="H795" i="70"/>
  <c r="H796" i="70"/>
  <c r="H797" i="70"/>
  <c r="H798" i="70"/>
  <c r="H799" i="70"/>
  <c r="H800" i="70"/>
  <c r="H801" i="70"/>
  <c r="H802" i="70"/>
  <c r="H803" i="70"/>
  <c r="H503" i="70"/>
  <c r="H502" i="70"/>
  <c r="H501" i="70"/>
  <c r="H500" i="70"/>
  <c r="H499" i="70"/>
  <c r="H498" i="70"/>
  <c r="H497" i="70"/>
  <c r="H496" i="70"/>
  <c r="H495" i="70"/>
  <c r="H494" i="70"/>
  <c r="H493" i="70"/>
  <c r="H492" i="70"/>
  <c r="H482" i="70"/>
  <c r="H483" i="70"/>
  <c r="H484" i="70"/>
  <c r="H485" i="70"/>
  <c r="H486" i="70"/>
  <c r="H487" i="70"/>
  <c r="H488" i="70"/>
  <c r="H489" i="70"/>
  <c r="H490" i="70"/>
  <c r="H491" i="70"/>
  <c r="H470" i="70"/>
  <c r="H471" i="70"/>
  <c r="H472" i="70"/>
  <c r="H473" i="70"/>
  <c r="H474" i="70"/>
  <c r="H475" i="70"/>
  <c r="H476" i="70"/>
  <c r="H477" i="70"/>
  <c r="H478" i="70"/>
  <c r="H458" i="70"/>
  <c r="H459" i="70"/>
  <c r="H460" i="70"/>
  <c r="H461" i="70"/>
  <c r="H462" i="70"/>
  <c r="H463" i="70"/>
  <c r="H464" i="70"/>
  <c r="H465" i="70"/>
  <c r="H466" i="70"/>
  <c r="H446" i="70"/>
  <c r="H447" i="70"/>
  <c r="H448" i="70"/>
  <c r="H449" i="70"/>
  <c r="H450" i="70"/>
  <c r="H451" i="70"/>
  <c r="H452" i="70"/>
  <c r="H453" i="70"/>
  <c r="H454" i="70"/>
  <c r="H434" i="70"/>
  <c r="H435" i="70"/>
  <c r="H436" i="70"/>
  <c r="H437" i="70"/>
  <c r="H438" i="70"/>
  <c r="H439" i="70"/>
  <c r="H440" i="70"/>
  <c r="H441" i="70"/>
  <c r="H442" i="70"/>
  <c r="H422" i="70"/>
  <c r="H423" i="70"/>
  <c r="H424" i="70"/>
  <c r="H425" i="70"/>
  <c r="H426" i="70"/>
  <c r="H427" i="70"/>
  <c r="H428" i="70"/>
  <c r="H429" i="70"/>
  <c r="H430" i="70"/>
  <c r="H410" i="70"/>
  <c r="H411" i="70"/>
  <c r="H412" i="70"/>
  <c r="H413" i="70"/>
  <c r="H414" i="70"/>
  <c r="H415" i="70"/>
  <c r="H416" i="70"/>
  <c r="H417" i="70"/>
  <c r="H418" i="70"/>
  <c r="H398" i="70"/>
  <c r="H399" i="70"/>
  <c r="H400" i="70"/>
  <c r="H401" i="70"/>
  <c r="H402" i="70"/>
  <c r="H403" i="70"/>
  <c r="H404" i="70"/>
  <c r="H405" i="70"/>
  <c r="H406" i="70"/>
  <c r="H386" i="70"/>
  <c r="H387" i="70"/>
  <c r="H388" i="70"/>
  <c r="H389" i="70"/>
  <c r="H390" i="70"/>
  <c r="H391" i="70"/>
  <c r="H392" i="70"/>
  <c r="H393" i="70"/>
  <c r="H394" i="70"/>
  <c r="H374" i="70"/>
  <c r="H375" i="70"/>
  <c r="H376" i="70"/>
  <c r="H377" i="70"/>
  <c r="H378" i="70"/>
  <c r="H379" i="70"/>
  <c r="H380" i="70"/>
  <c r="H381" i="70"/>
  <c r="H382" i="70"/>
  <c r="H362" i="70"/>
  <c r="H363" i="70"/>
  <c r="H364" i="70"/>
  <c r="H365" i="70"/>
  <c r="H366" i="70"/>
  <c r="H367" i="70"/>
  <c r="H368" i="70"/>
  <c r="H369" i="70"/>
  <c r="H370" i="70"/>
  <c r="H827" i="70"/>
  <c r="H826" i="70"/>
  <c r="H825" i="70"/>
  <c r="H824" i="70"/>
  <c r="H823" i="70"/>
  <c r="H822" i="70"/>
  <c r="H821" i="70"/>
  <c r="H820" i="70"/>
  <c r="H819" i="70"/>
  <c r="H818" i="70"/>
  <c r="H817" i="70"/>
  <c r="H816" i="70"/>
  <c r="H515" i="70"/>
  <c r="H514" i="70"/>
  <c r="H513" i="70"/>
  <c r="H512" i="70"/>
  <c r="H511" i="70"/>
  <c r="H510" i="70"/>
  <c r="H509" i="70"/>
  <c r="H508" i="70"/>
  <c r="H507" i="70"/>
  <c r="H506" i="70"/>
  <c r="H505" i="70"/>
  <c r="H504" i="70"/>
  <c r="H839" i="70"/>
  <c r="H838" i="70"/>
  <c r="H837" i="70"/>
  <c r="H836" i="70"/>
  <c r="H835" i="70"/>
  <c r="H834" i="70"/>
  <c r="H833" i="70"/>
  <c r="H832" i="70"/>
  <c r="H831" i="70"/>
  <c r="H830" i="70"/>
  <c r="H829" i="70"/>
  <c r="H828" i="70"/>
  <c r="H527" i="70"/>
  <c r="H526" i="70"/>
  <c r="H525" i="70"/>
  <c r="H524" i="70"/>
  <c r="H523" i="70"/>
  <c r="H522" i="70"/>
  <c r="H521" i="70"/>
  <c r="H520" i="70"/>
  <c r="H519" i="70"/>
  <c r="H518" i="70"/>
  <c r="H517" i="70"/>
  <c r="H516" i="70"/>
  <c r="H851" i="70"/>
  <c r="H850" i="70"/>
  <c r="H849" i="70"/>
  <c r="H848" i="70"/>
  <c r="H847" i="70"/>
  <c r="H846" i="70"/>
  <c r="H845" i="70"/>
  <c r="H844" i="70"/>
  <c r="H843" i="70"/>
  <c r="H842" i="70"/>
  <c r="H841" i="70"/>
  <c r="H840" i="70"/>
  <c r="H539" i="70"/>
  <c r="H538" i="70"/>
  <c r="H537" i="70"/>
  <c r="H536" i="70"/>
  <c r="H535" i="70"/>
  <c r="H534" i="70"/>
  <c r="H533" i="70"/>
  <c r="H532" i="70"/>
  <c r="H531" i="70"/>
  <c r="H530" i="70"/>
  <c r="H529" i="70"/>
  <c r="H528" i="70"/>
  <c r="H863" i="70"/>
  <c r="H862" i="70"/>
  <c r="H861" i="70"/>
  <c r="H860" i="70"/>
  <c r="H859" i="70"/>
  <c r="H858" i="70"/>
  <c r="H857" i="70"/>
  <c r="H856" i="70"/>
  <c r="H855" i="70"/>
  <c r="H854" i="70"/>
  <c r="H853" i="70"/>
  <c r="H852" i="70"/>
  <c r="H551" i="70"/>
  <c r="H550" i="70"/>
  <c r="H549" i="70"/>
  <c r="H548" i="70"/>
  <c r="H547" i="70"/>
  <c r="H546" i="70"/>
  <c r="H545" i="70"/>
  <c r="H544" i="70"/>
  <c r="H543" i="70"/>
  <c r="H542" i="70"/>
  <c r="H541" i="70"/>
  <c r="H540" i="70"/>
  <c r="H875" i="70"/>
  <c r="H874" i="70"/>
  <c r="H873" i="70"/>
  <c r="H872" i="70"/>
  <c r="H871" i="70"/>
  <c r="H870" i="70"/>
  <c r="H869" i="70"/>
  <c r="H868" i="70"/>
  <c r="H867" i="70"/>
  <c r="H866" i="70"/>
  <c r="H865" i="70"/>
  <c r="H864" i="70"/>
  <c r="H563" i="70"/>
  <c r="H562" i="70"/>
  <c r="H561" i="70"/>
  <c r="H560" i="70"/>
  <c r="H559" i="70"/>
  <c r="H558" i="70"/>
  <c r="H557" i="70"/>
  <c r="H556" i="70"/>
  <c r="H555" i="70"/>
  <c r="H554" i="70"/>
  <c r="H553" i="70"/>
  <c r="H552" i="70"/>
  <c r="H887" i="70"/>
  <c r="H886" i="70"/>
  <c r="H885" i="70"/>
  <c r="H884" i="70"/>
  <c r="H883" i="70"/>
  <c r="H882" i="70"/>
  <c r="H881" i="70"/>
  <c r="H880" i="70"/>
  <c r="H879" i="70"/>
  <c r="H878" i="70"/>
  <c r="H877" i="70"/>
  <c r="H876" i="70"/>
  <c r="H575" i="70"/>
  <c r="H574" i="70"/>
  <c r="H573" i="70"/>
  <c r="H572" i="70"/>
  <c r="H571" i="70"/>
  <c r="H570" i="70"/>
  <c r="H569" i="70"/>
  <c r="H568" i="70"/>
  <c r="H567" i="70"/>
  <c r="H566" i="70"/>
  <c r="H565" i="70"/>
  <c r="H564" i="70"/>
  <c r="H899" i="70"/>
  <c r="H898" i="70"/>
  <c r="H897" i="70"/>
  <c r="H896" i="70"/>
  <c r="H895" i="70"/>
  <c r="H894" i="70"/>
  <c r="H893" i="70"/>
  <c r="H892" i="70"/>
  <c r="H891" i="70"/>
  <c r="H890" i="70"/>
  <c r="H889" i="70"/>
  <c r="H888" i="70"/>
  <c r="H587" i="70"/>
  <c r="H586" i="70"/>
  <c r="H585" i="70"/>
  <c r="H584" i="70"/>
  <c r="H583" i="70"/>
  <c r="H582" i="70"/>
  <c r="H581" i="70"/>
  <c r="H580" i="70"/>
  <c r="H579" i="70"/>
  <c r="H578" i="70"/>
  <c r="H577" i="70"/>
  <c r="H576" i="70"/>
  <c r="H911" i="70"/>
  <c r="H910" i="70"/>
  <c r="H909" i="70"/>
  <c r="H908" i="70"/>
  <c r="H907" i="70"/>
  <c r="H906" i="70"/>
  <c r="H905" i="70"/>
  <c r="H904" i="70"/>
  <c r="H903" i="70"/>
  <c r="H902" i="70"/>
  <c r="H901" i="70"/>
  <c r="H900" i="70"/>
  <c r="H599" i="70"/>
  <c r="H598" i="70"/>
  <c r="H597" i="70"/>
  <c r="H596" i="70"/>
  <c r="H595" i="70"/>
  <c r="H594" i="70"/>
  <c r="H593" i="70"/>
  <c r="H592" i="70"/>
  <c r="H591" i="70"/>
  <c r="H590" i="70"/>
  <c r="H589" i="70"/>
  <c r="H588" i="70"/>
  <c r="H923" i="70"/>
  <c r="H922" i="70"/>
  <c r="H921" i="70"/>
  <c r="H920" i="70"/>
  <c r="H919" i="70"/>
  <c r="H918" i="70"/>
  <c r="H917" i="70"/>
  <c r="H916" i="70"/>
  <c r="H915" i="70"/>
  <c r="H914" i="70"/>
  <c r="H913" i="70"/>
  <c r="H912" i="70"/>
  <c r="H611" i="70"/>
  <c r="H610" i="70"/>
  <c r="H609" i="70"/>
  <c r="H608" i="70"/>
  <c r="H607" i="70"/>
  <c r="H606" i="70"/>
  <c r="H605" i="70"/>
  <c r="H604" i="70"/>
  <c r="H603" i="70"/>
  <c r="H602" i="70"/>
  <c r="H601" i="70"/>
  <c r="H600" i="70"/>
  <c r="H935" i="70"/>
  <c r="H934" i="70"/>
  <c r="H933" i="70"/>
  <c r="H932" i="70"/>
  <c r="H931" i="70"/>
  <c r="H930" i="70"/>
  <c r="H929" i="70"/>
  <c r="H928" i="70"/>
  <c r="H927" i="70"/>
  <c r="H926" i="70"/>
  <c r="H925" i="70"/>
  <c r="H924" i="70"/>
  <c r="H623" i="70"/>
  <c r="H622" i="70"/>
  <c r="H621" i="70"/>
  <c r="H620" i="70"/>
  <c r="H619" i="70"/>
  <c r="H618" i="70"/>
  <c r="H617" i="70"/>
  <c r="H616" i="70"/>
  <c r="H615" i="70"/>
  <c r="H614" i="70"/>
  <c r="H613" i="70"/>
  <c r="H612" i="70"/>
  <c r="H947" i="70"/>
  <c r="H946" i="70"/>
  <c r="H945" i="70"/>
  <c r="H944" i="70"/>
  <c r="H943" i="70"/>
  <c r="H942" i="70"/>
  <c r="H941" i="70"/>
  <c r="H940" i="70"/>
  <c r="H939" i="70"/>
  <c r="H938" i="70"/>
  <c r="H937" i="70"/>
  <c r="H936" i="70"/>
  <c r="H635" i="70"/>
  <c r="H634" i="70"/>
  <c r="H633" i="70"/>
  <c r="H632" i="70"/>
  <c r="H631" i="70"/>
  <c r="H630" i="70"/>
  <c r="H629" i="70"/>
  <c r="H628" i="70"/>
  <c r="H627" i="70"/>
  <c r="H626" i="70"/>
  <c r="H625" i="70"/>
  <c r="H624" i="70"/>
  <c r="H959" i="70"/>
  <c r="H958" i="70"/>
  <c r="H957" i="70"/>
  <c r="H956" i="70"/>
  <c r="H955" i="70"/>
  <c r="H954" i="70"/>
  <c r="H953" i="70"/>
  <c r="H952" i="70"/>
  <c r="H951" i="70"/>
  <c r="H950" i="70"/>
  <c r="H949" i="70"/>
  <c r="H948" i="70"/>
  <c r="H647" i="70"/>
  <c r="H646" i="70"/>
  <c r="H645" i="70"/>
  <c r="H644" i="70"/>
  <c r="H643" i="70"/>
  <c r="H642" i="70"/>
  <c r="H641" i="70"/>
  <c r="H640" i="70"/>
  <c r="H639" i="70"/>
  <c r="H638" i="70"/>
  <c r="H637" i="70"/>
  <c r="H636" i="70"/>
  <c r="H971" i="70"/>
  <c r="H970" i="70"/>
  <c r="H969" i="70"/>
  <c r="H968" i="70"/>
  <c r="H967" i="70"/>
  <c r="H966" i="70"/>
  <c r="H965" i="70"/>
  <c r="H964" i="70"/>
  <c r="H963" i="70"/>
  <c r="H962" i="70"/>
  <c r="H961" i="70"/>
  <c r="H960" i="70"/>
  <c r="H659" i="70"/>
  <c r="H658" i="70"/>
  <c r="H657" i="70"/>
  <c r="H656" i="70"/>
  <c r="H655" i="70"/>
  <c r="H654" i="70"/>
  <c r="H653" i="70"/>
  <c r="H652" i="70"/>
  <c r="H651" i="70"/>
  <c r="H650" i="70"/>
  <c r="H649" i="70"/>
  <c r="H648" i="70"/>
  <c r="H983" i="70"/>
  <c r="H982" i="70"/>
  <c r="H981" i="70"/>
  <c r="H980" i="70"/>
  <c r="H979" i="70"/>
  <c r="H978" i="70"/>
  <c r="H977" i="70"/>
  <c r="H976" i="70"/>
  <c r="H975" i="70"/>
  <c r="H974" i="70"/>
  <c r="H973" i="70"/>
  <c r="H972" i="70"/>
  <c r="H671" i="70"/>
  <c r="H670" i="70"/>
  <c r="H669" i="70"/>
  <c r="H668" i="70"/>
  <c r="H667" i="70"/>
  <c r="H666" i="70"/>
  <c r="H665" i="70"/>
  <c r="H664" i="70"/>
  <c r="H663" i="70"/>
  <c r="H662" i="70"/>
  <c r="H661" i="70"/>
  <c r="H660" i="70"/>
  <c r="H995" i="70"/>
  <c r="H994" i="70"/>
  <c r="H993" i="70"/>
  <c r="H992" i="70"/>
  <c r="H991" i="70"/>
  <c r="H990" i="70"/>
  <c r="H989" i="70"/>
  <c r="H988" i="70"/>
  <c r="H987" i="70"/>
  <c r="H986" i="70"/>
  <c r="H985" i="70"/>
  <c r="H984" i="70"/>
  <c r="H683" i="70"/>
  <c r="H682" i="70"/>
  <c r="H681" i="70"/>
  <c r="H680" i="70"/>
  <c r="H679" i="70"/>
  <c r="H678" i="70"/>
  <c r="H677" i="70"/>
  <c r="H676" i="70"/>
  <c r="H675" i="70"/>
  <c r="H674" i="70"/>
  <c r="H673" i="70"/>
  <c r="H672" i="70"/>
  <c r="H1007" i="70"/>
  <c r="H1006" i="70"/>
  <c r="H1005" i="70"/>
  <c r="H1004" i="70"/>
  <c r="H1003" i="70"/>
  <c r="H1002" i="70"/>
  <c r="H1001" i="70"/>
  <c r="H1000" i="70"/>
  <c r="H999" i="70"/>
  <c r="H998" i="70"/>
  <c r="H997" i="70"/>
  <c r="H996" i="70"/>
  <c r="H695" i="70"/>
  <c r="H694" i="70"/>
  <c r="H693" i="70"/>
  <c r="H692" i="70"/>
  <c r="H691" i="70"/>
  <c r="H690" i="70"/>
  <c r="H689" i="70"/>
  <c r="H688" i="70"/>
  <c r="H687" i="70"/>
  <c r="H686" i="70"/>
  <c r="H685" i="70"/>
  <c r="H684" i="70"/>
  <c r="H707" i="70"/>
  <c r="H706" i="70"/>
  <c r="H705" i="70"/>
  <c r="H704" i="70"/>
  <c r="H703" i="70"/>
  <c r="H702" i="70"/>
  <c r="H701" i="70"/>
  <c r="H700" i="70"/>
  <c r="H699" i="70"/>
  <c r="H698" i="70"/>
  <c r="H697" i="70"/>
  <c r="H696" i="70"/>
  <c r="H719" i="70"/>
  <c r="H718" i="70"/>
  <c r="H717" i="70"/>
  <c r="H716" i="70"/>
  <c r="H715" i="70"/>
  <c r="H714" i="70"/>
  <c r="H713" i="70"/>
  <c r="H712" i="70"/>
  <c r="H711" i="70"/>
  <c r="H710" i="70"/>
  <c r="H709" i="70"/>
  <c r="H708" i="70"/>
  <c r="H731" i="70"/>
  <c r="H730" i="70"/>
  <c r="H729" i="70"/>
  <c r="H728" i="70"/>
  <c r="H727" i="70"/>
  <c r="H726" i="70"/>
  <c r="H725" i="70"/>
  <c r="H724" i="70"/>
  <c r="H723" i="70"/>
  <c r="H722" i="70"/>
  <c r="H721" i="70"/>
  <c r="H720" i="70"/>
  <c r="H743" i="70"/>
  <c r="H742" i="70"/>
  <c r="H741" i="70"/>
  <c r="H740" i="70"/>
  <c r="H739" i="70"/>
  <c r="H738" i="70"/>
  <c r="H737" i="70"/>
  <c r="H736" i="70"/>
  <c r="H735" i="70"/>
  <c r="H734" i="70"/>
  <c r="H733" i="70"/>
  <c r="H732" i="70"/>
  <c r="H755" i="70"/>
  <c r="H754" i="70"/>
  <c r="H753" i="70"/>
  <c r="H752" i="70"/>
  <c r="H751" i="70"/>
  <c r="H750" i="70"/>
  <c r="H749" i="70"/>
  <c r="H748" i="70"/>
  <c r="H747" i="70"/>
  <c r="H746" i="70"/>
  <c r="H745" i="70"/>
  <c r="H744" i="70"/>
  <c r="H767" i="70"/>
  <c r="H766" i="70"/>
  <c r="H765" i="70"/>
  <c r="H764" i="70"/>
  <c r="H763" i="70"/>
  <c r="H762" i="70"/>
  <c r="H761" i="70"/>
  <c r="H760" i="70"/>
  <c r="H759" i="70"/>
  <c r="H758" i="70"/>
  <c r="H757" i="70"/>
  <c r="H756" i="70"/>
  <c r="H779" i="70"/>
  <c r="H778" i="70"/>
  <c r="H777" i="70"/>
  <c r="H776" i="70"/>
  <c r="H775" i="70"/>
  <c r="H774" i="70"/>
  <c r="H773" i="70"/>
  <c r="H772" i="70"/>
  <c r="H771" i="70"/>
  <c r="H770" i="70"/>
  <c r="H769" i="70"/>
  <c r="H768" i="70"/>
  <c r="H791" i="70"/>
  <c r="H790" i="70"/>
  <c r="H789" i="70"/>
  <c r="H788" i="70"/>
  <c r="H787" i="70"/>
  <c r="H786" i="70"/>
  <c r="H785" i="70"/>
  <c r="H784" i="70"/>
  <c r="H783" i="70"/>
  <c r="H782" i="70"/>
  <c r="H781" i="70"/>
  <c r="H780" i="70"/>
  <c r="H372" i="70"/>
  <c r="H384" i="70"/>
  <c r="H396" i="70"/>
  <c r="H408" i="70"/>
  <c r="H420" i="70"/>
  <c r="H432" i="70"/>
  <c r="H444" i="70"/>
  <c r="H456" i="70"/>
  <c r="H468" i="70"/>
  <c r="H480" i="70"/>
  <c r="H792" i="70"/>
  <c r="AZ3" i="76" l="1"/>
  <c r="F1010" i="70"/>
  <c r="G788" i="70"/>
  <c r="F785" i="70"/>
  <c r="E785" i="70"/>
  <c r="B785" i="70"/>
  <c r="A785" i="70"/>
  <c r="C782" i="70"/>
  <c r="F786" i="70"/>
  <c r="E786" i="70"/>
  <c r="B786" i="70"/>
  <c r="A786" i="70"/>
  <c r="F787" i="70"/>
  <c r="E787" i="70"/>
  <c r="B787" i="70"/>
  <c r="A787" i="70"/>
  <c r="F788" i="70"/>
  <c r="E788" i="70"/>
  <c r="B788" i="70"/>
  <c r="A788" i="70"/>
  <c r="F789" i="70"/>
  <c r="E789" i="70"/>
  <c r="B789" i="70"/>
  <c r="A789" i="70"/>
  <c r="F790" i="70"/>
  <c r="E790" i="70"/>
  <c r="B790" i="70"/>
  <c r="A790" i="70"/>
  <c r="G776" i="70"/>
  <c r="F773" i="70"/>
  <c r="E773" i="70"/>
  <c r="B773" i="70"/>
  <c r="A773" i="70"/>
  <c r="C770" i="70"/>
  <c r="F774" i="70"/>
  <c r="E774" i="70"/>
  <c r="B774" i="70"/>
  <c r="A774" i="70"/>
  <c r="F775" i="70"/>
  <c r="E775" i="70"/>
  <c r="B775" i="70"/>
  <c r="A775" i="70"/>
  <c r="F776" i="70"/>
  <c r="E776" i="70"/>
  <c r="B776" i="70"/>
  <c r="A776" i="70"/>
  <c r="F777" i="70"/>
  <c r="E777" i="70"/>
  <c r="B777" i="70"/>
  <c r="A777" i="70"/>
  <c r="F778" i="70"/>
  <c r="E778" i="70"/>
  <c r="B778" i="70"/>
  <c r="A778" i="70"/>
  <c r="G764" i="70"/>
  <c r="F761" i="70"/>
  <c r="E761" i="70"/>
  <c r="B761" i="70"/>
  <c r="A761" i="70"/>
  <c r="C758" i="70"/>
  <c r="F762" i="70"/>
  <c r="E762" i="70"/>
  <c r="B762" i="70"/>
  <c r="A762" i="70"/>
  <c r="F763" i="70"/>
  <c r="E763" i="70"/>
  <c r="B763" i="70"/>
  <c r="A763" i="70"/>
  <c r="F764" i="70"/>
  <c r="E764" i="70"/>
  <c r="B764" i="70"/>
  <c r="A764" i="70"/>
  <c r="F765" i="70"/>
  <c r="E765" i="70"/>
  <c r="B765" i="70"/>
  <c r="A765" i="70"/>
  <c r="F766" i="70"/>
  <c r="E766" i="70"/>
  <c r="B766" i="70"/>
  <c r="A766" i="70"/>
  <c r="G752" i="70"/>
  <c r="F749" i="70"/>
  <c r="E749" i="70"/>
  <c r="B749" i="70"/>
  <c r="A749" i="70"/>
  <c r="C746" i="70"/>
  <c r="F750" i="70"/>
  <c r="E750" i="70"/>
  <c r="B750" i="70"/>
  <c r="A750" i="70"/>
  <c r="F751" i="70"/>
  <c r="E751" i="70"/>
  <c r="B751" i="70"/>
  <c r="A751" i="70"/>
  <c r="F752" i="70"/>
  <c r="E752" i="70"/>
  <c r="B752" i="70"/>
  <c r="A752" i="70"/>
  <c r="F753" i="70"/>
  <c r="E753" i="70"/>
  <c r="B753" i="70"/>
  <c r="A753" i="70"/>
  <c r="F754" i="70"/>
  <c r="E754" i="70"/>
  <c r="B754" i="70"/>
  <c r="A754" i="70"/>
  <c r="G740" i="70"/>
  <c r="F737" i="70"/>
  <c r="E737" i="70"/>
  <c r="B737" i="70"/>
  <c r="A737" i="70"/>
  <c r="C734" i="70"/>
  <c r="F738" i="70"/>
  <c r="E738" i="70"/>
  <c r="B738" i="70"/>
  <c r="A738" i="70"/>
  <c r="F739" i="70"/>
  <c r="E739" i="70"/>
  <c r="B739" i="70"/>
  <c r="A739" i="70"/>
  <c r="F740" i="70"/>
  <c r="E740" i="70"/>
  <c r="B740" i="70"/>
  <c r="A740" i="70"/>
  <c r="F741" i="70"/>
  <c r="E741" i="70"/>
  <c r="B741" i="70"/>
  <c r="A741" i="70"/>
  <c r="F742" i="70"/>
  <c r="E742" i="70"/>
  <c r="B742" i="70"/>
  <c r="A742" i="70"/>
  <c r="G728" i="70"/>
  <c r="F725" i="70"/>
  <c r="E725" i="70"/>
  <c r="B725" i="70"/>
  <c r="A725" i="70"/>
  <c r="C722" i="70"/>
  <c r="F726" i="70"/>
  <c r="E726" i="70"/>
  <c r="B726" i="70"/>
  <c r="A726" i="70"/>
  <c r="F727" i="70"/>
  <c r="E727" i="70"/>
  <c r="B727" i="70"/>
  <c r="A727" i="70"/>
  <c r="F728" i="70"/>
  <c r="E728" i="70"/>
  <c r="B728" i="70"/>
  <c r="A728" i="70"/>
  <c r="F729" i="70"/>
  <c r="E729" i="70"/>
  <c r="B729" i="70"/>
  <c r="A729" i="70"/>
  <c r="F730" i="70"/>
  <c r="E730" i="70"/>
  <c r="B730" i="70"/>
  <c r="A730" i="70"/>
  <c r="G716" i="70"/>
  <c r="F713" i="70"/>
  <c r="E713" i="70"/>
  <c r="B713" i="70"/>
  <c r="A713" i="70"/>
  <c r="C710" i="70"/>
  <c r="F714" i="70"/>
  <c r="E714" i="70"/>
  <c r="B714" i="70"/>
  <c r="A714" i="70"/>
  <c r="F715" i="70"/>
  <c r="E715" i="70"/>
  <c r="B715" i="70"/>
  <c r="A715" i="70"/>
  <c r="F716" i="70"/>
  <c r="E716" i="70"/>
  <c r="B716" i="70"/>
  <c r="A716" i="70"/>
  <c r="F717" i="70"/>
  <c r="E717" i="70"/>
  <c r="B717" i="70"/>
  <c r="A717" i="70"/>
  <c r="F718" i="70"/>
  <c r="E718" i="70"/>
  <c r="B718" i="70"/>
  <c r="A718" i="70"/>
  <c r="G704" i="70"/>
  <c r="F701" i="70"/>
  <c r="E701" i="70"/>
  <c r="B701" i="70"/>
  <c r="A701" i="70"/>
  <c r="C698" i="70"/>
  <c r="F702" i="70"/>
  <c r="E702" i="70"/>
  <c r="B702" i="70"/>
  <c r="A702" i="70"/>
  <c r="F703" i="70"/>
  <c r="E703" i="70"/>
  <c r="B703" i="70"/>
  <c r="A703" i="70"/>
  <c r="F704" i="70"/>
  <c r="E704" i="70"/>
  <c r="B704" i="70"/>
  <c r="A704" i="70"/>
  <c r="F705" i="70"/>
  <c r="E705" i="70"/>
  <c r="B705" i="70"/>
  <c r="A705" i="70"/>
  <c r="F706" i="70"/>
  <c r="E706" i="70"/>
  <c r="B706" i="70"/>
  <c r="A706" i="70"/>
  <c r="G692" i="70"/>
  <c r="F689" i="70"/>
  <c r="E689" i="70"/>
  <c r="B689" i="70"/>
  <c r="A689" i="70"/>
  <c r="C686" i="70"/>
  <c r="F690" i="70"/>
  <c r="E690" i="70"/>
  <c r="B690" i="70"/>
  <c r="A690" i="70"/>
  <c r="F691" i="70"/>
  <c r="E691" i="70"/>
  <c r="B691" i="70"/>
  <c r="A691" i="70"/>
  <c r="F692" i="70"/>
  <c r="E692" i="70"/>
  <c r="B692" i="70"/>
  <c r="A692" i="70"/>
  <c r="F693" i="70"/>
  <c r="E693" i="70"/>
  <c r="B693" i="70"/>
  <c r="A693" i="70"/>
  <c r="F694" i="70"/>
  <c r="E694" i="70"/>
  <c r="B694" i="70"/>
  <c r="A694" i="70"/>
  <c r="G1004" i="70"/>
  <c r="F1001" i="70"/>
  <c r="E1001" i="70"/>
  <c r="B1001" i="70"/>
  <c r="A1001" i="70"/>
  <c r="C998" i="70"/>
  <c r="F1002" i="70"/>
  <c r="E1002" i="70"/>
  <c r="B1002" i="70"/>
  <c r="A1002" i="70"/>
  <c r="F1003" i="70"/>
  <c r="E1003" i="70"/>
  <c r="B1003" i="70"/>
  <c r="A1003" i="70"/>
  <c r="F1004" i="70"/>
  <c r="E1004" i="70"/>
  <c r="B1004" i="70"/>
  <c r="A1004" i="70"/>
  <c r="F1005" i="70"/>
  <c r="E1005" i="70"/>
  <c r="B1005" i="70"/>
  <c r="A1005" i="70"/>
  <c r="F1006" i="70"/>
  <c r="E1006" i="70"/>
  <c r="B1006" i="70"/>
  <c r="A1006" i="70"/>
  <c r="G680" i="70"/>
  <c r="F677" i="70"/>
  <c r="E677" i="70"/>
  <c r="B677" i="70"/>
  <c r="A677" i="70"/>
  <c r="C674" i="70"/>
  <c r="F678" i="70"/>
  <c r="E678" i="70"/>
  <c r="B678" i="70"/>
  <c r="A678" i="70"/>
  <c r="F679" i="70"/>
  <c r="E679" i="70"/>
  <c r="B679" i="70"/>
  <c r="A679" i="70"/>
  <c r="F680" i="70"/>
  <c r="E680" i="70"/>
  <c r="B680" i="70"/>
  <c r="A680" i="70"/>
  <c r="F681" i="70"/>
  <c r="E681" i="70"/>
  <c r="B681" i="70"/>
  <c r="A681" i="70"/>
  <c r="F682" i="70"/>
  <c r="E682" i="70"/>
  <c r="B682" i="70"/>
  <c r="A682" i="70"/>
  <c r="G992" i="70"/>
  <c r="F989" i="70"/>
  <c r="E989" i="70"/>
  <c r="B989" i="70"/>
  <c r="A989" i="70"/>
  <c r="C986" i="70"/>
  <c r="F990" i="70"/>
  <c r="E990" i="70"/>
  <c r="B990" i="70"/>
  <c r="A990" i="70"/>
  <c r="F991" i="70"/>
  <c r="E991" i="70"/>
  <c r="B991" i="70"/>
  <c r="A991" i="70"/>
  <c r="F992" i="70"/>
  <c r="E992" i="70"/>
  <c r="B992" i="70"/>
  <c r="A992" i="70"/>
  <c r="F993" i="70"/>
  <c r="E993" i="70"/>
  <c r="B993" i="70"/>
  <c r="A993" i="70"/>
  <c r="F994" i="70"/>
  <c r="E994" i="70"/>
  <c r="B994" i="70"/>
  <c r="A994" i="70"/>
  <c r="G668" i="70"/>
  <c r="F665" i="70"/>
  <c r="E665" i="70"/>
  <c r="B665" i="70"/>
  <c r="A665" i="70"/>
  <c r="C662" i="70"/>
  <c r="F666" i="70"/>
  <c r="E666" i="70"/>
  <c r="B666" i="70"/>
  <c r="A666" i="70"/>
  <c r="F667" i="70"/>
  <c r="E667" i="70"/>
  <c r="B667" i="70"/>
  <c r="A667" i="70"/>
  <c r="F668" i="70"/>
  <c r="E668" i="70"/>
  <c r="B668" i="70"/>
  <c r="A668" i="70"/>
  <c r="F669" i="70"/>
  <c r="E669" i="70"/>
  <c r="B669" i="70"/>
  <c r="A669" i="70"/>
  <c r="F670" i="70"/>
  <c r="E670" i="70"/>
  <c r="B670" i="70"/>
  <c r="A670" i="70"/>
  <c r="G980" i="70"/>
  <c r="F977" i="70"/>
  <c r="E977" i="70"/>
  <c r="B977" i="70"/>
  <c r="A977" i="70"/>
  <c r="C974" i="70"/>
  <c r="F978" i="70"/>
  <c r="E978" i="70"/>
  <c r="B978" i="70"/>
  <c r="A978" i="70"/>
  <c r="F979" i="70"/>
  <c r="E979" i="70"/>
  <c r="B979" i="70"/>
  <c r="A979" i="70"/>
  <c r="F980" i="70"/>
  <c r="E980" i="70"/>
  <c r="B980" i="70"/>
  <c r="A980" i="70"/>
  <c r="F981" i="70"/>
  <c r="E981" i="70"/>
  <c r="B981" i="70"/>
  <c r="A981" i="70"/>
  <c r="F982" i="70"/>
  <c r="E982" i="70"/>
  <c r="B982" i="70"/>
  <c r="A982" i="70"/>
  <c r="G656" i="70"/>
  <c r="F653" i="70"/>
  <c r="E653" i="70"/>
  <c r="B653" i="70"/>
  <c r="A653" i="70"/>
  <c r="C650" i="70"/>
  <c r="F654" i="70"/>
  <c r="E654" i="70"/>
  <c r="B654" i="70"/>
  <c r="A654" i="70"/>
  <c r="F655" i="70"/>
  <c r="E655" i="70"/>
  <c r="B655" i="70"/>
  <c r="A655" i="70"/>
  <c r="F656" i="70"/>
  <c r="E656" i="70"/>
  <c r="B656" i="70"/>
  <c r="A656" i="70"/>
  <c r="F657" i="70"/>
  <c r="E657" i="70"/>
  <c r="B657" i="70"/>
  <c r="A657" i="70"/>
  <c r="F658" i="70"/>
  <c r="E658" i="70"/>
  <c r="B658" i="70"/>
  <c r="A658" i="70"/>
  <c r="G968" i="70"/>
  <c r="F965" i="70"/>
  <c r="E965" i="70"/>
  <c r="B965" i="70"/>
  <c r="A965" i="70"/>
  <c r="C962" i="70"/>
  <c r="F966" i="70"/>
  <c r="E966" i="70"/>
  <c r="B966" i="70"/>
  <c r="A966" i="70"/>
  <c r="F967" i="70"/>
  <c r="E967" i="70"/>
  <c r="B967" i="70"/>
  <c r="A967" i="70"/>
  <c r="F968" i="70"/>
  <c r="E968" i="70"/>
  <c r="B968" i="70"/>
  <c r="A968" i="70"/>
  <c r="F969" i="70"/>
  <c r="E969" i="70"/>
  <c r="B969" i="70"/>
  <c r="A969" i="70"/>
  <c r="F970" i="70"/>
  <c r="E970" i="70"/>
  <c r="B970" i="70"/>
  <c r="A970" i="70"/>
  <c r="G644" i="70"/>
  <c r="F641" i="70"/>
  <c r="E641" i="70"/>
  <c r="B641" i="70"/>
  <c r="A641" i="70"/>
  <c r="C638" i="70"/>
  <c r="F642" i="70"/>
  <c r="E642" i="70"/>
  <c r="B642" i="70"/>
  <c r="A642" i="70"/>
  <c r="F643" i="70"/>
  <c r="E643" i="70"/>
  <c r="B643" i="70"/>
  <c r="A643" i="70"/>
  <c r="F644" i="70"/>
  <c r="E644" i="70"/>
  <c r="B644" i="70"/>
  <c r="A644" i="70"/>
  <c r="F645" i="70"/>
  <c r="E645" i="70"/>
  <c r="B645" i="70"/>
  <c r="A645" i="70"/>
  <c r="F646" i="70"/>
  <c r="E646" i="70"/>
  <c r="B646" i="70"/>
  <c r="A646" i="70"/>
  <c r="G956" i="70"/>
  <c r="F953" i="70"/>
  <c r="E953" i="70"/>
  <c r="B953" i="70"/>
  <c r="A953" i="70"/>
  <c r="C950" i="70"/>
  <c r="F954" i="70"/>
  <c r="E954" i="70"/>
  <c r="B954" i="70"/>
  <c r="A954" i="70"/>
  <c r="F955" i="70"/>
  <c r="E955" i="70"/>
  <c r="B955" i="70"/>
  <c r="A955" i="70"/>
  <c r="F956" i="70"/>
  <c r="E956" i="70"/>
  <c r="B956" i="70"/>
  <c r="A956" i="70"/>
  <c r="F957" i="70"/>
  <c r="E957" i="70"/>
  <c r="B957" i="70"/>
  <c r="A957" i="70"/>
  <c r="F958" i="70"/>
  <c r="E958" i="70"/>
  <c r="B958" i="70"/>
  <c r="A958" i="70"/>
  <c r="G632" i="70"/>
  <c r="F629" i="70"/>
  <c r="E629" i="70"/>
  <c r="B629" i="70"/>
  <c r="A629" i="70"/>
  <c r="C626" i="70"/>
  <c r="F630" i="70"/>
  <c r="E630" i="70"/>
  <c r="B630" i="70"/>
  <c r="A630" i="70"/>
  <c r="F631" i="70"/>
  <c r="E631" i="70"/>
  <c r="B631" i="70"/>
  <c r="A631" i="70"/>
  <c r="F632" i="70"/>
  <c r="E632" i="70"/>
  <c r="B632" i="70"/>
  <c r="A632" i="70"/>
  <c r="F633" i="70"/>
  <c r="E633" i="70"/>
  <c r="B633" i="70"/>
  <c r="A633" i="70"/>
  <c r="F634" i="70"/>
  <c r="E634" i="70"/>
  <c r="B634" i="70"/>
  <c r="A634" i="70"/>
  <c r="G944" i="70"/>
  <c r="F941" i="70"/>
  <c r="E941" i="70"/>
  <c r="B941" i="70"/>
  <c r="A941" i="70"/>
  <c r="C938" i="70"/>
  <c r="F942" i="70"/>
  <c r="E942" i="70"/>
  <c r="B942" i="70"/>
  <c r="A942" i="70"/>
  <c r="F943" i="70"/>
  <c r="E943" i="70"/>
  <c r="B943" i="70"/>
  <c r="A943" i="70"/>
  <c r="F944" i="70"/>
  <c r="E944" i="70"/>
  <c r="B944" i="70"/>
  <c r="A944" i="70"/>
  <c r="F945" i="70"/>
  <c r="E945" i="70"/>
  <c r="B945" i="70"/>
  <c r="A945" i="70"/>
  <c r="F946" i="70"/>
  <c r="E946" i="70"/>
  <c r="B946" i="70"/>
  <c r="A946" i="70"/>
  <c r="G620" i="70"/>
  <c r="F617" i="70"/>
  <c r="E617" i="70"/>
  <c r="B617" i="70"/>
  <c r="A617" i="70"/>
  <c r="C614" i="70"/>
  <c r="F618" i="70"/>
  <c r="E618" i="70"/>
  <c r="B618" i="70"/>
  <c r="A618" i="70"/>
  <c r="F619" i="70"/>
  <c r="E619" i="70"/>
  <c r="B619" i="70"/>
  <c r="A619" i="70"/>
  <c r="F620" i="70"/>
  <c r="E620" i="70"/>
  <c r="B620" i="70"/>
  <c r="A620" i="70"/>
  <c r="F621" i="70"/>
  <c r="E621" i="70"/>
  <c r="B621" i="70"/>
  <c r="A621" i="70"/>
  <c r="F622" i="70"/>
  <c r="E622" i="70"/>
  <c r="B622" i="70"/>
  <c r="A622" i="70"/>
  <c r="G932" i="70"/>
  <c r="F929" i="70"/>
  <c r="E929" i="70"/>
  <c r="B929" i="70"/>
  <c r="A929" i="70"/>
  <c r="C926" i="70"/>
  <c r="F930" i="70"/>
  <c r="E930" i="70"/>
  <c r="B930" i="70"/>
  <c r="A930" i="70"/>
  <c r="F931" i="70"/>
  <c r="E931" i="70"/>
  <c r="B931" i="70"/>
  <c r="A931" i="70"/>
  <c r="F932" i="70"/>
  <c r="E932" i="70"/>
  <c r="B932" i="70"/>
  <c r="A932" i="70"/>
  <c r="F933" i="70"/>
  <c r="E933" i="70"/>
  <c r="B933" i="70"/>
  <c r="A933" i="70"/>
  <c r="F934" i="70"/>
  <c r="E934" i="70"/>
  <c r="B934" i="70"/>
  <c r="A934" i="70"/>
  <c r="G608" i="70"/>
  <c r="F605" i="70"/>
  <c r="E605" i="70"/>
  <c r="B605" i="70"/>
  <c r="A605" i="70"/>
  <c r="C602" i="70"/>
  <c r="F606" i="70"/>
  <c r="E606" i="70"/>
  <c r="B606" i="70"/>
  <c r="A606" i="70"/>
  <c r="F607" i="70"/>
  <c r="E607" i="70"/>
  <c r="B607" i="70"/>
  <c r="A607" i="70"/>
  <c r="F608" i="70"/>
  <c r="E608" i="70"/>
  <c r="B608" i="70"/>
  <c r="A608" i="70"/>
  <c r="F609" i="70"/>
  <c r="E609" i="70"/>
  <c r="B609" i="70"/>
  <c r="A609" i="70"/>
  <c r="F610" i="70"/>
  <c r="E610" i="70"/>
  <c r="B610" i="70"/>
  <c r="A610" i="70"/>
  <c r="G920" i="70"/>
  <c r="F917" i="70"/>
  <c r="E917" i="70"/>
  <c r="B917" i="70"/>
  <c r="A917" i="70"/>
  <c r="C914" i="70"/>
  <c r="F918" i="70"/>
  <c r="E918" i="70"/>
  <c r="B918" i="70"/>
  <c r="A918" i="70"/>
  <c r="F919" i="70"/>
  <c r="E919" i="70"/>
  <c r="B919" i="70"/>
  <c r="A919" i="70"/>
  <c r="F920" i="70"/>
  <c r="E920" i="70"/>
  <c r="B920" i="70"/>
  <c r="A920" i="70"/>
  <c r="F921" i="70"/>
  <c r="E921" i="70"/>
  <c r="B921" i="70"/>
  <c r="A921" i="70"/>
  <c r="F922" i="70"/>
  <c r="E922" i="70"/>
  <c r="B922" i="70"/>
  <c r="A922" i="70"/>
  <c r="G596" i="70"/>
  <c r="F593" i="70"/>
  <c r="E593" i="70"/>
  <c r="B593" i="70"/>
  <c r="A593" i="70"/>
  <c r="C590" i="70"/>
  <c r="F594" i="70"/>
  <c r="E594" i="70"/>
  <c r="B594" i="70"/>
  <c r="A594" i="70"/>
  <c r="F595" i="70"/>
  <c r="E595" i="70"/>
  <c r="B595" i="70"/>
  <c r="A595" i="70"/>
  <c r="F596" i="70"/>
  <c r="E596" i="70"/>
  <c r="B596" i="70"/>
  <c r="A596" i="70"/>
  <c r="F597" i="70"/>
  <c r="E597" i="70"/>
  <c r="B597" i="70"/>
  <c r="A597" i="70"/>
  <c r="F598" i="70"/>
  <c r="E598" i="70"/>
  <c r="B598" i="70"/>
  <c r="A598" i="70"/>
  <c r="G908" i="70"/>
  <c r="F905" i="70"/>
  <c r="E905" i="70"/>
  <c r="B905" i="70"/>
  <c r="A905" i="70"/>
  <c r="C902" i="70"/>
  <c r="F906" i="70"/>
  <c r="E906" i="70"/>
  <c r="B906" i="70"/>
  <c r="A906" i="70"/>
  <c r="F907" i="70"/>
  <c r="E907" i="70"/>
  <c r="B907" i="70"/>
  <c r="A907" i="70"/>
  <c r="F908" i="70"/>
  <c r="E908" i="70"/>
  <c r="B908" i="70"/>
  <c r="A908" i="70"/>
  <c r="F909" i="70"/>
  <c r="E909" i="70"/>
  <c r="B909" i="70"/>
  <c r="A909" i="70"/>
  <c r="F910" i="70"/>
  <c r="E910" i="70"/>
  <c r="B910" i="70"/>
  <c r="A910" i="70"/>
  <c r="G584" i="70"/>
  <c r="F581" i="70"/>
  <c r="E581" i="70"/>
  <c r="B581" i="70"/>
  <c r="A581" i="70"/>
  <c r="C578" i="70"/>
  <c r="F582" i="70"/>
  <c r="E582" i="70"/>
  <c r="B582" i="70"/>
  <c r="A582" i="70"/>
  <c r="F583" i="70"/>
  <c r="E583" i="70"/>
  <c r="B583" i="70"/>
  <c r="A583" i="70"/>
  <c r="F584" i="70"/>
  <c r="E584" i="70"/>
  <c r="B584" i="70"/>
  <c r="A584" i="70"/>
  <c r="F585" i="70"/>
  <c r="E585" i="70"/>
  <c r="B585" i="70"/>
  <c r="A585" i="70"/>
  <c r="F586" i="70"/>
  <c r="E586" i="70"/>
  <c r="B586" i="70"/>
  <c r="A586" i="70"/>
  <c r="G896" i="70"/>
  <c r="F893" i="70"/>
  <c r="E893" i="70"/>
  <c r="B893" i="70"/>
  <c r="A893" i="70"/>
  <c r="C890" i="70"/>
  <c r="F894" i="70"/>
  <c r="E894" i="70"/>
  <c r="B894" i="70"/>
  <c r="A894" i="70"/>
  <c r="F895" i="70"/>
  <c r="E895" i="70"/>
  <c r="B895" i="70"/>
  <c r="A895" i="70"/>
  <c r="F896" i="70"/>
  <c r="E896" i="70"/>
  <c r="B896" i="70"/>
  <c r="A896" i="70"/>
  <c r="F897" i="70"/>
  <c r="E897" i="70"/>
  <c r="B897" i="70"/>
  <c r="A897" i="70"/>
  <c r="F898" i="70"/>
  <c r="E898" i="70"/>
  <c r="B898" i="70"/>
  <c r="A898" i="70"/>
  <c r="G572" i="70"/>
  <c r="F569" i="70"/>
  <c r="E569" i="70"/>
  <c r="B569" i="70"/>
  <c r="A569" i="70"/>
  <c r="C566" i="70"/>
  <c r="F570" i="70"/>
  <c r="E570" i="70"/>
  <c r="B570" i="70"/>
  <c r="A570" i="70"/>
  <c r="F571" i="70"/>
  <c r="E571" i="70"/>
  <c r="B571" i="70"/>
  <c r="A571" i="70"/>
  <c r="F572" i="70"/>
  <c r="E572" i="70"/>
  <c r="B572" i="70"/>
  <c r="A572" i="70"/>
  <c r="F573" i="70"/>
  <c r="E573" i="70"/>
  <c r="B573" i="70"/>
  <c r="A573" i="70"/>
  <c r="F574" i="70"/>
  <c r="E574" i="70"/>
  <c r="B574" i="70"/>
  <c r="A574" i="70"/>
  <c r="G884" i="70"/>
  <c r="F881" i="70"/>
  <c r="E881" i="70"/>
  <c r="B881" i="70"/>
  <c r="A881" i="70"/>
  <c r="C878" i="70"/>
  <c r="F882" i="70"/>
  <c r="E882" i="70"/>
  <c r="B882" i="70"/>
  <c r="A882" i="70"/>
  <c r="F883" i="70"/>
  <c r="E883" i="70"/>
  <c r="B883" i="70"/>
  <c r="A883" i="70"/>
  <c r="F884" i="70"/>
  <c r="E884" i="70"/>
  <c r="B884" i="70"/>
  <c r="A884" i="70"/>
  <c r="F885" i="70"/>
  <c r="E885" i="70"/>
  <c r="B885" i="70"/>
  <c r="A885" i="70"/>
  <c r="F886" i="70"/>
  <c r="E886" i="70"/>
  <c r="B886" i="70"/>
  <c r="A886" i="70"/>
  <c r="G560" i="70"/>
  <c r="F557" i="70"/>
  <c r="E557" i="70"/>
  <c r="B557" i="70"/>
  <c r="A557" i="70"/>
  <c r="C554" i="70"/>
  <c r="F558" i="70"/>
  <c r="E558" i="70"/>
  <c r="B558" i="70"/>
  <c r="A558" i="70"/>
  <c r="F559" i="70"/>
  <c r="E559" i="70"/>
  <c r="B559" i="70"/>
  <c r="A559" i="70"/>
  <c r="F560" i="70"/>
  <c r="E560" i="70"/>
  <c r="B560" i="70"/>
  <c r="A560" i="70"/>
  <c r="F561" i="70"/>
  <c r="E561" i="70"/>
  <c r="B561" i="70"/>
  <c r="A561" i="70"/>
  <c r="F562" i="70"/>
  <c r="E562" i="70"/>
  <c r="B562" i="70"/>
  <c r="A562" i="70"/>
  <c r="G872" i="70"/>
  <c r="F869" i="70"/>
  <c r="E869" i="70"/>
  <c r="B869" i="70"/>
  <c r="A869" i="70"/>
  <c r="C866" i="70"/>
  <c r="F870" i="70"/>
  <c r="E870" i="70"/>
  <c r="B870" i="70"/>
  <c r="A870" i="70"/>
  <c r="F871" i="70"/>
  <c r="E871" i="70"/>
  <c r="B871" i="70"/>
  <c r="A871" i="70"/>
  <c r="F872" i="70"/>
  <c r="E872" i="70"/>
  <c r="B872" i="70"/>
  <c r="A872" i="70"/>
  <c r="F873" i="70"/>
  <c r="E873" i="70"/>
  <c r="B873" i="70"/>
  <c r="A873" i="70"/>
  <c r="F874" i="70"/>
  <c r="E874" i="70"/>
  <c r="B874" i="70"/>
  <c r="A874" i="70"/>
  <c r="G548" i="70"/>
  <c r="F545" i="70"/>
  <c r="E545" i="70"/>
  <c r="B545" i="70"/>
  <c r="A545" i="70"/>
  <c r="C542" i="70"/>
  <c r="F546" i="70"/>
  <c r="E546" i="70"/>
  <c r="B546" i="70"/>
  <c r="A546" i="70"/>
  <c r="F547" i="70"/>
  <c r="E547" i="70"/>
  <c r="B547" i="70"/>
  <c r="A547" i="70"/>
  <c r="F548" i="70"/>
  <c r="E548" i="70"/>
  <c r="B548" i="70"/>
  <c r="A548" i="70"/>
  <c r="F549" i="70"/>
  <c r="E549" i="70"/>
  <c r="B549" i="70"/>
  <c r="A549" i="70"/>
  <c r="F550" i="70"/>
  <c r="E550" i="70"/>
  <c r="B550" i="70"/>
  <c r="A550" i="70"/>
  <c r="G860" i="70"/>
  <c r="F857" i="70"/>
  <c r="E857" i="70"/>
  <c r="B857" i="70"/>
  <c r="A857" i="70"/>
  <c r="C854" i="70"/>
  <c r="F858" i="70"/>
  <c r="E858" i="70"/>
  <c r="B858" i="70"/>
  <c r="A858" i="70"/>
  <c r="F859" i="70"/>
  <c r="E859" i="70"/>
  <c r="B859" i="70"/>
  <c r="A859" i="70"/>
  <c r="F860" i="70"/>
  <c r="E860" i="70"/>
  <c r="B860" i="70"/>
  <c r="A860" i="70"/>
  <c r="F861" i="70"/>
  <c r="E861" i="70"/>
  <c r="B861" i="70"/>
  <c r="A861" i="70"/>
  <c r="F862" i="70"/>
  <c r="E862" i="70"/>
  <c r="B862" i="70"/>
  <c r="A862" i="70"/>
  <c r="G536" i="70"/>
  <c r="F533" i="70"/>
  <c r="E533" i="70"/>
  <c r="B533" i="70"/>
  <c r="A533" i="70"/>
  <c r="C530" i="70"/>
  <c r="F534" i="70"/>
  <c r="E534" i="70"/>
  <c r="B534" i="70"/>
  <c r="A534" i="70"/>
  <c r="F535" i="70"/>
  <c r="E535" i="70"/>
  <c r="B535" i="70"/>
  <c r="A535" i="70"/>
  <c r="F536" i="70"/>
  <c r="E536" i="70"/>
  <c r="B536" i="70"/>
  <c r="A536" i="70"/>
  <c r="F537" i="70"/>
  <c r="E537" i="70"/>
  <c r="B537" i="70"/>
  <c r="A537" i="70"/>
  <c r="F538" i="70"/>
  <c r="E538" i="70"/>
  <c r="B538" i="70"/>
  <c r="A538" i="70"/>
  <c r="G848" i="70"/>
  <c r="F845" i="70"/>
  <c r="E845" i="70"/>
  <c r="B845" i="70"/>
  <c r="A845" i="70"/>
  <c r="C842" i="70"/>
  <c r="F846" i="70"/>
  <c r="E846" i="70"/>
  <c r="B846" i="70"/>
  <c r="A846" i="70"/>
  <c r="F847" i="70"/>
  <c r="E847" i="70"/>
  <c r="B847" i="70"/>
  <c r="A847" i="70"/>
  <c r="F848" i="70"/>
  <c r="E848" i="70"/>
  <c r="B848" i="70"/>
  <c r="A848" i="70"/>
  <c r="F849" i="70"/>
  <c r="E849" i="70"/>
  <c r="B849" i="70"/>
  <c r="A849" i="70"/>
  <c r="F850" i="70"/>
  <c r="E850" i="70"/>
  <c r="B850" i="70"/>
  <c r="A850" i="70"/>
  <c r="G524" i="70"/>
  <c r="F521" i="70"/>
  <c r="E521" i="70"/>
  <c r="B521" i="70"/>
  <c r="A521" i="70"/>
  <c r="C518" i="70"/>
  <c r="F522" i="70"/>
  <c r="E522" i="70"/>
  <c r="B522" i="70"/>
  <c r="A522" i="70"/>
  <c r="F523" i="70"/>
  <c r="E523" i="70"/>
  <c r="B523" i="70"/>
  <c r="A523" i="70"/>
  <c r="F524" i="70"/>
  <c r="E524" i="70"/>
  <c r="B524" i="70"/>
  <c r="A524" i="70"/>
  <c r="F525" i="70"/>
  <c r="E525" i="70"/>
  <c r="B525" i="70"/>
  <c r="A525" i="70"/>
  <c r="F526" i="70"/>
  <c r="E526" i="70"/>
  <c r="B526" i="70"/>
  <c r="A526" i="70"/>
  <c r="G836" i="70"/>
  <c r="F833" i="70"/>
  <c r="E833" i="70"/>
  <c r="B833" i="70"/>
  <c r="A833" i="70"/>
  <c r="C830" i="70"/>
  <c r="F834" i="70"/>
  <c r="E834" i="70"/>
  <c r="B834" i="70"/>
  <c r="A834" i="70"/>
  <c r="F835" i="70"/>
  <c r="E835" i="70"/>
  <c r="B835" i="70"/>
  <c r="A835" i="70"/>
  <c r="F836" i="70"/>
  <c r="E836" i="70"/>
  <c r="B836" i="70"/>
  <c r="A836" i="70"/>
  <c r="F837" i="70"/>
  <c r="E837" i="70"/>
  <c r="B837" i="70"/>
  <c r="A837" i="70"/>
  <c r="F838" i="70"/>
  <c r="E838" i="70"/>
  <c r="B838" i="70"/>
  <c r="A838" i="70"/>
  <c r="G512" i="70"/>
  <c r="F509" i="70"/>
  <c r="E509" i="70"/>
  <c r="B509" i="70"/>
  <c r="A509" i="70"/>
  <c r="C506" i="70"/>
  <c r="F510" i="70"/>
  <c r="E510" i="70"/>
  <c r="B510" i="70"/>
  <c r="A510" i="70"/>
  <c r="F511" i="70"/>
  <c r="E511" i="70"/>
  <c r="B511" i="70"/>
  <c r="A511" i="70"/>
  <c r="F512" i="70"/>
  <c r="E512" i="70"/>
  <c r="B512" i="70"/>
  <c r="A512" i="70"/>
  <c r="F513" i="70"/>
  <c r="E513" i="70"/>
  <c r="B513" i="70"/>
  <c r="A513" i="70"/>
  <c r="F514" i="70"/>
  <c r="E514" i="70"/>
  <c r="B514" i="70"/>
  <c r="A514" i="70"/>
  <c r="G824" i="70"/>
  <c r="F821" i="70"/>
  <c r="E821" i="70"/>
  <c r="B821" i="70"/>
  <c r="A821" i="70"/>
  <c r="C818" i="70"/>
  <c r="F822" i="70"/>
  <c r="E822" i="70"/>
  <c r="B822" i="70"/>
  <c r="A822" i="70"/>
  <c r="F823" i="70"/>
  <c r="E823" i="70"/>
  <c r="B823" i="70"/>
  <c r="A823" i="70"/>
  <c r="F824" i="70"/>
  <c r="E824" i="70"/>
  <c r="B824" i="70"/>
  <c r="A824" i="70"/>
  <c r="F825" i="70"/>
  <c r="E825" i="70"/>
  <c r="B825" i="70"/>
  <c r="A825" i="70"/>
  <c r="F826" i="70"/>
  <c r="E826" i="70"/>
  <c r="B826" i="70"/>
  <c r="A826" i="70"/>
  <c r="F370" i="70"/>
  <c r="E370" i="70"/>
  <c r="B370" i="70"/>
  <c r="A370" i="70"/>
  <c r="F369" i="70"/>
  <c r="E369" i="70"/>
  <c r="B369" i="70"/>
  <c r="A369" i="70"/>
  <c r="F368" i="70"/>
  <c r="E368" i="70"/>
  <c r="B368" i="70"/>
  <c r="A368" i="70"/>
  <c r="F367" i="70"/>
  <c r="E367" i="70"/>
  <c r="B367" i="70"/>
  <c r="A367" i="70"/>
  <c r="F366" i="70"/>
  <c r="E366" i="70"/>
  <c r="B366" i="70"/>
  <c r="A366" i="70"/>
  <c r="G368" i="70"/>
  <c r="F365" i="70"/>
  <c r="E365" i="70"/>
  <c r="A365" i="70"/>
  <c r="C362" i="70"/>
  <c r="F382" i="70"/>
  <c r="E382" i="70"/>
  <c r="B382" i="70"/>
  <c r="A382" i="70"/>
  <c r="F381" i="70"/>
  <c r="E381" i="70"/>
  <c r="B381" i="70"/>
  <c r="A381" i="70"/>
  <c r="F380" i="70"/>
  <c r="E380" i="70"/>
  <c r="B380" i="70"/>
  <c r="A380" i="70"/>
  <c r="F379" i="70"/>
  <c r="E379" i="70"/>
  <c r="B379" i="70"/>
  <c r="A379" i="70"/>
  <c r="F378" i="70"/>
  <c r="E378" i="70"/>
  <c r="B378" i="70"/>
  <c r="A378" i="70"/>
  <c r="G380" i="70"/>
  <c r="F377" i="70"/>
  <c r="E377" i="70"/>
  <c r="A377" i="70"/>
  <c r="C374" i="70"/>
  <c r="F394" i="70"/>
  <c r="E394" i="70"/>
  <c r="B394" i="70"/>
  <c r="A394" i="70"/>
  <c r="F393" i="70"/>
  <c r="E393" i="70"/>
  <c r="B393" i="70"/>
  <c r="A393" i="70"/>
  <c r="F392" i="70"/>
  <c r="E392" i="70"/>
  <c r="B392" i="70"/>
  <c r="A392" i="70"/>
  <c r="F391" i="70"/>
  <c r="E391" i="70"/>
  <c r="B391" i="70"/>
  <c r="A391" i="70"/>
  <c r="F390" i="70"/>
  <c r="E390" i="70"/>
  <c r="B390" i="70"/>
  <c r="A390" i="70"/>
  <c r="G392" i="70"/>
  <c r="F389" i="70"/>
  <c r="E389" i="70"/>
  <c r="A389" i="70"/>
  <c r="C386" i="70"/>
  <c r="F406" i="70"/>
  <c r="E406" i="70"/>
  <c r="B406" i="70"/>
  <c r="A406" i="70"/>
  <c r="F405" i="70"/>
  <c r="E405" i="70"/>
  <c r="B405" i="70"/>
  <c r="A405" i="70"/>
  <c r="F404" i="70"/>
  <c r="E404" i="70"/>
  <c r="B404" i="70"/>
  <c r="A404" i="70"/>
  <c r="F403" i="70"/>
  <c r="E403" i="70"/>
  <c r="B403" i="70"/>
  <c r="A403" i="70"/>
  <c r="F402" i="70"/>
  <c r="E402" i="70"/>
  <c r="B402" i="70"/>
  <c r="A402" i="70"/>
  <c r="G404" i="70"/>
  <c r="F401" i="70"/>
  <c r="E401" i="70"/>
  <c r="A401" i="70"/>
  <c r="C398" i="70"/>
  <c r="F418" i="70"/>
  <c r="E418" i="70"/>
  <c r="B418" i="70"/>
  <c r="A418" i="70"/>
  <c r="F417" i="70"/>
  <c r="E417" i="70"/>
  <c r="B417" i="70"/>
  <c r="A417" i="70"/>
  <c r="F416" i="70"/>
  <c r="E416" i="70"/>
  <c r="B416" i="70"/>
  <c r="A416" i="70"/>
  <c r="F415" i="70"/>
  <c r="E415" i="70"/>
  <c r="B415" i="70"/>
  <c r="A415" i="70"/>
  <c r="F414" i="70"/>
  <c r="E414" i="70"/>
  <c r="B414" i="70"/>
  <c r="A414" i="70"/>
  <c r="G416" i="70"/>
  <c r="F413" i="70"/>
  <c r="E413" i="70"/>
  <c r="A413" i="70"/>
  <c r="C410" i="70"/>
  <c r="F430" i="70"/>
  <c r="E430" i="70"/>
  <c r="B430" i="70"/>
  <c r="A430" i="70"/>
  <c r="F429" i="70"/>
  <c r="E429" i="70"/>
  <c r="B429" i="70"/>
  <c r="A429" i="70"/>
  <c r="F428" i="70"/>
  <c r="E428" i="70"/>
  <c r="B428" i="70"/>
  <c r="A428" i="70"/>
  <c r="F427" i="70"/>
  <c r="E427" i="70"/>
  <c r="B427" i="70"/>
  <c r="A427" i="70"/>
  <c r="F426" i="70"/>
  <c r="E426" i="70"/>
  <c r="B426" i="70"/>
  <c r="A426" i="70"/>
  <c r="G428" i="70"/>
  <c r="F425" i="70"/>
  <c r="E425" i="70"/>
  <c r="A425" i="70"/>
  <c r="C422" i="70"/>
  <c r="F442" i="70"/>
  <c r="E442" i="70"/>
  <c r="B442" i="70"/>
  <c r="A442" i="70"/>
  <c r="F441" i="70"/>
  <c r="E441" i="70"/>
  <c r="B441" i="70"/>
  <c r="A441" i="70"/>
  <c r="F440" i="70"/>
  <c r="E440" i="70"/>
  <c r="B440" i="70"/>
  <c r="A440" i="70"/>
  <c r="F439" i="70"/>
  <c r="E439" i="70"/>
  <c r="B439" i="70"/>
  <c r="A439" i="70"/>
  <c r="F438" i="70"/>
  <c r="E438" i="70"/>
  <c r="A438" i="70"/>
  <c r="G440" i="70"/>
  <c r="F437" i="70"/>
  <c r="E437" i="70"/>
  <c r="A437" i="70"/>
  <c r="C434" i="70"/>
  <c r="F454" i="70"/>
  <c r="E454" i="70"/>
  <c r="B454" i="70"/>
  <c r="A454" i="70"/>
  <c r="F453" i="70"/>
  <c r="E453" i="70"/>
  <c r="B453" i="70"/>
  <c r="A453" i="70"/>
  <c r="F452" i="70"/>
  <c r="E452" i="70"/>
  <c r="B452" i="70"/>
  <c r="A452" i="70"/>
  <c r="F451" i="70"/>
  <c r="E451" i="70"/>
  <c r="B451" i="70"/>
  <c r="A451" i="70"/>
  <c r="F450" i="70"/>
  <c r="E450" i="70"/>
  <c r="B450" i="70"/>
  <c r="A450" i="70"/>
  <c r="G452" i="70"/>
  <c r="F449" i="70"/>
  <c r="E449" i="70"/>
  <c r="A449" i="70"/>
  <c r="C446" i="70"/>
  <c r="F466" i="70"/>
  <c r="E466" i="70"/>
  <c r="B466" i="70"/>
  <c r="A466" i="70"/>
  <c r="F465" i="70"/>
  <c r="E465" i="70"/>
  <c r="B465" i="70"/>
  <c r="A465" i="70"/>
  <c r="F464" i="70"/>
  <c r="E464" i="70"/>
  <c r="B464" i="70"/>
  <c r="A464" i="70"/>
  <c r="F463" i="70"/>
  <c r="E463" i="70"/>
  <c r="B463" i="70"/>
  <c r="A463" i="70"/>
  <c r="F462" i="70"/>
  <c r="E462" i="70"/>
  <c r="B462" i="70"/>
  <c r="A462" i="70"/>
  <c r="G464" i="70"/>
  <c r="F461" i="70"/>
  <c r="E461" i="70"/>
  <c r="A461" i="70"/>
  <c r="C458" i="70"/>
  <c r="F478" i="70"/>
  <c r="E478" i="70"/>
  <c r="B478" i="70"/>
  <c r="A478" i="70"/>
  <c r="F477" i="70"/>
  <c r="E477" i="70"/>
  <c r="B477" i="70"/>
  <c r="A477" i="70"/>
  <c r="F476" i="70"/>
  <c r="E476" i="70"/>
  <c r="B476" i="70"/>
  <c r="A476" i="70"/>
  <c r="F475" i="70"/>
  <c r="E475" i="70"/>
  <c r="B475" i="70"/>
  <c r="A475" i="70"/>
  <c r="F474" i="70"/>
  <c r="E474" i="70"/>
  <c r="B474" i="70"/>
  <c r="A474" i="70"/>
  <c r="G476" i="70"/>
  <c r="F473" i="70"/>
  <c r="E473" i="70"/>
  <c r="A473" i="70"/>
  <c r="C470" i="70"/>
  <c r="F490" i="70"/>
  <c r="E490" i="70"/>
  <c r="B490" i="70"/>
  <c r="A490" i="70"/>
  <c r="F489" i="70"/>
  <c r="E489" i="70"/>
  <c r="B489" i="70"/>
  <c r="A489" i="70"/>
  <c r="F488" i="70"/>
  <c r="E488" i="70"/>
  <c r="B488" i="70"/>
  <c r="A488" i="70"/>
  <c r="F487" i="70"/>
  <c r="E487" i="70"/>
  <c r="B487" i="70"/>
  <c r="A487" i="70"/>
  <c r="F486" i="70"/>
  <c r="E486" i="70"/>
  <c r="B486" i="70"/>
  <c r="A486" i="70"/>
  <c r="G488" i="70"/>
  <c r="F485" i="70"/>
  <c r="E485" i="70"/>
  <c r="B485" i="70"/>
  <c r="A485" i="70"/>
  <c r="C482" i="70"/>
  <c r="G500" i="70"/>
  <c r="F497" i="70"/>
  <c r="E497" i="70"/>
  <c r="B497" i="70"/>
  <c r="A497" i="70"/>
  <c r="C494" i="70"/>
  <c r="F498" i="70"/>
  <c r="E498" i="70"/>
  <c r="B498" i="70"/>
  <c r="A498" i="70"/>
  <c r="F499" i="70"/>
  <c r="E499" i="70"/>
  <c r="B499" i="70"/>
  <c r="A499" i="70"/>
  <c r="F500" i="70"/>
  <c r="E500" i="70"/>
  <c r="B500" i="70"/>
  <c r="A500" i="70"/>
  <c r="F501" i="70"/>
  <c r="E501" i="70"/>
  <c r="B501" i="70"/>
  <c r="A501" i="70"/>
  <c r="F502" i="70"/>
  <c r="E502" i="70"/>
  <c r="B502" i="70"/>
  <c r="A502" i="70"/>
  <c r="F802" i="70"/>
  <c r="E802" i="70"/>
  <c r="B802" i="70"/>
  <c r="A802" i="70"/>
  <c r="F801" i="70"/>
  <c r="E801" i="70"/>
  <c r="B801" i="70"/>
  <c r="A801" i="70"/>
  <c r="F800" i="70"/>
  <c r="E800" i="70"/>
  <c r="B800" i="70"/>
  <c r="A800" i="70"/>
  <c r="F799" i="70"/>
  <c r="E799" i="70"/>
  <c r="B799" i="70"/>
  <c r="A799" i="70"/>
  <c r="F798" i="70"/>
  <c r="E798" i="70"/>
  <c r="B798" i="70"/>
  <c r="A798" i="70"/>
  <c r="G800" i="70"/>
  <c r="F797" i="70"/>
  <c r="E797" i="70"/>
  <c r="B797" i="70"/>
  <c r="A797" i="70"/>
  <c r="C794" i="70"/>
  <c r="G812" i="70"/>
  <c r="F809" i="70"/>
  <c r="E809" i="70"/>
  <c r="B809" i="70"/>
  <c r="A809" i="70"/>
  <c r="C806" i="70"/>
  <c r="F810" i="70"/>
  <c r="E810" i="70"/>
  <c r="B810" i="70"/>
  <c r="A810" i="70"/>
  <c r="F811" i="70"/>
  <c r="E811" i="70"/>
  <c r="B811" i="70"/>
  <c r="A811" i="70"/>
  <c r="F812" i="70"/>
  <c r="E812" i="70"/>
  <c r="B812" i="70"/>
  <c r="A812" i="70"/>
  <c r="F813" i="70"/>
  <c r="E813" i="70"/>
  <c r="B813" i="70"/>
  <c r="A813" i="70"/>
  <c r="F814" i="70"/>
  <c r="E814" i="70"/>
  <c r="B814" i="70"/>
  <c r="A814" i="70"/>
  <c r="A1" i="4"/>
  <c r="E1" i="13"/>
  <c r="BA3" i="76" l="1"/>
  <c r="B10" i="72"/>
  <c r="B14" i="72"/>
  <c r="B18" i="72"/>
  <c r="B22" i="72"/>
  <c r="B26" i="72"/>
  <c r="B30" i="72"/>
  <c r="B34" i="72"/>
  <c r="B38" i="72"/>
  <c r="B42" i="72"/>
  <c r="B46" i="72"/>
  <c r="B50" i="72"/>
  <c r="B54" i="72"/>
  <c r="B58" i="72"/>
  <c r="B62" i="72"/>
  <c r="B66" i="72"/>
  <c r="B70" i="72"/>
  <c r="B74" i="72"/>
  <c r="B78" i="72"/>
  <c r="B82" i="72"/>
  <c r="B86" i="72"/>
  <c r="B90" i="72"/>
  <c r="B94" i="72"/>
  <c r="B98" i="72"/>
  <c r="B102" i="72"/>
  <c r="B106" i="72"/>
  <c r="B110" i="72"/>
  <c r="B114" i="72"/>
  <c r="B118" i="72"/>
  <c r="B122" i="72"/>
  <c r="B126" i="72"/>
  <c r="B13" i="72"/>
  <c r="B17" i="72"/>
  <c r="B21" i="72"/>
  <c r="B25" i="72"/>
  <c r="B29" i="72"/>
  <c r="B33" i="72"/>
  <c r="B37" i="72"/>
  <c r="B41" i="72"/>
  <c r="B45" i="72"/>
  <c r="B49" i="72"/>
  <c r="B53" i="72"/>
  <c r="B57" i="72"/>
  <c r="B61" i="72"/>
  <c r="B65" i="72"/>
  <c r="B69" i="72"/>
  <c r="B73" i="72"/>
  <c r="B77" i="72"/>
  <c r="B81" i="72"/>
  <c r="B85" i="72"/>
  <c r="B89" i="72"/>
  <c r="B93" i="72"/>
  <c r="B97" i="72"/>
  <c r="B101" i="72"/>
  <c r="B105" i="72"/>
  <c r="B109" i="72"/>
  <c r="B113" i="72"/>
  <c r="B117" i="72"/>
  <c r="B121" i="72"/>
  <c r="B125" i="72"/>
  <c r="B129" i="72"/>
  <c r="B133" i="72"/>
  <c r="B137" i="72"/>
  <c r="B141" i="72"/>
  <c r="B145" i="72"/>
  <c r="B149" i="72"/>
  <c r="B153" i="72"/>
  <c r="B157" i="72"/>
  <c r="B161" i="72"/>
  <c r="B165" i="72"/>
  <c r="B169" i="72"/>
  <c r="B173" i="72"/>
  <c r="B177" i="72"/>
  <c r="B128" i="72"/>
  <c r="B136" i="72"/>
  <c r="B144" i="72"/>
  <c r="B152" i="72"/>
  <c r="B160" i="72"/>
  <c r="B168" i="72"/>
  <c r="B176" i="72"/>
  <c r="B182" i="72"/>
  <c r="B186" i="72"/>
  <c r="B190" i="72"/>
  <c r="B194" i="72"/>
  <c r="B198" i="72"/>
  <c r="B202" i="72"/>
  <c r="B206" i="72"/>
  <c r="B210" i="72"/>
  <c r="B214" i="72"/>
  <c r="B218" i="72"/>
  <c r="B222" i="72"/>
  <c r="B226" i="72"/>
  <c r="B230" i="72"/>
  <c r="B234" i="72"/>
  <c r="B238" i="72"/>
  <c r="B242" i="72"/>
  <c r="B246" i="72"/>
  <c r="B250" i="72"/>
  <c r="B254" i="72"/>
  <c r="B258" i="72"/>
  <c r="B262" i="72"/>
  <c r="B266" i="72"/>
  <c r="B270" i="72"/>
  <c r="B274" i="72"/>
  <c r="B278" i="72"/>
  <c r="B282" i="72"/>
  <c r="B286" i="72"/>
  <c r="B290" i="72"/>
  <c r="B294" i="72"/>
  <c r="B298" i="72"/>
  <c r="B302" i="72"/>
  <c r="B306" i="72"/>
  <c r="B310" i="72"/>
  <c r="B314" i="72"/>
  <c r="B318" i="72"/>
  <c r="B322" i="72"/>
  <c r="B134" i="72"/>
  <c r="B142" i="72"/>
  <c r="B150" i="72"/>
  <c r="B158" i="72"/>
  <c r="B166" i="72"/>
  <c r="B174" i="72"/>
  <c r="B181" i="72"/>
  <c r="B185" i="72"/>
  <c r="B189" i="72"/>
  <c r="B193" i="72"/>
  <c r="B197" i="72"/>
  <c r="B201" i="72"/>
  <c r="B205" i="72"/>
  <c r="B209" i="72"/>
  <c r="B213" i="72"/>
  <c r="B217" i="72"/>
  <c r="B221" i="72"/>
  <c r="B225" i="72"/>
  <c r="B229" i="72"/>
  <c r="B233" i="72"/>
  <c r="B237" i="72"/>
  <c r="B241" i="72"/>
  <c r="B245" i="72"/>
  <c r="B249" i="72"/>
  <c r="B253" i="72"/>
  <c r="B257" i="72"/>
  <c r="B261" i="72"/>
  <c r="B265" i="72"/>
  <c r="B269" i="72"/>
  <c r="B273" i="72"/>
  <c r="B277" i="72"/>
  <c r="B281" i="72"/>
  <c r="B285" i="72"/>
  <c r="B289" i="72"/>
  <c r="B293" i="72"/>
  <c r="B297" i="72"/>
  <c r="B301" i="72"/>
  <c r="B305" i="72"/>
  <c r="B309" i="72"/>
  <c r="B313" i="72"/>
  <c r="B317" i="72"/>
  <c r="B321" i="72"/>
  <c r="B325" i="72"/>
  <c r="B329" i="72"/>
  <c r="B333" i="72"/>
  <c r="B337" i="72"/>
  <c r="B341" i="72"/>
  <c r="B324" i="72"/>
  <c r="B332" i="72"/>
  <c r="B340" i="72"/>
  <c r="B346" i="72"/>
  <c r="B350" i="72"/>
  <c r="B354" i="72"/>
  <c r="B358" i="72"/>
  <c r="B362" i="72"/>
  <c r="B366" i="72"/>
  <c r="B370" i="72"/>
  <c r="B374" i="72"/>
  <c r="B378" i="72"/>
  <c r="B382" i="72"/>
  <c r="B386" i="72"/>
  <c r="B390" i="72"/>
  <c r="B394" i="72"/>
  <c r="B398" i="72"/>
  <c r="B402" i="72"/>
  <c r="B6" i="72"/>
  <c r="B330" i="72"/>
  <c r="B345" i="72"/>
  <c r="B349" i="72"/>
  <c r="B357" i="72"/>
  <c r="B365" i="72"/>
  <c r="B373" i="72"/>
  <c r="B381" i="72"/>
  <c r="B389" i="72"/>
  <c r="B397" i="72"/>
  <c r="B405" i="72"/>
  <c r="B9" i="72"/>
  <c r="B12" i="72"/>
  <c r="B16" i="72"/>
  <c r="B20" i="72"/>
  <c r="B24" i="72"/>
  <c r="B28" i="72"/>
  <c r="B32" i="72"/>
  <c r="B36" i="72"/>
  <c r="B40" i="72"/>
  <c r="B44" i="72"/>
  <c r="B48" i="72"/>
  <c r="B52" i="72"/>
  <c r="B56" i="72"/>
  <c r="B60" i="72"/>
  <c r="B64" i="72"/>
  <c r="B68" i="72"/>
  <c r="B72" i="72"/>
  <c r="B76" i="72"/>
  <c r="B80" i="72"/>
  <c r="B84" i="72"/>
  <c r="B88" i="72"/>
  <c r="B92" i="72"/>
  <c r="B96" i="72"/>
  <c r="B100" i="72"/>
  <c r="B104" i="72"/>
  <c r="B108" i="72"/>
  <c r="B112" i="72"/>
  <c r="B116" i="72"/>
  <c r="B120" i="72"/>
  <c r="B124" i="72"/>
  <c r="B11" i="72"/>
  <c r="B15" i="72"/>
  <c r="B19" i="72"/>
  <c r="B23" i="72"/>
  <c r="B27" i="72"/>
  <c r="B31" i="72"/>
  <c r="B35" i="72"/>
  <c r="B39" i="72"/>
  <c r="B43" i="72"/>
  <c r="B47" i="72"/>
  <c r="B51" i="72"/>
  <c r="B55" i="72"/>
  <c r="B59" i="72"/>
  <c r="B63" i="72"/>
  <c r="B67" i="72"/>
  <c r="B71" i="72"/>
  <c r="B75" i="72"/>
  <c r="B79" i="72"/>
  <c r="B83" i="72"/>
  <c r="B87" i="72"/>
  <c r="B91" i="72"/>
  <c r="B95" i="72"/>
  <c r="B99" i="72"/>
  <c r="B103" i="72"/>
  <c r="B107" i="72"/>
  <c r="B111" i="72"/>
  <c r="B115" i="72"/>
  <c r="B119" i="72"/>
  <c r="B123" i="72"/>
  <c r="B127" i="72"/>
  <c r="B131" i="72"/>
  <c r="B135" i="72"/>
  <c r="B139" i="72"/>
  <c r="B143" i="72"/>
  <c r="B147" i="72"/>
  <c r="B151" i="72"/>
  <c r="B155" i="72"/>
  <c r="B159" i="72"/>
  <c r="B163" i="72"/>
  <c r="B167" i="72"/>
  <c r="B171" i="72"/>
  <c r="B175" i="72"/>
  <c r="B179" i="72"/>
  <c r="B132" i="72"/>
  <c r="B140" i="72"/>
  <c r="B148" i="72"/>
  <c r="B156" i="72"/>
  <c r="B164" i="72"/>
  <c r="B172" i="72"/>
  <c r="B180" i="72"/>
  <c r="B184" i="72"/>
  <c r="B188" i="72"/>
  <c r="B192" i="72"/>
  <c r="B196" i="72"/>
  <c r="B200" i="72"/>
  <c r="B204" i="72"/>
  <c r="B208" i="72"/>
  <c r="B212" i="72"/>
  <c r="B216" i="72"/>
  <c r="B220" i="72"/>
  <c r="B224" i="72"/>
  <c r="B228" i="72"/>
  <c r="B232" i="72"/>
  <c r="B236" i="72"/>
  <c r="B240" i="72"/>
  <c r="B244" i="72"/>
  <c r="B248" i="72"/>
  <c r="B252" i="72"/>
  <c r="B256" i="72"/>
  <c r="B260" i="72"/>
  <c r="B264" i="72"/>
  <c r="B268" i="72"/>
  <c r="B272" i="72"/>
  <c r="B276" i="72"/>
  <c r="B280" i="72"/>
  <c r="B284" i="72"/>
  <c r="B288" i="72"/>
  <c r="B292" i="72"/>
  <c r="B296" i="72"/>
  <c r="B300" i="72"/>
  <c r="B304" i="72"/>
  <c r="B308" i="72"/>
  <c r="B312" i="72"/>
  <c r="B316" i="72"/>
  <c r="B320" i="72"/>
  <c r="B130" i="72"/>
  <c r="B138" i="72"/>
  <c r="B146" i="72"/>
  <c r="B154" i="72"/>
  <c r="B162" i="72"/>
  <c r="B170" i="72"/>
  <c r="B178" i="72"/>
  <c r="B183" i="72"/>
  <c r="B187" i="72"/>
  <c r="B191" i="72"/>
  <c r="B195" i="72"/>
  <c r="B199" i="72"/>
  <c r="B203" i="72"/>
  <c r="B207" i="72"/>
  <c r="B211" i="72"/>
  <c r="B215" i="72"/>
  <c r="B219" i="72"/>
  <c r="B223" i="72"/>
  <c r="B227" i="72"/>
  <c r="B231" i="72"/>
  <c r="B235" i="72"/>
  <c r="B239" i="72"/>
  <c r="B243" i="72"/>
  <c r="B247" i="72"/>
  <c r="B251" i="72"/>
  <c r="B255" i="72"/>
  <c r="B259" i="72"/>
  <c r="B263" i="72"/>
  <c r="B267" i="72"/>
  <c r="B271" i="72"/>
  <c r="B275" i="72"/>
  <c r="B279" i="72"/>
  <c r="B283" i="72"/>
  <c r="B287" i="72"/>
  <c r="B291" i="72"/>
  <c r="B295" i="72"/>
  <c r="B299" i="72"/>
  <c r="B303" i="72"/>
  <c r="B307" i="72"/>
  <c r="B311" i="72"/>
  <c r="B315" i="72"/>
  <c r="B319" i="72"/>
  <c r="B323" i="72"/>
  <c r="B327" i="72"/>
  <c r="B331" i="72"/>
  <c r="B335" i="72"/>
  <c r="B339" i="72"/>
  <c r="B343" i="72"/>
  <c r="B328" i="72"/>
  <c r="B336" i="72"/>
  <c r="B344" i="72"/>
  <c r="B348" i="72"/>
  <c r="B352" i="72"/>
  <c r="B356" i="72"/>
  <c r="B360" i="72"/>
  <c r="B364" i="72"/>
  <c r="B368" i="72"/>
  <c r="B372" i="72"/>
  <c r="B376" i="72"/>
  <c r="B380" i="72"/>
  <c r="B384" i="72"/>
  <c r="B388" i="72"/>
  <c r="B392" i="72"/>
  <c r="B396" i="72"/>
  <c r="B400" i="72"/>
  <c r="B404" i="72"/>
  <c r="B408" i="72"/>
  <c r="B8" i="72"/>
  <c r="B326" i="72"/>
  <c r="B334" i="72"/>
  <c r="B342" i="72"/>
  <c r="B347" i="72"/>
  <c r="B351" i="72"/>
  <c r="B355" i="72"/>
  <c r="B359" i="72"/>
  <c r="B363" i="72"/>
  <c r="B367" i="72"/>
  <c r="B371" i="72"/>
  <c r="B375" i="72"/>
  <c r="B379" i="72"/>
  <c r="B383" i="72"/>
  <c r="B387" i="72"/>
  <c r="B391" i="72"/>
  <c r="B395" i="72"/>
  <c r="B399" i="72"/>
  <c r="B403" i="72"/>
  <c r="B407" i="72"/>
  <c r="B7" i="72"/>
  <c r="B406" i="72"/>
  <c r="B5" i="72"/>
  <c r="B338" i="72"/>
  <c r="B353" i="72"/>
  <c r="B361" i="72"/>
  <c r="B369" i="72"/>
  <c r="B377" i="72"/>
  <c r="B385" i="72"/>
  <c r="B393" i="72"/>
  <c r="B401" i="72"/>
  <c r="B409" i="72"/>
  <c r="F1022" i="70"/>
  <c r="H1019" i="70"/>
  <c r="H1017" i="70"/>
  <c r="H1015" i="70"/>
  <c r="H1013" i="70"/>
  <c r="H1011" i="70"/>
  <c r="H1009" i="70"/>
  <c r="H1016" i="70"/>
  <c r="H1012" i="70"/>
  <c r="H1008" i="70"/>
  <c r="H1018" i="70"/>
  <c r="H1014" i="70"/>
  <c r="H1010" i="70"/>
  <c r="D814" i="70"/>
  <c r="C814" i="70"/>
  <c r="D813" i="70"/>
  <c r="C813" i="70"/>
  <c r="D812" i="70"/>
  <c r="C812" i="70"/>
  <c r="D811" i="70"/>
  <c r="C811" i="70"/>
  <c r="D810" i="70"/>
  <c r="C810" i="70"/>
  <c r="D809" i="70"/>
  <c r="C809" i="70"/>
  <c r="E815" i="70"/>
  <c r="F815" i="70"/>
  <c r="D797" i="70"/>
  <c r="C797" i="70"/>
  <c r="E803" i="70"/>
  <c r="F803" i="70"/>
  <c r="D798" i="70"/>
  <c r="C798" i="70"/>
  <c r="D799" i="70"/>
  <c r="C799" i="70"/>
  <c r="D800" i="70"/>
  <c r="C800" i="70"/>
  <c r="D801" i="70"/>
  <c r="C801" i="70"/>
  <c r="D802" i="70"/>
  <c r="C802" i="70"/>
  <c r="D502" i="70"/>
  <c r="C502" i="70"/>
  <c r="D501" i="70"/>
  <c r="C501" i="70"/>
  <c r="D500" i="70"/>
  <c r="C500" i="70"/>
  <c r="D499" i="70"/>
  <c r="C499" i="70"/>
  <c r="D498" i="70"/>
  <c r="C498" i="70"/>
  <c r="D497" i="70"/>
  <c r="C497" i="70"/>
  <c r="E503" i="70"/>
  <c r="F503" i="70"/>
  <c r="D485" i="70"/>
  <c r="C485" i="70"/>
  <c r="E491" i="70"/>
  <c r="F491" i="70"/>
  <c r="D486" i="70"/>
  <c r="C486" i="70"/>
  <c r="D487" i="70"/>
  <c r="C487" i="70"/>
  <c r="D488" i="70"/>
  <c r="C488" i="70"/>
  <c r="D489" i="70"/>
  <c r="C489" i="70"/>
  <c r="D490" i="70"/>
  <c r="C490" i="70"/>
  <c r="E479" i="70"/>
  <c r="F479" i="70"/>
  <c r="D474" i="70"/>
  <c r="C474" i="70"/>
  <c r="D475" i="70"/>
  <c r="C475" i="70"/>
  <c r="D476" i="70"/>
  <c r="C476" i="70"/>
  <c r="D477" i="70"/>
  <c r="C477" i="70"/>
  <c r="D478" i="70"/>
  <c r="C478" i="70"/>
  <c r="E467" i="70"/>
  <c r="F467" i="70"/>
  <c r="D462" i="70"/>
  <c r="C462" i="70"/>
  <c r="D463" i="70"/>
  <c r="C463" i="70"/>
  <c r="D464" i="70"/>
  <c r="C464" i="70"/>
  <c r="D465" i="70"/>
  <c r="C465" i="70"/>
  <c r="D466" i="70"/>
  <c r="C466" i="70"/>
  <c r="E455" i="70"/>
  <c r="F455" i="70"/>
  <c r="D450" i="70"/>
  <c r="C450" i="70"/>
  <c r="D451" i="70"/>
  <c r="C451" i="70"/>
  <c r="D452" i="70"/>
  <c r="C452" i="70"/>
  <c r="D453" i="70"/>
  <c r="C453" i="70"/>
  <c r="D454" i="70"/>
  <c r="C454" i="70"/>
  <c r="E443" i="70"/>
  <c r="F443" i="70"/>
  <c r="D439" i="70"/>
  <c r="C439" i="70"/>
  <c r="D440" i="70"/>
  <c r="C440" i="70"/>
  <c r="D441" i="70"/>
  <c r="C441" i="70"/>
  <c r="D442" i="70"/>
  <c r="C442" i="70"/>
  <c r="E431" i="70"/>
  <c r="F431" i="70"/>
  <c r="D426" i="70"/>
  <c r="C426" i="70"/>
  <c r="D427" i="70"/>
  <c r="C427" i="70"/>
  <c r="D428" i="70"/>
  <c r="C428" i="70"/>
  <c r="D429" i="70"/>
  <c r="C429" i="70"/>
  <c r="D430" i="70"/>
  <c r="C430" i="70"/>
  <c r="E419" i="70"/>
  <c r="F419" i="70"/>
  <c r="D414" i="70"/>
  <c r="C414" i="70"/>
  <c r="D415" i="70"/>
  <c r="C415" i="70"/>
  <c r="D416" i="70"/>
  <c r="C416" i="70"/>
  <c r="D417" i="70"/>
  <c r="C417" i="70"/>
  <c r="D418" i="70"/>
  <c r="C418" i="70"/>
  <c r="E407" i="70"/>
  <c r="F407" i="70"/>
  <c r="D402" i="70"/>
  <c r="C402" i="70"/>
  <c r="D403" i="70"/>
  <c r="C403" i="70"/>
  <c r="D404" i="70"/>
  <c r="C404" i="70"/>
  <c r="D405" i="70"/>
  <c r="C405" i="70"/>
  <c r="D406" i="70"/>
  <c r="C406" i="70"/>
  <c r="E395" i="70"/>
  <c r="F395" i="70"/>
  <c r="D390" i="70"/>
  <c r="C390" i="70"/>
  <c r="D391" i="70"/>
  <c r="C391" i="70"/>
  <c r="D392" i="70"/>
  <c r="C392" i="70"/>
  <c r="D393" i="70"/>
  <c r="C393" i="70"/>
  <c r="D394" i="70"/>
  <c r="C394" i="70"/>
  <c r="E383" i="70"/>
  <c r="F383" i="70"/>
  <c r="D378" i="70"/>
  <c r="C378" i="70"/>
  <c r="D379" i="70"/>
  <c r="C379" i="70"/>
  <c r="D380" i="70"/>
  <c r="C380" i="70"/>
  <c r="D381" i="70"/>
  <c r="C381" i="70"/>
  <c r="D382" i="70"/>
  <c r="C382" i="70"/>
  <c r="E371" i="70"/>
  <c r="F371" i="70"/>
  <c r="D366" i="70"/>
  <c r="C366" i="70"/>
  <c r="D367" i="70"/>
  <c r="C367" i="70"/>
  <c r="D368" i="70"/>
  <c r="C368" i="70"/>
  <c r="D369" i="70"/>
  <c r="C369" i="70"/>
  <c r="D370" i="70"/>
  <c r="C370" i="70"/>
  <c r="D826" i="70"/>
  <c r="C826" i="70"/>
  <c r="D825" i="70"/>
  <c r="C825" i="70"/>
  <c r="D824" i="70"/>
  <c r="C824" i="70"/>
  <c r="D823" i="70"/>
  <c r="C823" i="70"/>
  <c r="D822" i="70"/>
  <c r="C822" i="70"/>
  <c r="D821" i="70"/>
  <c r="C821" i="70"/>
  <c r="E827" i="70"/>
  <c r="F827" i="70"/>
  <c r="D514" i="70"/>
  <c r="C514" i="70"/>
  <c r="D513" i="70"/>
  <c r="C513" i="70"/>
  <c r="D512" i="70"/>
  <c r="C512" i="70"/>
  <c r="D511" i="70"/>
  <c r="C511" i="70"/>
  <c r="D510" i="70"/>
  <c r="C510" i="70"/>
  <c r="D509" i="70"/>
  <c r="C509" i="70"/>
  <c r="E515" i="70"/>
  <c r="F515" i="70"/>
  <c r="D838" i="70"/>
  <c r="C838" i="70"/>
  <c r="D837" i="70"/>
  <c r="C837" i="70"/>
  <c r="D836" i="70"/>
  <c r="C836" i="70"/>
  <c r="D835" i="70"/>
  <c r="C835" i="70"/>
  <c r="D834" i="70"/>
  <c r="C834" i="70"/>
  <c r="D833" i="70"/>
  <c r="C833" i="70"/>
  <c r="E839" i="70"/>
  <c r="F839" i="70"/>
  <c r="D526" i="70"/>
  <c r="C526" i="70"/>
  <c r="D525" i="70"/>
  <c r="C525" i="70"/>
  <c r="D524" i="70"/>
  <c r="C524" i="70"/>
  <c r="D523" i="70"/>
  <c r="C523" i="70"/>
  <c r="D522" i="70"/>
  <c r="C522" i="70"/>
  <c r="D521" i="70"/>
  <c r="C521" i="70"/>
  <c r="E527" i="70"/>
  <c r="F527" i="70"/>
  <c r="D850" i="70"/>
  <c r="C850" i="70"/>
  <c r="D849" i="70"/>
  <c r="C849" i="70"/>
  <c r="D848" i="70"/>
  <c r="C848" i="70"/>
  <c r="D847" i="70"/>
  <c r="C847" i="70"/>
  <c r="D846" i="70"/>
  <c r="C846" i="70"/>
  <c r="D845" i="70"/>
  <c r="C845" i="70"/>
  <c r="E851" i="70"/>
  <c r="F851" i="70"/>
  <c r="D538" i="70"/>
  <c r="C538" i="70"/>
  <c r="D537" i="70"/>
  <c r="C537" i="70"/>
  <c r="D536" i="70"/>
  <c r="C536" i="70"/>
  <c r="D535" i="70"/>
  <c r="C535" i="70"/>
  <c r="D534" i="70"/>
  <c r="C534" i="70"/>
  <c r="D533" i="70"/>
  <c r="C533" i="70"/>
  <c r="E539" i="70"/>
  <c r="F539" i="70"/>
  <c r="D862" i="70"/>
  <c r="C862" i="70"/>
  <c r="D861" i="70"/>
  <c r="C861" i="70"/>
  <c r="D860" i="70"/>
  <c r="C860" i="70"/>
  <c r="D859" i="70"/>
  <c r="C859" i="70"/>
  <c r="D858" i="70"/>
  <c r="C858" i="70"/>
  <c r="D857" i="70"/>
  <c r="C857" i="70"/>
  <c r="E863" i="70"/>
  <c r="F863" i="70"/>
  <c r="D550" i="70"/>
  <c r="C550" i="70"/>
  <c r="D549" i="70"/>
  <c r="C549" i="70"/>
  <c r="D548" i="70"/>
  <c r="C548" i="70"/>
  <c r="D547" i="70"/>
  <c r="C547" i="70"/>
  <c r="D546" i="70"/>
  <c r="C546" i="70"/>
  <c r="D545" i="70"/>
  <c r="C545" i="70"/>
  <c r="E551" i="70"/>
  <c r="F551" i="70"/>
  <c r="D874" i="70"/>
  <c r="C874" i="70"/>
  <c r="D873" i="70"/>
  <c r="C873" i="70"/>
  <c r="D872" i="70"/>
  <c r="C872" i="70"/>
  <c r="D871" i="70"/>
  <c r="C871" i="70"/>
  <c r="D870" i="70"/>
  <c r="C870" i="70"/>
  <c r="D869" i="70"/>
  <c r="C869" i="70"/>
  <c r="E875" i="70"/>
  <c r="F875" i="70"/>
  <c r="D562" i="70"/>
  <c r="C562" i="70"/>
  <c r="D561" i="70"/>
  <c r="C561" i="70"/>
  <c r="D560" i="70"/>
  <c r="C560" i="70"/>
  <c r="D559" i="70"/>
  <c r="C559" i="70"/>
  <c r="D558" i="70"/>
  <c r="C558" i="70"/>
  <c r="D557" i="70"/>
  <c r="C557" i="70"/>
  <c r="E563" i="70"/>
  <c r="F563" i="70"/>
  <c r="D886" i="70"/>
  <c r="C886" i="70"/>
  <c r="D885" i="70"/>
  <c r="C885" i="70"/>
  <c r="D884" i="70"/>
  <c r="C884" i="70"/>
  <c r="D883" i="70"/>
  <c r="C883" i="70"/>
  <c r="D882" i="70"/>
  <c r="C882" i="70"/>
  <c r="D881" i="70"/>
  <c r="C881" i="70"/>
  <c r="E887" i="70"/>
  <c r="F887" i="70"/>
  <c r="D574" i="70"/>
  <c r="C574" i="70"/>
  <c r="D573" i="70"/>
  <c r="C573" i="70"/>
  <c r="D572" i="70"/>
  <c r="C572" i="70"/>
  <c r="D571" i="70"/>
  <c r="C571" i="70"/>
  <c r="D570" i="70"/>
  <c r="C570" i="70"/>
  <c r="D569" i="70"/>
  <c r="C569" i="70"/>
  <c r="E575" i="70"/>
  <c r="F575" i="70"/>
  <c r="D898" i="70"/>
  <c r="C898" i="70"/>
  <c r="D897" i="70"/>
  <c r="C897" i="70"/>
  <c r="D896" i="70"/>
  <c r="C896" i="70"/>
  <c r="D895" i="70"/>
  <c r="C895" i="70"/>
  <c r="D894" i="70"/>
  <c r="C894" i="70"/>
  <c r="D893" i="70"/>
  <c r="C893" i="70"/>
  <c r="E899" i="70"/>
  <c r="F899" i="70"/>
  <c r="D586" i="70"/>
  <c r="C586" i="70"/>
  <c r="D585" i="70"/>
  <c r="C585" i="70"/>
  <c r="D584" i="70"/>
  <c r="C584" i="70"/>
  <c r="D583" i="70"/>
  <c r="C583" i="70"/>
  <c r="D582" i="70"/>
  <c r="C582" i="70"/>
  <c r="D581" i="70"/>
  <c r="C581" i="70"/>
  <c r="E587" i="70"/>
  <c r="F587" i="70"/>
  <c r="D910" i="70"/>
  <c r="C910" i="70"/>
  <c r="D909" i="70"/>
  <c r="C909" i="70"/>
  <c r="D908" i="70"/>
  <c r="C908" i="70"/>
  <c r="D907" i="70"/>
  <c r="C907" i="70"/>
  <c r="D906" i="70"/>
  <c r="C906" i="70"/>
  <c r="D905" i="70"/>
  <c r="C905" i="70"/>
  <c r="E911" i="70"/>
  <c r="F911" i="70"/>
  <c r="D598" i="70"/>
  <c r="C598" i="70"/>
  <c r="D597" i="70"/>
  <c r="C597" i="70"/>
  <c r="D596" i="70"/>
  <c r="C596" i="70"/>
  <c r="D595" i="70"/>
  <c r="C595" i="70"/>
  <c r="D594" i="70"/>
  <c r="C594" i="70"/>
  <c r="D593" i="70"/>
  <c r="C593" i="70"/>
  <c r="E599" i="70"/>
  <c r="F599" i="70"/>
  <c r="D922" i="70"/>
  <c r="C922" i="70"/>
  <c r="D921" i="70"/>
  <c r="C921" i="70"/>
  <c r="D920" i="70"/>
  <c r="C920" i="70"/>
  <c r="D919" i="70"/>
  <c r="C919" i="70"/>
  <c r="D918" i="70"/>
  <c r="C918" i="70"/>
  <c r="D917" i="70"/>
  <c r="C917" i="70"/>
  <c r="E923" i="70"/>
  <c r="F923" i="70"/>
  <c r="D610" i="70"/>
  <c r="C610" i="70"/>
  <c r="D609" i="70"/>
  <c r="C609" i="70"/>
  <c r="D608" i="70"/>
  <c r="C608" i="70"/>
  <c r="D607" i="70"/>
  <c r="C607" i="70"/>
  <c r="D606" i="70"/>
  <c r="C606" i="70"/>
  <c r="D605" i="70"/>
  <c r="C605" i="70"/>
  <c r="E611" i="70"/>
  <c r="F611" i="70"/>
  <c r="D934" i="70"/>
  <c r="C934" i="70"/>
  <c r="D933" i="70"/>
  <c r="C933" i="70"/>
  <c r="D932" i="70"/>
  <c r="C932" i="70"/>
  <c r="D931" i="70"/>
  <c r="C931" i="70"/>
  <c r="D930" i="70"/>
  <c r="C930" i="70"/>
  <c r="D929" i="70"/>
  <c r="C929" i="70"/>
  <c r="E935" i="70"/>
  <c r="F935" i="70"/>
  <c r="D622" i="70"/>
  <c r="C622" i="70"/>
  <c r="D621" i="70"/>
  <c r="C621" i="70"/>
  <c r="D620" i="70"/>
  <c r="C620" i="70"/>
  <c r="D619" i="70"/>
  <c r="C619" i="70"/>
  <c r="D618" i="70"/>
  <c r="C618" i="70"/>
  <c r="D617" i="70"/>
  <c r="C617" i="70"/>
  <c r="E623" i="70"/>
  <c r="F623" i="70"/>
  <c r="D946" i="70"/>
  <c r="C946" i="70"/>
  <c r="D945" i="70"/>
  <c r="C945" i="70"/>
  <c r="D944" i="70"/>
  <c r="C944" i="70"/>
  <c r="D943" i="70"/>
  <c r="C943" i="70"/>
  <c r="D942" i="70"/>
  <c r="C942" i="70"/>
  <c r="D941" i="70"/>
  <c r="C941" i="70"/>
  <c r="E947" i="70"/>
  <c r="F947" i="70"/>
  <c r="D634" i="70"/>
  <c r="C634" i="70"/>
  <c r="D633" i="70"/>
  <c r="C633" i="70"/>
  <c r="D632" i="70"/>
  <c r="C632" i="70"/>
  <c r="D631" i="70"/>
  <c r="C631" i="70"/>
  <c r="D630" i="70"/>
  <c r="C630" i="70"/>
  <c r="D629" i="70"/>
  <c r="C629" i="70"/>
  <c r="E635" i="70"/>
  <c r="F635" i="70"/>
  <c r="D958" i="70"/>
  <c r="C958" i="70"/>
  <c r="D957" i="70"/>
  <c r="C957" i="70"/>
  <c r="D956" i="70"/>
  <c r="C956" i="70"/>
  <c r="D955" i="70"/>
  <c r="C955" i="70"/>
  <c r="D954" i="70"/>
  <c r="C954" i="70"/>
  <c r="D953" i="70"/>
  <c r="C953" i="70"/>
  <c r="E959" i="70"/>
  <c r="F959" i="70"/>
  <c r="D646" i="70"/>
  <c r="C646" i="70"/>
  <c r="D645" i="70"/>
  <c r="C645" i="70"/>
  <c r="D644" i="70"/>
  <c r="C644" i="70"/>
  <c r="D643" i="70"/>
  <c r="C643" i="70"/>
  <c r="D642" i="70"/>
  <c r="C642" i="70"/>
  <c r="D641" i="70"/>
  <c r="C641" i="70"/>
  <c r="E647" i="70"/>
  <c r="F647" i="70"/>
  <c r="D970" i="70"/>
  <c r="C970" i="70"/>
  <c r="D969" i="70"/>
  <c r="C969" i="70"/>
  <c r="D968" i="70"/>
  <c r="C968" i="70"/>
  <c r="D967" i="70"/>
  <c r="C967" i="70"/>
  <c r="D966" i="70"/>
  <c r="C966" i="70"/>
  <c r="D965" i="70"/>
  <c r="C965" i="70"/>
  <c r="E971" i="70"/>
  <c r="F971" i="70"/>
  <c r="D658" i="70"/>
  <c r="C658" i="70"/>
  <c r="D657" i="70"/>
  <c r="C657" i="70"/>
  <c r="D656" i="70"/>
  <c r="C656" i="70"/>
  <c r="D655" i="70"/>
  <c r="C655" i="70"/>
  <c r="D654" i="70"/>
  <c r="C654" i="70"/>
  <c r="D653" i="70"/>
  <c r="C653" i="70"/>
  <c r="E659" i="70"/>
  <c r="F659" i="70"/>
  <c r="D982" i="70"/>
  <c r="C982" i="70"/>
  <c r="D981" i="70"/>
  <c r="C981" i="70"/>
  <c r="D980" i="70"/>
  <c r="C980" i="70"/>
  <c r="D979" i="70"/>
  <c r="C979" i="70"/>
  <c r="D978" i="70"/>
  <c r="C978" i="70"/>
  <c r="D977" i="70"/>
  <c r="C977" i="70"/>
  <c r="E983" i="70"/>
  <c r="F983" i="70"/>
  <c r="D670" i="70"/>
  <c r="C670" i="70"/>
  <c r="D669" i="70"/>
  <c r="C669" i="70"/>
  <c r="D668" i="70"/>
  <c r="C668" i="70"/>
  <c r="D667" i="70"/>
  <c r="C667" i="70"/>
  <c r="D666" i="70"/>
  <c r="C666" i="70"/>
  <c r="D665" i="70"/>
  <c r="C665" i="70"/>
  <c r="E671" i="70"/>
  <c r="F671" i="70"/>
  <c r="D994" i="70"/>
  <c r="C994" i="70"/>
  <c r="D993" i="70"/>
  <c r="C993" i="70"/>
  <c r="D992" i="70"/>
  <c r="C992" i="70"/>
  <c r="D991" i="70"/>
  <c r="C991" i="70"/>
  <c r="D990" i="70"/>
  <c r="C990" i="70"/>
  <c r="D989" i="70"/>
  <c r="C989" i="70"/>
  <c r="E995" i="70"/>
  <c r="F995" i="70"/>
  <c r="D682" i="70"/>
  <c r="C682" i="70"/>
  <c r="D681" i="70"/>
  <c r="C681" i="70"/>
  <c r="D680" i="70"/>
  <c r="C680" i="70"/>
  <c r="D679" i="70"/>
  <c r="C679" i="70"/>
  <c r="D678" i="70"/>
  <c r="C678" i="70"/>
  <c r="D677" i="70"/>
  <c r="C677" i="70"/>
  <c r="E683" i="70"/>
  <c r="F683" i="70"/>
  <c r="D1006" i="70"/>
  <c r="C1006" i="70"/>
  <c r="D1005" i="70"/>
  <c r="C1005" i="70"/>
  <c r="D1004" i="70"/>
  <c r="C1004" i="70"/>
  <c r="D1003" i="70"/>
  <c r="C1003" i="70"/>
  <c r="D1002" i="70"/>
  <c r="C1002" i="70"/>
  <c r="D1001" i="70"/>
  <c r="C1001" i="70"/>
  <c r="E1007" i="70"/>
  <c r="F1007" i="70"/>
  <c r="D694" i="70"/>
  <c r="C694" i="70"/>
  <c r="D693" i="70"/>
  <c r="C693" i="70"/>
  <c r="D692" i="70"/>
  <c r="C692" i="70"/>
  <c r="D691" i="70"/>
  <c r="C691" i="70"/>
  <c r="D690" i="70"/>
  <c r="C690" i="70"/>
  <c r="D689" i="70"/>
  <c r="C689" i="70"/>
  <c r="E695" i="70"/>
  <c r="F695" i="70"/>
  <c r="D706" i="70"/>
  <c r="C706" i="70"/>
  <c r="D705" i="70"/>
  <c r="C705" i="70"/>
  <c r="D704" i="70"/>
  <c r="C704" i="70"/>
  <c r="D703" i="70"/>
  <c r="C703" i="70"/>
  <c r="D702" i="70"/>
  <c r="C702" i="70"/>
  <c r="D701" i="70"/>
  <c r="C701" i="70"/>
  <c r="E707" i="70"/>
  <c r="F707" i="70"/>
  <c r="D718" i="70"/>
  <c r="C718" i="70"/>
  <c r="D717" i="70"/>
  <c r="C717" i="70"/>
  <c r="D716" i="70"/>
  <c r="C716" i="70"/>
  <c r="D715" i="70"/>
  <c r="C715" i="70"/>
  <c r="D714" i="70"/>
  <c r="C714" i="70"/>
  <c r="D713" i="70"/>
  <c r="C713" i="70"/>
  <c r="E719" i="70"/>
  <c r="F719" i="70"/>
  <c r="D730" i="70"/>
  <c r="C730" i="70"/>
  <c r="D729" i="70"/>
  <c r="C729" i="70"/>
  <c r="D728" i="70"/>
  <c r="C728" i="70"/>
  <c r="D727" i="70"/>
  <c r="C727" i="70"/>
  <c r="D726" i="70"/>
  <c r="C726" i="70"/>
  <c r="D725" i="70"/>
  <c r="C725" i="70"/>
  <c r="E731" i="70"/>
  <c r="F731" i="70"/>
  <c r="D742" i="70"/>
  <c r="C742" i="70"/>
  <c r="D741" i="70"/>
  <c r="C741" i="70"/>
  <c r="D740" i="70"/>
  <c r="C740" i="70"/>
  <c r="D739" i="70"/>
  <c r="C739" i="70"/>
  <c r="D738" i="70"/>
  <c r="C738" i="70"/>
  <c r="D737" i="70"/>
  <c r="C737" i="70"/>
  <c r="E743" i="70"/>
  <c r="F743" i="70"/>
  <c r="D754" i="70"/>
  <c r="C754" i="70"/>
  <c r="D753" i="70"/>
  <c r="C753" i="70"/>
  <c r="D752" i="70"/>
  <c r="C752" i="70"/>
  <c r="D751" i="70"/>
  <c r="C751" i="70"/>
  <c r="D750" i="70"/>
  <c r="C750" i="70"/>
  <c r="D749" i="70"/>
  <c r="C749" i="70"/>
  <c r="E755" i="70"/>
  <c r="F755" i="70"/>
  <c r="D766" i="70"/>
  <c r="C766" i="70"/>
  <c r="D765" i="70"/>
  <c r="C765" i="70"/>
  <c r="D764" i="70"/>
  <c r="C764" i="70"/>
  <c r="D763" i="70"/>
  <c r="C763" i="70"/>
  <c r="D762" i="70"/>
  <c r="C762" i="70"/>
  <c r="D761" i="70"/>
  <c r="C761" i="70"/>
  <c r="E767" i="70"/>
  <c r="F767" i="70"/>
  <c r="D778" i="70"/>
  <c r="C778" i="70"/>
  <c r="D777" i="70"/>
  <c r="C777" i="70"/>
  <c r="D776" i="70"/>
  <c r="C776" i="70"/>
  <c r="D775" i="70"/>
  <c r="C775" i="70"/>
  <c r="D774" i="70"/>
  <c r="C774" i="70"/>
  <c r="D773" i="70"/>
  <c r="C773" i="70"/>
  <c r="E779" i="70"/>
  <c r="F779" i="70"/>
  <c r="D790" i="70"/>
  <c r="C790" i="70"/>
  <c r="D789" i="70"/>
  <c r="C789" i="70"/>
  <c r="D788" i="70"/>
  <c r="C788" i="70"/>
  <c r="D787" i="70"/>
  <c r="C787" i="70"/>
  <c r="D786" i="70"/>
  <c r="C786" i="70"/>
  <c r="D785" i="70"/>
  <c r="C785" i="70"/>
  <c r="E791" i="70"/>
  <c r="F791" i="70"/>
  <c r="B365" i="70"/>
  <c r="B377" i="70"/>
  <c r="B389" i="70"/>
  <c r="B401" i="70"/>
  <c r="B413" i="70"/>
  <c r="B425" i="70"/>
  <c r="B437" i="70"/>
  <c r="B438" i="70"/>
  <c r="B449" i="70"/>
  <c r="B461" i="70"/>
  <c r="B473" i="70"/>
  <c r="M1" i="7"/>
  <c r="BB3" i="76" l="1"/>
  <c r="BC3" i="76" s="1"/>
  <c r="BD3" i="76" s="1"/>
  <c r="BE3" i="76" s="1"/>
  <c r="BF3" i="76" s="1"/>
  <c r="H409" i="72"/>
  <c r="F409" i="72"/>
  <c r="H408" i="72"/>
  <c r="F408" i="72"/>
  <c r="H407" i="72"/>
  <c r="F407" i="72"/>
  <c r="H405" i="72"/>
  <c r="F405" i="72"/>
  <c r="H404" i="72"/>
  <c r="F404" i="72"/>
  <c r="H403" i="72"/>
  <c r="F403" i="72"/>
  <c r="H402" i="72"/>
  <c r="F402" i="72"/>
  <c r="H401" i="72"/>
  <c r="F401" i="72"/>
  <c r="H400" i="72"/>
  <c r="F400" i="72"/>
  <c r="H398" i="72"/>
  <c r="D11" i="69" s="1"/>
  <c r="F398" i="72"/>
  <c r="C11" i="69" s="1"/>
  <c r="H397" i="72"/>
  <c r="F397" i="72"/>
  <c r="H396" i="72"/>
  <c r="F396" i="72"/>
  <c r="H395" i="72"/>
  <c r="F395" i="72"/>
  <c r="H394" i="72"/>
  <c r="F394" i="72"/>
  <c r="H393" i="72"/>
  <c r="F393" i="72"/>
  <c r="H391" i="72"/>
  <c r="F391" i="72"/>
  <c r="H390" i="72"/>
  <c r="F390" i="72"/>
  <c r="H389" i="72"/>
  <c r="F389" i="72"/>
  <c r="H388" i="72"/>
  <c r="F388" i="72"/>
  <c r="H387" i="72"/>
  <c r="F387" i="72"/>
  <c r="H386" i="72"/>
  <c r="F386" i="72"/>
  <c r="H384" i="72"/>
  <c r="F384" i="72"/>
  <c r="H383" i="72"/>
  <c r="F383" i="72"/>
  <c r="H382" i="72"/>
  <c r="F382" i="72"/>
  <c r="H381" i="72"/>
  <c r="F381" i="72"/>
  <c r="H380" i="72"/>
  <c r="F380" i="72"/>
  <c r="H379" i="72"/>
  <c r="F379" i="72"/>
  <c r="H378" i="72"/>
  <c r="F378" i="72"/>
  <c r="H377" i="72"/>
  <c r="F377" i="72"/>
  <c r="H376" i="72"/>
  <c r="F376" i="72"/>
  <c r="H375" i="72"/>
  <c r="F375" i="72"/>
  <c r="H374" i="72"/>
  <c r="F374" i="72"/>
  <c r="H373" i="72"/>
  <c r="F373" i="72"/>
  <c r="H372" i="72"/>
  <c r="F372" i="72"/>
  <c r="H371" i="72"/>
  <c r="F371" i="72"/>
  <c r="H370" i="72"/>
  <c r="F370" i="72"/>
  <c r="H369" i="72"/>
  <c r="F369" i="72"/>
  <c r="H368" i="72"/>
  <c r="F368" i="72"/>
  <c r="H367" i="72"/>
  <c r="F367" i="72"/>
  <c r="H366" i="72"/>
  <c r="F366" i="72"/>
  <c r="G409" i="72"/>
  <c r="E409" i="72"/>
  <c r="G408" i="72"/>
  <c r="E408" i="72"/>
  <c r="G407" i="72"/>
  <c r="E407" i="72"/>
  <c r="G405" i="72"/>
  <c r="E405" i="72"/>
  <c r="G404" i="72"/>
  <c r="E404" i="72"/>
  <c r="G403" i="72"/>
  <c r="E403" i="72"/>
  <c r="G402" i="72"/>
  <c r="E402" i="72"/>
  <c r="G401" i="72"/>
  <c r="E401" i="72"/>
  <c r="G400" i="72"/>
  <c r="E400" i="72"/>
  <c r="G398" i="72"/>
  <c r="E398" i="72"/>
  <c r="G397" i="72"/>
  <c r="E397" i="72"/>
  <c r="G396" i="72"/>
  <c r="E396" i="72"/>
  <c r="G395" i="72"/>
  <c r="E395" i="72"/>
  <c r="G394" i="72"/>
  <c r="E394" i="72"/>
  <c r="G393" i="72"/>
  <c r="E393" i="72"/>
  <c r="G391" i="72"/>
  <c r="E391" i="72"/>
  <c r="G390" i="72"/>
  <c r="E390" i="72"/>
  <c r="G389" i="72"/>
  <c r="E389" i="72"/>
  <c r="G388" i="72"/>
  <c r="E388" i="72"/>
  <c r="G387" i="72"/>
  <c r="E387" i="72"/>
  <c r="G386" i="72"/>
  <c r="E386" i="72"/>
  <c r="G384" i="72"/>
  <c r="E384" i="72"/>
  <c r="G383" i="72"/>
  <c r="E383" i="72"/>
  <c r="G382" i="72"/>
  <c r="E382" i="72"/>
  <c r="G381" i="72"/>
  <c r="E381" i="72"/>
  <c r="G380" i="72"/>
  <c r="E380" i="72"/>
  <c r="G379" i="72"/>
  <c r="E379" i="72"/>
  <c r="G378" i="72"/>
  <c r="E378" i="72"/>
  <c r="G377" i="72"/>
  <c r="E377" i="72"/>
  <c r="G376" i="72"/>
  <c r="E376" i="72"/>
  <c r="G375" i="72"/>
  <c r="E375" i="72"/>
  <c r="G374" i="72"/>
  <c r="E374" i="72"/>
  <c r="G373" i="72"/>
  <c r="E373" i="72"/>
  <c r="G372" i="72"/>
  <c r="E372" i="72"/>
  <c r="G371" i="72"/>
  <c r="E371" i="72"/>
  <c r="G370" i="72"/>
  <c r="E370" i="72"/>
  <c r="G369" i="72"/>
  <c r="E369" i="72"/>
  <c r="G368" i="72"/>
  <c r="E368" i="72"/>
  <c r="G367" i="72"/>
  <c r="E367" i="72"/>
  <c r="G366" i="72"/>
  <c r="E366" i="72"/>
  <c r="G365" i="72"/>
  <c r="E365" i="72"/>
  <c r="G364" i="72"/>
  <c r="E364" i="72"/>
  <c r="G363" i="72"/>
  <c r="H365" i="72"/>
  <c r="H364" i="72"/>
  <c r="H363" i="72"/>
  <c r="E363" i="72"/>
  <c r="G362" i="72"/>
  <c r="E362" i="72"/>
  <c r="G361" i="72"/>
  <c r="E361" i="72"/>
  <c r="G358" i="72"/>
  <c r="E358" i="72"/>
  <c r="G357" i="72"/>
  <c r="E357" i="72"/>
  <c r="G356" i="72"/>
  <c r="E356" i="72"/>
  <c r="G355" i="72"/>
  <c r="E355" i="72"/>
  <c r="G354" i="72"/>
  <c r="E354" i="72"/>
  <c r="G353" i="72"/>
  <c r="E353" i="72"/>
  <c r="G352" i="72"/>
  <c r="E352" i="72"/>
  <c r="G351" i="72"/>
  <c r="E351" i="72"/>
  <c r="G350" i="72"/>
  <c r="E350" i="72"/>
  <c r="G349" i="72"/>
  <c r="E349" i="72"/>
  <c r="G348" i="72"/>
  <c r="E348" i="72"/>
  <c r="G347" i="72"/>
  <c r="E347" i="72"/>
  <c r="G346" i="72"/>
  <c r="E346" i="72"/>
  <c r="G345" i="72"/>
  <c r="E345" i="72"/>
  <c r="G344" i="72"/>
  <c r="E344" i="72"/>
  <c r="G343" i="72"/>
  <c r="E343" i="72"/>
  <c r="G342" i="72"/>
  <c r="E342" i="72"/>
  <c r="G341" i="72"/>
  <c r="E341" i="72"/>
  <c r="G340" i="72"/>
  <c r="E340" i="72"/>
  <c r="G339" i="72"/>
  <c r="E339" i="72"/>
  <c r="G338" i="72"/>
  <c r="E338" i="72"/>
  <c r="G337" i="72"/>
  <c r="E337" i="72"/>
  <c r="G336" i="72"/>
  <c r="E336" i="72"/>
  <c r="G333" i="72"/>
  <c r="E333" i="72"/>
  <c r="G332" i="72"/>
  <c r="E332" i="72"/>
  <c r="G331" i="72"/>
  <c r="E331" i="72"/>
  <c r="G330" i="72"/>
  <c r="E330" i="72"/>
  <c r="G329" i="72"/>
  <c r="E329" i="72"/>
  <c r="G327" i="72"/>
  <c r="E327" i="72"/>
  <c r="G326" i="72"/>
  <c r="E326" i="72"/>
  <c r="G325" i="72"/>
  <c r="E325" i="72"/>
  <c r="G324" i="72"/>
  <c r="E324" i="72"/>
  <c r="G323" i="72"/>
  <c r="E323" i="72"/>
  <c r="G322" i="72"/>
  <c r="E322" i="72"/>
  <c r="G321" i="72"/>
  <c r="E321" i="72"/>
  <c r="G319" i="72"/>
  <c r="E319" i="72"/>
  <c r="G318" i="72"/>
  <c r="E318" i="72"/>
  <c r="G317" i="72"/>
  <c r="E317" i="72"/>
  <c r="G316" i="72"/>
  <c r="F365" i="72"/>
  <c r="F364" i="72"/>
  <c r="F363" i="72"/>
  <c r="H362" i="72"/>
  <c r="F362" i="72"/>
  <c r="H361" i="72"/>
  <c r="F361" i="72"/>
  <c r="H358" i="72"/>
  <c r="F358" i="72"/>
  <c r="H357" i="72"/>
  <c r="F357" i="72"/>
  <c r="H356" i="72"/>
  <c r="F356" i="72"/>
  <c r="H355" i="72"/>
  <c r="F355" i="72"/>
  <c r="H354" i="72"/>
  <c r="F354" i="72"/>
  <c r="H353" i="72"/>
  <c r="F353" i="72"/>
  <c r="H352" i="72"/>
  <c r="F352" i="72"/>
  <c r="H351" i="72"/>
  <c r="F351" i="72"/>
  <c r="H350" i="72"/>
  <c r="F350" i="72"/>
  <c r="H349" i="72"/>
  <c r="F349" i="72"/>
  <c r="H348" i="72"/>
  <c r="F348" i="72"/>
  <c r="H347" i="72"/>
  <c r="F347" i="72"/>
  <c r="H346" i="72"/>
  <c r="F346" i="72"/>
  <c r="H345" i="72"/>
  <c r="F345" i="72"/>
  <c r="H344" i="72"/>
  <c r="F344" i="72"/>
  <c r="H343" i="72"/>
  <c r="F343" i="72"/>
  <c r="H342" i="72"/>
  <c r="F342" i="72"/>
  <c r="H341" i="72"/>
  <c r="F341" i="72"/>
  <c r="H340" i="72"/>
  <c r="F340" i="72"/>
  <c r="H339" i="72"/>
  <c r="F339" i="72"/>
  <c r="H338" i="72"/>
  <c r="F338" i="72"/>
  <c r="H337" i="72"/>
  <c r="F337" i="72"/>
  <c r="H336" i="72"/>
  <c r="F336" i="72"/>
  <c r="H333" i="72"/>
  <c r="D7" i="69" s="1"/>
  <c r="F333" i="72"/>
  <c r="C7" i="69" s="1"/>
  <c r="H332" i="72"/>
  <c r="F332" i="72"/>
  <c r="H331" i="72"/>
  <c r="F331" i="72"/>
  <c r="H330" i="72"/>
  <c r="F330" i="72"/>
  <c r="H329" i="72"/>
  <c r="F329" i="72"/>
  <c r="H327" i="72"/>
  <c r="F327" i="72"/>
  <c r="H326" i="72"/>
  <c r="F326" i="72"/>
  <c r="H325" i="72"/>
  <c r="F325" i="72"/>
  <c r="H324" i="72"/>
  <c r="F324" i="72"/>
  <c r="H323" i="72"/>
  <c r="F323" i="72"/>
  <c r="H322" i="72"/>
  <c r="F322" i="72"/>
  <c r="H321" i="72"/>
  <c r="F321" i="72"/>
  <c r="H319" i="72"/>
  <c r="F319" i="72"/>
  <c r="H318" i="72"/>
  <c r="F318" i="72"/>
  <c r="H317" i="72"/>
  <c r="F317" i="72"/>
  <c r="H316" i="72"/>
  <c r="F316" i="72"/>
  <c r="H315" i="72"/>
  <c r="F315" i="72"/>
  <c r="H313" i="72"/>
  <c r="D13" i="69" s="1"/>
  <c r="F313" i="72"/>
  <c r="C13" i="69" s="1"/>
  <c r="H312" i="72"/>
  <c r="D12" i="69" s="1"/>
  <c r="F312" i="72"/>
  <c r="C12" i="69" s="1"/>
  <c r="H311" i="72"/>
  <c r="F311" i="72"/>
  <c r="H310" i="72"/>
  <c r="F310" i="72"/>
  <c r="H309" i="72"/>
  <c r="F309" i="72"/>
  <c r="H308" i="72"/>
  <c r="F308" i="72"/>
  <c r="H306" i="72"/>
  <c r="F306" i="72"/>
  <c r="H305" i="72"/>
  <c r="F305" i="72"/>
  <c r="H304" i="72"/>
  <c r="F304" i="72"/>
  <c r="H303" i="72"/>
  <c r="F303" i="72"/>
  <c r="H302" i="72"/>
  <c r="F302" i="72"/>
  <c r="H301" i="72"/>
  <c r="F301" i="72"/>
  <c r="H300" i="72"/>
  <c r="F300" i="72"/>
  <c r="H298" i="72"/>
  <c r="F298" i="72"/>
  <c r="H297" i="72"/>
  <c r="F297" i="72"/>
  <c r="H296" i="72"/>
  <c r="F296" i="72"/>
  <c r="H295" i="72"/>
  <c r="F295" i="72"/>
  <c r="H294" i="72"/>
  <c r="F294" i="72"/>
  <c r="H293" i="72"/>
  <c r="F293" i="72"/>
  <c r="H292" i="72"/>
  <c r="F292" i="72"/>
  <c r="H291" i="72"/>
  <c r="F291" i="72"/>
  <c r="H289" i="72"/>
  <c r="F289" i="72"/>
  <c r="H288" i="72"/>
  <c r="F288" i="72"/>
  <c r="H287" i="72"/>
  <c r="F287" i="72"/>
  <c r="H286" i="72"/>
  <c r="F286" i="72"/>
  <c r="H285" i="72"/>
  <c r="F285" i="72"/>
  <c r="H284" i="72"/>
  <c r="F284" i="72"/>
  <c r="H283" i="72"/>
  <c r="E316" i="72"/>
  <c r="E315" i="72"/>
  <c r="E313" i="72"/>
  <c r="E312" i="72"/>
  <c r="E311" i="72"/>
  <c r="E310" i="72"/>
  <c r="E309" i="72"/>
  <c r="E308" i="72"/>
  <c r="E306" i="72"/>
  <c r="E305" i="72"/>
  <c r="E304" i="72"/>
  <c r="E303" i="72"/>
  <c r="E302" i="72"/>
  <c r="E301" i="72"/>
  <c r="E300" i="72"/>
  <c r="E298" i="72"/>
  <c r="E297" i="72"/>
  <c r="E296" i="72"/>
  <c r="E295" i="72"/>
  <c r="E294" i="72"/>
  <c r="E293" i="72"/>
  <c r="E292" i="72"/>
  <c r="E291" i="72"/>
  <c r="E289" i="72"/>
  <c r="E288" i="72"/>
  <c r="E287" i="72"/>
  <c r="E286" i="72"/>
  <c r="E285" i="72"/>
  <c r="E284" i="72"/>
  <c r="F283" i="72"/>
  <c r="H282" i="72"/>
  <c r="F282" i="72"/>
  <c r="H281" i="72"/>
  <c r="F281" i="72"/>
  <c r="H280" i="72"/>
  <c r="F280" i="72"/>
  <c r="H279" i="72"/>
  <c r="F279" i="72"/>
  <c r="H278" i="72"/>
  <c r="F278" i="72"/>
  <c r="H277" i="72"/>
  <c r="F277" i="72"/>
  <c r="H276" i="72"/>
  <c r="F276" i="72"/>
  <c r="H275" i="72"/>
  <c r="F275" i="72"/>
  <c r="H271" i="72"/>
  <c r="F271" i="72"/>
  <c r="H270" i="72"/>
  <c r="F270" i="72"/>
  <c r="H269" i="72"/>
  <c r="F269" i="72"/>
  <c r="H268" i="72"/>
  <c r="F268" i="72"/>
  <c r="H267" i="72"/>
  <c r="F267" i="72"/>
  <c r="H266" i="72"/>
  <c r="F266" i="72"/>
  <c r="H265" i="72"/>
  <c r="F265" i="72"/>
  <c r="H264" i="72"/>
  <c r="F264" i="72"/>
  <c r="H263" i="72"/>
  <c r="F263" i="72"/>
  <c r="H262" i="72"/>
  <c r="F262" i="72"/>
  <c r="H260" i="72"/>
  <c r="F260" i="72"/>
  <c r="H259" i="72"/>
  <c r="F259" i="72"/>
  <c r="H258" i="72"/>
  <c r="F258" i="72"/>
  <c r="H257" i="72"/>
  <c r="F257" i="72"/>
  <c r="H256" i="72"/>
  <c r="F256" i="72"/>
  <c r="H254" i="72"/>
  <c r="F254" i="72"/>
  <c r="H253" i="72"/>
  <c r="F253" i="72"/>
  <c r="H252" i="72"/>
  <c r="F252" i="72"/>
  <c r="H251" i="72"/>
  <c r="F251" i="72"/>
  <c r="H249" i="72"/>
  <c r="F249" i="72"/>
  <c r="H248" i="72"/>
  <c r="F248" i="72"/>
  <c r="H246" i="72"/>
  <c r="F246" i="72"/>
  <c r="H245" i="72"/>
  <c r="F245" i="72"/>
  <c r="H244" i="72"/>
  <c r="F244" i="72"/>
  <c r="H242" i="72"/>
  <c r="F242" i="72"/>
  <c r="H239" i="72"/>
  <c r="F239" i="72"/>
  <c r="H238" i="72"/>
  <c r="F238" i="72"/>
  <c r="H237" i="72"/>
  <c r="F237" i="72"/>
  <c r="H236" i="72"/>
  <c r="F236" i="72"/>
  <c r="H235" i="72"/>
  <c r="F235" i="72"/>
  <c r="H234" i="72"/>
  <c r="F234" i="72"/>
  <c r="H233" i="72"/>
  <c r="F233" i="72"/>
  <c r="H232" i="72"/>
  <c r="F232" i="72"/>
  <c r="H231" i="72"/>
  <c r="F231" i="72"/>
  <c r="H230" i="72"/>
  <c r="F230" i="72"/>
  <c r="H229" i="72"/>
  <c r="F229" i="72"/>
  <c r="H228" i="72"/>
  <c r="F228" i="72"/>
  <c r="H227" i="72"/>
  <c r="F227" i="72"/>
  <c r="H226" i="72"/>
  <c r="F226" i="72"/>
  <c r="H225" i="72"/>
  <c r="F225" i="72"/>
  <c r="H224" i="72"/>
  <c r="F224" i="72"/>
  <c r="H223" i="72"/>
  <c r="F223" i="72"/>
  <c r="H220" i="72"/>
  <c r="F220" i="72"/>
  <c r="H219" i="72"/>
  <c r="F219" i="72"/>
  <c r="H218" i="72"/>
  <c r="F218" i="72"/>
  <c r="H217" i="72"/>
  <c r="F217" i="72"/>
  <c r="G315" i="72"/>
  <c r="G313" i="72"/>
  <c r="G312" i="72"/>
  <c r="G311" i="72"/>
  <c r="G310" i="72"/>
  <c r="G309" i="72"/>
  <c r="G308" i="72"/>
  <c r="G306" i="72"/>
  <c r="G305" i="72"/>
  <c r="G304" i="72"/>
  <c r="G303" i="72"/>
  <c r="G302" i="72"/>
  <c r="G301" i="72"/>
  <c r="G300" i="72"/>
  <c r="G298" i="72"/>
  <c r="G297" i="72"/>
  <c r="G296" i="72"/>
  <c r="G295" i="72"/>
  <c r="G294" i="72"/>
  <c r="G293" i="72"/>
  <c r="G292" i="72"/>
  <c r="G291" i="72"/>
  <c r="G289" i="72"/>
  <c r="G288" i="72"/>
  <c r="G287" i="72"/>
  <c r="G286" i="72"/>
  <c r="G285" i="72"/>
  <c r="G284" i="72"/>
  <c r="G283" i="72"/>
  <c r="E283" i="72"/>
  <c r="G282" i="72"/>
  <c r="E282" i="72"/>
  <c r="G281" i="72"/>
  <c r="E281" i="72"/>
  <c r="G280" i="72"/>
  <c r="E280" i="72"/>
  <c r="G279" i="72"/>
  <c r="E279" i="72"/>
  <c r="G278" i="72"/>
  <c r="E278" i="72"/>
  <c r="G277" i="72"/>
  <c r="E277" i="72"/>
  <c r="G276" i="72"/>
  <c r="E276" i="72"/>
  <c r="G275" i="72"/>
  <c r="E275" i="72"/>
  <c r="G271" i="72"/>
  <c r="E271" i="72"/>
  <c r="G270" i="72"/>
  <c r="E270" i="72"/>
  <c r="G269" i="72"/>
  <c r="E269" i="72"/>
  <c r="G268" i="72"/>
  <c r="E268" i="72"/>
  <c r="G267" i="72"/>
  <c r="E267" i="72"/>
  <c r="G266" i="72"/>
  <c r="E266" i="72"/>
  <c r="G265" i="72"/>
  <c r="E265" i="72"/>
  <c r="G264" i="72"/>
  <c r="E264" i="72"/>
  <c r="G263" i="72"/>
  <c r="E263" i="72"/>
  <c r="G262" i="72"/>
  <c r="E262" i="72"/>
  <c r="G260" i="72"/>
  <c r="E260" i="72"/>
  <c r="G259" i="72"/>
  <c r="E259" i="72"/>
  <c r="G258" i="72"/>
  <c r="E258" i="72"/>
  <c r="G257" i="72"/>
  <c r="E257" i="72"/>
  <c r="G256" i="72"/>
  <c r="E256" i="72"/>
  <c r="G254" i="72"/>
  <c r="E254" i="72"/>
  <c r="G253" i="72"/>
  <c r="E253" i="72"/>
  <c r="G252" i="72"/>
  <c r="E252" i="72"/>
  <c r="G251" i="72"/>
  <c r="E251" i="72"/>
  <c r="G249" i="72"/>
  <c r="E249" i="72"/>
  <c r="G248" i="72"/>
  <c r="E248" i="72"/>
  <c r="G246" i="72"/>
  <c r="E246" i="72"/>
  <c r="G245" i="72"/>
  <c r="E245" i="72"/>
  <c r="G244" i="72"/>
  <c r="E244" i="72"/>
  <c r="G242" i="72"/>
  <c r="E242" i="72"/>
  <c r="G239" i="72"/>
  <c r="E239" i="72"/>
  <c r="G238" i="72"/>
  <c r="E238" i="72"/>
  <c r="G237" i="72"/>
  <c r="E237" i="72"/>
  <c r="G236" i="72"/>
  <c r="E236" i="72"/>
  <c r="G235" i="72"/>
  <c r="E235" i="72"/>
  <c r="G234" i="72"/>
  <c r="E234" i="72"/>
  <c r="G233" i="72"/>
  <c r="E233" i="72"/>
  <c r="G232" i="72"/>
  <c r="E232" i="72"/>
  <c r="G231" i="72"/>
  <c r="E231" i="72"/>
  <c r="G230" i="72"/>
  <c r="E230" i="72"/>
  <c r="G229" i="72"/>
  <c r="E229" i="72"/>
  <c r="G228" i="72"/>
  <c r="E228" i="72"/>
  <c r="G227" i="72"/>
  <c r="E227" i="72"/>
  <c r="G226" i="72"/>
  <c r="E226" i="72"/>
  <c r="G225" i="72"/>
  <c r="E225" i="72"/>
  <c r="G224" i="72"/>
  <c r="E224" i="72"/>
  <c r="G223" i="72"/>
  <c r="E223" i="72"/>
  <c r="G220" i="72"/>
  <c r="E220" i="72"/>
  <c r="G219" i="72"/>
  <c r="E219" i="72"/>
  <c r="G218" i="72"/>
  <c r="E218" i="72"/>
  <c r="G217" i="72"/>
  <c r="E217" i="72"/>
  <c r="G216" i="72"/>
  <c r="E216" i="72"/>
  <c r="G215" i="72"/>
  <c r="E215" i="72"/>
  <c r="G214" i="72"/>
  <c r="E214" i="72"/>
  <c r="G213" i="72"/>
  <c r="E213" i="72"/>
  <c r="G212" i="72"/>
  <c r="E212" i="72"/>
  <c r="G211" i="72"/>
  <c r="E211" i="72"/>
  <c r="G210" i="72"/>
  <c r="E210" i="72"/>
  <c r="G209" i="72"/>
  <c r="E209" i="72"/>
  <c r="G208" i="72"/>
  <c r="E208" i="72"/>
  <c r="G207" i="72"/>
  <c r="E207" i="72"/>
  <c r="G206" i="72"/>
  <c r="E206" i="72"/>
  <c r="G205" i="72"/>
  <c r="E205" i="72"/>
  <c r="G204" i="72"/>
  <c r="E204" i="72"/>
  <c r="G203" i="72"/>
  <c r="E203" i="72"/>
  <c r="G202" i="72"/>
  <c r="E202" i="72"/>
  <c r="G201" i="72"/>
  <c r="E201" i="72"/>
  <c r="H216" i="72"/>
  <c r="H215" i="72"/>
  <c r="H214" i="72"/>
  <c r="H213" i="72"/>
  <c r="H212" i="72"/>
  <c r="H211" i="72"/>
  <c r="H210" i="72"/>
  <c r="H209" i="72"/>
  <c r="H208" i="72"/>
  <c r="H207" i="72"/>
  <c r="H206" i="72"/>
  <c r="H205" i="72"/>
  <c r="H204" i="72"/>
  <c r="H203" i="72"/>
  <c r="H202" i="72"/>
  <c r="H201" i="72"/>
  <c r="H200" i="72"/>
  <c r="F200" i="72"/>
  <c r="H199" i="72"/>
  <c r="F199" i="72"/>
  <c r="H198" i="72"/>
  <c r="F198" i="72"/>
  <c r="H197" i="72"/>
  <c r="F197" i="72"/>
  <c r="H194" i="72"/>
  <c r="F194" i="72"/>
  <c r="H193" i="72"/>
  <c r="F193" i="72"/>
  <c r="H192" i="72"/>
  <c r="F192" i="72"/>
  <c r="H191" i="72"/>
  <c r="F191" i="72"/>
  <c r="H190" i="72"/>
  <c r="F190" i="72"/>
  <c r="H189" i="72"/>
  <c r="F189" i="72"/>
  <c r="H188" i="72"/>
  <c r="F188" i="72"/>
  <c r="H187" i="72"/>
  <c r="F187" i="72"/>
  <c r="H185" i="72"/>
  <c r="F185" i="72"/>
  <c r="H184" i="72"/>
  <c r="F184" i="72"/>
  <c r="H183" i="72"/>
  <c r="F183" i="72"/>
  <c r="H182" i="72"/>
  <c r="F182" i="72"/>
  <c r="H181" i="72"/>
  <c r="F181" i="72"/>
  <c r="H180" i="72"/>
  <c r="F180" i="72"/>
  <c r="H179" i="72"/>
  <c r="F179" i="72"/>
  <c r="H178" i="72"/>
  <c r="F178" i="72"/>
  <c r="H177" i="72"/>
  <c r="F177" i="72"/>
  <c r="H176" i="72"/>
  <c r="F176" i="72"/>
  <c r="H175" i="72"/>
  <c r="F175" i="72"/>
  <c r="H174" i="72"/>
  <c r="F174" i="72"/>
  <c r="H173" i="72"/>
  <c r="F173" i="72"/>
  <c r="H172" i="72"/>
  <c r="F172" i="72"/>
  <c r="H171" i="72"/>
  <c r="F171" i="72"/>
  <c r="H168" i="72"/>
  <c r="F168" i="72"/>
  <c r="H167" i="72"/>
  <c r="F167" i="72"/>
  <c r="H166" i="72"/>
  <c r="F166" i="72"/>
  <c r="H165" i="72"/>
  <c r="F165" i="72"/>
  <c r="H164" i="72"/>
  <c r="F164" i="72"/>
  <c r="H163" i="72"/>
  <c r="F163" i="72"/>
  <c r="H162" i="72"/>
  <c r="F162" i="72"/>
  <c r="H161" i="72"/>
  <c r="F161" i="72"/>
  <c r="H159" i="72"/>
  <c r="F159" i="72"/>
  <c r="H158" i="72"/>
  <c r="F158" i="72"/>
  <c r="H157" i="72"/>
  <c r="F157" i="72"/>
  <c r="H156" i="72"/>
  <c r="F156" i="72"/>
  <c r="H155" i="72"/>
  <c r="F155" i="72"/>
  <c r="H154" i="72"/>
  <c r="F154" i="72"/>
  <c r="H153" i="72"/>
  <c r="F153" i="72"/>
  <c r="H151" i="72"/>
  <c r="F151" i="72"/>
  <c r="H150" i="72"/>
  <c r="F150" i="72"/>
  <c r="H149" i="72"/>
  <c r="F149" i="72"/>
  <c r="H148" i="72"/>
  <c r="F148" i="72"/>
  <c r="H147" i="72"/>
  <c r="F147" i="72"/>
  <c r="H146" i="72"/>
  <c r="F146" i="72"/>
  <c r="H144" i="72"/>
  <c r="F144" i="72"/>
  <c r="H143" i="72"/>
  <c r="F143" i="72"/>
  <c r="H142" i="72"/>
  <c r="F142" i="72"/>
  <c r="H141" i="72"/>
  <c r="F141" i="72"/>
  <c r="H140" i="72"/>
  <c r="F140" i="72"/>
  <c r="H139" i="72"/>
  <c r="F139" i="72"/>
  <c r="H138" i="72"/>
  <c r="F138" i="72"/>
  <c r="H137" i="72"/>
  <c r="F137" i="72"/>
  <c r="H136" i="72"/>
  <c r="F136" i="72"/>
  <c r="H135" i="72"/>
  <c r="F135" i="72"/>
  <c r="H134" i="72"/>
  <c r="F134" i="72"/>
  <c r="H133" i="72"/>
  <c r="F133" i="72"/>
  <c r="H132" i="72"/>
  <c r="F132" i="72"/>
  <c r="H131" i="72"/>
  <c r="F131" i="72"/>
  <c r="H130" i="72"/>
  <c r="F130" i="72"/>
  <c r="H129" i="72"/>
  <c r="F129" i="72"/>
  <c r="H128" i="72"/>
  <c r="F128" i="72"/>
  <c r="H127" i="72"/>
  <c r="F127" i="72"/>
  <c r="H126" i="72"/>
  <c r="F126" i="72"/>
  <c r="H125" i="72"/>
  <c r="F125" i="72"/>
  <c r="H124" i="72"/>
  <c r="F124" i="72"/>
  <c r="H122" i="72"/>
  <c r="F122" i="72"/>
  <c r="H121" i="72"/>
  <c r="F121" i="72"/>
  <c r="H120" i="72"/>
  <c r="F120" i="72"/>
  <c r="H119" i="72"/>
  <c r="F119" i="72"/>
  <c r="H118" i="72"/>
  <c r="F118" i="72"/>
  <c r="H117" i="72"/>
  <c r="F117" i="72"/>
  <c r="H116" i="72"/>
  <c r="F116" i="72"/>
  <c r="H115" i="72"/>
  <c r="F115" i="72"/>
  <c r="F216" i="72"/>
  <c r="F215" i="72"/>
  <c r="F214" i="72"/>
  <c r="F213" i="72"/>
  <c r="F212" i="72"/>
  <c r="F211" i="72"/>
  <c r="F210" i="72"/>
  <c r="F209" i="72"/>
  <c r="F208" i="72"/>
  <c r="F207" i="72"/>
  <c r="F206" i="72"/>
  <c r="F205" i="72"/>
  <c r="F204" i="72"/>
  <c r="F203" i="72"/>
  <c r="F202" i="72"/>
  <c r="F201" i="72"/>
  <c r="G200" i="72"/>
  <c r="E200" i="72"/>
  <c r="G199" i="72"/>
  <c r="E199" i="72"/>
  <c r="G198" i="72"/>
  <c r="I198" i="72" s="1"/>
  <c r="E198" i="72"/>
  <c r="G197" i="72"/>
  <c r="E197" i="72"/>
  <c r="G194" i="72"/>
  <c r="E194" i="72"/>
  <c r="G193" i="72"/>
  <c r="E193" i="72"/>
  <c r="G192" i="72"/>
  <c r="I192" i="72" s="1"/>
  <c r="E192" i="72"/>
  <c r="G191" i="72"/>
  <c r="E191" i="72"/>
  <c r="G190" i="72"/>
  <c r="E190" i="72"/>
  <c r="G189" i="72"/>
  <c r="E189" i="72"/>
  <c r="G188" i="72"/>
  <c r="I188" i="72" s="1"/>
  <c r="E188" i="72"/>
  <c r="G187" i="72"/>
  <c r="E187" i="72"/>
  <c r="G185" i="72"/>
  <c r="E185" i="72"/>
  <c r="G184" i="72"/>
  <c r="E184" i="72"/>
  <c r="G183" i="72"/>
  <c r="E183" i="72"/>
  <c r="G182" i="72"/>
  <c r="I182" i="72" s="1"/>
  <c r="E182" i="72"/>
  <c r="G181" i="72"/>
  <c r="E181" i="72"/>
  <c r="G180" i="72"/>
  <c r="E180" i="72"/>
  <c r="G179" i="72"/>
  <c r="E179" i="72"/>
  <c r="G178" i="72"/>
  <c r="I178" i="72" s="1"/>
  <c r="E178" i="72"/>
  <c r="G177" i="72"/>
  <c r="E177" i="72"/>
  <c r="G176" i="72"/>
  <c r="E176" i="72"/>
  <c r="G175" i="72"/>
  <c r="E175" i="72"/>
  <c r="G174" i="72"/>
  <c r="I174" i="72" s="1"/>
  <c r="E174" i="72"/>
  <c r="G173" i="72"/>
  <c r="E173" i="72"/>
  <c r="G172" i="72"/>
  <c r="E172" i="72"/>
  <c r="G171" i="72"/>
  <c r="E171" i="72"/>
  <c r="G168" i="72"/>
  <c r="E168" i="72"/>
  <c r="G167" i="72"/>
  <c r="E167" i="72"/>
  <c r="G166" i="72"/>
  <c r="E166" i="72"/>
  <c r="G165" i="72"/>
  <c r="E165" i="72"/>
  <c r="G164" i="72"/>
  <c r="I164" i="72" s="1"/>
  <c r="E164" i="72"/>
  <c r="G163" i="72"/>
  <c r="E163" i="72"/>
  <c r="G162" i="72"/>
  <c r="E162" i="72"/>
  <c r="G161" i="72"/>
  <c r="E161" i="72"/>
  <c r="G159" i="72"/>
  <c r="E159" i="72"/>
  <c r="G158" i="72"/>
  <c r="E158" i="72"/>
  <c r="G157" i="72"/>
  <c r="E157" i="72"/>
  <c r="G156" i="72"/>
  <c r="I156" i="72" s="1"/>
  <c r="E156" i="72"/>
  <c r="G155" i="72"/>
  <c r="E155" i="72"/>
  <c r="G154" i="72"/>
  <c r="E154" i="72"/>
  <c r="G153" i="72"/>
  <c r="E153" i="72"/>
  <c r="G151" i="72"/>
  <c r="E151" i="72"/>
  <c r="G150" i="72"/>
  <c r="E150" i="72"/>
  <c r="G149" i="72"/>
  <c r="E149" i="72"/>
  <c r="G148" i="72"/>
  <c r="E148" i="72"/>
  <c r="G147" i="72"/>
  <c r="E147" i="72"/>
  <c r="G146" i="72"/>
  <c r="E146" i="72"/>
  <c r="G144" i="72"/>
  <c r="E144" i="72"/>
  <c r="G143" i="72"/>
  <c r="E143" i="72"/>
  <c r="G142" i="72"/>
  <c r="E142" i="72"/>
  <c r="G141" i="72"/>
  <c r="E141" i="72"/>
  <c r="G140" i="72"/>
  <c r="E140" i="72"/>
  <c r="G139" i="72"/>
  <c r="E139" i="72"/>
  <c r="G138" i="72"/>
  <c r="E138" i="72"/>
  <c r="G137" i="72"/>
  <c r="E137" i="72"/>
  <c r="G136" i="72"/>
  <c r="E136" i="72"/>
  <c r="G135" i="72"/>
  <c r="E135" i="72"/>
  <c r="G134" i="72"/>
  <c r="E134" i="72"/>
  <c r="G133" i="72"/>
  <c r="E133" i="72"/>
  <c r="G132" i="72"/>
  <c r="I132" i="72" s="1"/>
  <c r="E132" i="72"/>
  <c r="G131" i="72"/>
  <c r="E131" i="72"/>
  <c r="G130" i="72"/>
  <c r="E130" i="72"/>
  <c r="G129" i="72"/>
  <c r="E129" i="72"/>
  <c r="G128" i="72"/>
  <c r="E128" i="72"/>
  <c r="G127" i="72"/>
  <c r="E127" i="72"/>
  <c r="G126" i="72"/>
  <c r="E126" i="72"/>
  <c r="G125" i="72"/>
  <c r="E125" i="72"/>
  <c r="G124" i="72"/>
  <c r="E124" i="72"/>
  <c r="G122" i="72"/>
  <c r="E122" i="72"/>
  <c r="G121" i="72"/>
  <c r="E121" i="72"/>
  <c r="G120" i="72"/>
  <c r="E120" i="72"/>
  <c r="G119" i="72"/>
  <c r="E119" i="72"/>
  <c r="G118" i="72"/>
  <c r="E118" i="72"/>
  <c r="G117" i="72"/>
  <c r="E117" i="72"/>
  <c r="G116" i="72"/>
  <c r="I116" i="72" s="1"/>
  <c r="E116" i="72"/>
  <c r="G115" i="72"/>
  <c r="E115" i="72"/>
  <c r="G113" i="72"/>
  <c r="E113" i="72"/>
  <c r="G112" i="72"/>
  <c r="E112" i="72"/>
  <c r="G111" i="72"/>
  <c r="E111" i="72"/>
  <c r="G110" i="72"/>
  <c r="E110" i="72"/>
  <c r="G109" i="72"/>
  <c r="E109" i="72"/>
  <c r="G107" i="72"/>
  <c r="E107" i="72"/>
  <c r="G106" i="72"/>
  <c r="E106" i="72"/>
  <c r="G105" i="72"/>
  <c r="E105" i="72"/>
  <c r="G104" i="72"/>
  <c r="E104" i="72"/>
  <c r="G103" i="72"/>
  <c r="E103" i="72"/>
  <c r="G102" i="72"/>
  <c r="E102" i="72"/>
  <c r="G101" i="72"/>
  <c r="E101" i="72"/>
  <c r="G100" i="72"/>
  <c r="E100" i="72"/>
  <c r="G98" i="72"/>
  <c r="E98" i="72"/>
  <c r="G97" i="72"/>
  <c r="E97" i="72"/>
  <c r="G96" i="72"/>
  <c r="E96" i="72"/>
  <c r="G95" i="72"/>
  <c r="E95" i="72"/>
  <c r="G94" i="72"/>
  <c r="E94" i="72"/>
  <c r="G93" i="72"/>
  <c r="E93" i="72"/>
  <c r="G90" i="72"/>
  <c r="E90" i="72"/>
  <c r="G89" i="72"/>
  <c r="E89" i="72"/>
  <c r="E88" i="72" s="1"/>
  <c r="G87" i="72"/>
  <c r="E87" i="72"/>
  <c r="G86" i="72"/>
  <c r="E86" i="72"/>
  <c r="G85" i="72"/>
  <c r="E85" i="72"/>
  <c r="G84" i="72"/>
  <c r="E84" i="72"/>
  <c r="G83" i="72"/>
  <c r="E83" i="72"/>
  <c r="G82" i="72"/>
  <c r="E82" i="72"/>
  <c r="G81" i="72"/>
  <c r="E81" i="72"/>
  <c r="G80" i="72"/>
  <c r="E80" i="72"/>
  <c r="G79" i="72"/>
  <c r="E79" i="72"/>
  <c r="G78" i="72"/>
  <c r="H113" i="72"/>
  <c r="H112" i="72"/>
  <c r="H111" i="72"/>
  <c r="H110" i="72"/>
  <c r="H109" i="72"/>
  <c r="H107" i="72"/>
  <c r="H106" i="72"/>
  <c r="H105" i="72"/>
  <c r="H104" i="72"/>
  <c r="H103" i="72"/>
  <c r="H102" i="72"/>
  <c r="H101" i="72"/>
  <c r="H100" i="72"/>
  <c r="H98" i="72"/>
  <c r="H97" i="72"/>
  <c r="H96" i="72"/>
  <c r="H95" i="72"/>
  <c r="H94" i="72"/>
  <c r="H93" i="72"/>
  <c r="H90" i="72"/>
  <c r="I90" i="72" s="1"/>
  <c r="H89" i="72"/>
  <c r="H87" i="72"/>
  <c r="H86" i="72"/>
  <c r="H85" i="72"/>
  <c r="H84" i="72"/>
  <c r="H83" i="72"/>
  <c r="H82" i="72"/>
  <c r="H81" i="72"/>
  <c r="H80" i="72"/>
  <c r="H79" i="72"/>
  <c r="H78" i="72"/>
  <c r="E78" i="72"/>
  <c r="G77" i="72"/>
  <c r="E77" i="72"/>
  <c r="G75" i="72"/>
  <c r="E75" i="72"/>
  <c r="G74" i="72"/>
  <c r="E74" i="72"/>
  <c r="G73" i="72"/>
  <c r="E73" i="72"/>
  <c r="G72" i="72"/>
  <c r="E72" i="72"/>
  <c r="G71" i="72"/>
  <c r="E71" i="72"/>
  <c r="G70" i="72"/>
  <c r="E70" i="72"/>
  <c r="G69" i="72"/>
  <c r="E69" i="72"/>
  <c r="G68" i="72"/>
  <c r="E68" i="72"/>
  <c r="G66" i="72"/>
  <c r="E66" i="72"/>
  <c r="G65" i="72"/>
  <c r="E65" i="72"/>
  <c r="E64" i="72" s="1"/>
  <c r="G63" i="72"/>
  <c r="E63" i="72"/>
  <c r="G62" i="72"/>
  <c r="E62" i="72"/>
  <c r="G61" i="72"/>
  <c r="E61" i="72"/>
  <c r="G60" i="72"/>
  <c r="E60" i="72"/>
  <c r="G59" i="72"/>
  <c r="E59" i="72"/>
  <c r="G57" i="72"/>
  <c r="E57" i="72"/>
  <c r="G56" i="72"/>
  <c r="E56" i="72"/>
  <c r="G55" i="72"/>
  <c r="E55" i="72"/>
  <c r="G52" i="72"/>
  <c r="E52" i="72"/>
  <c r="G51" i="72"/>
  <c r="E51" i="72"/>
  <c r="G50" i="72"/>
  <c r="E50" i="72"/>
  <c r="E49" i="72" s="1"/>
  <c r="G48" i="72"/>
  <c r="E48" i="72"/>
  <c r="G47" i="72"/>
  <c r="E47" i="72"/>
  <c r="G46" i="72"/>
  <c r="E46" i="72"/>
  <c r="G45" i="72"/>
  <c r="E45" i="72"/>
  <c r="G44" i="72"/>
  <c r="E44" i="72"/>
  <c r="G43" i="72"/>
  <c r="E43" i="72"/>
  <c r="G42" i="72"/>
  <c r="E42" i="72"/>
  <c r="G41" i="72"/>
  <c r="E41" i="72"/>
  <c r="G40" i="72"/>
  <c r="E40" i="72"/>
  <c r="G39" i="72"/>
  <c r="E39" i="72"/>
  <c r="G36" i="72"/>
  <c r="E36" i="72"/>
  <c r="G35" i="72"/>
  <c r="E35" i="72"/>
  <c r="G34" i="72"/>
  <c r="E34" i="72"/>
  <c r="G33" i="72"/>
  <c r="E33" i="72"/>
  <c r="G32" i="72"/>
  <c r="E32" i="72"/>
  <c r="G31" i="72"/>
  <c r="E31" i="72"/>
  <c r="G30" i="72"/>
  <c r="E30" i="72"/>
  <c r="G29" i="72"/>
  <c r="E29" i="72"/>
  <c r="G27" i="72"/>
  <c r="E27" i="72"/>
  <c r="G26" i="72"/>
  <c r="E26" i="72"/>
  <c r="G25" i="72"/>
  <c r="E25" i="72"/>
  <c r="G24" i="72"/>
  <c r="E24" i="72"/>
  <c r="G23" i="72"/>
  <c r="E23" i="72"/>
  <c r="G22" i="72"/>
  <c r="E22" i="72"/>
  <c r="G21" i="72"/>
  <c r="E21" i="72"/>
  <c r="G20" i="72"/>
  <c r="E20" i="72"/>
  <c r="G19" i="72"/>
  <c r="E19" i="72"/>
  <c r="G18" i="72"/>
  <c r="E18" i="72"/>
  <c r="G15" i="72"/>
  <c r="E15" i="72"/>
  <c r="G14" i="72"/>
  <c r="E14" i="72"/>
  <c r="G13" i="72"/>
  <c r="E13" i="72"/>
  <c r="G11" i="72"/>
  <c r="E11" i="72"/>
  <c r="G8" i="72"/>
  <c r="E8" i="72"/>
  <c r="E7" i="72" s="1"/>
  <c r="G5" i="72"/>
  <c r="E5" i="72"/>
  <c r="F113" i="72"/>
  <c r="F112" i="72"/>
  <c r="F111" i="72"/>
  <c r="F110" i="72"/>
  <c r="F109" i="72"/>
  <c r="F107" i="72"/>
  <c r="F106" i="72"/>
  <c r="F105" i="72"/>
  <c r="F104" i="72"/>
  <c r="F103" i="72"/>
  <c r="F102" i="72"/>
  <c r="F101" i="72"/>
  <c r="F100" i="72"/>
  <c r="F98" i="72"/>
  <c r="F97" i="72"/>
  <c r="F96" i="72"/>
  <c r="F95" i="72"/>
  <c r="F94" i="72"/>
  <c r="F93" i="72"/>
  <c r="F90" i="72"/>
  <c r="F89" i="72"/>
  <c r="F87" i="72"/>
  <c r="F86" i="72"/>
  <c r="F85" i="72"/>
  <c r="F84" i="72"/>
  <c r="F83" i="72"/>
  <c r="F82" i="72"/>
  <c r="F81" i="72"/>
  <c r="F80" i="72"/>
  <c r="F79" i="72"/>
  <c r="F78" i="72"/>
  <c r="H77" i="72"/>
  <c r="F77" i="72"/>
  <c r="H75" i="72"/>
  <c r="F75" i="72"/>
  <c r="H74" i="72"/>
  <c r="F74" i="72"/>
  <c r="H73" i="72"/>
  <c r="F73" i="72"/>
  <c r="H72" i="72"/>
  <c r="F72" i="72"/>
  <c r="H71" i="72"/>
  <c r="F71" i="72"/>
  <c r="H70" i="72"/>
  <c r="F70" i="72"/>
  <c r="H69" i="72"/>
  <c r="F69" i="72"/>
  <c r="H68" i="72"/>
  <c r="F68" i="72"/>
  <c r="H66" i="72"/>
  <c r="F66" i="72"/>
  <c r="H65" i="72"/>
  <c r="H64" i="72" s="1"/>
  <c r="F65" i="72"/>
  <c r="H63" i="72"/>
  <c r="F63" i="72"/>
  <c r="H62" i="72"/>
  <c r="F62" i="72"/>
  <c r="H61" i="72"/>
  <c r="F61" i="72"/>
  <c r="H60" i="72"/>
  <c r="F60" i="72"/>
  <c r="H59" i="72"/>
  <c r="F59" i="72"/>
  <c r="H57" i="72"/>
  <c r="F57" i="72"/>
  <c r="H56" i="72"/>
  <c r="F56" i="72"/>
  <c r="H55" i="72"/>
  <c r="F55" i="72"/>
  <c r="H52" i="72"/>
  <c r="F52" i="72"/>
  <c r="H51" i="72"/>
  <c r="F51" i="72"/>
  <c r="H50" i="72"/>
  <c r="H49" i="72" s="1"/>
  <c r="F50" i="72"/>
  <c r="H48" i="72"/>
  <c r="F48" i="72"/>
  <c r="H47" i="72"/>
  <c r="F47" i="72"/>
  <c r="H46" i="72"/>
  <c r="F46" i="72"/>
  <c r="H45" i="72"/>
  <c r="F45" i="72"/>
  <c r="H44" i="72"/>
  <c r="F44" i="72"/>
  <c r="H43" i="72"/>
  <c r="F43" i="72"/>
  <c r="H42" i="72"/>
  <c r="F42" i="72"/>
  <c r="H41" i="72"/>
  <c r="F41" i="72"/>
  <c r="H40" i="72"/>
  <c r="F40" i="72"/>
  <c r="H39" i="72"/>
  <c r="F39" i="72"/>
  <c r="H36" i="72"/>
  <c r="F36" i="72"/>
  <c r="H35" i="72"/>
  <c r="F35" i="72"/>
  <c r="H34" i="72"/>
  <c r="F34" i="72"/>
  <c r="H33" i="72"/>
  <c r="F33" i="72"/>
  <c r="H32" i="72"/>
  <c r="F32" i="72"/>
  <c r="H31" i="72"/>
  <c r="F31" i="72"/>
  <c r="H30" i="72"/>
  <c r="F30" i="72"/>
  <c r="H29" i="72"/>
  <c r="F29" i="72"/>
  <c r="H27" i="72"/>
  <c r="F27" i="72"/>
  <c r="H26" i="72"/>
  <c r="F26" i="72"/>
  <c r="H25" i="72"/>
  <c r="F25" i="72"/>
  <c r="H24" i="72"/>
  <c r="F24" i="72"/>
  <c r="H23" i="72"/>
  <c r="F23" i="72"/>
  <c r="H22" i="72"/>
  <c r="F22" i="72"/>
  <c r="H21" i="72"/>
  <c r="F21" i="72"/>
  <c r="H20" i="72"/>
  <c r="F20" i="72"/>
  <c r="H19" i="72"/>
  <c r="F19" i="72"/>
  <c r="H18" i="72"/>
  <c r="F18" i="72"/>
  <c r="H15" i="72"/>
  <c r="F15" i="72"/>
  <c r="H14" i="72"/>
  <c r="F14" i="72"/>
  <c r="H13" i="72"/>
  <c r="F13" i="72"/>
  <c r="H11" i="72"/>
  <c r="F11" i="72"/>
  <c r="H8" i="72"/>
  <c r="H7" i="72" s="1"/>
  <c r="F8" i="72"/>
  <c r="H5" i="72"/>
  <c r="F5" i="72"/>
  <c r="G99" i="72"/>
  <c r="H99" i="72"/>
  <c r="E99" i="72"/>
  <c r="F99" i="72"/>
  <c r="H10" i="72"/>
  <c r="G10" i="72"/>
  <c r="E10" i="72"/>
  <c r="F10" i="72"/>
  <c r="G9" i="72"/>
  <c r="H9" i="72"/>
  <c r="E9" i="72"/>
  <c r="F9" i="72"/>
  <c r="D410" i="72"/>
  <c r="F7" i="72"/>
  <c r="E12" i="72"/>
  <c r="F49" i="72"/>
  <c r="I120" i="72"/>
  <c r="C20" i="68" s="1"/>
  <c r="I140" i="72"/>
  <c r="F152" i="72"/>
  <c r="I259" i="72"/>
  <c r="I172" i="72"/>
  <c r="I176" i="72"/>
  <c r="I180" i="72"/>
  <c r="I184" i="72"/>
  <c r="I200" i="72"/>
  <c r="I202" i="72"/>
  <c r="I204" i="72"/>
  <c r="I206" i="72"/>
  <c r="I208" i="72"/>
  <c r="I210" i="72"/>
  <c r="I212" i="72"/>
  <c r="I214" i="72"/>
  <c r="I216" i="72"/>
  <c r="I218" i="72"/>
  <c r="I220" i="72"/>
  <c r="G14" i="68" s="1"/>
  <c r="I249" i="72"/>
  <c r="I253" i="72"/>
  <c r="F247" i="72"/>
  <c r="F261" i="72"/>
  <c r="I318" i="72"/>
  <c r="I265" i="72"/>
  <c r="I267" i="72"/>
  <c r="I269" i="72"/>
  <c r="I271" i="72"/>
  <c r="I304" i="72"/>
  <c r="I312" i="72"/>
  <c r="I324" i="72"/>
  <c r="F406" i="72"/>
  <c r="C20" i="69" s="1"/>
  <c r="I338" i="72"/>
  <c r="I340" i="72"/>
  <c r="I342" i="72"/>
  <c r="I344" i="72"/>
  <c r="I346" i="72"/>
  <c r="I348" i="72"/>
  <c r="I350" i="72"/>
  <c r="I352" i="72"/>
  <c r="I354" i="72"/>
  <c r="I356" i="72"/>
  <c r="H385" i="72"/>
  <c r="I363" i="72"/>
  <c r="I365" i="72"/>
  <c r="I367" i="72"/>
  <c r="I369" i="72"/>
  <c r="I371" i="72"/>
  <c r="I373" i="72"/>
  <c r="I375" i="72"/>
  <c r="I377" i="72"/>
  <c r="I379" i="72"/>
  <c r="I381" i="72"/>
  <c r="I383" i="72"/>
  <c r="I396" i="72"/>
  <c r="I404" i="72"/>
  <c r="I94" i="72"/>
  <c r="I148" i="72"/>
  <c r="F114" i="72"/>
  <c r="H152" i="72"/>
  <c r="H160" i="72"/>
  <c r="E160" i="72"/>
  <c r="I263" i="72"/>
  <c r="I168" i="72"/>
  <c r="I190" i="72"/>
  <c r="I194" i="72"/>
  <c r="I224" i="72"/>
  <c r="I226" i="72"/>
  <c r="I228" i="72"/>
  <c r="I230" i="72"/>
  <c r="I232" i="72"/>
  <c r="I234" i="72"/>
  <c r="I236" i="72"/>
  <c r="I238" i="72"/>
  <c r="G21" i="68" s="1"/>
  <c r="I245" i="72"/>
  <c r="I257" i="72"/>
  <c r="H247" i="72"/>
  <c r="F255" i="72"/>
  <c r="H261" i="72"/>
  <c r="E261" i="72"/>
  <c r="I296" i="72"/>
  <c r="I298" i="72"/>
  <c r="I302" i="72"/>
  <c r="I306" i="72"/>
  <c r="I310" i="72"/>
  <c r="I322" i="72"/>
  <c r="I326" i="72"/>
  <c r="I330" i="72"/>
  <c r="E385" i="72"/>
  <c r="I277" i="72"/>
  <c r="I279" i="72"/>
  <c r="I281" i="72"/>
  <c r="I283" i="72"/>
  <c r="I285" i="72"/>
  <c r="I287" i="72"/>
  <c r="I289" i="72"/>
  <c r="I293" i="72"/>
  <c r="I295" i="72"/>
  <c r="I316" i="72"/>
  <c r="I332" i="72"/>
  <c r="E274" i="72"/>
  <c r="F328" i="72"/>
  <c r="H406" i="72"/>
  <c r="D20" i="69" s="1"/>
  <c r="F385" i="72"/>
  <c r="I387" i="72"/>
  <c r="I390" i="72"/>
  <c r="I408" i="72"/>
  <c r="I394" i="72"/>
  <c r="I398" i="72"/>
  <c r="I402" i="72"/>
  <c r="E1018" i="70"/>
  <c r="A1018" i="70"/>
  <c r="F1018" i="70"/>
  <c r="B1018" i="70"/>
  <c r="F1013" i="70"/>
  <c r="B1013" i="70"/>
  <c r="C1010" i="70"/>
  <c r="G1016" i="70"/>
  <c r="E1013" i="70"/>
  <c r="A1013" i="70"/>
  <c r="E1017" i="70"/>
  <c r="A1017" i="70"/>
  <c r="F1017" i="70"/>
  <c r="B1017" i="70"/>
  <c r="F1034" i="70"/>
  <c r="H1030" i="70"/>
  <c r="H1028" i="70"/>
  <c r="H1026" i="70"/>
  <c r="H1024" i="70"/>
  <c r="H1022" i="70"/>
  <c r="H1020" i="70"/>
  <c r="H1031" i="70"/>
  <c r="H1027" i="70"/>
  <c r="H1023" i="70"/>
  <c r="H1029" i="70"/>
  <c r="H1025" i="70"/>
  <c r="H1021" i="70"/>
  <c r="E1014" i="70"/>
  <c r="A1014" i="70"/>
  <c r="F1014" i="70"/>
  <c r="B1014" i="70"/>
  <c r="E1016" i="70"/>
  <c r="A1016" i="70"/>
  <c r="F1016" i="70"/>
  <c r="B1016" i="70"/>
  <c r="E1015" i="70"/>
  <c r="A1015" i="70"/>
  <c r="F1015" i="70"/>
  <c r="B1015" i="70"/>
  <c r="F792" i="70"/>
  <c r="C791" i="70"/>
  <c r="F780" i="70"/>
  <c r="C779" i="70"/>
  <c r="F768" i="70"/>
  <c r="C767" i="70"/>
  <c r="F756" i="70"/>
  <c r="C755" i="70"/>
  <c r="F744" i="70"/>
  <c r="C743" i="70"/>
  <c r="F732" i="70"/>
  <c r="C731" i="70"/>
  <c r="F720" i="70"/>
  <c r="C719" i="70"/>
  <c r="F708" i="70"/>
  <c r="C707" i="70"/>
  <c r="F696" i="70"/>
  <c r="C695" i="70"/>
  <c r="F1008" i="70"/>
  <c r="C1007" i="70"/>
  <c r="F684" i="70"/>
  <c r="C683" i="70"/>
  <c r="F996" i="70"/>
  <c r="C995" i="70"/>
  <c r="F672" i="70"/>
  <c r="C671" i="70"/>
  <c r="F984" i="70"/>
  <c r="C983" i="70"/>
  <c r="F660" i="70"/>
  <c r="C659" i="70"/>
  <c r="F972" i="70"/>
  <c r="C971" i="70"/>
  <c r="F648" i="70"/>
  <c r="C647" i="70"/>
  <c r="F960" i="70"/>
  <c r="C959" i="70"/>
  <c r="F636" i="70"/>
  <c r="C635" i="70"/>
  <c r="F948" i="70"/>
  <c r="C947" i="70"/>
  <c r="F624" i="70"/>
  <c r="C623" i="70"/>
  <c r="F936" i="70"/>
  <c r="C935" i="70"/>
  <c r="F612" i="70"/>
  <c r="C611" i="70"/>
  <c r="F924" i="70"/>
  <c r="C923" i="70"/>
  <c r="F600" i="70"/>
  <c r="C599" i="70"/>
  <c r="F912" i="70"/>
  <c r="C911" i="70"/>
  <c r="F588" i="70"/>
  <c r="C587" i="70"/>
  <c r="F900" i="70"/>
  <c r="C899" i="70"/>
  <c r="F576" i="70"/>
  <c r="C575" i="70"/>
  <c r="F888" i="70"/>
  <c r="C887" i="70"/>
  <c r="F564" i="70"/>
  <c r="C563" i="70"/>
  <c r="F876" i="70"/>
  <c r="C875" i="70"/>
  <c r="F552" i="70"/>
  <c r="C551" i="70"/>
  <c r="F864" i="70"/>
  <c r="C863" i="70"/>
  <c r="F540" i="70"/>
  <c r="C539" i="70"/>
  <c r="F852" i="70"/>
  <c r="C851" i="70"/>
  <c r="F528" i="70"/>
  <c r="C527" i="70"/>
  <c r="F840" i="70"/>
  <c r="C839" i="70"/>
  <c r="F516" i="70"/>
  <c r="C515" i="70"/>
  <c r="F828" i="70"/>
  <c r="C827" i="70"/>
  <c r="F372" i="70"/>
  <c r="C371" i="70"/>
  <c r="F384" i="70"/>
  <c r="C383" i="70"/>
  <c r="F396" i="70"/>
  <c r="C395" i="70"/>
  <c r="F408" i="70"/>
  <c r="C407" i="70"/>
  <c r="F420" i="70"/>
  <c r="C419" i="70"/>
  <c r="F432" i="70"/>
  <c r="C431" i="70"/>
  <c r="F444" i="70"/>
  <c r="C443" i="70"/>
  <c r="F456" i="70"/>
  <c r="C455" i="70"/>
  <c r="F468" i="70"/>
  <c r="C467" i="70"/>
  <c r="F480" i="70"/>
  <c r="C479" i="70"/>
  <c r="F492" i="70"/>
  <c r="C491" i="70"/>
  <c r="F504" i="70"/>
  <c r="C503" i="70"/>
  <c r="F804" i="70"/>
  <c r="C803" i="70"/>
  <c r="F816" i="70"/>
  <c r="C815" i="70"/>
  <c r="D473" i="70"/>
  <c r="C473" i="70"/>
  <c r="D461" i="70"/>
  <c r="C461" i="70"/>
  <c r="D449" i="70"/>
  <c r="C449" i="70"/>
  <c r="D438" i="70"/>
  <c r="C438" i="70"/>
  <c r="D437" i="70"/>
  <c r="C437" i="70"/>
  <c r="D425" i="70"/>
  <c r="C425" i="70"/>
  <c r="D413" i="70"/>
  <c r="C413" i="70"/>
  <c r="D401" i="70"/>
  <c r="C401" i="70"/>
  <c r="D389" i="70"/>
  <c r="C389" i="70"/>
  <c r="D377" i="70"/>
  <c r="C377" i="70"/>
  <c r="D365" i="70"/>
  <c r="C365" i="70"/>
  <c r="N4" i="7"/>
  <c r="M2" i="7"/>
  <c r="D12" i="13"/>
  <c r="B12" i="13"/>
  <c r="F6" i="72" l="1"/>
  <c r="AR6" i="76"/>
  <c r="BG3" i="76" a="1"/>
  <c r="BG3" i="76" s="1"/>
  <c r="H38" i="72"/>
  <c r="H37" i="72" s="1"/>
  <c r="H12" i="72"/>
  <c r="I102" i="72"/>
  <c r="I104" i="72"/>
  <c r="F38" i="72"/>
  <c r="F37" i="72" s="1"/>
  <c r="I82" i="72"/>
  <c r="I80" i="72"/>
  <c r="H108" i="72"/>
  <c r="I19" i="72"/>
  <c r="I23" i="72"/>
  <c r="I24" i="72"/>
  <c r="I27" i="72"/>
  <c r="I40" i="72"/>
  <c r="I42" i="72"/>
  <c r="I44" i="72"/>
  <c r="I46" i="72"/>
  <c r="I48" i="72"/>
  <c r="I52" i="72"/>
  <c r="C11" i="68" s="1"/>
  <c r="I56" i="72"/>
  <c r="I57" i="72"/>
  <c r="I60" i="72"/>
  <c r="I66" i="72"/>
  <c r="I70" i="72"/>
  <c r="I72" i="72"/>
  <c r="I74" i="72"/>
  <c r="I78" i="72"/>
  <c r="I84" i="72"/>
  <c r="I86" i="72"/>
  <c r="I98" i="72"/>
  <c r="I100" i="72"/>
  <c r="I112" i="72"/>
  <c r="H6" i="72"/>
  <c r="E6" i="72"/>
  <c r="I9" i="72"/>
  <c r="I99" i="72"/>
  <c r="I105" i="72"/>
  <c r="I97" i="72"/>
  <c r="I85" i="72"/>
  <c r="F392" i="72"/>
  <c r="C10" i="69" s="1"/>
  <c r="I382" i="72"/>
  <c r="I378" i="72"/>
  <c r="I374" i="72"/>
  <c r="I370" i="72"/>
  <c r="I366" i="72"/>
  <c r="I362" i="72"/>
  <c r="H243" i="72"/>
  <c r="H241" i="72" s="1"/>
  <c r="H240" i="72" s="1"/>
  <c r="I144" i="72"/>
  <c r="C28" i="68" s="1"/>
  <c r="I136" i="72"/>
  <c r="I128" i="72"/>
  <c r="I96" i="72"/>
  <c r="H88" i="72"/>
  <c r="I10" i="72"/>
  <c r="I405" i="72"/>
  <c r="I401" i="72"/>
  <c r="I397" i="72"/>
  <c r="E406" i="72"/>
  <c r="I391" i="72"/>
  <c r="I388" i="72"/>
  <c r="I384" i="72"/>
  <c r="I380" i="72"/>
  <c r="I376" i="72"/>
  <c r="I372" i="72"/>
  <c r="I368" i="72"/>
  <c r="I364" i="72"/>
  <c r="F320" i="72"/>
  <c r="C6" i="69" s="1"/>
  <c r="E314" i="72"/>
  <c r="E243" i="72"/>
  <c r="E241" i="72" s="1"/>
  <c r="E240" i="72" s="1"/>
  <c r="I62" i="72"/>
  <c r="H92" i="72"/>
  <c r="H91" i="72" s="1"/>
  <c r="I103" i="72"/>
  <c r="I95" i="72"/>
  <c r="I83" i="72"/>
  <c r="I75" i="72"/>
  <c r="I73" i="72"/>
  <c r="I71" i="72"/>
  <c r="H54" i="72"/>
  <c r="I63" i="72"/>
  <c r="I61" i="72"/>
  <c r="F64" i="72"/>
  <c r="I31" i="72"/>
  <c r="F88" i="72"/>
  <c r="I26" i="72"/>
  <c r="I409" i="72"/>
  <c r="H392" i="72"/>
  <c r="D10" i="69" s="1"/>
  <c r="I395" i="72"/>
  <c r="I407" i="72"/>
  <c r="G406" i="72"/>
  <c r="I406" i="72" s="1"/>
  <c r="H314" i="72"/>
  <c r="D16" i="69" s="1"/>
  <c r="E250" i="72"/>
  <c r="E247" i="72"/>
  <c r="F243" i="72"/>
  <c r="F241" i="72" s="1"/>
  <c r="F240" i="72" s="1"/>
  <c r="E145" i="72"/>
  <c r="G250" i="72"/>
  <c r="I251" i="72"/>
  <c r="H222" i="72"/>
  <c r="H221" i="72" s="1"/>
  <c r="H196" i="72"/>
  <c r="H195" i="72" s="1"/>
  <c r="H186" i="72"/>
  <c r="H170" i="72"/>
  <c r="H169" i="72" s="1"/>
  <c r="E76" i="72"/>
  <c r="E58" i="72"/>
  <c r="E54" i="72"/>
  <c r="I157" i="72"/>
  <c r="G6" i="68" s="1"/>
  <c r="I113" i="72"/>
  <c r="G108" i="72"/>
  <c r="I109" i="72"/>
  <c r="I101" i="72"/>
  <c r="I93" i="72"/>
  <c r="G92" i="72"/>
  <c r="I81" i="72"/>
  <c r="I79" i="72"/>
  <c r="I77" i="72"/>
  <c r="G76" i="72"/>
  <c r="I55" i="72"/>
  <c r="G54" i="72"/>
  <c r="G49" i="72"/>
  <c r="I49" i="72" s="1"/>
  <c r="I50" i="72"/>
  <c r="I358" i="72"/>
  <c r="I403" i="72"/>
  <c r="E328" i="72"/>
  <c r="E320" i="72"/>
  <c r="H255" i="72"/>
  <c r="I242" i="72"/>
  <c r="G25" i="68" s="1"/>
  <c r="E114" i="72"/>
  <c r="I165" i="72"/>
  <c r="G160" i="72"/>
  <c r="I160" i="72" s="1"/>
  <c r="G9" i="68" s="1"/>
  <c r="I161" i="72"/>
  <c r="G152" i="72"/>
  <c r="I152" i="72" s="1"/>
  <c r="C32" i="68" s="1"/>
  <c r="I153" i="72"/>
  <c r="H145" i="72"/>
  <c r="I141" i="72"/>
  <c r="I137" i="72"/>
  <c r="I133" i="72"/>
  <c r="I129" i="72"/>
  <c r="I125" i="72"/>
  <c r="I121" i="72"/>
  <c r="C22" i="68" s="1"/>
  <c r="I117" i="72"/>
  <c r="I89" i="72"/>
  <c r="G88" i="72"/>
  <c r="I87" i="72"/>
  <c r="I69" i="72"/>
  <c r="G67" i="72"/>
  <c r="I68" i="72"/>
  <c r="H58" i="72"/>
  <c r="I51" i="72"/>
  <c r="C12" i="68" s="1"/>
  <c r="I47" i="72"/>
  <c r="I45" i="72"/>
  <c r="I43" i="72"/>
  <c r="I41" i="72"/>
  <c r="I167" i="72"/>
  <c r="I163" i="72"/>
  <c r="I159" i="72"/>
  <c r="G8" i="68" s="1"/>
  <c r="I122" i="72"/>
  <c r="I118" i="72"/>
  <c r="E67" i="72"/>
  <c r="F54" i="72"/>
  <c r="E38" i="72"/>
  <c r="E37" i="72" s="1"/>
  <c r="E28" i="72"/>
  <c r="G186" i="72"/>
  <c r="I187" i="72"/>
  <c r="I191" i="72"/>
  <c r="G196" i="72"/>
  <c r="I197" i="72"/>
  <c r="I201" i="72"/>
  <c r="I205" i="72"/>
  <c r="I209" i="72"/>
  <c r="I213" i="72"/>
  <c r="I217" i="72"/>
  <c r="G222" i="72"/>
  <c r="I223" i="72"/>
  <c r="I227" i="72"/>
  <c r="I231" i="72"/>
  <c r="I235" i="72"/>
  <c r="G17" i="68" s="1"/>
  <c r="I239" i="72"/>
  <c r="G22" i="68" s="1"/>
  <c r="I254" i="72"/>
  <c r="F274" i="72"/>
  <c r="F273" i="72" s="1"/>
  <c r="F272" i="72" s="1"/>
  <c r="F290" i="72"/>
  <c r="I303" i="72"/>
  <c r="I323" i="72"/>
  <c r="I264" i="72"/>
  <c r="I268" i="72"/>
  <c r="H274" i="72"/>
  <c r="H273" i="72" s="1"/>
  <c r="H272" i="72" s="1"/>
  <c r="I292" i="72"/>
  <c r="I297" i="72"/>
  <c r="I305" i="72"/>
  <c r="I313" i="72"/>
  <c r="F335" i="72"/>
  <c r="F334" i="72" s="1"/>
  <c r="C8" i="69" s="1"/>
  <c r="F360" i="72"/>
  <c r="F359" i="72" s="1"/>
  <c r="C9" i="69" s="1"/>
  <c r="I333" i="72"/>
  <c r="I339" i="72"/>
  <c r="I343" i="72"/>
  <c r="I347" i="72"/>
  <c r="I351" i="72"/>
  <c r="I355" i="72"/>
  <c r="H360" i="72"/>
  <c r="H359" i="72" s="1"/>
  <c r="D9" i="69" s="1"/>
  <c r="I33" i="72"/>
  <c r="I29" i="72"/>
  <c r="G28" i="72"/>
  <c r="I25" i="72"/>
  <c r="I21" i="72"/>
  <c r="I36" i="72"/>
  <c r="H28" i="72"/>
  <c r="F12" i="72"/>
  <c r="I155" i="72"/>
  <c r="C33" i="68" s="1"/>
  <c r="I151" i="72"/>
  <c r="C31" i="68" s="1"/>
  <c r="I147" i="72"/>
  <c r="I143" i="72"/>
  <c r="C27" i="68" s="1"/>
  <c r="I139" i="72"/>
  <c r="I135" i="72"/>
  <c r="I131" i="72"/>
  <c r="I127" i="72"/>
  <c r="I111" i="72"/>
  <c r="F58" i="72"/>
  <c r="H17" i="72"/>
  <c r="H16" i="72" s="1"/>
  <c r="I244" i="72"/>
  <c r="G243" i="72"/>
  <c r="I252" i="72"/>
  <c r="I260" i="72"/>
  <c r="G32" i="68" s="1"/>
  <c r="I173" i="72"/>
  <c r="I177" i="72"/>
  <c r="I181" i="72"/>
  <c r="I185" i="72"/>
  <c r="H250" i="72"/>
  <c r="G261" i="72"/>
  <c r="I261" i="72" s="1"/>
  <c r="I262" i="72"/>
  <c r="F250" i="72"/>
  <c r="H299" i="72"/>
  <c r="D5" i="69" s="1"/>
  <c r="I311" i="72"/>
  <c r="I319" i="72"/>
  <c r="I331" i="72"/>
  <c r="I278" i="72"/>
  <c r="I282" i="72"/>
  <c r="I286" i="72"/>
  <c r="H290" i="72"/>
  <c r="G320" i="72"/>
  <c r="I321" i="72"/>
  <c r="G328" i="72"/>
  <c r="I329" i="72"/>
  <c r="I39" i="72"/>
  <c r="G38" i="72"/>
  <c r="I11" i="72"/>
  <c r="I34" i="72"/>
  <c r="I14" i="72"/>
  <c r="I13" i="72"/>
  <c r="G12" i="72"/>
  <c r="E399" i="72"/>
  <c r="I393" i="72"/>
  <c r="G392" i="72"/>
  <c r="E290" i="72"/>
  <c r="E273" i="72"/>
  <c r="E272" i="72" s="1"/>
  <c r="I291" i="72"/>
  <c r="G290" i="72"/>
  <c r="I290" i="72" s="1"/>
  <c r="I275" i="72"/>
  <c r="G274" i="72"/>
  <c r="E123" i="72"/>
  <c r="E222" i="72"/>
  <c r="E221" i="72" s="1"/>
  <c r="E196" i="72"/>
  <c r="E195" i="72" s="1"/>
  <c r="E186" i="72"/>
  <c r="E170" i="72"/>
  <c r="E169" i="72" s="1"/>
  <c r="E152" i="72"/>
  <c r="E108" i="72"/>
  <c r="E92" i="72"/>
  <c r="E91" i="72" s="1"/>
  <c r="I149" i="72"/>
  <c r="H76" i="72"/>
  <c r="I400" i="72"/>
  <c r="G399" i="72"/>
  <c r="I389" i="72"/>
  <c r="E360" i="72"/>
  <c r="E359" i="72" s="1"/>
  <c r="I361" i="72"/>
  <c r="G360" i="72"/>
  <c r="E335" i="72"/>
  <c r="E334" i="72" s="1"/>
  <c r="E307" i="72"/>
  <c r="E299" i="72"/>
  <c r="G385" i="72"/>
  <c r="I385" i="72" s="1"/>
  <c r="I386" i="72"/>
  <c r="I336" i="72"/>
  <c r="G335" i="72"/>
  <c r="H328" i="72"/>
  <c r="H320" i="72"/>
  <c r="D6" i="69" s="1"/>
  <c r="F314" i="72"/>
  <c r="C16" i="69" s="1"/>
  <c r="G307" i="72"/>
  <c r="I308" i="72"/>
  <c r="I300" i="72"/>
  <c r="G299" i="72"/>
  <c r="E255" i="72"/>
  <c r="F222" i="72"/>
  <c r="F221" i="72" s="1"/>
  <c r="F196" i="72"/>
  <c r="F195" i="72" s="1"/>
  <c r="F186" i="72"/>
  <c r="F170" i="72"/>
  <c r="F169" i="72" s="1"/>
  <c r="F160" i="72"/>
  <c r="H114" i="72"/>
  <c r="F108" i="72"/>
  <c r="I124" i="72"/>
  <c r="G123" i="72"/>
  <c r="I65" i="72"/>
  <c r="G64" i="72"/>
  <c r="I64" i="72" s="1"/>
  <c r="I59" i="72"/>
  <c r="G58" i="72"/>
  <c r="F28" i="72"/>
  <c r="I166" i="72"/>
  <c r="I162" i="72"/>
  <c r="I158" i="72"/>
  <c r="G7" i="68" s="1"/>
  <c r="H123" i="72"/>
  <c r="I119" i="72"/>
  <c r="C24" i="68" s="1"/>
  <c r="G114" i="72"/>
  <c r="I114" i="72" s="1"/>
  <c r="C23" i="68" s="1"/>
  <c r="I115" i="72"/>
  <c r="I107" i="72"/>
  <c r="F76" i="72"/>
  <c r="H67" i="72"/>
  <c r="F17" i="72"/>
  <c r="G17" i="72"/>
  <c r="I18" i="72"/>
  <c r="F123" i="72"/>
  <c r="I189" i="72"/>
  <c r="I193" i="72"/>
  <c r="I199" i="72"/>
  <c r="I203" i="72"/>
  <c r="I207" i="72"/>
  <c r="I211" i="72"/>
  <c r="I215" i="72"/>
  <c r="I219" i="72"/>
  <c r="G13" i="68" s="1"/>
  <c r="I225" i="72"/>
  <c r="I229" i="72"/>
  <c r="I233" i="72"/>
  <c r="I237" i="72"/>
  <c r="G20" i="68" s="1"/>
  <c r="I246" i="72"/>
  <c r="H307" i="72"/>
  <c r="I327" i="72"/>
  <c r="I266" i="72"/>
  <c r="I270" i="72"/>
  <c r="I294" i="72"/>
  <c r="I301" i="72"/>
  <c r="I309" i="72"/>
  <c r="F299" i="72"/>
  <c r="C5" i="69" s="1"/>
  <c r="F307" i="72"/>
  <c r="I337" i="72"/>
  <c r="I341" i="72"/>
  <c r="I345" i="72"/>
  <c r="I349" i="72"/>
  <c r="I353" i="72"/>
  <c r="I357" i="72"/>
  <c r="F399" i="72"/>
  <c r="C17" i="69" s="1"/>
  <c r="I35" i="72"/>
  <c r="I32" i="72"/>
  <c r="E17" i="72"/>
  <c r="I154" i="72"/>
  <c r="I150" i="72"/>
  <c r="I146" i="72"/>
  <c r="G145" i="72"/>
  <c r="I142" i="72"/>
  <c r="C26" i="68" s="1"/>
  <c r="I138" i="72"/>
  <c r="I134" i="72"/>
  <c r="I130" i="72"/>
  <c r="I126" i="72"/>
  <c r="I110" i="72"/>
  <c r="I106" i="72"/>
  <c r="F92" i="72"/>
  <c r="F91" i="72" s="1"/>
  <c r="F67" i="72"/>
  <c r="I22" i="72"/>
  <c r="F145" i="72"/>
  <c r="G247" i="72"/>
  <c r="I247" i="72" s="1"/>
  <c r="G31" i="68" s="1"/>
  <c r="I248" i="72"/>
  <c r="G255" i="72"/>
  <c r="I256" i="72"/>
  <c r="G170" i="72"/>
  <c r="I171" i="72"/>
  <c r="I175" i="72"/>
  <c r="I179" i="72"/>
  <c r="I183" i="72"/>
  <c r="I258" i="72"/>
  <c r="G314" i="72"/>
  <c r="I315" i="72"/>
  <c r="I276" i="72"/>
  <c r="I280" i="72"/>
  <c r="I284" i="72"/>
  <c r="I288" i="72"/>
  <c r="I317" i="72"/>
  <c r="I325" i="72"/>
  <c r="H335" i="72"/>
  <c r="H334" i="72" s="1"/>
  <c r="D8" i="69" s="1"/>
  <c r="E392" i="72"/>
  <c r="H399" i="72"/>
  <c r="D17" i="69" s="1"/>
  <c r="I15" i="72"/>
  <c r="C8" i="68" s="1"/>
  <c r="I30" i="72"/>
  <c r="I20" i="72"/>
  <c r="I8" i="72"/>
  <c r="G7" i="72"/>
  <c r="I5" i="72"/>
  <c r="D1015" i="70"/>
  <c r="C1015" i="70"/>
  <c r="D1016" i="70"/>
  <c r="C1016" i="70"/>
  <c r="C1014" i="70"/>
  <c r="D1014" i="70"/>
  <c r="E1029" i="70"/>
  <c r="A1029" i="70"/>
  <c r="F1029" i="70"/>
  <c r="B1029" i="70"/>
  <c r="F1027" i="70"/>
  <c r="B1027" i="70"/>
  <c r="A1027" i="70"/>
  <c r="E1027" i="70"/>
  <c r="E1028" i="70"/>
  <c r="A1028" i="70"/>
  <c r="F1028" i="70"/>
  <c r="B1028" i="70"/>
  <c r="F1046" i="70"/>
  <c r="H1043" i="70"/>
  <c r="H1041" i="70"/>
  <c r="H1039" i="70"/>
  <c r="H1037" i="70"/>
  <c r="H1035" i="70"/>
  <c r="H1033" i="70"/>
  <c r="H1040" i="70"/>
  <c r="H1036" i="70"/>
  <c r="H1032" i="70"/>
  <c r="H1042" i="70"/>
  <c r="H1038" i="70"/>
  <c r="H1034" i="70"/>
  <c r="C1017" i="70"/>
  <c r="D1017" i="70"/>
  <c r="D1013" i="70"/>
  <c r="C1013" i="70"/>
  <c r="D1018" i="70"/>
  <c r="C1018" i="70"/>
  <c r="G1028" i="70"/>
  <c r="E1025" i="70"/>
  <c r="A1025" i="70"/>
  <c r="F1025" i="70"/>
  <c r="C1022" i="70"/>
  <c r="B1025" i="70"/>
  <c r="F1026" i="70"/>
  <c r="B1026" i="70"/>
  <c r="A1026" i="70"/>
  <c r="E1026" i="70"/>
  <c r="E1030" i="70"/>
  <c r="A1030" i="70"/>
  <c r="F1030" i="70"/>
  <c r="B1030" i="70"/>
  <c r="E1019" i="70"/>
  <c r="F1019" i="70"/>
  <c r="H35" i="68"/>
  <c r="H27" i="68"/>
  <c r="D35" i="68"/>
  <c r="D18" i="68"/>
  <c r="F12" i="13"/>
  <c r="F6" i="76" l="1"/>
  <c r="J6" i="76" s="1"/>
  <c r="R6" i="76"/>
  <c r="U6" i="76" s="1"/>
  <c r="E6" i="76"/>
  <c r="B6" i="76"/>
  <c r="D6" i="76"/>
  <c r="AR7" i="76"/>
  <c r="R7" i="76" s="1"/>
  <c r="A6" i="76"/>
  <c r="C6" i="76"/>
  <c r="O6" i="76"/>
  <c r="H6" i="76"/>
  <c r="Q6" i="76"/>
  <c r="K6" i="76"/>
  <c r="G6" i="76"/>
  <c r="I6" i="76"/>
  <c r="S6" i="76"/>
  <c r="W6" i="76"/>
  <c r="AA6" i="76"/>
  <c r="I12" i="72"/>
  <c r="C7" i="68" s="1"/>
  <c r="I299" i="72"/>
  <c r="H53" i="72"/>
  <c r="H410" i="72" s="1"/>
  <c r="I108" i="72"/>
  <c r="C21" i="68" s="1"/>
  <c r="C15" i="69"/>
  <c r="I88" i="72"/>
  <c r="I243" i="72"/>
  <c r="G30" i="68" s="1"/>
  <c r="D15" i="69"/>
  <c r="C19" i="69"/>
  <c r="C21" i="69" s="1"/>
  <c r="C26" i="69" s="1"/>
  <c r="D19" i="69"/>
  <c r="D21" i="69" s="1"/>
  <c r="D26" i="69" s="1"/>
  <c r="I314" i="72"/>
  <c r="I392" i="72"/>
  <c r="I255" i="72"/>
  <c r="G34" i="68" s="1"/>
  <c r="I145" i="72"/>
  <c r="C29" i="68" s="1"/>
  <c r="E16" i="72"/>
  <c r="F16" i="72"/>
  <c r="I58" i="72"/>
  <c r="I186" i="72"/>
  <c r="G11" i="68" s="1"/>
  <c r="G6" i="72"/>
  <c r="I7" i="72"/>
  <c r="G169" i="72"/>
  <c r="I169" i="72" s="1"/>
  <c r="G10" i="68" s="1"/>
  <c r="I170" i="72"/>
  <c r="I123" i="72"/>
  <c r="C25" i="68" s="1"/>
  <c r="G359" i="72"/>
  <c r="I359" i="72" s="1"/>
  <c r="I360" i="72"/>
  <c r="I399" i="72"/>
  <c r="I328" i="72"/>
  <c r="I320" i="72"/>
  <c r="I28" i="72"/>
  <c r="G195" i="72"/>
  <c r="I195" i="72" s="1"/>
  <c r="G12" i="68" s="1"/>
  <c r="I196" i="72"/>
  <c r="E53" i="72"/>
  <c r="I250" i="72"/>
  <c r="G33" i="68" s="1"/>
  <c r="G16" i="72"/>
  <c r="I16" i="72" s="1"/>
  <c r="C9" i="68" s="1"/>
  <c r="I17" i="72"/>
  <c r="I307" i="72"/>
  <c r="G334" i="72"/>
  <c r="I334" i="72" s="1"/>
  <c r="I335" i="72"/>
  <c r="G273" i="72"/>
  <c r="I274" i="72"/>
  <c r="G37" i="72"/>
  <c r="I37" i="72" s="1"/>
  <c r="C10" i="68" s="1"/>
  <c r="I38" i="72"/>
  <c r="G221" i="72"/>
  <c r="I222" i="72"/>
  <c r="F53" i="72"/>
  <c r="I67" i="72"/>
  <c r="G241" i="72"/>
  <c r="G53" i="72"/>
  <c r="I54" i="72"/>
  <c r="I76" i="72"/>
  <c r="G91" i="72"/>
  <c r="I91" i="72" s="1"/>
  <c r="I92" i="72"/>
  <c r="F1020" i="70"/>
  <c r="C1019" i="70"/>
  <c r="C1030" i="70"/>
  <c r="D1030" i="70"/>
  <c r="D1026" i="70"/>
  <c r="C1026" i="70"/>
  <c r="C1025" i="70"/>
  <c r="D1025" i="70"/>
  <c r="F1031" i="70"/>
  <c r="E1031" i="70"/>
  <c r="F1042" i="70"/>
  <c r="B1042" i="70"/>
  <c r="E1042" i="70"/>
  <c r="A1042" i="70"/>
  <c r="G1040" i="70"/>
  <c r="E1037" i="70"/>
  <c r="A1037" i="70"/>
  <c r="F1037" i="70"/>
  <c r="B1037" i="70"/>
  <c r="C1034" i="70"/>
  <c r="F1041" i="70"/>
  <c r="B1041" i="70"/>
  <c r="E1041" i="70"/>
  <c r="A1041" i="70"/>
  <c r="F1058" i="70"/>
  <c r="H1054" i="70"/>
  <c r="H1052" i="70"/>
  <c r="H1050" i="70"/>
  <c r="H1048" i="70"/>
  <c r="H1046" i="70"/>
  <c r="H1044" i="70"/>
  <c r="H1047" i="70"/>
  <c r="H1053" i="70"/>
  <c r="H1049" i="70"/>
  <c r="H1045" i="70"/>
  <c r="H1055" i="70"/>
  <c r="H1051" i="70"/>
  <c r="C1028" i="70"/>
  <c r="D1028" i="70"/>
  <c r="D1027" i="70"/>
  <c r="C1027" i="70"/>
  <c r="D1029" i="70"/>
  <c r="C1029" i="70"/>
  <c r="F1038" i="70"/>
  <c r="B1038" i="70"/>
  <c r="E1038" i="70"/>
  <c r="A1038" i="70"/>
  <c r="F1040" i="70"/>
  <c r="B1040" i="70"/>
  <c r="E1040" i="70"/>
  <c r="A1040" i="70"/>
  <c r="F1039" i="70"/>
  <c r="B1039" i="70"/>
  <c r="E1039" i="70"/>
  <c r="A1039" i="70"/>
  <c r="D36" i="68"/>
  <c r="P6" i="76" l="1"/>
  <c r="L6" i="76"/>
  <c r="M6" i="76"/>
  <c r="N6" i="76"/>
  <c r="Y6" i="76"/>
  <c r="AD6" i="76"/>
  <c r="D7" i="76"/>
  <c r="F7" i="76"/>
  <c r="N7" i="76" s="1"/>
  <c r="AB6" i="76"/>
  <c r="Z6" i="76"/>
  <c r="X6" i="76"/>
  <c r="V6" i="76"/>
  <c r="T6" i="76"/>
  <c r="AC6" i="76"/>
  <c r="AE6" i="76"/>
  <c r="AD7" i="76" s="1"/>
  <c r="E7" i="76"/>
  <c r="AR8" i="76"/>
  <c r="R8" i="76" s="1"/>
  <c r="C7" i="76"/>
  <c r="A7" i="76"/>
  <c r="B7" i="76"/>
  <c r="G7" i="76"/>
  <c r="E410" i="72"/>
  <c r="F410" i="72"/>
  <c r="I53" i="72"/>
  <c r="C13" i="68" s="1"/>
  <c r="C14" i="68"/>
  <c r="G240" i="72"/>
  <c r="I240" i="72" s="1"/>
  <c r="G23" i="68" s="1"/>
  <c r="I241" i="72"/>
  <c r="G24" i="68" s="1"/>
  <c r="G272" i="72"/>
  <c r="I272" i="72" s="1"/>
  <c r="I273" i="72"/>
  <c r="I6" i="72"/>
  <c r="D1039" i="70"/>
  <c r="C1039" i="70"/>
  <c r="D1040" i="70"/>
  <c r="C1040" i="70"/>
  <c r="F1051" i="70"/>
  <c r="B1051" i="70"/>
  <c r="E1051" i="70"/>
  <c r="A1051" i="70"/>
  <c r="F1053" i="70"/>
  <c r="B1053" i="70"/>
  <c r="E1053" i="70"/>
  <c r="A1053" i="70"/>
  <c r="F1052" i="70"/>
  <c r="B1052" i="70"/>
  <c r="E1052" i="70"/>
  <c r="A1052" i="70"/>
  <c r="F1070" i="70"/>
  <c r="H1067" i="70"/>
  <c r="H1065" i="70"/>
  <c r="H1063" i="70"/>
  <c r="H1061" i="70"/>
  <c r="H1059" i="70"/>
  <c r="H1057" i="70"/>
  <c r="H1064" i="70"/>
  <c r="H1060" i="70"/>
  <c r="H1056" i="70"/>
  <c r="H1066" i="70"/>
  <c r="H1062" i="70"/>
  <c r="H1058" i="70"/>
  <c r="C1041" i="70"/>
  <c r="D1041" i="70"/>
  <c r="F1043" i="70"/>
  <c r="E1043" i="70"/>
  <c r="D1042" i="70"/>
  <c r="C1042" i="70"/>
  <c r="F1032" i="70"/>
  <c r="C1031" i="70"/>
  <c r="C1038" i="70"/>
  <c r="D1038" i="70"/>
  <c r="G1052" i="70"/>
  <c r="E1049" i="70"/>
  <c r="A1049" i="70"/>
  <c r="F1049" i="70"/>
  <c r="B1049" i="70"/>
  <c r="C1046" i="70"/>
  <c r="F1050" i="70"/>
  <c r="B1050" i="70"/>
  <c r="E1050" i="70"/>
  <c r="A1050" i="70"/>
  <c r="F1054" i="70"/>
  <c r="B1054" i="70"/>
  <c r="E1054" i="70"/>
  <c r="A1054" i="70"/>
  <c r="D1037" i="70"/>
  <c r="C1037" i="70"/>
  <c r="AE7" i="76" l="1"/>
  <c r="AJ7" i="76" s="1"/>
  <c r="E8" i="76"/>
  <c r="F8" i="76"/>
  <c r="AE8" i="76" s="1"/>
  <c r="AK8" i="76" s="1"/>
  <c r="S7" i="76"/>
  <c r="AR9" i="76"/>
  <c r="E9" i="76" s="1"/>
  <c r="AP6" i="76"/>
  <c r="AL6" i="76"/>
  <c r="AN6" i="76"/>
  <c r="AI6" i="76"/>
  <c r="AK6" i="76"/>
  <c r="AG6" i="76"/>
  <c r="AM6" i="76"/>
  <c r="AJ6" i="76"/>
  <c r="AO6" i="76"/>
  <c r="AF6" i="76"/>
  <c r="AH6" i="76"/>
  <c r="Z7" i="76"/>
  <c r="L7" i="76"/>
  <c r="K7" i="76"/>
  <c r="A8" i="76"/>
  <c r="AC7" i="76"/>
  <c r="AA7" i="76"/>
  <c r="T7" i="76"/>
  <c r="M7" i="76"/>
  <c r="H7" i="76"/>
  <c r="O7" i="76"/>
  <c r="C8" i="76"/>
  <c r="D8" i="76"/>
  <c r="V7" i="76"/>
  <c r="U7" i="76"/>
  <c r="X7" i="76"/>
  <c r="Y7" i="76"/>
  <c r="AB7" i="76"/>
  <c r="W7" i="76"/>
  <c r="Q7" i="76"/>
  <c r="J7" i="76"/>
  <c r="P7" i="76"/>
  <c r="I7" i="76"/>
  <c r="B8" i="76"/>
  <c r="AK7" i="76"/>
  <c r="AF7" i="76"/>
  <c r="AH7" i="76"/>
  <c r="AG7" i="76"/>
  <c r="AI7" i="76"/>
  <c r="AO7" i="76"/>
  <c r="AP7" i="76"/>
  <c r="AN7" i="76"/>
  <c r="AM7" i="76"/>
  <c r="AL7" i="76"/>
  <c r="Z8" i="76"/>
  <c r="AA8" i="76"/>
  <c r="AB8" i="76"/>
  <c r="AC8" i="76"/>
  <c r="S8" i="76"/>
  <c r="T8" i="76"/>
  <c r="U8" i="76"/>
  <c r="V8" i="76"/>
  <c r="W8" i="76"/>
  <c r="X8" i="76"/>
  <c r="Y8" i="76"/>
  <c r="A9" i="76"/>
  <c r="B9" i="76"/>
  <c r="AD9" i="76"/>
  <c r="Q8" i="76"/>
  <c r="K8" i="76"/>
  <c r="I8" i="76"/>
  <c r="I410" i="72"/>
  <c r="C6" i="68"/>
  <c r="G410" i="72"/>
  <c r="D1054" i="70"/>
  <c r="C1054" i="70"/>
  <c r="C1050" i="70"/>
  <c r="D1050" i="70"/>
  <c r="F1055" i="70"/>
  <c r="E1055" i="70"/>
  <c r="F1044" i="70"/>
  <c r="C1043" i="70"/>
  <c r="F1066" i="70"/>
  <c r="B1066" i="70"/>
  <c r="E1066" i="70"/>
  <c r="A1066" i="70"/>
  <c r="G1064" i="70"/>
  <c r="E1061" i="70"/>
  <c r="A1061" i="70"/>
  <c r="F1061" i="70"/>
  <c r="B1061" i="70"/>
  <c r="C1058" i="70"/>
  <c r="F1065" i="70"/>
  <c r="B1065" i="70"/>
  <c r="E1065" i="70"/>
  <c r="A1065" i="70"/>
  <c r="F1082" i="70"/>
  <c r="H1078" i="70"/>
  <c r="H1076" i="70"/>
  <c r="H1074" i="70"/>
  <c r="H1072" i="70"/>
  <c r="H1070" i="70"/>
  <c r="H1068" i="70"/>
  <c r="H1079" i="70"/>
  <c r="H1071" i="70"/>
  <c r="H1077" i="70"/>
  <c r="H1073" i="70"/>
  <c r="H1069" i="70"/>
  <c r="H1075" i="70"/>
  <c r="D1052" i="70"/>
  <c r="C1052" i="70"/>
  <c r="C1053" i="70"/>
  <c r="D1053" i="70"/>
  <c r="D1051" i="70"/>
  <c r="C1051" i="70"/>
  <c r="D1049" i="70"/>
  <c r="C1049" i="70"/>
  <c r="F1062" i="70"/>
  <c r="B1062" i="70"/>
  <c r="E1062" i="70"/>
  <c r="A1062" i="70"/>
  <c r="F1064" i="70"/>
  <c r="B1064" i="70"/>
  <c r="E1064" i="70"/>
  <c r="A1064" i="70"/>
  <c r="F1063" i="70"/>
  <c r="B1063" i="70"/>
  <c r="E1063" i="70"/>
  <c r="A1063" i="70"/>
  <c r="O8" i="76" l="1"/>
  <c r="M8" i="76"/>
  <c r="N8" i="76"/>
  <c r="AR10" i="76"/>
  <c r="C9" i="76"/>
  <c r="D9" i="76"/>
  <c r="F9" i="76"/>
  <c r="Q9" i="76" s="1"/>
  <c r="R9" i="76"/>
  <c r="R10" i="76"/>
  <c r="AD8" i="76"/>
  <c r="G8" i="76"/>
  <c r="J8" i="76"/>
  <c r="H8" i="76"/>
  <c r="P8" i="76"/>
  <c r="L8" i="76"/>
  <c r="AE9" i="76"/>
  <c r="AE10" i="76" s="1"/>
  <c r="AG8" i="76"/>
  <c r="AJ8" i="76"/>
  <c r="AI8" i="76"/>
  <c r="AN8" i="76"/>
  <c r="AM8" i="76"/>
  <c r="AL8" i="76"/>
  <c r="AH8" i="76"/>
  <c r="AO8" i="76"/>
  <c r="AP8" i="76"/>
  <c r="AF8" i="76"/>
  <c r="A10" i="76"/>
  <c r="D10" i="76"/>
  <c r="B10" i="76"/>
  <c r="E10" i="76"/>
  <c r="C10" i="76"/>
  <c r="AD10" i="76"/>
  <c r="AR11" i="76"/>
  <c r="O9" i="76"/>
  <c r="I9" i="76"/>
  <c r="N9" i="76"/>
  <c r="M9" i="76"/>
  <c r="K9" i="76"/>
  <c r="AJ9" i="76"/>
  <c r="AI9" i="76"/>
  <c r="AL9" i="76"/>
  <c r="AP9" i="76"/>
  <c r="AK9" i="76"/>
  <c r="AM9" i="76"/>
  <c r="X9" i="76"/>
  <c r="AA9" i="76"/>
  <c r="Y9" i="76"/>
  <c r="S9" i="76"/>
  <c r="U9" i="76"/>
  <c r="T9" i="76"/>
  <c r="W9" i="76"/>
  <c r="V9" i="76"/>
  <c r="AC9" i="76"/>
  <c r="AB9" i="76"/>
  <c r="Z9" i="76"/>
  <c r="C1063" i="70"/>
  <c r="D1063" i="70"/>
  <c r="D1064" i="70"/>
  <c r="C1064" i="70"/>
  <c r="D1062" i="70"/>
  <c r="C1062" i="70"/>
  <c r="F1075" i="70"/>
  <c r="B1075" i="70"/>
  <c r="E1075" i="70"/>
  <c r="A1075" i="70"/>
  <c r="G1076" i="70"/>
  <c r="E1073" i="70"/>
  <c r="A1073" i="70"/>
  <c r="F1073" i="70"/>
  <c r="B1073" i="70"/>
  <c r="C1070" i="70"/>
  <c r="F1076" i="70"/>
  <c r="B1076" i="70"/>
  <c r="E1076" i="70"/>
  <c r="A1076" i="70"/>
  <c r="F1094" i="70"/>
  <c r="H1091" i="70"/>
  <c r="H1089" i="70"/>
  <c r="H1087" i="70"/>
  <c r="H1085" i="70"/>
  <c r="H1083" i="70"/>
  <c r="H1084" i="70"/>
  <c r="H1090" i="70"/>
  <c r="H1086" i="70"/>
  <c r="H1082" i="70"/>
  <c r="H1080" i="70"/>
  <c r="H1088" i="70"/>
  <c r="H1081" i="70"/>
  <c r="D1065" i="70"/>
  <c r="C1065" i="70"/>
  <c r="F1067" i="70"/>
  <c r="E1067" i="70"/>
  <c r="D1066" i="70"/>
  <c r="C1066" i="70"/>
  <c r="F1056" i="70"/>
  <c r="C1055" i="70"/>
  <c r="F1077" i="70"/>
  <c r="B1077" i="70"/>
  <c r="E1077" i="70"/>
  <c r="A1077" i="70"/>
  <c r="F1074" i="70"/>
  <c r="B1074" i="70"/>
  <c r="E1074" i="70"/>
  <c r="A1074" i="70"/>
  <c r="F1078" i="70"/>
  <c r="B1078" i="70"/>
  <c r="E1078" i="70"/>
  <c r="A1078" i="70"/>
  <c r="D1061" i="70"/>
  <c r="C1061" i="70"/>
  <c r="F10" i="76" l="1"/>
  <c r="AH9" i="76"/>
  <c r="AF9" i="76"/>
  <c r="AN9" i="76"/>
  <c r="AO9" i="76"/>
  <c r="AG9" i="76"/>
  <c r="P9" i="76"/>
  <c r="G9" i="76"/>
  <c r="L9" i="76"/>
  <c r="J9" i="76"/>
  <c r="H9" i="76"/>
  <c r="F11" i="76"/>
  <c r="R11" i="76"/>
  <c r="Z10" i="76"/>
  <c r="AA10" i="76"/>
  <c r="AB10" i="76"/>
  <c r="AC10" i="76"/>
  <c r="S10" i="76"/>
  <c r="T10" i="76"/>
  <c r="U10" i="76"/>
  <c r="V10" i="76"/>
  <c r="W10" i="76"/>
  <c r="X10" i="76"/>
  <c r="Y10" i="76"/>
  <c r="AK10" i="76"/>
  <c r="AO10" i="76"/>
  <c r="AP10" i="76"/>
  <c r="AL10" i="76"/>
  <c r="AF10" i="76"/>
  <c r="AM10" i="76"/>
  <c r="AH10" i="76"/>
  <c r="AG10" i="76"/>
  <c r="AI10" i="76"/>
  <c r="AN10" i="76"/>
  <c r="AJ10" i="76"/>
  <c r="P10" i="76"/>
  <c r="Q10" i="76"/>
  <c r="G10" i="76"/>
  <c r="H10" i="76"/>
  <c r="I10" i="76"/>
  <c r="J10" i="76"/>
  <c r="K10" i="76"/>
  <c r="L10" i="76"/>
  <c r="M10" i="76"/>
  <c r="N10" i="76"/>
  <c r="O10" i="76"/>
  <c r="A11" i="76"/>
  <c r="D11" i="76"/>
  <c r="E11" i="76"/>
  <c r="B11" i="76"/>
  <c r="C11" i="76"/>
  <c r="AR12" i="76"/>
  <c r="D1078" i="70"/>
  <c r="C1078" i="70"/>
  <c r="D1074" i="70"/>
  <c r="C1074" i="70"/>
  <c r="C1077" i="70"/>
  <c r="D1077" i="70"/>
  <c r="F1068" i="70"/>
  <c r="C1067" i="70"/>
  <c r="F1086" i="70"/>
  <c r="B1086" i="70"/>
  <c r="E1086" i="70"/>
  <c r="A1086" i="70"/>
  <c r="G1088" i="70"/>
  <c r="E1085" i="70"/>
  <c r="A1085" i="70"/>
  <c r="F1085" i="70"/>
  <c r="B1085" i="70"/>
  <c r="C1082" i="70"/>
  <c r="F1089" i="70"/>
  <c r="B1089" i="70"/>
  <c r="E1089" i="70"/>
  <c r="A1089" i="70"/>
  <c r="F1106" i="70"/>
  <c r="H1096" i="70"/>
  <c r="H1092" i="70"/>
  <c r="H1103" i="70"/>
  <c r="H1101" i="70"/>
  <c r="H1099" i="70"/>
  <c r="H1097" i="70"/>
  <c r="H1095" i="70"/>
  <c r="H1093" i="70"/>
  <c r="H1102" i="70"/>
  <c r="H1100" i="70"/>
  <c r="H1098" i="70"/>
  <c r="H1094" i="70"/>
  <c r="D1076" i="70"/>
  <c r="C1076" i="70"/>
  <c r="F1079" i="70"/>
  <c r="E1079" i="70"/>
  <c r="D1075" i="70"/>
  <c r="C1075" i="70"/>
  <c r="F1088" i="70"/>
  <c r="B1088" i="70"/>
  <c r="E1088" i="70"/>
  <c r="A1088" i="70"/>
  <c r="F1090" i="70"/>
  <c r="B1090" i="70"/>
  <c r="E1090" i="70"/>
  <c r="A1090" i="70"/>
  <c r="F1087" i="70"/>
  <c r="B1087" i="70"/>
  <c r="E1087" i="70"/>
  <c r="A1087" i="70"/>
  <c r="D1073" i="70"/>
  <c r="C1073" i="70"/>
  <c r="F12" i="76"/>
  <c r="J12" i="76" l="1"/>
  <c r="G12" i="76"/>
  <c r="H12" i="76"/>
  <c r="I12" i="76"/>
  <c r="P12" i="76"/>
  <c r="O12" i="76"/>
  <c r="L12" i="76"/>
  <c r="M12" i="76"/>
  <c r="N12" i="76"/>
  <c r="K12" i="76"/>
  <c r="Q12" i="76"/>
  <c r="D12" i="76"/>
  <c r="B12" i="76"/>
  <c r="E12" i="76"/>
  <c r="C12" i="76"/>
  <c r="A12" i="76"/>
  <c r="AR13" i="76"/>
  <c r="AD12" i="76"/>
  <c r="P11" i="76"/>
  <c r="Q11" i="76"/>
  <c r="G11" i="76"/>
  <c r="H11" i="76"/>
  <c r="I11" i="76"/>
  <c r="J11" i="76"/>
  <c r="K11" i="76"/>
  <c r="L11" i="76"/>
  <c r="M11" i="76"/>
  <c r="N11" i="76"/>
  <c r="O11" i="76"/>
  <c r="Z11" i="76"/>
  <c r="AA11" i="76"/>
  <c r="T11" i="76"/>
  <c r="AC11" i="76"/>
  <c r="S11" i="76"/>
  <c r="AB11" i="76"/>
  <c r="U11" i="76"/>
  <c r="V11" i="76"/>
  <c r="W11" i="76"/>
  <c r="X11" i="76"/>
  <c r="Y11" i="76"/>
  <c r="AD11" i="76"/>
  <c r="AE11" i="76"/>
  <c r="D1087" i="70"/>
  <c r="C1087" i="70"/>
  <c r="D1090" i="70"/>
  <c r="C1090" i="70"/>
  <c r="D1088" i="70"/>
  <c r="C1088" i="70"/>
  <c r="F1080" i="70"/>
  <c r="C1079" i="70"/>
  <c r="F1100" i="70"/>
  <c r="B1100" i="70"/>
  <c r="E1100" i="70"/>
  <c r="A1100" i="70"/>
  <c r="G1100" i="70"/>
  <c r="E1097" i="70"/>
  <c r="A1097" i="70"/>
  <c r="F1097" i="70"/>
  <c r="B1097" i="70"/>
  <c r="C1094" i="70"/>
  <c r="F1101" i="70"/>
  <c r="B1101" i="70"/>
  <c r="E1101" i="70"/>
  <c r="A1101" i="70"/>
  <c r="F1118" i="70"/>
  <c r="H1105" i="70"/>
  <c r="H1115" i="70"/>
  <c r="H1107" i="70"/>
  <c r="H1109" i="70"/>
  <c r="H1111" i="70"/>
  <c r="H1113" i="70"/>
  <c r="H1106" i="70"/>
  <c r="H1108" i="70"/>
  <c r="H1110" i="70"/>
  <c r="H1112" i="70"/>
  <c r="H1114" i="70"/>
  <c r="H1104" i="70"/>
  <c r="D1089" i="70"/>
  <c r="C1089" i="70"/>
  <c r="F1091" i="70"/>
  <c r="E1091" i="70"/>
  <c r="C1086" i="70"/>
  <c r="D1086" i="70"/>
  <c r="F1098" i="70"/>
  <c r="B1098" i="70"/>
  <c r="E1098" i="70"/>
  <c r="A1098" i="70"/>
  <c r="F1102" i="70"/>
  <c r="B1102" i="70"/>
  <c r="E1102" i="70"/>
  <c r="A1102" i="70"/>
  <c r="F1099" i="70"/>
  <c r="B1099" i="70"/>
  <c r="E1099" i="70"/>
  <c r="A1099" i="70"/>
  <c r="D1085" i="70"/>
  <c r="C1085" i="70"/>
  <c r="R12" i="76"/>
  <c r="F13" i="76" l="1"/>
  <c r="R13" i="76"/>
  <c r="T12" i="76"/>
  <c r="U12" i="76"/>
  <c r="V12" i="76"/>
  <c r="AC12" i="76"/>
  <c r="W12" i="76"/>
  <c r="Y12" i="76"/>
  <c r="Z12" i="76"/>
  <c r="AA12" i="76"/>
  <c r="AB12" i="76"/>
  <c r="S12" i="76"/>
  <c r="X12" i="76"/>
  <c r="AI11" i="76"/>
  <c r="AP11" i="76"/>
  <c r="AK11" i="76"/>
  <c r="AO11" i="76"/>
  <c r="AH11" i="76"/>
  <c r="AJ11" i="76"/>
  <c r="AN11" i="76"/>
  <c r="AF11" i="76"/>
  <c r="AL11" i="76"/>
  <c r="AM11" i="76"/>
  <c r="AG11" i="76"/>
  <c r="AE12" i="76"/>
  <c r="AE13" i="76" s="1"/>
  <c r="A13" i="76"/>
  <c r="E13" i="76"/>
  <c r="B13" i="76"/>
  <c r="D13" i="76"/>
  <c r="C13" i="76"/>
  <c r="AR14" i="76"/>
  <c r="AD13" i="76"/>
  <c r="C1099" i="70"/>
  <c r="D1099" i="70"/>
  <c r="C1102" i="70"/>
  <c r="D1102" i="70"/>
  <c r="D1098" i="70"/>
  <c r="C1098" i="70"/>
  <c r="F1092" i="70"/>
  <c r="C1091" i="70"/>
  <c r="F1112" i="70"/>
  <c r="B1112" i="70"/>
  <c r="E1112" i="70"/>
  <c r="A1112" i="70"/>
  <c r="F1113" i="70"/>
  <c r="B1113" i="70"/>
  <c r="E1113" i="70"/>
  <c r="A1113" i="70"/>
  <c r="G1112" i="70"/>
  <c r="E1109" i="70"/>
  <c r="A1109" i="70"/>
  <c r="F1109" i="70"/>
  <c r="B1109" i="70"/>
  <c r="C1106" i="70"/>
  <c r="F1130" i="70"/>
  <c r="H1118" i="70"/>
  <c r="H1120" i="70"/>
  <c r="H1122" i="70"/>
  <c r="H1124" i="70"/>
  <c r="H1126" i="70"/>
  <c r="H1117" i="70"/>
  <c r="H1127" i="70"/>
  <c r="H1119" i="70"/>
  <c r="H1121" i="70"/>
  <c r="H1123" i="70"/>
  <c r="H1125" i="70"/>
  <c r="H1116" i="70"/>
  <c r="D1101" i="70"/>
  <c r="C1101" i="70"/>
  <c r="F1103" i="70"/>
  <c r="E1103" i="70"/>
  <c r="D1100" i="70"/>
  <c r="C1100" i="70"/>
  <c r="F1114" i="70"/>
  <c r="B1114" i="70"/>
  <c r="E1114" i="70"/>
  <c r="A1114" i="70"/>
  <c r="F1110" i="70"/>
  <c r="B1110" i="70"/>
  <c r="E1110" i="70"/>
  <c r="A1110" i="70"/>
  <c r="F1111" i="70"/>
  <c r="B1111" i="70"/>
  <c r="E1111" i="70"/>
  <c r="A1111" i="70"/>
  <c r="D1097" i="70"/>
  <c r="C1097" i="70"/>
  <c r="F14" i="76" l="1"/>
  <c r="AE14" i="76" s="1"/>
  <c r="R14" i="76"/>
  <c r="K13" i="76"/>
  <c r="P13" i="76"/>
  <c r="Q13" i="76"/>
  <c r="O13" i="76"/>
  <c r="H13" i="76"/>
  <c r="I13" i="76"/>
  <c r="J13" i="76"/>
  <c r="N13" i="76"/>
  <c r="L13" i="76"/>
  <c r="M13" i="76"/>
  <c r="G13" i="76"/>
  <c r="AO13" i="76"/>
  <c r="AL13" i="76"/>
  <c r="AM13" i="76"/>
  <c r="AN13" i="76"/>
  <c r="AJ13" i="76"/>
  <c r="AF13" i="76"/>
  <c r="AP13" i="76"/>
  <c r="AG13" i="76"/>
  <c r="AH13" i="76"/>
  <c r="AI13" i="76"/>
  <c r="AK13" i="76"/>
  <c r="AC13" i="76"/>
  <c r="S13" i="76"/>
  <c r="T13" i="76"/>
  <c r="AA13" i="76"/>
  <c r="W13" i="76"/>
  <c r="X13" i="76"/>
  <c r="Y13" i="76"/>
  <c r="U13" i="76"/>
  <c r="Z13" i="76"/>
  <c r="AB13" i="76"/>
  <c r="V13" i="76"/>
  <c r="B14" i="76"/>
  <c r="A14" i="76"/>
  <c r="C14" i="76"/>
  <c r="E14" i="76"/>
  <c r="D14" i="76"/>
  <c r="AR15" i="76"/>
  <c r="AI12" i="76"/>
  <c r="AF12" i="76"/>
  <c r="AO12" i="76"/>
  <c r="AG12" i="76"/>
  <c r="AK12" i="76"/>
  <c r="AP12" i="76"/>
  <c r="AM12" i="76"/>
  <c r="AH12" i="76"/>
  <c r="AN12" i="76"/>
  <c r="AL12" i="76"/>
  <c r="AJ12" i="76"/>
  <c r="C1111" i="70"/>
  <c r="D1111" i="70"/>
  <c r="C1110" i="70"/>
  <c r="D1110" i="70"/>
  <c r="C1114" i="70"/>
  <c r="D1114" i="70"/>
  <c r="F1125" i="70"/>
  <c r="B1125" i="70"/>
  <c r="E1125" i="70"/>
  <c r="A1125" i="70"/>
  <c r="G1124" i="70"/>
  <c r="E1121" i="70"/>
  <c r="A1121" i="70"/>
  <c r="F1121" i="70"/>
  <c r="B1121" i="70"/>
  <c r="C1118" i="70"/>
  <c r="F1126" i="70"/>
  <c r="B1126" i="70"/>
  <c r="E1126" i="70"/>
  <c r="A1126" i="70"/>
  <c r="F1122" i="70"/>
  <c r="B1122" i="70"/>
  <c r="E1122" i="70"/>
  <c r="A1122" i="70"/>
  <c r="C1109" i="70"/>
  <c r="D1109" i="70"/>
  <c r="F1104" i="70"/>
  <c r="C1103" i="70"/>
  <c r="F1123" i="70"/>
  <c r="B1123" i="70"/>
  <c r="E1123" i="70"/>
  <c r="A1123" i="70"/>
  <c r="E1124" i="70"/>
  <c r="F1124" i="70"/>
  <c r="B1124" i="70"/>
  <c r="A1124" i="70"/>
  <c r="F1142" i="70"/>
  <c r="H1129" i="70"/>
  <c r="H1139" i="70"/>
  <c r="H1131" i="70"/>
  <c r="H1133" i="70"/>
  <c r="H1135" i="70"/>
  <c r="H1137" i="70"/>
  <c r="H1130" i="70"/>
  <c r="H1132" i="70"/>
  <c r="H1134" i="70"/>
  <c r="H1136" i="70"/>
  <c r="H1138" i="70"/>
  <c r="H1128" i="70"/>
  <c r="F1115" i="70"/>
  <c r="E1115" i="70"/>
  <c r="C1113" i="70"/>
  <c r="D1113" i="70"/>
  <c r="C1112" i="70"/>
  <c r="D1112" i="70"/>
  <c r="F15" i="76" l="1"/>
  <c r="R15" i="76"/>
  <c r="AD14" i="76"/>
  <c r="E15" i="76"/>
  <c r="A15" i="76"/>
  <c r="B15" i="76"/>
  <c r="D15" i="76"/>
  <c r="C15" i="76"/>
  <c r="AR16" i="76"/>
  <c r="AH14" i="76"/>
  <c r="AK14" i="76"/>
  <c r="AO14" i="76"/>
  <c r="AP14" i="76"/>
  <c r="AL14" i="76"/>
  <c r="AM14" i="76"/>
  <c r="AN14" i="76"/>
  <c r="AI14" i="76"/>
  <c r="AJ14" i="76"/>
  <c r="AF14" i="76"/>
  <c r="AG14" i="76"/>
  <c r="AA14" i="76"/>
  <c r="AB14" i="76"/>
  <c r="AC14" i="76"/>
  <c r="S14" i="76"/>
  <c r="T14" i="76"/>
  <c r="U14" i="76"/>
  <c r="V14" i="76"/>
  <c r="W14" i="76"/>
  <c r="X14" i="76"/>
  <c r="Y14" i="76"/>
  <c r="Z14" i="76"/>
  <c r="L14" i="76"/>
  <c r="M14" i="76"/>
  <c r="I14" i="76"/>
  <c r="K14" i="76"/>
  <c r="O14" i="76"/>
  <c r="Q14" i="76"/>
  <c r="G14" i="76"/>
  <c r="H14" i="76"/>
  <c r="J14" i="76"/>
  <c r="N14" i="76"/>
  <c r="P14" i="76"/>
  <c r="F1116" i="70"/>
  <c r="C1115" i="70"/>
  <c r="F1136" i="70"/>
  <c r="B1136" i="70"/>
  <c r="E1136" i="70"/>
  <c r="A1136" i="70"/>
  <c r="A1137" i="70"/>
  <c r="F1137" i="70"/>
  <c r="B1137" i="70"/>
  <c r="E1137" i="70"/>
  <c r="F1133" i="70"/>
  <c r="G1136" i="70"/>
  <c r="E1133" i="70"/>
  <c r="A1133" i="70"/>
  <c r="B1133" i="70"/>
  <c r="C1130" i="70"/>
  <c r="F1154" i="70"/>
  <c r="H1142" i="70"/>
  <c r="H1144" i="70"/>
  <c r="H1146" i="70"/>
  <c r="H1148" i="70"/>
  <c r="H1150" i="70"/>
  <c r="H1141" i="70"/>
  <c r="H1151" i="70"/>
  <c r="H1143" i="70"/>
  <c r="H1145" i="70"/>
  <c r="H1147" i="70"/>
  <c r="H1149" i="70"/>
  <c r="H1140" i="70"/>
  <c r="C1123" i="70"/>
  <c r="D1123" i="70"/>
  <c r="C1122" i="70"/>
  <c r="D1122" i="70"/>
  <c r="C1126" i="70"/>
  <c r="D1126" i="70"/>
  <c r="F1127" i="70"/>
  <c r="E1127" i="70"/>
  <c r="C1125" i="70"/>
  <c r="D1125" i="70"/>
  <c r="F1138" i="70"/>
  <c r="B1138" i="70"/>
  <c r="E1138" i="70"/>
  <c r="A1138" i="70"/>
  <c r="F1134" i="70"/>
  <c r="B1134" i="70"/>
  <c r="E1134" i="70"/>
  <c r="A1134" i="70"/>
  <c r="F1135" i="70"/>
  <c r="B1135" i="70"/>
  <c r="E1135" i="70"/>
  <c r="A1135" i="70"/>
  <c r="C1124" i="70"/>
  <c r="D1124" i="70"/>
  <c r="C1121" i="70"/>
  <c r="D1121" i="70"/>
  <c r="F16" i="76" l="1"/>
  <c r="R16" i="76"/>
  <c r="AD15" i="76"/>
  <c r="AE15" i="76"/>
  <c r="AM15" i="76" s="1"/>
  <c r="AG15" i="76"/>
  <c r="AL15" i="76"/>
  <c r="E16" i="76"/>
  <c r="B16" i="76"/>
  <c r="A16" i="76"/>
  <c r="D16" i="76"/>
  <c r="C16" i="76"/>
  <c r="AR17" i="76"/>
  <c r="Q15" i="76"/>
  <c r="G15" i="76"/>
  <c r="H15" i="76"/>
  <c r="O15" i="76"/>
  <c r="I15" i="76"/>
  <c r="K15" i="76"/>
  <c r="L15" i="76"/>
  <c r="M15" i="76"/>
  <c r="N15" i="76"/>
  <c r="P15" i="76"/>
  <c r="J15" i="76"/>
  <c r="Y15" i="76"/>
  <c r="Z15" i="76"/>
  <c r="AA15" i="76"/>
  <c r="AB15" i="76"/>
  <c r="S15" i="76"/>
  <c r="X15" i="76"/>
  <c r="T15" i="76"/>
  <c r="U15" i="76"/>
  <c r="V15" i="76"/>
  <c r="AC15" i="76"/>
  <c r="W15" i="76"/>
  <c r="A1147" i="70"/>
  <c r="F1147" i="70"/>
  <c r="B1147" i="70"/>
  <c r="E1147" i="70"/>
  <c r="E1148" i="70"/>
  <c r="F1148" i="70"/>
  <c r="B1148" i="70"/>
  <c r="A1148" i="70"/>
  <c r="F1166" i="70"/>
  <c r="H1153" i="70"/>
  <c r="H1163" i="70"/>
  <c r="H1155" i="70"/>
  <c r="H1157" i="70"/>
  <c r="H1159" i="70"/>
  <c r="H1161" i="70"/>
  <c r="H1154" i="70"/>
  <c r="H1156" i="70"/>
  <c r="H1158" i="70"/>
  <c r="H1160" i="70"/>
  <c r="H1162" i="70"/>
  <c r="H1152" i="70"/>
  <c r="C1136" i="70"/>
  <c r="D1136" i="70"/>
  <c r="C1135" i="70"/>
  <c r="D1135" i="70"/>
  <c r="C1134" i="70"/>
  <c r="D1134" i="70"/>
  <c r="C1138" i="70"/>
  <c r="D1138" i="70"/>
  <c r="F1128" i="70"/>
  <c r="C1127" i="70"/>
  <c r="F1149" i="70"/>
  <c r="B1149" i="70"/>
  <c r="E1149" i="70"/>
  <c r="A1149" i="70"/>
  <c r="G1148" i="70"/>
  <c r="E1145" i="70"/>
  <c r="A1145" i="70"/>
  <c r="F1145" i="70"/>
  <c r="B1145" i="70"/>
  <c r="C1142" i="70"/>
  <c r="A1150" i="70"/>
  <c r="F1150" i="70"/>
  <c r="B1150" i="70"/>
  <c r="E1150" i="70"/>
  <c r="A1146" i="70"/>
  <c r="F1146" i="70"/>
  <c r="B1146" i="70"/>
  <c r="E1146" i="70"/>
  <c r="C1133" i="70"/>
  <c r="D1133" i="70"/>
  <c r="E1139" i="70"/>
  <c r="F1139" i="70"/>
  <c r="C1137" i="70"/>
  <c r="D1137" i="70"/>
  <c r="AH15" i="76" l="1"/>
  <c r="AO15" i="76"/>
  <c r="AN15" i="76"/>
  <c r="F17" i="76"/>
  <c r="R17" i="76"/>
  <c r="AE16" i="76"/>
  <c r="AM16" i="76" s="1"/>
  <c r="AD16" i="76"/>
  <c r="AI15" i="76"/>
  <c r="AP15" i="76"/>
  <c r="AJ15" i="76"/>
  <c r="AK15" i="76"/>
  <c r="AF15" i="76"/>
  <c r="E17" i="76"/>
  <c r="A17" i="76"/>
  <c r="C17" i="76"/>
  <c r="B17" i="76"/>
  <c r="D17" i="76"/>
  <c r="AR18" i="76"/>
  <c r="T16" i="76"/>
  <c r="U16" i="76"/>
  <c r="V16" i="76"/>
  <c r="W16" i="76"/>
  <c r="X16" i="76"/>
  <c r="Y16" i="76"/>
  <c r="Z16" i="76"/>
  <c r="AA16" i="76"/>
  <c r="AB16" i="76"/>
  <c r="AC16" i="76"/>
  <c r="S16" i="76"/>
  <c r="L16" i="76"/>
  <c r="M16" i="76"/>
  <c r="N16" i="76"/>
  <c r="O16" i="76"/>
  <c r="P16" i="76"/>
  <c r="Q16" i="76"/>
  <c r="G16" i="76"/>
  <c r="H16" i="76"/>
  <c r="I16" i="76"/>
  <c r="J16" i="76"/>
  <c r="K16" i="76"/>
  <c r="C1146" i="70"/>
  <c r="D1146" i="70"/>
  <c r="C1150" i="70"/>
  <c r="D1150" i="70"/>
  <c r="C1145" i="70"/>
  <c r="D1145" i="70"/>
  <c r="F1140" i="70"/>
  <c r="C1139" i="70"/>
  <c r="F1151" i="70"/>
  <c r="E1151" i="70"/>
  <c r="C1149" i="70"/>
  <c r="D1149" i="70"/>
  <c r="F1160" i="70"/>
  <c r="B1160" i="70"/>
  <c r="A1160" i="70"/>
  <c r="E1160" i="70"/>
  <c r="F1161" i="70"/>
  <c r="B1161" i="70"/>
  <c r="A1161" i="70"/>
  <c r="E1161" i="70"/>
  <c r="G1160" i="70"/>
  <c r="E1157" i="70"/>
  <c r="A1157" i="70"/>
  <c r="B1157" i="70"/>
  <c r="F1157" i="70"/>
  <c r="C1154" i="70"/>
  <c r="F1178" i="70"/>
  <c r="H1166" i="70"/>
  <c r="H1168" i="70"/>
  <c r="H1170" i="70"/>
  <c r="H1172" i="70"/>
  <c r="H1174" i="70"/>
  <c r="H1165" i="70"/>
  <c r="H1175" i="70"/>
  <c r="H1167" i="70"/>
  <c r="H1169" i="70"/>
  <c r="H1171" i="70"/>
  <c r="H1173" i="70"/>
  <c r="H1164" i="70"/>
  <c r="F1162" i="70"/>
  <c r="B1162" i="70"/>
  <c r="A1162" i="70"/>
  <c r="E1162" i="70"/>
  <c r="F1158" i="70"/>
  <c r="B1158" i="70"/>
  <c r="A1158" i="70"/>
  <c r="E1158" i="70"/>
  <c r="F1159" i="70"/>
  <c r="B1159" i="70"/>
  <c r="A1159" i="70"/>
  <c r="E1159" i="70"/>
  <c r="C1148" i="70"/>
  <c r="D1148" i="70"/>
  <c r="C1147" i="70"/>
  <c r="D1147" i="70"/>
  <c r="AH16" i="76" l="1"/>
  <c r="F18" i="76"/>
  <c r="R18" i="76"/>
  <c r="AK16" i="76"/>
  <c r="AO16" i="76"/>
  <c r="AG16" i="76"/>
  <c r="AF16" i="76"/>
  <c r="AP16" i="76"/>
  <c r="AL16" i="76"/>
  <c r="AJ16" i="76"/>
  <c r="AN16" i="76"/>
  <c r="AI16" i="76"/>
  <c r="M17" i="76"/>
  <c r="G17" i="76"/>
  <c r="K17" i="76"/>
  <c r="N17" i="76"/>
  <c r="P17" i="76"/>
  <c r="O17" i="76"/>
  <c r="H17" i="76"/>
  <c r="I17" i="76"/>
  <c r="J17" i="76"/>
  <c r="L17" i="76"/>
  <c r="Q17" i="76"/>
  <c r="X17" i="76"/>
  <c r="Y17" i="76"/>
  <c r="Z17" i="76"/>
  <c r="AA17" i="76"/>
  <c r="AB17" i="76"/>
  <c r="AC17" i="76"/>
  <c r="S17" i="76"/>
  <c r="T17" i="76"/>
  <c r="U17" i="76"/>
  <c r="V17" i="76"/>
  <c r="W17" i="76"/>
  <c r="AE17" i="76"/>
  <c r="AD17" i="76"/>
  <c r="B18" i="76"/>
  <c r="E18" i="76"/>
  <c r="C18" i="76"/>
  <c r="A18" i="76"/>
  <c r="D18" i="76"/>
  <c r="AR19" i="76"/>
  <c r="F1171" i="70"/>
  <c r="B1171" i="70"/>
  <c r="E1171" i="70"/>
  <c r="A1171" i="70"/>
  <c r="F1172" i="70"/>
  <c r="B1172" i="70"/>
  <c r="E1172" i="70"/>
  <c r="A1172" i="70"/>
  <c r="F1190" i="70"/>
  <c r="H1177" i="70"/>
  <c r="H1187" i="70"/>
  <c r="H1179" i="70"/>
  <c r="H1181" i="70"/>
  <c r="H1183" i="70"/>
  <c r="H1185" i="70"/>
  <c r="H1178" i="70"/>
  <c r="H1180" i="70"/>
  <c r="H1182" i="70"/>
  <c r="H1184" i="70"/>
  <c r="H1186" i="70"/>
  <c r="H1176" i="70"/>
  <c r="C1157" i="70"/>
  <c r="D1157" i="70"/>
  <c r="E1163" i="70"/>
  <c r="C1161" i="70"/>
  <c r="D1161" i="70"/>
  <c r="C1160" i="70"/>
  <c r="D1160" i="70"/>
  <c r="F1152" i="70"/>
  <c r="C1151" i="70"/>
  <c r="C1159" i="70"/>
  <c r="D1159" i="70"/>
  <c r="C1158" i="70"/>
  <c r="D1158" i="70"/>
  <c r="C1162" i="70"/>
  <c r="D1162" i="70"/>
  <c r="F1173" i="70"/>
  <c r="B1173" i="70"/>
  <c r="E1173" i="70"/>
  <c r="A1173" i="70"/>
  <c r="G1172" i="70"/>
  <c r="E1169" i="70"/>
  <c r="A1169" i="70"/>
  <c r="F1169" i="70"/>
  <c r="C1166" i="70"/>
  <c r="B1169" i="70"/>
  <c r="F1174" i="70"/>
  <c r="B1174" i="70"/>
  <c r="E1174" i="70"/>
  <c r="A1174" i="70"/>
  <c r="F1170" i="70"/>
  <c r="B1170" i="70"/>
  <c r="E1170" i="70"/>
  <c r="A1170" i="70"/>
  <c r="F1163" i="70"/>
  <c r="F19" i="76"/>
  <c r="I19" i="76" l="1"/>
  <c r="J19" i="76"/>
  <c r="K19" i="76"/>
  <c r="L19" i="76"/>
  <c r="M19" i="76"/>
  <c r="N19" i="76"/>
  <c r="O19" i="76"/>
  <c r="P19" i="76"/>
  <c r="Q19" i="76"/>
  <c r="G19" i="76"/>
  <c r="H19" i="76"/>
  <c r="L18" i="76"/>
  <c r="M18" i="76"/>
  <c r="N18" i="76"/>
  <c r="O18" i="76"/>
  <c r="P18" i="76"/>
  <c r="Q18" i="76"/>
  <c r="G18" i="76"/>
  <c r="H18" i="76"/>
  <c r="I18" i="76"/>
  <c r="J18" i="76"/>
  <c r="K18" i="76"/>
  <c r="AE18" i="76"/>
  <c r="AD18" i="76"/>
  <c r="X18" i="76"/>
  <c r="Y18" i="76"/>
  <c r="Z18" i="76"/>
  <c r="AA18" i="76"/>
  <c r="AC18" i="76"/>
  <c r="W18" i="76"/>
  <c r="S18" i="76"/>
  <c r="T18" i="76"/>
  <c r="U18" i="76"/>
  <c r="AB18" i="76"/>
  <c r="V18" i="76"/>
  <c r="D19" i="76"/>
  <c r="C19" i="76"/>
  <c r="E19" i="76"/>
  <c r="B19" i="76"/>
  <c r="A19" i="76"/>
  <c r="AE19" i="76"/>
  <c r="AR20" i="76"/>
  <c r="AD19" i="76"/>
  <c r="AK17" i="76"/>
  <c r="AO17" i="76"/>
  <c r="AF17" i="76"/>
  <c r="AG17" i="76"/>
  <c r="AI17" i="76"/>
  <c r="AL17" i="76"/>
  <c r="AM17" i="76"/>
  <c r="AP17" i="76"/>
  <c r="AN17" i="76"/>
  <c r="AJ17" i="76"/>
  <c r="AH17" i="76"/>
  <c r="F1164" i="70"/>
  <c r="C1163" i="70"/>
  <c r="F1184" i="70"/>
  <c r="B1184" i="70"/>
  <c r="A1184" i="70"/>
  <c r="E1184" i="70"/>
  <c r="F1185" i="70"/>
  <c r="B1185" i="70"/>
  <c r="A1185" i="70"/>
  <c r="E1185" i="70"/>
  <c r="G1184" i="70"/>
  <c r="E1181" i="70"/>
  <c r="A1181" i="70"/>
  <c r="B1181" i="70"/>
  <c r="F1181" i="70"/>
  <c r="C1178" i="70"/>
  <c r="H1190" i="70"/>
  <c r="H1192" i="70"/>
  <c r="H1194" i="70"/>
  <c r="H1196" i="70"/>
  <c r="H1198" i="70"/>
  <c r="H1189" i="70"/>
  <c r="H1199" i="70"/>
  <c r="H1191" i="70"/>
  <c r="H1193" i="70"/>
  <c r="H1195" i="70"/>
  <c r="H1197" i="70"/>
  <c r="H1188" i="70"/>
  <c r="C1172" i="70"/>
  <c r="D1172" i="70"/>
  <c r="C1171" i="70"/>
  <c r="D1171" i="70"/>
  <c r="C1170" i="70"/>
  <c r="D1170" i="70"/>
  <c r="C1174" i="70"/>
  <c r="D1174" i="70"/>
  <c r="C1169" i="70"/>
  <c r="D1169" i="70"/>
  <c r="F1175" i="70"/>
  <c r="E1175" i="70"/>
  <c r="C1173" i="70"/>
  <c r="D1173" i="70"/>
  <c r="F1186" i="70"/>
  <c r="B1186" i="70"/>
  <c r="A1186" i="70"/>
  <c r="E1186" i="70"/>
  <c r="F1182" i="70"/>
  <c r="B1182" i="70"/>
  <c r="A1182" i="70"/>
  <c r="E1182" i="70"/>
  <c r="F1183" i="70"/>
  <c r="B1183" i="70"/>
  <c r="A1183" i="70"/>
  <c r="E1183" i="70"/>
  <c r="R19" i="76"/>
  <c r="F20" i="76" l="1"/>
  <c r="R20" i="76"/>
  <c r="AC19" i="76"/>
  <c r="S19" i="76"/>
  <c r="T19" i="76"/>
  <c r="U19" i="76"/>
  <c r="V19" i="76"/>
  <c r="W19" i="76"/>
  <c r="X19" i="76"/>
  <c r="Y19" i="76"/>
  <c r="Z19" i="76"/>
  <c r="AA19" i="76"/>
  <c r="AB19" i="76"/>
  <c r="D20" i="76"/>
  <c r="C20" i="76"/>
  <c r="E20" i="76"/>
  <c r="B20" i="76"/>
  <c r="A20" i="76"/>
  <c r="AD20" i="76"/>
  <c r="AE20" i="76"/>
  <c r="AR21" i="76"/>
  <c r="AO19" i="76"/>
  <c r="AP19" i="76"/>
  <c r="AF19" i="76"/>
  <c r="AG19" i="76"/>
  <c r="AI19" i="76"/>
  <c r="AN19" i="76"/>
  <c r="AJ19" i="76"/>
  <c r="AK19" i="76"/>
  <c r="AL19" i="76"/>
  <c r="AH19" i="76"/>
  <c r="AM19" i="76"/>
  <c r="AK18" i="76"/>
  <c r="AM18" i="76"/>
  <c r="AI18" i="76"/>
  <c r="AN18" i="76"/>
  <c r="AO18" i="76"/>
  <c r="AG18" i="76"/>
  <c r="AH18" i="76"/>
  <c r="AL18" i="76"/>
  <c r="AP18" i="76"/>
  <c r="AF18" i="76"/>
  <c r="AJ18" i="76"/>
  <c r="F1195" i="70"/>
  <c r="B1195" i="70"/>
  <c r="A1195" i="70"/>
  <c r="E1195" i="70"/>
  <c r="F1196" i="70"/>
  <c r="B1196" i="70"/>
  <c r="A1196" i="70"/>
  <c r="E1196" i="70"/>
  <c r="F1187" i="70"/>
  <c r="C1183" i="70"/>
  <c r="D1183" i="70"/>
  <c r="C1182" i="70"/>
  <c r="D1182" i="70"/>
  <c r="C1186" i="70"/>
  <c r="D1186" i="70"/>
  <c r="F1176" i="70"/>
  <c r="C1175" i="70"/>
  <c r="F1197" i="70"/>
  <c r="B1197" i="70"/>
  <c r="A1197" i="70"/>
  <c r="E1197" i="70"/>
  <c r="G1196" i="70"/>
  <c r="E1193" i="70"/>
  <c r="A1193" i="70"/>
  <c r="B1193" i="70"/>
  <c r="F1193" i="70"/>
  <c r="C1190" i="70"/>
  <c r="F1198" i="70"/>
  <c r="B1198" i="70"/>
  <c r="A1198" i="70"/>
  <c r="E1198" i="70"/>
  <c r="F1194" i="70"/>
  <c r="B1194" i="70"/>
  <c r="A1194" i="70"/>
  <c r="E1194" i="70"/>
  <c r="C1181" i="70"/>
  <c r="D1181" i="70"/>
  <c r="E1187" i="70"/>
  <c r="C1185" i="70"/>
  <c r="D1185" i="70"/>
  <c r="C1184" i="70"/>
  <c r="D1184" i="70"/>
  <c r="F21" i="76" l="1"/>
  <c r="R21" i="76"/>
  <c r="L20" i="76"/>
  <c r="M20" i="76"/>
  <c r="N20" i="76"/>
  <c r="O20" i="76"/>
  <c r="P20" i="76"/>
  <c r="Q20" i="76"/>
  <c r="G20" i="76"/>
  <c r="H20" i="76"/>
  <c r="I20" i="76"/>
  <c r="J20" i="76"/>
  <c r="K20" i="76"/>
  <c r="AO20" i="76"/>
  <c r="AP20" i="76"/>
  <c r="AF20" i="76"/>
  <c r="AM20" i="76"/>
  <c r="AG20" i="76"/>
  <c r="AI20" i="76"/>
  <c r="AJ20" i="76"/>
  <c r="AK20" i="76"/>
  <c r="AL20" i="76"/>
  <c r="AN20" i="76"/>
  <c r="AH20" i="76"/>
  <c r="W20" i="76"/>
  <c r="X20" i="76"/>
  <c r="T20" i="76"/>
  <c r="U20" i="76"/>
  <c r="V20" i="76"/>
  <c r="AB20" i="76"/>
  <c r="AC20" i="76"/>
  <c r="S20" i="76"/>
  <c r="Z20" i="76"/>
  <c r="AA20" i="76"/>
  <c r="Y20" i="76"/>
  <c r="A21" i="76"/>
  <c r="D21" i="76"/>
  <c r="E21" i="76"/>
  <c r="B21" i="76"/>
  <c r="C21" i="76"/>
  <c r="AR22" i="76"/>
  <c r="F1188" i="70"/>
  <c r="C1187" i="70"/>
  <c r="C1194" i="70"/>
  <c r="D1194" i="70"/>
  <c r="C1198" i="70"/>
  <c r="D1198" i="70"/>
  <c r="C1193" i="70"/>
  <c r="D1193" i="70"/>
  <c r="E1199" i="70"/>
  <c r="C1197" i="70"/>
  <c r="D1197" i="70"/>
  <c r="F1199" i="70"/>
  <c r="C1196" i="70"/>
  <c r="D1196" i="70"/>
  <c r="C1195" i="70"/>
  <c r="D1195" i="70"/>
  <c r="F22" i="76"/>
  <c r="R22" i="76"/>
  <c r="AD21" i="76" l="1"/>
  <c r="Q22" i="76"/>
  <c r="G22" i="76"/>
  <c r="H22" i="76"/>
  <c r="I22" i="76"/>
  <c r="J22" i="76"/>
  <c r="K22" i="76"/>
  <c r="L22" i="76"/>
  <c r="M22" i="76"/>
  <c r="N22" i="76"/>
  <c r="O22" i="76"/>
  <c r="P22" i="76"/>
  <c r="AE21" i="76"/>
  <c r="Y21" i="76"/>
  <c r="Z21" i="76"/>
  <c r="AA21" i="76"/>
  <c r="AB21" i="76"/>
  <c r="AC21" i="76"/>
  <c r="S21" i="76"/>
  <c r="T21" i="76"/>
  <c r="U21" i="76"/>
  <c r="V21" i="76"/>
  <c r="W21" i="76"/>
  <c r="X21" i="76"/>
  <c r="P21" i="76"/>
  <c r="L21" i="76"/>
  <c r="M21" i="76"/>
  <c r="G21" i="76"/>
  <c r="K21" i="76"/>
  <c r="H21" i="76"/>
  <c r="Q21" i="76"/>
  <c r="O21" i="76"/>
  <c r="N21" i="76"/>
  <c r="I21" i="76"/>
  <c r="J21" i="76"/>
  <c r="C22" i="76"/>
  <c r="B22" i="76"/>
  <c r="A22" i="76"/>
  <c r="D22" i="76"/>
  <c r="E22" i="76"/>
  <c r="AD22" i="76"/>
  <c r="AR23" i="76"/>
  <c r="AE22" i="76"/>
  <c r="F1200" i="70"/>
  <c r="C1199" i="70"/>
  <c r="F23" i="76" l="1"/>
  <c r="R23" i="76"/>
  <c r="V22" i="76"/>
  <c r="W22" i="76"/>
  <c r="Z22" i="76"/>
  <c r="Y22" i="76"/>
  <c r="AC22" i="76"/>
  <c r="U22" i="76"/>
  <c r="AB22" i="76"/>
  <c r="X22" i="76"/>
  <c r="AA22" i="76"/>
  <c r="T22" i="76"/>
  <c r="S22" i="76"/>
  <c r="AM22" i="76"/>
  <c r="AJ22" i="76"/>
  <c r="AG22" i="76"/>
  <c r="AO22" i="76"/>
  <c r="AL22" i="76"/>
  <c r="AN22" i="76"/>
  <c r="AK22" i="76"/>
  <c r="AH22" i="76"/>
  <c r="AI22" i="76"/>
  <c r="AF22" i="76"/>
  <c r="AP22" i="76"/>
  <c r="AJ21" i="76"/>
  <c r="AK21" i="76"/>
  <c r="AN21" i="76"/>
  <c r="AM21" i="76"/>
  <c r="AF21" i="76"/>
  <c r="AO21" i="76"/>
  <c r="AP21" i="76"/>
  <c r="AI21" i="76"/>
  <c r="AG21" i="76"/>
  <c r="AH21" i="76"/>
  <c r="AL21" i="76"/>
  <c r="C23" i="76"/>
  <c r="E23" i="76"/>
  <c r="A23" i="76"/>
  <c r="D23" i="76"/>
  <c r="B23" i="76"/>
  <c r="AD23" i="76"/>
  <c r="AE23" i="76"/>
  <c r="AR24" i="76"/>
  <c r="F24" i="76" l="1"/>
  <c r="R24" i="76"/>
  <c r="AJ23" i="76"/>
  <c r="AK23" i="76"/>
  <c r="AG23" i="76"/>
  <c r="AH23" i="76"/>
  <c r="AI23" i="76"/>
  <c r="AO23" i="76"/>
  <c r="AP23" i="76"/>
  <c r="AL23" i="76"/>
  <c r="AM23" i="76"/>
  <c r="AN23" i="76"/>
  <c r="AF23" i="76"/>
  <c r="N23" i="76"/>
  <c r="O23" i="76"/>
  <c r="P23" i="76"/>
  <c r="Q23" i="76"/>
  <c r="G23" i="76"/>
  <c r="H23" i="76"/>
  <c r="I23" i="76"/>
  <c r="J23" i="76"/>
  <c r="K23" i="76"/>
  <c r="L23" i="76"/>
  <c r="M23" i="76"/>
  <c r="E24" i="76"/>
  <c r="C24" i="76"/>
  <c r="B24" i="76"/>
  <c r="A24" i="76"/>
  <c r="D24" i="76"/>
  <c r="AR25" i="76"/>
  <c r="U23" i="76"/>
  <c r="V23" i="76"/>
  <c r="W23" i="76"/>
  <c r="S23" i="76"/>
  <c r="X23" i="76"/>
  <c r="Z23" i="76"/>
  <c r="AA23" i="76"/>
  <c r="AB23" i="76"/>
  <c r="AC23" i="76"/>
  <c r="T23" i="76"/>
  <c r="Y23" i="76"/>
  <c r="F25" i="76" l="1"/>
  <c r="R25" i="76"/>
  <c r="AC24" i="76"/>
  <c r="S24" i="76"/>
  <c r="T24" i="76"/>
  <c r="U24" i="76"/>
  <c r="V24" i="76"/>
  <c r="W24" i="76"/>
  <c r="X24" i="76"/>
  <c r="Y24" i="76"/>
  <c r="Z24" i="76"/>
  <c r="AA24" i="76"/>
  <c r="AB24" i="76"/>
  <c r="L24" i="76"/>
  <c r="P24" i="76"/>
  <c r="Q24" i="76"/>
  <c r="O24" i="76"/>
  <c r="H24" i="76"/>
  <c r="I24" i="76"/>
  <c r="G24" i="76"/>
  <c r="K24" i="76"/>
  <c r="J24" i="76"/>
  <c r="M24" i="76"/>
  <c r="N24" i="76"/>
  <c r="AD24" i="76"/>
  <c r="AE24" i="76"/>
  <c r="B25" i="76"/>
  <c r="E25" i="76"/>
  <c r="C25" i="76"/>
  <c r="A25" i="76"/>
  <c r="D25" i="76"/>
  <c r="AR26" i="76"/>
  <c r="F26" i="76" l="1"/>
  <c r="R26" i="76"/>
  <c r="L25" i="76"/>
  <c r="M25" i="76"/>
  <c r="G25" i="76"/>
  <c r="K25" i="76"/>
  <c r="P25" i="76"/>
  <c r="Q25" i="76"/>
  <c r="O25" i="76"/>
  <c r="H25" i="76"/>
  <c r="I25" i="76"/>
  <c r="J25" i="76"/>
  <c r="N25" i="76"/>
  <c r="AE25" i="76"/>
  <c r="AD25" i="76"/>
  <c r="T25" i="76"/>
  <c r="U25" i="76"/>
  <c r="V25" i="76"/>
  <c r="X25" i="76"/>
  <c r="Y25" i="76"/>
  <c r="Z25" i="76"/>
  <c r="AA25" i="76"/>
  <c r="AB25" i="76"/>
  <c r="AC25" i="76"/>
  <c r="S25" i="76"/>
  <c r="W25" i="76"/>
  <c r="B26" i="76"/>
  <c r="A26" i="76"/>
  <c r="C26" i="76"/>
  <c r="E26" i="76"/>
  <c r="D26" i="76"/>
  <c r="AR27" i="76"/>
  <c r="AH24" i="76"/>
  <c r="AL24" i="76"/>
  <c r="AN24" i="76"/>
  <c r="AG24" i="76"/>
  <c r="AJ24" i="76"/>
  <c r="AO24" i="76"/>
  <c r="AP24" i="76"/>
  <c r="AK24" i="76"/>
  <c r="AM24" i="76"/>
  <c r="AF24" i="76"/>
  <c r="AI24" i="76"/>
  <c r="AE26" i="76" l="1"/>
  <c r="AN26" i="76" s="1"/>
  <c r="F27" i="76"/>
  <c r="R27" i="76"/>
  <c r="M26" i="76"/>
  <c r="N26" i="76"/>
  <c r="O26" i="76"/>
  <c r="Q26" i="76"/>
  <c r="H26" i="76"/>
  <c r="I26" i="76"/>
  <c r="J26" i="76"/>
  <c r="K26" i="76"/>
  <c r="L26" i="76"/>
  <c r="P26" i="76"/>
  <c r="G26" i="76"/>
  <c r="A27" i="76"/>
  <c r="D27" i="76"/>
  <c r="E27" i="76"/>
  <c r="B27" i="76"/>
  <c r="C27" i="76"/>
  <c r="AR28" i="76"/>
  <c r="AK25" i="76"/>
  <c r="AH25" i="76"/>
  <c r="AM25" i="76"/>
  <c r="AJ25" i="76"/>
  <c r="AG25" i="76"/>
  <c r="AL25" i="76"/>
  <c r="AO25" i="76"/>
  <c r="AI25" i="76"/>
  <c r="AF25" i="76"/>
  <c r="AP25" i="76"/>
  <c r="AN25" i="76"/>
  <c r="U26" i="76"/>
  <c r="Y26" i="76"/>
  <c r="AA26" i="76"/>
  <c r="AB26" i="76"/>
  <c r="V26" i="76"/>
  <c r="Z26" i="76"/>
  <c r="S26" i="76"/>
  <c r="T26" i="76"/>
  <c r="X26" i="76"/>
  <c r="AC26" i="76"/>
  <c r="W26" i="76"/>
  <c r="AD26" i="76"/>
  <c r="AE27" i="76" s="1"/>
  <c r="R28" i="76"/>
  <c r="F28" i="76"/>
  <c r="AM26" i="76" l="1"/>
  <c r="AH26" i="76"/>
  <c r="AI26" i="76"/>
  <c r="AK26" i="76"/>
  <c r="AF26" i="76"/>
  <c r="AL26" i="76"/>
  <c r="AO26" i="76"/>
  <c r="AG26" i="76"/>
  <c r="AP26" i="76"/>
  <c r="AJ26" i="76"/>
  <c r="L28" i="76"/>
  <c r="M28" i="76"/>
  <c r="N28" i="76"/>
  <c r="O28" i="76"/>
  <c r="P28" i="76"/>
  <c r="Q28" i="76"/>
  <c r="G28" i="76"/>
  <c r="H28" i="76"/>
  <c r="I28" i="76"/>
  <c r="J28" i="76"/>
  <c r="K28" i="76"/>
  <c r="AM27" i="76"/>
  <c r="AJ27" i="76"/>
  <c r="AG27" i="76"/>
  <c r="AN27" i="76"/>
  <c r="AO27" i="76"/>
  <c r="AL27" i="76"/>
  <c r="AF27" i="76"/>
  <c r="AH27" i="76"/>
  <c r="AI27" i="76"/>
  <c r="AP27" i="76"/>
  <c r="AK27" i="76"/>
  <c r="AD27" i="76"/>
  <c r="B28" i="76"/>
  <c r="E28" i="76"/>
  <c r="C28" i="76"/>
  <c r="A28" i="76"/>
  <c r="D28" i="76"/>
  <c r="AR29" i="76"/>
  <c r="AD28" i="76"/>
  <c r="AE28" i="76"/>
  <c r="G27" i="76"/>
  <c r="J27" i="76"/>
  <c r="K27" i="76"/>
  <c r="L27" i="76"/>
  <c r="M27" i="76"/>
  <c r="N27" i="76"/>
  <c r="O27" i="76"/>
  <c r="P27" i="76"/>
  <c r="Q27" i="76"/>
  <c r="H27" i="76"/>
  <c r="I27" i="76"/>
  <c r="Y27" i="76"/>
  <c r="Z27" i="76"/>
  <c r="AA27" i="76"/>
  <c r="AB27" i="76"/>
  <c r="AC27" i="76"/>
  <c r="S27" i="76"/>
  <c r="T27" i="76"/>
  <c r="U27" i="76"/>
  <c r="V27" i="76"/>
  <c r="W27" i="76"/>
  <c r="X27" i="76"/>
  <c r="F29" i="76" l="1"/>
  <c r="R29" i="76"/>
  <c r="Z28" i="76"/>
  <c r="AA28" i="76"/>
  <c r="AB28" i="76"/>
  <c r="AC28" i="76"/>
  <c r="S28" i="76"/>
  <c r="T28" i="76"/>
  <c r="U28" i="76"/>
  <c r="V28" i="76"/>
  <c r="W28" i="76"/>
  <c r="X28" i="76"/>
  <c r="Y28" i="76"/>
  <c r="AO28" i="76"/>
  <c r="AP28" i="76"/>
  <c r="AF28" i="76"/>
  <c r="AI28" i="76"/>
  <c r="AG28" i="76"/>
  <c r="AN28" i="76"/>
  <c r="AK28" i="76"/>
  <c r="AJ28" i="76"/>
  <c r="AM28" i="76"/>
  <c r="AH28" i="76"/>
  <c r="AL28" i="76"/>
  <c r="C29" i="76"/>
  <c r="A29" i="76"/>
  <c r="D29" i="76"/>
  <c r="B29" i="76"/>
  <c r="E29" i="76"/>
  <c r="AR30" i="76"/>
  <c r="AD29" i="76"/>
  <c r="AE29" i="76"/>
  <c r="F30" i="76" l="1"/>
  <c r="R30" i="76"/>
  <c r="AJ29" i="76"/>
  <c r="AN29" i="76"/>
  <c r="AK29" i="76"/>
  <c r="AH29" i="76"/>
  <c r="AO29" i="76"/>
  <c r="AG29" i="76"/>
  <c r="AL29" i="76"/>
  <c r="AP29" i="76"/>
  <c r="AI29" i="76"/>
  <c r="AF29" i="76"/>
  <c r="AM29" i="76"/>
  <c r="L29" i="76"/>
  <c r="M29" i="76"/>
  <c r="G29" i="76"/>
  <c r="K29" i="76"/>
  <c r="P29" i="76"/>
  <c r="Q29" i="76"/>
  <c r="O29" i="76"/>
  <c r="H29" i="76"/>
  <c r="I29" i="76"/>
  <c r="J29" i="76"/>
  <c r="N29" i="76"/>
  <c r="A30" i="76"/>
  <c r="E30" i="76"/>
  <c r="D30" i="76"/>
  <c r="B30" i="76"/>
  <c r="C30" i="76"/>
  <c r="AR31" i="76"/>
  <c r="AE30" i="76"/>
  <c r="AB29" i="76"/>
  <c r="AC29" i="76"/>
  <c r="S29" i="76"/>
  <c r="U29" i="76"/>
  <c r="Y29" i="76"/>
  <c r="AA29" i="76"/>
  <c r="W29" i="76"/>
  <c r="X29" i="76"/>
  <c r="T29" i="76"/>
  <c r="V29" i="76"/>
  <c r="Z29" i="76"/>
  <c r="F31" i="76" l="1"/>
  <c r="R31" i="76"/>
  <c r="O30" i="76"/>
  <c r="G30" i="76"/>
  <c r="H30" i="76"/>
  <c r="I30" i="76"/>
  <c r="J30" i="76"/>
  <c r="K30" i="76"/>
  <c r="L30" i="76"/>
  <c r="M30" i="76"/>
  <c r="N30" i="76"/>
  <c r="P30" i="76"/>
  <c r="Q30" i="76"/>
  <c r="A31" i="76"/>
  <c r="B31" i="76"/>
  <c r="D31" i="76"/>
  <c r="E31" i="76"/>
  <c r="C31" i="76"/>
  <c r="AR32" i="76"/>
  <c r="AH30" i="76"/>
  <c r="AP30" i="76"/>
  <c r="AK30" i="76"/>
  <c r="AJ30" i="76"/>
  <c r="AG30" i="76"/>
  <c r="AO30" i="76"/>
  <c r="AI30" i="76"/>
  <c r="AL30" i="76"/>
  <c r="AN30" i="76"/>
  <c r="AM30" i="76"/>
  <c r="AF30" i="76"/>
  <c r="AB30" i="76"/>
  <c r="AC30" i="76"/>
  <c r="S30" i="76"/>
  <c r="T30" i="76"/>
  <c r="U30" i="76"/>
  <c r="V30" i="76"/>
  <c r="W30" i="76"/>
  <c r="X30" i="76"/>
  <c r="Y30" i="76"/>
  <c r="Z30" i="76"/>
  <c r="AA30" i="76"/>
  <c r="AD30" i="76"/>
  <c r="F32" i="76" l="1"/>
  <c r="R32" i="76"/>
  <c r="AD31" i="76"/>
  <c r="X31" i="76"/>
  <c r="AC31" i="76"/>
  <c r="AB31" i="76"/>
  <c r="U31" i="76"/>
  <c r="Y31" i="76"/>
  <c r="AA31" i="76"/>
  <c r="Z31" i="76"/>
  <c r="V31" i="76"/>
  <c r="W31" i="76"/>
  <c r="S31" i="76"/>
  <c r="T31" i="76"/>
  <c r="AE31" i="76"/>
  <c r="G31" i="76"/>
  <c r="K31" i="76"/>
  <c r="O31" i="76"/>
  <c r="H31" i="76"/>
  <c r="L31" i="76"/>
  <c r="M31" i="76"/>
  <c r="P31" i="76"/>
  <c r="I31" i="76"/>
  <c r="J31" i="76"/>
  <c r="Q31" i="76"/>
  <c r="N31" i="76"/>
  <c r="A32" i="76"/>
  <c r="E32" i="76"/>
  <c r="C32" i="76"/>
  <c r="B32" i="76"/>
  <c r="D32" i="76"/>
  <c r="AR33" i="76"/>
  <c r="F33" i="76" l="1"/>
  <c r="R33" i="76"/>
  <c r="AE32" i="76"/>
  <c r="AN32" i="76" s="1"/>
  <c r="K32" i="76"/>
  <c r="Q32" i="76"/>
  <c r="G32" i="76"/>
  <c r="M32" i="76"/>
  <c r="N32" i="76"/>
  <c r="I32" i="76"/>
  <c r="O32" i="76"/>
  <c r="J32" i="76"/>
  <c r="H32" i="76"/>
  <c r="L32" i="76"/>
  <c r="P32" i="76"/>
  <c r="E33" i="76"/>
  <c r="C33" i="76"/>
  <c r="A33" i="76"/>
  <c r="B33" i="76"/>
  <c r="D33" i="76"/>
  <c r="AR34" i="76"/>
  <c r="Y32" i="76"/>
  <c r="T32" i="76"/>
  <c r="Z32" i="76"/>
  <c r="U32" i="76"/>
  <c r="AA32" i="76"/>
  <c r="V32" i="76"/>
  <c r="AB32" i="76"/>
  <c r="W32" i="76"/>
  <c r="AC32" i="76"/>
  <c r="X32" i="76"/>
  <c r="S32" i="76"/>
  <c r="AH31" i="76"/>
  <c r="AI31" i="76"/>
  <c r="AO31" i="76"/>
  <c r="AJ31" i="76"/>
  <c r="AP31" i="76"/>
  <c r="AN31" i="76"/>
  <c r="AF31" i="76"/>
  <c r="AL31" i="76"/>
  <c r="AG31" i="76"/>
  <c r="AM31" i="76"/>
  <c r="AK31" i="76"/>
  <c r="AD32" i="76"/>
  <c r="AE33" i="76" s="1"/>
  <c r="F34" i="76"/>
  <c r="R34" i="76"/>
  <c r="AJ32" i="76" l="1"/>
  <c r="AF32" i="76"/>
  <c r="AM32" i="76"/>
  <c r="AI32" i="76"/>
  <c r="AK32" i="76"/>
  <c r="AO32" i="76"/>
  <c r="AL32" i="76"/>
  <c r="AH32" i="76"/>
  <c r="AP32" i="76"/>
  <c r="AG32" i="76"/>
  <c r="N34" i="76"/>
  <c r="I34" i="76"/>
  <c r="O34" i="76"/>
  <c r="J34" i="76"/>
  <c r="P34" i="76"/>
  <c r="K34" i="76"/>
  <c r="Q34" i="76"/>
  <c r="L34" i="76"/>
  <c r="G34" i="76"/>
  <c r="M34" i="76"/>
  <c r="H34" i="76"/>
  <c r="AK33" i="76"/>
  <c r="AL33" i="76"/>
  <c r="AG33" i="76"/>
  <c r="AO33" i="76"/>
  <c r="AM33" i="76"/>
  <c r="AF33" i="76"/>
  <c r="AH33" i="76"/>
  <c r="AI33" i="76"/>
  <c r="AJ33" i="76"/>
  <c r="AP33" i="76"/>
  <c r="AN33" i="76"/>
  <c r="AD33" i="76"/>
  <c r="T33" i="76"/>
  <c r="Z33" i="76"/>
  <c r="U33" i="76"/>
  <c r="AA33" i="76"/>
  <c r="Y33" i="76"/>
  <c r="S33" i="76"/>
  <c r="W33" i="76"/>
  <c r="AC33" i="76"/>
  <c r="X33" i="76"/>
  <c r="V33" i="76"/>
  <c r="AB33" i="76"/>
  <c r="E34" i="76"/>
  <c r="A34" i="76"/>
  <c r="D34" i="76"/>
  <c r="C34" i="76"/>
  <c r="B34" i="76"/>
  <c r="AR35" i="76"/>
  <c r="AE34" i="76"/>
  <c r="AD34" i="76"/>
  <c r="G33" i="76"/>
  <c r="I33" i="76"/>
  <c r="K33" i="76"/>
  <c r="J33" i="76"/>
  <c r="H33" i="76"/>
  <c r="P33" i="76"/>
  <c r="Q33" i="76"/>
  <c r="L33" i="76"/>
  <c r="O33" i="76"/>
  <c r="M33" i="76"/>
  <c r="N33" i="76"/>
  <c r="F35" i="76" l="1"/>
  <c r="R35" i="76"/>
  <c r="X34" i="76"/>
  <c r="S34" i="76"/>
  <c r="Y34" i="76"/>
  <c r="T34" i="76"/>
  <c r="Z34" i="76"/>
  <c r="U34" i="76"/>
  <c r="AA34" i="76"/>
  <c r="V34" i="76"/>
  <c r="AB34" i="76"/>
  <c r="W34" i="76"/>
  <c r="AC34" i="76"/>
  <c r="AP34" i="76"/>
  <c r="AN34" i="76"/>
  <c r="AG34" i="76"/>
  <c r="AI34" i="76"/>
  <c r="AJ34" i="76"/>
  <c r="AL34" i="76"/>
  <c r="AF34" i="76"/>
  <c r="AM34" i="76"/>
  <c r="AK34" i="76"/>
  <c r="AH34" i="76"/>
  <c r="AO34" i="76"/>
  <c r="B35" i="76"/>
  <c r="A35" i="76"/>
  <c r="D35" i="76"/>
  <c r="E35" i="76"/>
  <c r="C35" i="76"/>
  <c r="AD35" i="76"/>
  <c r="AR36" i="76"/>
  <c r="AE35" i="76"/>
  <c r="F36" i="76" l="1"/>
  <c r="R36" i="76"/>
  <c r="AO35" i="76"/>
  <c r="AN35" i="76"/>
  <c r="AH35" i="76"/>
  <c r="AG35" i="76"/>
  <c r="AK35" i="76"/>
  <c r="AJ35" i="76"/>
  <c r="AI35" i="76"/>
  <c r="AF35" i="76"/>
  <c r="AM35" i="76"/>
  <c r="AL35" i="76"/>
  <c r="AP35" i="76"/>
  <c r="E36" i="76"/>
  <c r="B36" i="76"/>
  <c r="D36" i="76"/>
  <c r="C36" i="76"/>
  <c r="A36" i="76"/>
  <c r="AR37" i="76"/>
  <c r="AE36" i="76"/>
  <c r="O35" i="76"/>
  <c r="H35" i="76"/>
  <c r="N35" i="76"/>
  <c r="I35" i="76"/>
  <c r="G35" i="76"/>
  <c r="P35" i="76"/>
  <c r="M35" i="76"/>
  <c r="K35" i="76"/>
  <c r="Q35" i="76"/>
  <c r="L35" i="76"/>
  <c r="J35" i="76"/>
  <c r="AA35" i="76"/>
  <c r="V35" i="76"/>
  <c r="AB35" i="76"/>
  <c r="W35" i="76"/>
  <c r="U35" i="76"/>
  <c r="AC35" i="76"/>
  <c r="S35" i="76"/>
  <c r="Y35" i="76"/>
  <c r="T35" i="76"/>
  <c r="Z35" i="76"/>
  <c r="X35" i="76"/>
  <c r="F37" i="76" l="1"/>
  <c r="R37" i="76"/>
  <c r="AL36" i="76"/>
  <c r="AN36" i="76"/>
  <c r="AI36" i="76"/>
  <c r="AH36" i="76"/>
  <c r="AO36" i="76"/>
  <c r="AG36" i="76"/>
  <c r="AP36" i="76"/>
  <c r="AM36" i="76"/>
  <c r="AF36" i="76"/>
  <c r="AJ36" i="76"/>
  <c r="AK36" i="76"/>
  <c r="AA36" i="76"/>
  <c r="V36" i="76"/>
  <c r="AB36" i="76"/>
  <c r="W36" i="76"/>
  <c r="AC36" i="76"/>
  <c r="X36" i="76"/>
  <c r="S36" i="76"/>
  <c r="Y36" i="76"/>
  <c r="T36" i="76"/>
  <c r="Z36" i="76"/>
  <c r="U36" i="76"/>
  <c r="Q36" i="76"/>
  <c r="L36" i="76"/>
  <c r="G36" i="76"/>
  <c r="M36" i="76"/>
  <c r="H36" i="76"/>
  <c r="N36" i="76"/>
  <c r="I36" i="76"/>
  <c r="O36" i="76"/>
  <c r="J36" i="76"/>
  <c r="P36" i="76"/>
  <c r="K36" i="76"/>
  <c r="AD36" i="76"/>
  <c r="A37" i="76"/>
  <c r="C37" i="76"/>
  <c r="D37" i="76"/>
  <c r="E37" i="76"/>
  <c r="B37" i="76"/>
  <c r="AR38" i="76"/>
  <c r="F38" i="76" l="1"/>
  <c r="R38" i="76"/>
  <c r="AD37" i="76"/>
  <c r="AE37" i="76"/>
  <c r="D38" i="76"/>
  <c r="E38" i="76"/>
  <c r="B38" i="76"/>
  <c r="A38" i="76"/>
  <c r="C38" i="76"/>
  <c r="AR39" i="76"/>
  <c r="AA37" i="76"/>
  <c r="AB37" i="76"/>
  <c r="W37" i="76"/>
  <c r="U37" i="76"/>
  <c r="S37" i="76"/>
  <c r="AC37" i="76"/>
  <c r="Y37" i="76"/>
  <c r="T37" i="76"/>
  <c r="Z37" i="76"/>
  <c r="X37" i="76"/>
  <c r="V37" i="76"/>
  <c r="Q37" i="76"/>
  <c r="M37" i="76"/>
  <c r="H37" i="76"/>
  <c r="G37" i="76"/>
  <c r="L37" i="76"/>
  <c r="J37" i="76"/>
  <c r="K37" i="76"/>
  <c r="P37" i="76"/>
  <c r="N37" i="76"/>
  <c r="I37" i="76"/>
  <c r="O37" i="76"/>
  <c r="R39" i="76"/>
  <c r="F39" i="76"/>
  <c r="AE38" i="76" l="1"/>
  <c r="AD38" i="76"/>
  <c r="M39" i="76"/>
  <c r="H39" i="76"/>
  <c r="N39" i="76"/>
  <c r="L39" i="76"/>
  <c r="G39" i="76"/>
  <c r="I39" i="76"/>
  <c r="P39" i="76"/>
  <c r="K39" i="76"/>
  <c r="Q39" i="76"/>
  <c r="O39" i="76"/>
  <c r="J39" i="76"/>
  <c r="J38" i="76"/>
  <c r="P38" i="76"/>
  <c r="K38" i="76"/>
  <c r="Q38" i="76"/>
  <c r="L38" i="76"/>
  <c r="G38" i="76"/>
  <c r="M38" i="76"/>
  <c r="H38" i="76"/>
  <c r="N38" i="76"/>
  <c r="I38" i="76"/>
  <c r="O38" i="76"/>
  <c r="V38" i="76"/>
  <c r="AB38" i="76"/>
  <c r="W38" i="76"/>
  <c r="AC38" i="76"/>
  <c r="X38" i="76"/>
  <c r="S38" i="76"/>
  <c r="Y38" i="76"/>
  <c r="T38" i="76"/>
  <c r="Z38" i="76"/>
  <c r="U38" i="76"/>
  <c r="AA38" i="76"/>
  <c r="AH38" i="76"/>
  <c r="AI38" i="76"/>
  <c r="AJ38" i="76"/>
  <c r="AP38" i="76"/>
  <c r="AK38" i="76"/>
  <c r="AF38" i="76"/>
  <c r="AO38" i="76"/>
  <c r="AG38" i="76"/>
  <c r="AM38" i="76"/>
  <c r="AN38" i="76"/>
  <c r="AL38" i="76"/>
  <c r="A39" i="76"/>
  <c r="D39" i="76"/>
  <c r="B39" i="76"/>
  <c r="E39" i="76"/>
  <c r="C39" i="76"/>
  <c r="AD39" i="76"/>
  <c r="AR40" i="76"/>
  <c r="AE39" i="76"/>
  <c r="AN37" i="76"/>
  <c r="AI37" i="76"/>
  <c r="AO37" i="76"/>
  <c r="AJ37" i="76"/>
  <c r="AP37" i="76"/>
  <c r="AK37" i="76"/>
  <c r="AF37" i="76"/>
  <c r="AL37" i="76"/>
  <c r="AG37" i="76"/>
  <c r="AM37" i="76"/>
  <c r="AH37" i="76"/>
  <c r="F40" i="76" l="1"/>
  <c r="R40" i="76"/>
  <c r="AC39" i="76"/>
  <c r="X39" i="76"/>
  <c r="S39" i="76"/>
  <c r="Y39" i="76"/>
  <c r="T39" i="76"/>
  <c r="Z39" i="76"/>
  <c r="U39" i="76"/>
  <c r="AA39" i="76"/>
  <c r="V39" i="76"/>
  <c r="AB39" i="76"/>
  <c r="W39" i="76"/>
  <c r="AF39" i="76"/>
  <c r="AG39" i="76"/>
  <c r="AM39" i="76"/>
  <c r="AH39" i="76"/>
  <c r="AN39" i="76"/>
  <c r="AL39" i="76"/>
  <c r="AO39" i="76"/>
  <c r="AJ39" i="76"/>
  <c r="AP39" i="76"/>
  <c r="AK39" i="76"/>
  <c r="AI39" i="76"/>
  <c r="B40" i="76"/>
  <c r="D40" i="76"/>
  <c r="E40" i="76"/>
  <c r="C40" i="76"/>
  <c r="A40" i="76"/>
  <c r="AD40" i="76"/>
  <c r="AR41" i="76"/>
  <c r="AE40" i="76"/>
  <c r="F41" i="76" l="1"/>
  <c r="R41" i="76"/>
  <c r="AN40" i="76"/>
  <c r="AI40" i="76"/>
  <c r="AO40" i="76"/>
  <c r="AM40" i="76"/>
  <c r="AH40" i="76"/>
  <c r="AG40" i="76"/>
  <c r="AF40" i="76"/>
  <c r="AL40" i="76"/>
  <c r="AJ40" i="76"/>
  <c r="AP40" i="76"/>
  <c r="AK40" i="76"/>
  <c r="H40" i="76"/>
  <c r="O40" i="76"/>
  <c r="J40" i="76"/>
  <c r="P40" i="76"/>
  <c r="N40" i="76"/>
  <c r="I40" i="76"/>
  <c r="L40" i="76"/>
  <c r="G40" i="76"/>
  <c r="M40" i="76"/>
  <c r="K40" i="76"/>
  <c r="Q40" i="76"/>
  <c r="AB40" i="76"/>
  <c r="Z40" i="76"/>
  <c r="U40" i="76"/>
  <c r="AA40" i="76"/>
  <c r="Y40" i="76"/>
  <c r="V40" i="76"/>
  <c r="W40" i="76"/>
  <c r="AC40" i="76"/>
  <c r="X40" i="76"/>
  <c r="S40" i="76"/>
  <c r="T40" i="76"/>
  <c r="A41" i="76"/>
  <c r="E41" i="76"/>
  <c r="C41" i="76"/>
  <c r="D41" i="76"/>
  <c r="B41" i="76"/>
  <c r="AR42" i="76"/>
  <c r="AD41" i="76"/>
  <c r="AE41" i="76"/>
  <c r="F42" i="76" l="1"/>
  <c r="R42" i="76"/>
  <c r="AI41" i="76"/>
  <c r="AG41" i="76"/>
  <c r="AM41" i="76"/>
  <c r="AH41" i="76"/>
  <c r="AN41" i="76"/>
  <c r="AL41" i="76"/>
  <c r="AO41" i="76"/>
  <c r="AJ41" i="76"/>
  <c r="AP41" i="76"/>
  <c r="AK41" i="76"/>
  <c r="AF41" i="76"/>
  <c r="M41" i="76"/>
  <c r="H41" i="76"/>
  <c r="G41" i="76"/>
  <c r="O41" i="76"/>
  <c r="Q41" i="76"/>
  <c r="K41" i="76"/>
  <c r="P41" i="76"/>
  <c r="N41" i="76"/>
  <c r="L41" i="76"/>
  <c r="J41" i="76"/>
  <c r="I41" i="76"/>
  <c r="AA41" i="76"/>
  <c r="V41" i="76"/>
  <c r="AB41" i="76"/>
  <c r="W41" i="76"/>
  <c r="AC41" i="76"/>
  <c r="U41" i="76"/>
  <c r="S41" i="76"/>
  <c r="Y41" i="76"/>
  <c r="T41" i="76"/>
  <c r="Z41" i="76"/>
  <c r="X41" i="76"/>
  <c r="E42" i="76"/>
  <c r="C42" i="76"/>
  <c r="B42" i="76"/>
  <c r="A42" i="76"/>
  <c r="D42" i="76"/>
  <c r="AR43" i="76"/>
  <c r="AE42" i="76" l="1"/>
  <c r="AH42" i="76" s="1"/>
  <c r="F43" i="76"/>
  <c r="R43" i="76"/>
  <c r="AO42" i="76"/>
  <c r="AF42" i="76"/>
  <c r="AC42" i="76"/>
  <c r="X42" i="76"/>
  <c r="S42" i="76"/>
  <c r="T42" i="76"/>
  <c r="Z42" i="76"/>
  <c r="U42" i="76"/>
  <c r="AA42" i="76"/>
  <c r="V42" i="76"/>
  <c r="AB42" i="76"/>
  <c r="W42" i="76"/>
  <c r="Y42" i="76"/>
  <c r="E43" i="76"/>
  <c r="D43" i="76"/>
  <c r="C43" i="76"/>
  <c r="B43" i="76"/>
  <c r="A43" i="76"/>
  <c r="AR44" i="76"/>
  <c r="AD42" i="76"/>
  <c r="AD43" i="76" s="1"/>
  <c r="J42" i="76"/>
  <c r="N42" i="76"/>
  <c r="I42" i="76"/>
  <c r="O42" i="76"/>
  <c r="M42" i="76"/>
  <c r="K42" i="76"/>
  <c r="P42" i="76"/>
  <c r="Q42" i="76"/>
  <c r="L42" i="76"/>
  <c r="G42" i="76"/>
  <c r="H42" i="76"/>
  <c r="R44" i="76"/>
  <c r="F44" i="76"/>
  <c r="AG42" i="76" l="1"/>
  <c r="AP42" i="76"/>
  <c r="AN42" i="76"/>
  <c r="AM42" i="76"/>
  <c r="AL42" i="76"/>
  <c r="AK42" i="76"/>
  <c r="AJ42" i="76"/>
  <c r="AI42" i="76"/>
  <c r="P44" i="76"/>
  <c r="K44" i="76"/>
  <c r="Q44" i="76"/>
  <c r="L44" i="76"/>
  <c r="G44" i="76"/>
  <c r="M44" i="76"/>
  <c r="H44" i="76"/>
  <c r="N44" i="76"/>
  <c r="I44" i="76"/>
  <c r="O44" i="76"/>
  <c r="J44" i="76"/>
  <c r="G43" i="76"/>
  <c r="M43" i="76"/>
  <c r="H43" i="76"/>
  <c r="N43" i="76"/>
  <c r="I43" i="76"/>
  <c r="O43" i="76"/>
  <c r="J43" i="76"/>
  <c r="P43" i="76"/>
  <c r="K43" i="76"/>
  <c r="Q43" i="76"/>
  <c r="L43" i="76"/>
  <c r="AE43" i="76"/>
  <c r="AE44" i="76" s="1"/>
  <c r="C44" i="76"/>
  <c r="D44" i="76"/>
  <c r="E44" i="76"/>
  <c r="B44" i="76"/>
  <c r="A44" i="76"/>
  <c r="AR45" i="76"/>
  <c r="AD44" i="76"/>
  <c r="W43" i="76"/>
  <c r="AC43" i="76"/>
  <c r="X43" i="76"/>
  <c r="S43" i="76"/>
  <c r="Y43" i="76"/>
  <c r="T43" i="76"/>
  <c r="Z43" i="76"/>
  <c r="U43" i="76"/>
  <c r="AA43" i="76"/>
  <c r="V43" i="76"/>
  <c r="AB43" i="76"/>
  <c r="F45" i="76" l="1"/>
  <c r="R45" i="76"/>
  <c r="X44" i="76"/>
  <c r="S44" i="76"/>
  <c r="Y44" i="76"/>
  <c r="T44" i="76"/>
  <c r="Z44" i="76"/>
  <c r="U44" i="76"/>
  <c r="AA44" i="76"/>
  <c r="V44" i="76"/>
  <c r="AB44" i="76"/>
  <c r="W44" i="76"/>
  <c r="AC44" i="76"/>
  <c r="AO44" i="76"/>
  <c r="AP44" i="76"/>
  <c r="AF44" i="76"/>
  <c r="AL44" i="76"/>
  <c r="AG44" i="76"/>
  <c r="AM44" i="76"/>
  <c r="AH44" i="76"/>
  <c r="AN44" i="76"/>
  <c r="AI44" i="76"/>
  <c r="AJ44" i="76"/>
  <c r="AK44" i="76"/>
  <c r="C45" i="76"/>
  <c r="B45" i="76"/>
  <c r="A45" i="76"/>
  <c r="E45" i="76"/>
  <c r="D45" i="76"/>
  <c r="AE45" i="76"/>
  <c r="AR46" i="76"/>
  <c r="AD45" i="76"/>
  <c r="AM43" i="76"/>
  <c r="AH43" i="76"/>
  <c r="AN43" i="76"/>
  <c r="AI43" i="76"/>
  <c r="AO43" i="76"/>
  <c r="AJ43" i="76"/>
  <c r="AP43" i="76"/>
  <c r="AK43" i="76"/>
  <c r="AF43" i="76"/>
  <c r="AL43" i="76"/>
  <c r="AG43" i="76"/>
  <c r="F46" i="76" l="1"/>
  <c r="R46" i="76"/>
  <c r="I45" i="76"/>
  <c r="K45" i="76"/>
  <c r="J45" i="76"/>
  <c r="P45" i="76"/>
  <c r="N45" i="76"/>
  <c r="Q45" i="76"/>
  <c r="L45" i="76"/>
  <c r="O45" i="76"/>
  <c r="M45" i="76"/>
  <c r="H45" i="76"/>
  <c r="G45" i="76"/>
  <c r="Y45" i="76"/>
  <c r="T45" i="76"/>
  <c r="Z45" i="76"/>
  <c r="U45" i="76"/>
  <c r="AA45" i="76"/>
  <c r="V45" i="76"/>
  <c r="AB45" i="76"/>
  <c r="W45" i="76"/>
  <c r="AC45" i="76"/>
  <c r="X45" i="76"/>
  <c r="S45" i="76"/>
  <c r="AO45" i="76"/>
  <c r="AK45" i="76"/>
  <c r="AF45" i="76"/>
  <c r="AL45" i="76"/>
  <c r="AJ45" i="76"/>
  <c r="AH45" i="76"/>
  <c r="AM45" i="76"/>
  <c r="AN45" i="76"/>
  <c r="AI45" i="76"/>
  <c r="AG45" i="76"/>
  <c r="AP45" i="76"/>
  <c r="D46" i="76"/>
  <c r="E46" i="76"/>
  <c r="C46" i="76"/>
  <c r="B46" i="76"/>
  <c r="A46" i="76"/>
  <c r="AR47" i="76"/>
  <c r="F47" i="76" l="1"/>
  <c r="R47" i="76"/>
  <c r="W46" i="76"/>
  <c r="X46" i="76"/>
  <c r="S46" i="76"/>
  <c r="Y46" i="76"/>
  <c r="T46" i="76"/>
  <c r="AC46" i="76"/>
  <c r="U46" i="76"/>
  <c r="AA46" i="76"/>
  <c r="V46" i="76"/>
  <c r="AB46" i="76"/>
  <c r="Z46" i="76"/>
  <c r="A47" i="76"/>
  <c r="E47" i="76"/>
  <c r="D47" i="76"/>
  <c r="C47" i="76"/>
  <c r="B47" i="76"/>
  <c r="AR48" i="76"/>
  <c r="N46" i="76"/>
  <c r="I46" i="76"/>
  <c r="O46" i="76"/>
  <c r="J46" i="76"/>
  <c r="P46" i="76"/>
  <c r="K46" i="76"/>
  <c r="Q46" i="76"/>
  <c r="L46" i="76"/>
  <c r="G46" i="76"/>
  <c r="M46" i="76"/>
  <c r="H46" i="76"/>
  <c r="AD46" i="76"/>
  <c r="AE46" i="76"/>
  <c r="F48" i="76" l="1"/>
  <c r="R48" i="76"/>
  <c r="AE47" i="76"/>
  <c r="AP47" i="76" s="1"/>
  <c r="AM46" i="76"/>
  <c r="AG46" i="76"/>
  <c r="AF46" i="76"/>
  <c r="AJ46" i="76"/>
  <c r="AI46" i="76"/>
  <c r="AN46" i="76"/>
  <c r="AP46" i="76"/>
  <c r="AL46" i="76"/>
  <c r="AH46" i="76"/>
  <c r="AO46" i="76"/>
  <c r="AK46" i="76"/>
  <c r="D48" i="76"/>
  <c r="C48" i="76"/>
  <c r="E48" i="76"/>
  <c r="A48" i="76"/>
  <c r="B48" i="76"/>
  <c r="AR49" i="76"/>
  <c r="U47" i="76"/>
  <c r="AA47" i="76"/>
  <c r="V47" i="76"/>
  <c r="T47" i="76"/>
  <c r="Z47" i="76"/>
  <c r="AC47" i="76"/>
  <c r="X47" i="76"/>
  <c r="S47" i="76"/>
  <c r="Y47" i="76"/>
  <c r="W47" i="76"/>
  <c r="AB47" i="76"/>
  <c r="M47" i="76"/>
  <c r="H47" i="76"/>
  <c r="N47" i="76"/>
  <c r="L47" i="76"/>
  <c r="J47" i="76"/>
  <c r="G47" i="76"/>
  <c r="P47" i="76"/>
  <c r="K47" i="76"/>
  <c r="I47" i="76"/>
  <c r="O47" i="76"/>
  <c r="Q47" i="76"/>
  <c r="AD47" i="76"/>
  <c r="AD48" i="76" s="1"/>
  <c r="R49" i="76"/>
  <c r="F49" i="76"/>
  <c r="AM47" i="76" l="1"/>
  <c r="AJ47" i="76"/>
  <c r="AG47" i="76"/>
  <c r="AF47" i="76"/>
  <c r="AI47" i="76"/>
  <c r="AN47" i="76"/>
  <c r="AK47" i="76"/>
  <c r="AL47" i="76"/>
  <c r="AH47" i="76"/>
  <c r="AO47" i="76"/>
  <c r="P49" i="76"/>
  <c r="N49" i="76"/>
  <c r="I49" i="76"/>
  <c r="K49" i="76"/>
  <c r="J49" i="76"/>
  <c r="M49" i="76"/>
  <c r="H49" i="76"/>
  <c r="Q49" i="76"/>
  <c r="L49" i="76"/>
  <c r="O49" i="76"/>
  <c r="G49" i="76"/>
  <c r="AE48" i="76"/>
  <c r="E49" i="76"/>
  <c r="D49" i="76"/>
  <c r="B49" i="76"/>
  <c r="A49" i="76"/>
  <c r="C49" i="76"/>
  <c r="AE49" i="76"/>
  <c r="AR50" i="76"/>
  <c r="AD49" i="76"/>
  <c r="Z48" i="76"/>
  <c r="S48" i="76"/>
  <c r="Y48" i="76"/>
  <c r="T48" i="76"/>
  <c r="AC48" i="76"/>
  <c r="AA48" i="76"/>
  <c r="U48" i="76"/>
  <c r="V48" i="76"/>
  <c r="AB48" i="76"/>
  <c r="W48" i="76"/>
  <c r="X48" i="76"/>
  <c r="M48" i="76"/>
  <c r="H48" i="76"/>
  <c r="N48" i="76"/>
  <c r="I48" i="76"/>
  <c r="O48" i="76"/>
  <c r="J48" i="76"/>
  <c r="P48" i="76"/>
  <c r="K48" i="76"/>
  <c r="Q48" i="76"/>
  <c r="L48" i="76"/>
  <c r="G48" i="76"/>
  <c r="F50" i="76" l="1"/>
  <c r="R50" i="76"/>
  <c r="AA49" i="76"/>
  <c r="V49" i="76"/>
  <c r="AB49" i="76"/>
  <c r="W49" i="76"/>
  <c r="AC49" i="76"/>
  <c r="X49" i="76"/>
  <c r="S49" i="76"/>
  <c r="Y49" i="76"/>
  <c r="T49" i="76"/>
  <c r="Z49" i="76"/>
  <c r="U49" i="76"/>
  <c r="AM49" i="76"/>
  <c r="AK49" i="76"/>
  <c r="AF49" i="76"/>
  <c r="AL49" i="76"/>
  <c r="AJ49" i="76"/>
  <c r="AO49" i="76"/>
  <c r="AH49" i="76"/>
  <c r="AN49" i="76"/>
  <c r="AI49" i="76"/>
  <c r="AG49" i="76"/>
  <c r="AP49" i="76"/>
  <c r="AN48" i="76"/>
  <c r="AI48" i="76"/>
  <c r="AO48" i="76"/>
  <c r="AJ48" i="76"/>
  <c r="AH48" i="76"/>
  <c r="AP48" i="76"/>
  <c r="AF48" i="76"/>
  <c r="AL48" i="76"/>
  <c r="AG48" i="76"/>
  <c r="AM48" i="76"/>
  <c r="AK48" i="76"/>
  <c r="C50" i="76"/>
  <c r="D50" i="76"/>
  <c r="E50" i="76"/>
  <c r="AD50" i="76"/>
  <c r="B50" i="76"/>
  <c r="A50" i="76"/>
  <c r="AR51" i="76"/>
  <c r="AE50" i="76"/>
  <c r="F51" i="76" l="1"/>
  <c r="R51" i="76"/>
  <c r="AB50" i="76"/>
  <c r="W50" i="76"/>
  <c r="AC50" i="76"/>
  <c r="X50" i="76"/>
  <c r="S50" i="76"/>
  <c r="Y50" i="76"/>
  <c r="T50" i="76"/>
  <c r="Z50" i="76"/>
  <c r="U50" i="76"/>
  <c r="AA50" i="76"/>
  <c r="V50" i="76"/>
  <c r="B51" i="76"/>
  <c r="AR52" i="76"/>
  <c r="C51" i="76"/>
  <c r="E51" i="76"/>
  <c r="D51" i="76"/>
  <c r="AE51" i="76"/>
  <c r="A51" i="76"/>
  <c r="AL50" i="76"/>
  <c r="AG50" i="76"/>
  <c r="AF50" i="76"/>
  <c r="AH50" i="76"/>
  <c r="AI50" i="76"/>
  <c r="AM50" i="76"/>
  <c r="AO50" i="76"/>
  <c r="AN50" i="76"/>
  <c r="AP50" i="76"/>
  <c r="AK50" i="76"/>
  <c r="AJ50" i="76"/>
  <c r="M50" i="76"/>
  <c r="H50" i="76"/>
  <c r="N50" i="76"/>
  <c r="I50" i="76"/>
  <c r="O50" i="76"/>
  <c r="J50" i="76"/>
  <c r="P50" i="76"/>
  <c r="K50" i="76"/>
  <c r="Q50" i="76"/>
  <c r="L50" i="76"/>
  <c r="G50" i="76"/>
  <c r="F52" i="76"/>
  <c r="R52" i="76"/>
  <c r="J52" i="76" l="1"/>
  <c r="P52" i="76"/>
  <c r="K52" i="76"/>
  <c r="Q52" i="76"/>
  <c r="L52" i="76"/>
  <c r="G52" i="76"/>
  <c r="M52" i="76"/>
  <c r="H52" i="76"/>
  <c r="N52" i="76"/>
  <c r="I52" i="76"/>
  <c r="O52" i="76"/>
  <c r="AO51" i="76"/>
  <c r="AL51" i="76"/>
  <c r="AP51" i="76"/>
  <c r="AN51" i="76"/>
  <c r="AH51" i="76"/>
  <c r="AG51" i="76"/>
  <c r="AI51" i="76"/>
  <c r="AK51" i="76"/>
  <c r="AJ51" i="76"/>
  <c r="AF51" i="76"/>
  <c r="AM51" i="76"/>
  <c r="AD51" i="76"/>
  <c r="D52" i="76"/>
  <c r="AR53" i="76"/>
  <c r="E52" i="76"/>
  <c r="AE52" i="76"/>
  <c r="B52" i="76"/>
  <c r="A52" i="76"/>
  <c r="C52" i="76"/>
  <c r="AD52" i="76"/>
  <c r="AB51" i="76"/>
  <c r="Z51" i="76"/>
  <c r="U51" i="76"/>
  <c r="AA51" i="76"/>
  <c r="Y51" i="76"/>
  <c r="S51" i="76"/>
  <c r="W51" i="76"/>
  <c r="AC51" i="76"/>
  <c r="X51" i="76"/>
  <c r="V51" i="76"/>
  <c r="T51" i="76"/>
  <c r="I51" i="76"/>
  <c r="O51" i="76"/>
  <c r="M51" i="76"/>
  <c r="H51" i="76"/>
  <c r="N51" i="76"/>
  <c r="Q51" i="76"/>
  <c r="L51" i="76"/>
  <c r="J51" i="76"/>
  <c r="P51" i="76"/>
  <c r="K51" i="76"/>
  <c r="G51" i="76"/>
  <c r="F53" i="76" l="1"/>
  <c r="R53" i="76"/>
  <c r="AB52" i="76"/>
  <c r="W52" i="76"/>
  <c r="AC52" i="76"/>
  <c r="X52" i="76"/>
  <c r="S52" i="76"/>
  <c r="Y52" i="76"/>
  <c r="T52" i="76"/>
  <c r="Z52" i="76"/>
  <c r="U52" i="76"/>
  <c r="AA52" i="76"/>
  <c r="V52" i="76"/>
  <c r="AJ52" i="76"/>
  <c r="AL52" i="76"/>
  <c r="AN52" i="76"/>
  <c r="AF52" i="76"/>
  <c r="AG52" i="76"/>
  <c r="AP52" i="76"/>
  <c r="AM52" i="76"/>
  <c r="AI52" i="76"/>
  <c r="AH52" i="76"/>
  <c r="AO52" i="76"/>
  <c r="AK52" i="76"/>
  <c r="AR54" i="76"/>
  <c r="A53" i="76"/>
  <c r="AD53" i="76"/>
  <c r="E53" i="76"/>
  <c r="D53" i="76"/>
  <c r="C53" i="76"/>
  <c r="B53" i="76"/>
  <c r="AE53" i="76"/>
  <c r="F54" i="76" l="1"/>
  <c r="R54" i="76"/>
  <c r="AJ53" i="76"/>
  <c r="AO53" i="76"/>
  <c r="AG53" i="76"/>
  <c r="AN53" i="76"/>
  <c r="AL53" i="76"/>
  <c r="AK53" i="76"/>
  <c r="AP53" i="76"/>
  <c r="AH53" i="76"/>
  <c r="AI53" i="76"/>
  <c r="AM53" i="76"/>
  <c r="AF53" i="76"/>
  <c r="AA53" i="76"/>
  <c r="V53" i="76"/>
  <c r="AB53" i="76"/>
  <c r="W53" i="76"/>
  <c r="U53" i="76"/>
  <c r="AC53" i="76"/>
  <c r="S53" i="76"/>
  <c r="Y53" i="76"/>
  <c r="T53" i="76"/>
  <c r="Z53" i="76"/>
  <c r="X53" i="76"/>
  <c r="P53" i="76"/>
  <c r="N53" i="76"/>
  <c r="Q53" i="76"/>
  <c r="K53" i="76"/>
  <c r="I53" i="76"/>
  <c r="M53" i="76"/>
  <c r="H53" i="76"/>
  <c r="G53" i="76"/>
  <c r="L53" i="76"/>
  <c r="J53" i="76"/>
  <c r="O53" i="76"/>
  <c r="AR55" i="76"/>
  <c r="D54" i="76"/>
  <c r="E54" i="76"/>
  <c r="AD54" i="76"/>
  <c r="B54" i="76"/>
  <c r="A54" i="76"/>
  <c r="C54" i="76"/>
  <c r="AE54" i="76"/>
  <c r="F55" i="76" l="1"/>
  <c r="R55" i="76"/>
  <c r="AP54" i="76"/>
  <c r="AK54" i="76"/>
  <c r="AF54" i="76"/>
  <c r="AL54" i="76"/>
  <c r="AG54" i="76"/>
  <c r="AM54" i="76"/>
  <c r="AH54" i="76"/>
  <c r="AN54" i="76"/>
  <c r="AI54" i="76"/>
  <c r="AO54" i="76"/>
  <c r="AJ54" i="76"/>
  <c r="J54" i="76"/>
  <c r="P54" i="76"/>
  <c r="K54" i="76"/>
  <c r="Q54" i="76"/>
  <c r="L54" i="76"/>
  <c r="G54" i="76"/>
  <c r="M54" i="76"/>
  <c r="H54" i="76"/>
  <c r="N54" i="76"/>
  <c r="I54" i="76"/>
  <c r="O54" i="76"/>
  <c r="A55" i="76"/>
  <c r="D55" i="76"/>
  <c r="E55" i="76"/>
  <c r="C55" i="76"/>
  <c r="AE55" i="76"/>
  <c r="AR56" i="76"/>
  <c r="AD55" i="76"/>
  <c r="B55" i="76"/>
  <c r="Y54" i="76"/>
  <c r="T54" i="76"/>
  <c r="Z54" i="76"/>
  <c r="U54" i="76"/>
  <c r="AA54" i="76"/>
  <c r="V54" i="76"/>
  <c r="AB54" i="76"/>
  <c r="W54" i="76"/>
  <c r="AC54" i="76"/>
  <c r="X54" i="76"/>
  <c r="S54" i="76"/>
  <c r="F56" i="76" l="1"/>
  <c r="R56" i="76"/>
  <c r="X55" i="76"/>
  <c r="Y55" i="76"/>
  <c r="T55" i="76"/>
  <c r="Z55" i="76"/>
  <c r="U55" i="76"/>
  <c r="S55" i="76"/>
  <c r="V55" i="76"/>
  <c r="AB55" i="76"/>
  <c r="W55" i="76"/>
  <c r="AC55" i="76"/>
  <c r="AA55" i="76"/>
  <c r="K55" i="76"/>
  <c r="Q55" i="76"/>
  <c r="L55" i="76"/>
  <c r="G55" i="76"/>
  <c r="M55" i="76"/>
  <c r="P55" i="76"/>
  <c r="N55" i="76"/>
  <c r="I55" i="76"/>
  <c r="O55" i="76"/>
  <c r="J55" i="76"/>
  <c r="H55" i="76"/>
  <c r="B56" i="76"/>
  <c r="D56" i="76"/>
  <c r="C56" i="76"/>
  <c r="AR57" i="76"/>
  <c r="A56" i="76"/>
  <c r="AE56" i="76"/>
  <c r="E56" i="76"/>
  <c r="AD56" i="76"/>
  <c r="AF55" i="76"/>
  <c r="AG55" i="76"/>
  <c r="AM55" i="76"/>
  <c r="AH55" i="76"/>
  <c r="AN55" i="76"/>
  <c r="AL55" i="76"/>
  <c r="AO55" i="76"/>
  <c r="AJ55" i="76"/>
  <c r="AP55" i="76"/>
  <c r="AK55" i="76"/>
  <c r="AI55" i="76"/>
  <c r="F57" i="76" l="1"/>
  <c r="R57" i="76"/>
  <c r="AN56" i="76"/>
  <c r="AI56" i="76"/>
  <c r="AO56" i="76"/>
  <c r="AJ56" i="76"/>
  <c r="AP56" i="76"/>
  <c r="AK56" i="76"/>
  <c r="AF56" i="76"/>
  <c r="AL56" i="76"/>
  <c r="AG56" i="76"/>
  <c r="AM56" i="76"/>
  <c r="AH56" i="76"/>
  <c r="Y56" i="76"/>
  <c r="T56" i="76"/>
  <c r="Z56" i="76"/>
  <c r="U56" i="76"/>
  <c r="AA56" i="76"/>
  <c r="V56" i="76"/>
  <c r="AB56" i="76"/>
  <c r="W56" i="76"/>
  <c r="AC56" i="76"/>
  <c r="X56" i="76"/>
  <c r="S56" i="76"/>
  <c r="D57" i="76"/>
  <c r="AR58" i="76"/>
  <c r="E57" i="76"/>
  <c r="AE57" i="76"/>
  <c r="A57" i="76"/>
  <c r="AD57" i="76"/>
  <c r="C57" i="76"/>
  <c r="B57" i="76"/>
  <c r="P56" i="76"/>
  <c r="K56" i="76"/>
  <c r="Q56" i="76"/>
  <c r="L56" i="76"/>
  <c r="G56" i="76"/>
  <c r="M56" i="76"/>
  <c r="H56" i="76"/>
  <c r="N56" i="76"/>
  <c r="I56" i="76"/>
  <c r="O56" i="76"/>
  <c r="J56" i="76"/>
  <c r="F58" i="76" l="1"/>
  <c r="R58" i="76"/>
  <c r="AK57" i="76"/>
  <c r="AO57" i="76"/>
  <c r="AJ57" i="76"/>
  <c r="AP57" i="76"/>
  <c r="AN57" i="76"/>
  <c r="AL57" i="76"/>
  <c r="AI57" i="76"/>
  <c r="AG57" i="76"/>
  <c r="AM57" i="76"/>
  <c r="AH57" i="76"/>
  <c r="AF57" i="76"/>
  <c r="Y57" i="76"/>
  <c r="T57" i="76"/>
  <c r="Z57" i="76"/>
  <c r="U57" i="76"/>
  <c r="AA57" i="76"/>
  <c r="V57" i="76"/>
  <c r="AB57" i="76"/>
  <c r="W57" i="76"/>
  <c r="AC57" i="76"/>
  <c r="X57" i="76"/>
  <c r="S57" i="76"/>
  <c r="I57" i="76"/>
  <c r="J57" i="76"/>
  <c r="P57" i="76"/>
  <c r="N57" i="76"/>
  <c r="L57" i="76"/>
  <c r="Q57" i="76"/>
  <c r="K57" i="76"/>
  <c r="M57" i="76"/>
  <c r="H57" i="76"/>
  <c r="G57" i="76"/>
  <c r="O57" i="76"/>
  <c r="A58" i="76"/>
  <c r="E58" i="76"/>
  <c r="D58" i="76"/>
  <c r="AR59" i="76"/>
  <c r="B58" i="76"/>
  <c r="AD58" i="76"/>
  <c r="C58" i="76"/>
  <c r="AE58" i="76"/>
  <c r="F59" i="76" l="1"/>
  <c r="R59" i="76"/>
  <c r="AM58" i="76"/>
  <c r="AH58" i="76"/>
  <c r="AN58" i="76"/>
  <c r="AI58" i="76"/>
  <c r="AO58" i="76"/>
  <c r="AJ58" i="76"/>
  <c r="AP58" i="76"/>
  <c r="AK58" i="76"/>
  <c r="AF58" i="76"/>
  <c r="AL58" i="76"/>
  <c r="AG58" i="76"/>
  <c r="N58" i="76"/>
  <c r="I58" i="76"/>
  <c r="O58" i="76"/>
  <c r="J58" i="76"/>
  <c r="P58" i="76"/>
  <c r="K58" i="76"/>
  <c r="Q58" i="76"/>
  <c r="L58" i="76"/>
  <c r="G58" i="76"/>
  <c r="M58" i="76"/>
  <c r="H58" i="76"/>
  <c r="AC58" i="76"/>
  <c r="X58" i="76"/>
  <c r="S58" i="76"/>
  <c r="Y58" i="76"/>
  <c r="T58" i="76"/>
  <c r="Z58" i="76"/>
  <c r="U58" i="76"/>
  <c r="AA58" i="76"/>
  <c r="V58" i="76"/>
  <c r="AB58" i="76"/>
  <c r="W58" i="76"/>
  <c r="AR60" i="76"/>
  <c r="A59" i="76"/>
  <c r="AE59" i="76"/>
  <c r="C59" i="76"/>
  <c r="B59" i="76"/>
  <c r="D59" i="76"/>
  <c r="E59" i="76"/>
  <c r="AD59" i="76"/>
  <c r="F60" i="76" l="1"/>
  <c r="R60" i="76"/>
  <c r="W59" i="76"/>
  <c r="AC59" i="76"/>
  <c r="X59" i="76"/>
  <c r="S59" i="76"/>
  <c r="Y59" i="76"/>
  <c r="T59" i="76"/>
  <c r="Z59" i="76"/>
  <c r="U59" i="76"/>
  <c r="AA59" i="76"/>
  <c r="V59" i="76"/>
  <c r="AB59" i="76"/>
  <c r="P59" i="76"/>
  <c r="K59" i="76"/>
  <c r="Q59" i="76"/>
  <c r="L59" i="76"/>
  <c r="G59" i="76"/>
  <c r="M59" i="76"/>
  <c r="H59" i="76"/>
  <c r="N59" i="76"/>
  <c r="I59" i="76"/>
  <c r="O59" i="76"/>
  <c r="J59" i="76"/>
  <c r="AP59" i="76"/>
  <c r="AK59" i="76"/>
  <c r="AF59" i="76"/>
  <c r="AL59" i="76"/>
  <c r="AG59" i="76"/>
  <c r="AM59" i="76"/>
  <c r="AH59" i="76"/>
  <c r="AN59" i="76"/>
  <c r="AI59" i="76"/>
  <c r="AO59" i="76"/>
  <c r="AJ59" i="76"/>
  <c r="AR61" i="76"/>
  <c r="B60" i="76"/>
  <c r="AE60" i="76"/>
  <c r="C60" i="76"/>
  <c r="E60" i="76"/>
  <c r="A60" i="76"/>
  <c r="D60" i="76"/>
  <c r="AD60" i="76"/>
  <c r="F61" i="76" l="1"/>
  <c r="R61" i="76"/>
  <c r="AA60" i="76"/>
  <c r="V60" i="76"/>
  <c r="AB60" i="76"/>
  <c r="W60" i="76"/>
  <c r="AC60" i="76"/>
  <c r="X60" i="76"/>
  <c r="S60" i="76"/>
  <c r="Y60" i="76"/>
  <c r="T60" i="76"/>
  <c r="Z60" i="76"/>
  <c r="U60" i="76"/>
  <c r="AP60" i="76"/>
  <c r="AK60" i="76"/>
  <c r="AF60" i="76"/>
  <c r="AL60" i="76"/>
  <c r="AG60" i="76"/>
  <c r="AM60" i="76"/>
  <c r="AH60" i="76"/>
  <c r="AN60" i="76"/>
  <c r="AI60" i="76"/>
  <c r="AO60" i="76"/>
  <c r="AJ60" i="76"/>
  <c r="AE61" i="76"/>
  <c r="C61" i="76"/>
  <c r="AD61" i="76"/>
  <c r="B61" i="76"/>
  <c r="AR62" i="76"/>
  <c r="A61" i="76"/>
  <c r="E61" i="76"/>
  <c r="D61" i="76"/>
  <c r="H60" i="76"/>
  <c r="N60" i="76"/>
  <c r="I60" i="76"/>
  <c r="O60" i="76"/>
  <c r="J60" i="76"/>
  <c r="P60" i="76"/>
  <c r="K60" i="76"/>
  <c r="Q60" i="76"/>
  <c r="L60" i="76"/>
  <c r="G60" i="76"/>
  <c r="M60" i="76"/>
  <c r="F62" i="76" l="1"/>
  <c r="R62" i="76"/>
  <c r="Z61" i="76"/>
  <c r="U61" i="76"/>
  <c r="AA61" i="76"/>
  <c r="V61" i="76"/>
  <c r="AB61" i="76"/>
  <c r="W61" i="76"/>
  <c r="AC61" i="76"/>
  <c r="X61" i="76"/>
  <c r="S61" i="76"/>
  <c r="Y61" i="76"/>
  <c r="T61" i="76"/>
  <c r="AR63" i="76"/>
  <c r="AD62" i="76"/>
  <c r="AE62" i="76"/>
  <c r="D62" i="76"/>
  <c r="B62" i="76"/>
  <c r="E62" i="76"/>
  <c r="C62" i="76"/>
  <c r="A62" i="76"/>
  <c r="I61" i="76"/>
  <c r="K61" i="76"/>
  <c r="J61" i="76"/>
  <c r="P61" i="76"/>
  <c r="N61" i="76"/>
  <c r="Q61" i="76"/>
  <c r="L61" i="76"/>
  <c r="O61" i="76"/>
  <c r="M61" i="76"/>
  <c r="H61" i="76"/>
  <c r="G61" i="76"/>
  <c r="AO61" i="76"/>
  <c r="AJ61" i="76"/>
  <c r="AP61" i="76"/>
  <c r="AK61" i="76"/>
  <c r="AF61" i="76"/>
  <c r="AL61" i="76"/>
  <c r="AG61" i="76"/>
  <c r="AM61" i="76"/>
  <c r="AH61" i="76"/>
  <c r="AN61" i="76"/>
  <c r="AI61" i="76"/>
  <c r="F63" i="76" l="1"/>
  <c r="R63" i="76"/>
  <c r="AP62" i="76"/>
  <c r="AK62" i="76"/>
  <c r="AF62" i="76"/>
  <c r="AL62" i="76"/>
  <c r="AG62" i="76"/>
  <c r="AM62" i="76"/>
  <c r="AH62" i="76"/>
  <c r="AN62" i="76"/>
  <c r="AI62" i="76"/>
  <c r="AO62" i="76"/>
  <c r="AJ62" i="76"/>
  <c r="B63" i="76"/>
  <c r="AR64" i="76"/>
  <c r="AD63" i="76"/>
  <c r="E63" i="76"/>
  <c r="C63" i="76"/>
  <c r="AE63" i="76"/>
  <c r="A63" i="76"/>
  <c r="D63" i="76"/>
  <c r="N62" i="76"/>
  <c r="I62" i="76"/>
  <c r="O62" i="76"/>
  <c r="J62" i="76"/>
  <c r="P62" i="76"/>
  <c r="K62" i="76"/>
  <c r="Q62" i="76"/>
  <c r="L62" i="76"/>
  <c r="G62" i="76"/>
  <c r="M62" i="76"/>
  <c r="H62" i="76"/>
  <c r="AA62" i="76"/>
  <c r="V62" i="76"/>
  <c r="AB62" i="76"/>
  <c r="W62" i="76"/>
  <c r="AC62" i="76"/>
  <c r="X62" i="76"/>
  <c r="S62" i="76"/>
  <c r="Y62" i="76"/>
  <c r="T62" i="76"/>
  <c r="Z62" i="76"/>
  <c r="U62" i="76"/>
  <c r="F64" i="76" l="1"/>
  <c r="R64" i="76"/>
  <c r="O63" i="76"/>
  <c r="J63" i="76"/>
  <c r="P63" i="76"/>
  <c r="K63" i="76"/>
  <c r="Q63" i="76"/>
  <c r="L63" i="76"/>
  <c r="G63" i="76"/>
  <c r="M63" i="76"/>
  <c r="H63" i="76"/>
  <c r="N63" i="76"/>
  <c r="I63" i="76"/>
  <c r="D64" i="76"/>
  <c r="C64" i="76"/>
  <c r="AE64" i="76"/>
  <c r="B64" i="76"/>
  <c r="A64" i="76"/>
  <c r="AD64" i="76"/>
  <c r="AR65" i="76"/>
  <c r="E64" i="76"/>
  <c r="AI63" i="76"/>
  <c r="AO63" i="76"/>
  <c r="AJ63" i="76"/>
  <c r="AP63" i="76"/>
  <c r="AK63" i="76"/>
  <c r="AF63" i="76"/>
  <c r="AL63" i="76"/>
  <c r="AG63" i="76"/>
  <c r="AM63" i="76"/>
  <c r="AH63" i="76"/>
  <c r="AN63" i="76"/>
  <c r="AB63" i="76"/>
  <c r="W63" i="76"/>
  <c r="AC63" i="76"/>
  <c r="AA63" i="76"/>
  <c r="U63" i="76"/>
  <c r="Y63" i="76"/>
  <c r="T63" i="76"/>
  <c r="Z63" i="76"/>
  <c r="X63" i="76"/>
  <c r="V63" i="76"/>
  <c r="S63" i="76"/>
  <c r="F65" i="76" l="1"/>
  <c r="R65" i="76"/>
  <c r="B65" i="76"/>
  <c r="AR66" i="76"/>
  <c r="C65" i="76"/>
  <c r="A65" i="76"/>
  <c r="E65" i="76"/>
  <c r="D65" i="76"/>
  <c r="AD65" i="76"/>
  <c r="AE65" i="76"/>
  <c r="AF64" i="76"/>
  <c r="AJ64" i="76"/>
  <c r="AP64" i="76"/>
  <c r="AK64" i="76"/>
  <c r="AI64" i="76"/>
  <c r="AG64" i="76"/>
  <c r="AO64" i="76"/>
  <c r="AM64" i="76"/>
  <c r="AH64" i="76"/>
  <c r="AN64" i="76"/>
  <c r="AL64" i="76"/>
  <c r="AB64" i="76"/>
  <c r="Z64" i="76"/>
  <c r="U64" i="76"/>
  <c r="AA64" i="76"/>
  <c r="Y64" i="76"/>
  <c r="V64" i="76"/>
  <c r="W64" i="76"/>
  <c r="AC64" i="76"/>
  <c r="X64" i="76"/>
  <c r="S64" i="76"/>
  <c r="T64" i="76"/>
  <c r="M64" i="76"/>
  <c r="Q64" i="76"/>
  <c r="L64" i="76"/>
  <c r="G64" i="76"/>
  <c r="P64" i="76"/>
  <c r="K64" i="76"/>
  <c r="N64" i="76"/>
  <c r="I64" i="76"/>
  <c r="O64" i="76"/>
  <c r="J64" i="76"/>
  <c r="H64" i="76"/>
  <c r="F66" i="76" l="1"/>
  <c r="R66" i="76"/>
  <c r="AG65" i="76"/>
  <c r="AM65" i="76"/>
  <c r="AK65" i="76"/>
  <c r="AF65" i="76"/>
  <c r="AL65" i="76"/>
  <c r="AO65" i="76"/>
  <c r="AJ65" i="76"/>
  <c r="AP65" i="76"/>
  <c r="AN65" i="76"/>
  <c r="AI65" i="76"/>
  <c r="AH65" i="76"/>
  <c r="C66" i="76"/>
  <c r="D66" i="76"/>
  <c r="AD66" i="76"/>
  <c r="B66" i="76"/>
  <c r="AR67" i="76"/>
  <c r="E66" i="76"/>
  <c r="AE66" i="76"/>
  <c r="A66" i="76"/>
  <c r="T65" i="76"/>
  <c r="AC65" i="76"/>
  <c r="X65" i="76"/>
  <c r="S65" i="76"/>
  <c r="AB65" i="76"/>
  <c r="Y65" i="76"/>
  <c r="Z65" i="76"/>
  <c r="U65" i="76"/>
  <c r="AA65" i="76"/>
  <c r="V65" i="76"/>
  <c r="W65" i="76"/>
  <c r="M65" i="76"/>
  <c r="H65" i="76"/>
  <c r="G65" i="76"/>
  <c r="I65" i="76"/>
  <c r="K65" i="76"/>
  <c r="J65" i="76"/>
  <c r="P65" i="76"/>
  <c r="N65" i="76"/>
  <c r="Q65" i="76"/>
  <c r="L65" i="76"/>
  <c r="O65" i="76"/>
  <c r="F67" i="76" l="1"/>
  <c r="R67" i="76"/>
  <c r="AF66" i="76"/>
  <c r="AJ66" i="76"/>
  <c r="AP66" i="76"/>
  <c r="AK66" i="76"/>
  <c r="AI66" i="76"/>
  <c r="AG66" i="76"/>
  <c r="AO66" i="76"/>
  <c r="AM66" i="76"/>
  <c r="AH66" i="76"/>
  <c r="AN66" i="76"/>
  <c r="AL66" i="76"/>
  <c r="C67" i="76"/>
  <c r="B67" i="76"/>
  <c r="A67" i="76"/>
  <c r="AD67" i="76"/>
  <c r="AR68" i="76"/>
  <c r="E67" i="76"/>
  <c r="AE67" i="76"/>
  <c r="D67" i="76"/>
  <c r="Y66" i="76"/>
  <c r="T66" i="76"/>
  <c r="Z66" i="76"/>
  <c r="U66" i="76"/>
  <c r="S66" i="76"/>
  <c r="AA66" i="76"/>
  <c r="AB66" i="76"/>
  <c r="W66" i="76"/>
  <c r="AC66" i="76"/>
  <c r="X66" i="76"/>
  <c r="V66" i="76"/>
  <c r="J66" i="76"/>
  <c r="K66" i="76"/>
  <c r="Q66" i="76"/>
  <c r="L66" i="76"/>
  <c r="G66" i="76"/>
  <c r="H66" i="76"/>
  <c r="P66" i="76"/>
  <c r="N66" i="76"/>
  <c r="I66" i="76"/>
  <c r="O66" i="76"/>
  <c r="M66" i="76"/>
  <c r="F68" i="76" l="1"/>
  <c r="R68" i="76"/>
  <c r="AK67" i="76"/>
  <c r="AF67" i="76"/>
  <c r="AL67" i="76"/>
  <c r="AG67" i="76"/>
  <c r="AM67" i="76"/>
  <c r="AH67" i="76"/>
  <c r="AN67" i="76"/>
  <c r="AI67" i="76"/>
  <c r="AO67" i="76"/>
  <c r="AJ67" i="76"/>
  <c r="AP67" i="76"/>
  <c r="E68" i="76"/>
  <c r="D68" i="76"/>
  <c r="C68" i="76"/>
  <c r="AD68" i="76"/>
  <c r="AR69" i="76"/>
  <c r="B68" i="76"/>
  <c r="AE68" i="76"/>
  <c r="A68" i="76"/>
  <c r="I67" i="76"/>
  <c r="O67" i="76"/>
  <c r="J67" i="76"/>
  <c r="P67" i="76"/>
  <c r="K67" i="76"/>
  <c r="Q67" i="76"/>
  <c r="L67" i="76"/>
  <c r="G67" i="76"/>
  <c r="M67" i="76"/>
  <c r="H67" i="76"/>
  <c r="N67" i="76"/>
  <c r="W67" i="76"/>
  <c r="AC67" i="76"/>
  <c r="X67" i="76"/>
  <c r="S67" i="76"/>
  <c r="Y67" i="76"/>
  <c r="T67" i="76"/>
  <c r="Z67" i="76"/>
  <c r="U67" i="76"/>
  <c r="AA67" i="76"/>
  <c r="V67" i="76"/>
  <c r="AB67" i="76"/>
  <c r="F69" i="76" l="1"/>
  <c r="R69" i="76"/>
  <c r="P68" i="76"/>
  <c r="Q68" i="76"/>
  <c r="L68" i="76"/>
  <c r="G68" i="76"/>
  <c r="M68" i="76"/>
  <c r="K68" i="76"/>
  <c r="N68" i="76"/>
  <c r="I68" i="76"/>
  <c r="O68" i="76"/>
  <c r="J68" i="76"/>
  <c r="H68" i="76"/>
  <c r="AL68" i="76"/>
  <c r="AG68" i="76"/>
  <c r="AM68" i="76"/>
  <c r="AH68" i="76"/>
  <c r="AF68" i="76"/>
  <c r="AN68" i="76"/>
  <c r="AO68" i="76"/>
  <c r="AJ68" i="76"/>
  <c r="AP68" i="76"/>
  <c r="AK68" i="76"/>
  <c r="AI68" i="76"/>
  <c r="A69" i="76"/>
  <c r="E69" i="76"/>
  <c r="AE69" i="76"/>
  <c r="AD69" i="76"/>
  <c r="C69" i="76"/>
  <c r="B69" i="76"/>
  <c r="AR70" i="76"/>
  <c r="D69" i="76"/>
  <c r="AB68" i="76"/>
  <c r="W68" i="76"/>
  <c r="AC68" i="76"/>
  <c r="X68" i="76"/>
  <c r="V68" i="76"/>
  <c r="S68" i="76"/>
  <c r="T68" i="76"/>
  <c r="Z68" i="76"/>
  <c r="U68" i="76"/>
  <c r="AA68" i="76"/>
  <c r="Y68" i="76"/>
  <c r="F70" i="76" l="1"/>
  <c r="R70" i="76"/>
  <c r="W69" i="76"/>
  <c r="AC69" i="76"/>
  <c r="X69" i="76"/>
  <c r="S69" i="76"/>
  <c r="AB69" i="76"/>
  <c r="Y69" i="76"/>
  <c r="Z69" i="76"/>
  <c r="U69" i="76"/>
  <c r="AA69" i="76"/>
  <c r="V69" i="76"/>
  <c r="T69" i="76"/>
  <c r="Q69" i="76"/>
  <c r="L69" i="76"/>
  <c r="O69" i="76"/>
  <c r="M69" i="76"/>
  <c r="N69" i="76"/>
  <c r="P69" i="76"/>
  <c r="I69" i="76"/>
  <c r="K69" i="76"/>
  <c r="J69" i="76"/>
  <c r="H69" i="76"/>
  <c r="G69" i="76"/>
  <c r="AR71" i="76"/>
  <c r="AD70" i="76"/>
  <c r="AE70" i="76"/>
  <c r="A70" i="76"/>
  <c r="D70" i="76"/>
  <c r="E70" i="76"/>
  <c r="C70" i="76"/>
  <c r="B70" i="76"/>
  <c r="AG69" i="76"/>
  <c r="AM69" i="76"/>
  <c r="AH69" i="76"/>
  <c r="AN69" i="76"/>
  <c r="AL69" i="76"/>
  <c r="AO69" i="76"/>
  <c r="AJ69" i="76"/>
  <c r="AP69" i="76"/>
  <c r="AK69" i="76"/>
  <c r="AI69" i="76"/>
  <c r="AF69" i="76"/>
  <c r="F71" i="76" l="1"/>
  <c r="R71" i="76"/>
  <c r="N70" i="76"/>
  <c r="I70" i="76"/>
  <c r="O70" i="76"/>
  <c r="J70" i="76"/>
  <c r="P70" i="76"/>
  <c r="K70" i="76"/>
  <c r="Q70" i="76"/>
  <c r="L70" i="76"/>
  <c r="G70" i="76"/>
  <c r="M70" i="76"/>
  <c r="H70" i="76"/>
  <c r="Y70" i="76"/>
  <c r="T70" i="76"/>
  <c r="Z70" i="76"/>
  <c r="U70" i="76"/>
  <c r="AA70" i="76"/>
  <c r="V70" i="76"/>
  <c r="AB70" i="76"/>
  <c r="W70" i="76"/>
  <c r="AC70" i="76"/>
  <c r="X70" i="76"/>
  <c r="S70" i="76"/>
  <c r="AP70" i="76"/>
  <c r="AK70" i="76"/>
  <c r="AF70" i="76"/>
  <c r="AL70" i="76"/>
  <c r="AG70" i="76"/>
  <c r="AM70" i="76"/>
  <c r="AH70" i="76"/>
  <c r="AN70" i="76"/>
  <c r="AI70" i="76"/>
  <c r="AO70" i="76"/>
  <c r="AJ70" i="76"/>
  <c r="B71" i="76"/>
  <c r="AR72" i="76"/>
  <c r="AD71" i="76"/>
  <c r="E71" i="76"/>
  <c r="C71" i="76"/>
  <c r="AE71" i="76"/>
  <c r="A71" i="76"/>
  <c r="D71" i="76"/>
  <c r="F72" i="76" l="1"/>
  <c r="R72" i="76"/>
  <c r="G71" i="76"/>
  <c r="M71" i="76"/>
  <c r="H71" i="76"/>
  <c r="N71" i="76"/>
  <c r="I71" i="76"/>
  <c r="O71" i="76"/>
  <c r="J71" i="76"/>
  <c r="P71" i="76"/>
  <c r="K71" i="76"/>
  <c r="Q71" i="76"/>
  <c r="L71" i="76"/>
  <c r="B72" i="76"/>
  <c r="A72" i="76"/>
  <c r="AD72" i="76"/>
  <c r="C72" i="76"/>
  <c r="D72" i="76"/>
  <c r="AR73" i="76"/>
  <c r="E72" i="76"/>
  <c r="AE72" i="76"/>
  <c r="AN71" i="76"/>
  <c r="AI71" i="76"/>
  <c r="AO71" i="76"/>
  <c r="AJ71" i="76"/>
  <c r="AP71" i="76"/>
  <c r="AG71" i="76"/>
  <c r="AH71" i="76"/>
  <c r="AK71" i="76"/>
  <c r="AF71" i="76"/>
  <c r="AL71" i="76"/>
  <c r="AM71" i="76"/>
  <c r="Y71" i="76"/>
  <c r="T71" i="76"/>
  <c r="Z71" i="76"/>
  <c r="U71" i="76"/>
  <c r="AA71" i="76"/>
  <c r="V71" i="76"/>
  <c r="AB71" i="76"/>
  <c r="W71" i="76"/>
  <c r="AC71" i="76"/>
  <c r="X71" i="76"/>
  <c r="S71" i="76"/>
  <c r="F73" i="76" l="1"/>
  <c r="R73" i="76"/>
  <c r="H72" i="76"/>
  <c r="N72" i="76"/>
  <c r="I72" i="76"/>
  <c r="O72" i="76"/>
  <c r="J72" i="76"/>
  <c r="P72" i="76"/>
  <c r="K72" i="76"/>
  <c r="Q72" i="76"/>
  <c r="L72" i="76"/>
  <c r="G72" i="76"/>
  <c r="M72" i="76"/>
  <c r="AB72" i="76"/>
  <c r="AC72" i="76"/>
  <c r="X72" i="76"/>
  <c r="S72" i="76"/>
  <c r="Y72" i="76"/>
  <c r="W72" i="76"/>
  <c r="Z72" i="76"/>
  <c r="U72" i="76"/>
  <c r="AA72" i="76"/>
  <c r="V72" i="76"/>
  <c r="T72" i="76"/>
  <c r="AF72" i="76"/>
  <c r="AM72" i="76"/>
  <c r="AH72" i="76"/>
  <c r="AN72" i="76"/>
  <c r="AL72" i="76"/>
  <c r="AG72" i="76"/>
  <c r="AJ72" i="76"/>
  <c r="AP72" i="76"/>
  <c r="AK72" i="76"/>
  <c r="AI72" i="76"/>
  <c r="AO72" i="76"/>
  <c r="E73" i="76"/>
  <c r="D73" i="76"/>
  <c r="AD73" i="76"/>
  <c r="AE73" i="76"/>
  <c r="A73" i="76"/>
  <c r="B73" i="76"/>
  <c r="AR74" i="76"/>
  <c r="C73" i="76"/>
  <c r="F74" i="76" l="1"/>
  <c r="R74" i="76"/>
  <c r="U73" i="76"/>
  <c r="AB73" i="76"/>
  <c r="W73" i="76"/>
  <c r="AC73" i="76"/>
  <c r="AA73" i="76"/>
  <c r="V73" i="76"/>
  <c r="Y73" i="76"/>
  <c r="T73" i="76"/>
  <c r="Z73" i="76"/>
  <c r="X73" i="76"/>
  <c r="S73" i="76"/>
  <c r="AR75" i="76"/>
  <c r="A74" i="76"/>
  <c r="E74" i="76"/>
  <c r="D74" i="76"/>
  <c r="C74" i="76"/>
  <c r="AE74" i="76"/>
  <c r="B74" i="76"/>
  <c r="AD74" i="76"/>
  <c r="M73" i="76"/>
  <c r="H73" i="76"/>
  <c r="G73" i="76"/>
  <c r="I73" i="76"/>
  <c r="K73" i="76"/>
  <c r="J73" i="76"/>
  <c r="P73" i="76"/>
  <c r="N73" i="76"/>
  <c r="Q73" i="76"/>
  <c r="L73" i="76"/>
  <c r="O73" i="76"/>
  <c r="AG73" i="76"/>
  <c r="AM73" i="76"/>
  <c r="AH73" i="76"/>
  <c r="AN73" i="76"/>
  <c r="AI73" i="76"/>
  <c r="AO73" i="76"/>
  <c r="AJ73" i="76"/>
  <c r="AP73" i="76"/>
  <c r="AK73" i="76"/>
  <c r="AF73" i="76"/>
  <c r="AL73" i="76"/>
  <c r="F75" i="76" l="1"/>
  <c r="R75" i="76"/>
  <c r="Z74" i="76"/>
  <c r="U74" i="76"/>
  <c r="AA74" i="76"/>
  <c r="V74" i="76"/>
  <c r="AB74" i="76"/>
  <c r="W74" i="76"/>
  <c r="AC74" i="76"/>
  <c r="X74" i="76"/>
  <c r="S74" i="76"/>
  <c r="Y74" i="76"/>
  <c r="T74" i="76"/>
  <c r="M74" i="76"/>
  <c r="H74" i="76"/>
  <c r="N74" i="76"/>
  <c r="I74" i="76"/>
  <c r="O74" i="76"/>
  <c r="J74" i="76"/>
  <c r="P74" i="76"/>
  <c r="K74" i="76"/>
  <c r="Q74" i="76"/>
  <c r="L74" i="76"/>
  <c r="G74" i="76"/>
  <c r="AR76" i="76"/>
  <c r="B75" i="76"/>
  <c r="AE75" i="76"/>
  <c r="AD75" i="76"/>
  <c r="C75" i="76"/>
  <c r="E75" i="76"/>
  <c r="D75" i="76"/>
  <c r="A75" i="76"/>
  <c r="AF74" i="76"/>
  <c r="AL74" i="76"/>
  <c r="AG74" i="76"/>
  <c r="AM74" i="76"/>
  <c r="AH74" i="76"/>
  <c r="AN74" i="76"/>
  <c r="AI74" i="76"/>
  <c r="AO74" i="76"/>
  <c r="AJ74" i="76"/>
  <c r="AP74" i="76"/>
  <c r="AK74" i="76"/>
  <c r="F76" i="76" l="1"/>
  <c r="R76" i="76"/>
  <c r="Q75" i="76"/>
  <c r="L75" i="76"/>
  <c r="G75" i="76"/>
  <c r="M75" i="76"/>
  <c r="H75" i="76"/>
  <c r="N75" i="76"/>
  <c r="O75" i="76"/>
  <c r="P75" i="76"/>
  <c r="K75" i="76"/>
  <c r="I75" i="76"/>
  <c r="J75" i="76"/>
  <c r="Z75" i="76"/>
  <c r="U75" i="76"/>
  <c r="AA75" i="76"/>
  <c r="V75" i="76"/>
  <c r="AB75" i="76"/>
  <c r="AC75" i="76"/>
  <c r="X75" i="76"/>
  <c r="Y75" i="76"/>
  <c r="T75" i="76"/>
  <c r="W75" i="76"/>
  <c r="S75" i="76"/>
  <c r="AP75" i="76"/>
  <c r="AK75" i="76"/>
  <c r="AF75" i="76"/>
  <c r="AL75" i="76"/>
  <c r="AG75" i="76"/>
  <c r="AM75" i="76"/>
  <c r="AH75" i="76"/>
  <c r="AN75" i="76"/>
  <c r="AI75" i="76"/>
  <c r="AO75" i="76"/>
  <c r="AJ75" i="76"/>
  <c r="B76" i="76"/>
  <c r="A76" i="76"/>
  <c r="AD76" i="76"/>
  <c r="C76" i="76"/>
  <c r="D76" i="76"/>
  <c r="AR77" i="76"/>
  <c r="E76" i="76"/>
  <c r="AE76" i="76"/>
  <c r="F77" i="76" l="1"/>
  <c r="R77" i="76"/>
  <c r="AH76" i="76"/>
  <c r="AO76" i="76"/>
  <c r="AJ76" i="76"/>
  <c r="AP76" i="76"/>
  <c r="AK76" i="76"/>
  <c r="AF76" i="76"/>
  <c r="AL76" i="76"/>
  <c r="AG76" i="76"/>
  <c r="AM76" i="76"/>
  <c r="AN76" i="76"/>
  <c r="AI76" i="76"/>
  <c r="N76" i="76"/>
  <c r="L76" i="76"/>
  <c r="P76" i="76"/>
  <c r="K76" i="76"/>
  <c r="Q76" i="76"/>
  <c r="O76" i="76"/>
  <c r="J76" i="76"/>
  <c r="M76" i="76"/>
  <c r="H76" i="76"/>
  <c r="I76" i="76"/>
  <c r="G76" i="76"/>
  <c r="AB76" i="76"/>
  <c r="W76" i="76"/>
  <c r="AC76" i="76"/>
  <c r="X76" i="76"/>
  <c r="S76" i="76"/>
  <c r="Y76" i="76"/>
  <c r="T76" i="76"/>
  <c r="Z76" i="76"/>
  <c r="U76" i="76"/>
  <c r="AA76" i="76"/>
  <c r="V76" i="76"/>
  <c r="A77" i="76"/>
  <c r="C77" i="76"/>
  <c r="AR78" i="76"/>
  <c r="E77" i="76"/>
  <c r="AD77" i="76"/>
  <c r="B77" i="76"/>
  <c r="D77" i="76"/>
  <c r="AE77" i="76"/>
  <c r="F78" i="76" l="1"/>
  <c r="R78" i="76"/>
  <c r="AN77" i="76"/>
  <c r="AI77" i="76"/>
  <c r="AO77" i="76"/>
  <c r="AJ77" i="76"/>
  <c r="AP77" i="76"/>
  <c r="AK77" i="76"/>
  <c r="AF77" i="76"/>
  <c r="AL77" i="76"/>
  <c r="AG77" i="76"/>
  <c r="AM77" i="76"/>
  <c r="AH77" i="76"/>
  <c r="W77" i="76"/>
  <c r="AC77" i="76"/>
  <c r="X77" i="76"/>
  <c r="S77" i="76"/>
  <c r="Y77" i="76"/>
  <c r="T77" i="76"/>
  <c r="Z77" i="76"/>
  <c r="U77" i="76"/>
  <c r="AA77" i="76"/>
  <c r="V77" i="76"/>
  <c r="AB77" i="76"/>
  <c r="I77" i="76"/>
  <c r="K77" i="76"/>
  <c r="J77" i="76"/>
  <c r="P77" i="76"/>
  <c r="N77" i="76"/>
  <c r="Q77" i="76"/>
  <c r="L77" i="76"/>
  <c r="O77" i="76"/>
  <c r="M77" i="76"/>
  <c r="H77" i="76"/>
  <c r="G77" i="76"/>
  <c r="B78" i="76"/>
  <c r="AR79" i="76"/>
  <c r="AD78" i="76"/>
  <c r="A78" i="76"/>
  <c r="E78" i="76"/>
  <c r="C78" i="76"/>
  <c r="D78" i="76"/>
  <c r="AE78" i="76"/>
  <c r="F79" i="76" l="1"/>
  <c r="R79" i="76"/>
  <c r="S78" i="76"/>
  <c r="T78" i="76"/>
  <c r="Z78" i="76"/>
  <c r="U78" i="76"/>
  <c r="AA78" i="76"/>
  <c r="Y78" i="76"/>
  <c r="AB78" i="76"/>
  <c r="W78" i="76"/>
  <c r="AC78" i="76"/>
  <c r="X78" i="76"/>
  <c r="V78" i="76"/>
  <c r="AR80" i="76"/>
  <c r="AD79" i="76"/>
  <c r="B79" i="76"/>
  <c r="A79" i="76"/>
  <c r="D79" i="76"/>
  <c r="E79" i="76"/>
  <c r="C79" i="76"/>
  <c r="AE79" i="76"/>
  <c r="AP78" i="76"/>
  <c r="AK78" i="76"/>
  <c r="AF78" i="76"/>
  <c r="AL78" i="76"/>
  <c r="AG78" i="76"/>
  <c r="AM78" i="76"/>
  <c r="AH78" i="76"/>
  <c r="AN78" i="76"/>
  <c r="AI78" i="76"/>
  <c r="AO78" i="76"/>
  <c r="AJ78" i="76"/>
  <c r="J78" i="76"/>
  <c r="P78" i="76"/>
  <c r="K78" i="76"/>
  <c r="Q78" i="76"/>
  <c r="O78" i="76"/>
  <c r="L78" i="76"/>
  <c r="M78" i="76"/>
  <c r="H78" i="76"/>
  <c r="N78" i="76"/>
  <c r="I78" i="76"/>
  <c r="G78" i="76"/>
  <c r="F80" i="76" l="1"/>
  <c r="R80" i="76"/>
  <c r="AC79" i="76"/>
  <c r="X79" i="76"/>
  <c r="S79" i="76"/>
  <c r="Y79" i="76"/>
  <c r="T79" i="76"/>
  <c r="Z79" i="76"/>
  <c r="U79" i="76"/>
  <c r="AA79" i="76"/>
  <c r="V79" i="76"/>
  <c r="AB79" i="76"/>
  <c r="W79" i="76"/>
  <c r="N79" i="76"/>
  <c r="I79" i="76"/>
  <c r="O79" i="76"/>
  <c r="J79" i="76"/>
  <c r="P79" i="76"/>
  <c r="K79" i="76"/>
  <c r="Q79" i="76"/>
  <c r="L79" i="76"/>
  <c r="G79" i="76"/>
  <c r="M79" i="76"/>
  <c r="H79" i="76"/>
  <c r="AR81" i="76"/>
  <c r="B80" i="76"/>
  <c r="AE80" i="76"/>
  <c r="A80" i="76"/>
  <c r="E80" i="76"/>
  <c r="D80" i="76"/>
  <c r="C80" i="76"/>
  <c r="AD80" i="76"/>
  <c r="AL79" i="76"/>
  <c r="AG79" i="76"/>
  <c r="AM79" i="76"/>
  <c r="AH79" i="76"/>
  <c r="AN79" i="76"/>
  <c r="AI79" i="76"/>
  <c r="AO79" i="76"/>
  <c r="AJ79" i="76"/>
  <c r="AP79" i="76"/>
  <c r="AK79" i="76"/>
  <c r="AF79" i="76"/>
  <c r="F81" i="76" l="1"/>
  <c r="R81" i="76"/>
  <c r="Y80" i="76"/>
  <c r="T80" i="76"/>
  <c r="Z80" i="76"/>
  <c r="U80" i="76"/>
  <c r="AA80" i="76"/>
  <c r="V80" i="76"/>
  <c r="AB80" i="76"/>
  <c r="W80" i="76"/>
  <c r="AC80" i="76"/>
  <c r="X80" i="76"/>
  <c r="S80" i="76"/>
  <c r="Q80" i="76"/>
  <c r="J80" i="76"/>
  <c r="P80" i="76"/>
  <c r="K80" i="76"/>
  <c r="I80" i="76"/>
  <c r="O80" i="76"/>
  <c r="G80" i="76"/>
  <c r="M80" i="76"/>
  <c r="H80" i="76"/>
  <c r="N80" i="76"/>
  <c r="L80" i="76"/>
  <c r="AF80" i="76"/>
  <c r="AL80" i="76"/>
  <c r="AG80" i="76"/>
  <c r="AM80" i="76"/>
  <c r="AH80" i="76"/>
  <c r="AN80" i="76"/>
  <c r="AI80" i="76"/>
  <c r="AO80" i="76"/>
  <c r="AJ80" i="76"/>
  <c r="AP80" i="76"/>
  <c r="AK80" i="76"/>
  <c r="AR82" i="76"/>
  <c r="C81" i="76"/>
  <c r="AE81" i="76"/>
  <c r="B81" i="76"/>
  <c r="A81" i="76"/>
  <c r="E81" i="76"/>
  <c r="D81" i="76"/>
  <c r="AD81" i="76"/>
  <c r="F82" i="76" l="1"/>
  <c r="R82" i="76"/>
  <c r="Y81" i="76"/>
  <c r="T81" i="76"/>
  <c r="Z81" i="76"/>
  <c r="U81" i="76"/>
  <c r="AA81" i="76"/>
  <c r="V81" i="76"/>
  <c r="AB81" i="76"/>
  <c r="W81" i="76"/>
  <c r="AC81" i="76"/>
  <c r="X81" i="76"/>
  <c r="S81" i="76"/>
  <c r="P81" i="76"/>
  <c r="N81" i="76"/>
  <c r="Q81" i="76"/>
  <c r="L81" i="76"/>
  <c r="O81" i="76"/>
  <c r="M81" i="76"/>
  <c r="H81" i="76"/>
  <c r="G81" i="76"/>
  <c r="I81" i="76"/>
  <c r="K81" i="76"/>
  <c r="J81" i="76"/>
  <c r="AO81" i="76"/>
  <c r="AJ81" i="76"/>
  <c r="AP81" i="76"/>
  <c r="AK81" i="76"/>
  <c r="AF81" i="76"/>
  <c r="AL81" i="76"/>
  <c r="AG81" i="76"/>
  <c r="AM81" i="76"/>
  <c r="AH81" i="76"/>
  <c r="AN81" i="76"/>
  <c r="AI81" i="76"/>
  <c r="C82" i="76"/>
  <c r="B82" i="76"/>
  <c r="A82" i="76"/>
  <c r="AD82" i="76"/>
  <c r="AR83" i="76"/>
  <c r="E82" i="76"/>
  <c r="AE82" i="76"/>
  <c r="D82" i="76"/>
  <c r="F83" i="76" l="1"/>
  <c r="R83" i="76"/>
  <c r="Q82" i="76"/>
  <c r="L82" i="76"/>
  <c r="G82" i="76"/>
  <c r="M82" i="76"/>
  <c r="H82" i="76"/>
  <c r="N82" i="76"/>
  <c r="I82" i="76"/>
  <c r="O82" i="76"/>
  <c r="J82" i="76"/>
  <c r="P82" i="76"/>
  <c r="K82" i="76"/>
  <c r="AN82" i="76"/>
  <c r="AI82" i="76"/>
  <c r="AO82" i="76"/>
  <c r="AJ82" i="76"/>
  <c r="AP82" i="76"/>
  <c r="AK82" i="76"/>
  <c r="AF82" i="76"/>
  <c r="AL82" i="76"/>
  <c r="AG82" i="76"/>
  <c r="AM82" i="76"/>
  <c r="AH82" i="76"/>
  <c r="AD83" i="76"/>
  <c r="A83" i="76"/>
  <c r="AR84" i="76"/>
  <c r="E83" i="76"/>
  <c r="AE83" i="76"/>
  <c r="D83" i="76"/>
  <c r="C83" i="76"/>
  <c r="B83" i="76"/>
  <c r="X82" i="76"/>
  <c r="S82" i="76"/>
  <c r="Y82" i="76"/>
  <c r="T82" i="76"/>
  <c r="Z82" i="76"/>
  <c r="U82" i="76"/>
  <c r="AA82" i="76"/>
  <c r="V82" i="76"/>
  <c r="AB82" i="76"/>
  <c r="W82" i="76"/>
  <c r="AC82" i="76"/>
  <c r="F84" i="76" l="1"/>
  <c r="R84" i="76"/>
  <c r="M83" i="76"/>
  <c r="H83" i="76"/>
  <c r="N83" i="76"/>
  <c r="I83" i="76"/>
  <c r="O83" i="76"/>
  <c r="J83" i="76"/>
  <c r="P83" i="76"/>
  <c r="K83" i="76"/>
  <c r="Q83" i="76"/>
  <c r="L83" i="76"/>
  <c r="G83" i="76"/>
  <c r="S83" i="76"/>
  <c r="Y83" i="76"/>
  <c r="T83" i="76"/>
  <c r="Z83" i="76"/>
  <c r="U83" i="76"/>
  <c r="AA83" i="76"/>
  <c r="V83" i="76"/>
  <c r="AB83" i="76"/>
  <c r="W83" i="76"/>
  <c r="AC83" i="76"/>
  <c r="X83" i="76"/>
  <c r="AO83" i="76"/>
  <c r="AJ83" i="76"/>
  <c r="AP83" i="76"/>
  <c r="AK83" i="76"/>
  <c r="AF83" i="76"/>
  <c r="AL83" i="76"/>
  <c r="AG83" i="76"/>
  <c r="AM83" i="76"/>
  <c r="AH83" i="76"/>
  <c r="AN83" i="76"/>
  <c r="AI83" i="76"/>
  <c r="D84" i="76"/>
  <c r="C84" i="76"/>
  <c r="AD84" i="76"/>
  <c r="E84" i="76"/>
  <c r="A84" i="76"/>
  <c r="AR85" i="76"/>
  <c r="B84" i="76"/>
  <c r="AE84" i="76"/>
  <c r="F85" i="76" l="1"/>
  <c r="R85" i="76"/>
  <c r="A85" i="76"/>
  <c r="E85" i="76"/>
  <c r="AR86" i="76"/>
  <c r="B85" i="76"/>
  <c r="AE85" i="76"/>
  <c r="C85" i="76"/>
  <c r="AD85" i="76"/>
  <c r="D85" i="76"/>
  <c r="J84" i="76"/>
  <c r="L84" i="76"/>
  <c r="M84" i="76"/>
  <c r="H84" i="76"/>
  <c r="N84" i="76"/>
  <c r="I84" i="76"/>
  <c r="O84" i="76"/>
  <c r="P84" i="76"/>
  <c r="K84" i="76"/>
  <c r="Q84" i="76"/>
  <c r="G84" i="76"/>
  <c r="U84" i="76"/>
  <c r="AB84" i="76"/>
  <c r="W84" i="76"/>
  <c r="AC84" i="76"/>
  <c r="X84" i="76"/>
  <c r="S84" i="76"/>
  <c r="Y84" i="76"/>
  <c r="T84" i="76"/>
  <c r="Z84" i="76"/>
  <c r="AA84" i="76"/>
  <c r="V84" i="76"/>
  <c r="AL84" i="76"/>
  <c r="AG84" i="76"/>
  <c r="AM84" i="76"/>
  <c r="AH84" i="76"/>
  <c r="AN84" i="76"/>
  <c r="AI84" i="76"/>
  <c r="AO84" i="76"/>
  <c r="AJ84" i="76"/>
  <c r="AP84" i="76"/>
  <c r="AK84" i="76"/>
  <c r="AF84" i="76"/>
  <c r="F86" i="76" l="1"/>
  <c r="R86" i="76"/>
  <c r="W85" i="76"/>
  <c r="X85" i="76"/>
  <c r="Y85" i="76"/>
  <c r="Z85" i="76"/>
  <c r="U85" i="76"/>
  <c r="AA85" i="76"/>
  <c r="V85" i="76"/>
  <c r="AB85" i="76"/>
  <c r="AC85" i="76"/>
  <c r="S85" i="76"/>
  <c r="T85" i="76"/>
  <c r="AG85" i="76"/>
  <c r="AH85" i="76"/>
  <c r="AO85" i="76"/>
  <c r="AJ85" i="76"/>
  <c r="AP85" i="76"/>
  <c r="AK85" i="76"/>
  <c r="AF85" i="76"/>
  <c r="AL85" i="76"/>
  <c r="AM85" i="76"/>
  <c r="AN85" i="76"/>
  <c r="AI85" i="76"/>
  <c r="AR87" i="76"/>
  <c r="A86" i="76"/>
  <c r="E86" i="76"/>
  <c r="C86" i="76"/>
  <c r="D86" i="76"/>
  <c r="B86" i="76"/>
  <c r="AE86" i="76"/>
  <c r="AD86" i="76"/>
  <c r="H85" i="76"/>
  <c r="K85" i="76"/>
  <c r="P85" i="76"/>
  <c r="N85" i="76"/>
  <c r="Q85" i="76"/>
  <c r="L85" i="76"/>
  <c r="O85" i="76"/>
  <c r="M85" i="76"/>
  <c r="G85" i="76"/>
  <c r="I85" i="76"/>
  <c r="J85" i="76"/>
  <c r="F87" i="76" l="1"/>
  <c r="R87" i="76"/>
  <c r="V86" i="76"/>
  <c r="AB86" i="76"/>
  <c r="W86" i="76"/>
  <c r="AC86" i="76"/>
  <c r="X86" i="76"/>
  <c r="S86" i="76"/>
  <c r="Y86" i="76"/>
  <c r="T86" i="76"/>
  <c r="Z86" i="76"/>
  <c r="U86" i="76"/>
  <c r="AA86" i="76"/>
  <c r="M86" i="76"/>
  <c r="H86" i="76"/>
  <c r="N86" i="76"/>
  <c r="I86" i="76"/>
  <c r="O86" i="76"/>
  <c r="J86" i="76"/>
  <c r="P86" i="76"/>
  <c r="K86" i="76"/>
  <c r="Q86" i="76"/>
  <c r="L86" i="76"/>
  <c r="G86" i="76"/>
  <c r="AH86" i="76"/>
  <c r="AN86" i="76"/>
  <c r="AI86" i="76"/>
  <c r="AO86" i="76"/>
  <c r="AJ86" i="76"/>
  <c r="AP86" i="76"/>
  <c r="AK86" i="76"/>
  <c r="AF86" i="76"/>
  <c r="AL86" i="76"/>
  <c r="AG86" i="76"/>
  <c r="AM86" i="76"/>
  <c r="AR88" i="76"/>
  <c r="AD87" i="76"/>
  <c r="B87" i="76"/>
  <c r="A87" i="76"/>
  <c r="D87" i="76"/>
  <c r="E87" i="76"/>
  <c r="C87" i="76"/>
  <c r="AE87" i="76"/>
  <c r="F88" i="76" l="1"/>
  <c r="R88" i="76"/>
  <c r="AN87" i="76"/>
  <c r="AI87" i="76"/>
  <c r="AO87" i="76"/>
  <c r="AJ87" i="76"/>
  <c r="AP87" i="76"/>
  <c r="AK87" i="76"/>
  <c r="AF87" i="76"/>
  <c r="AL87" i="76"/>
  <c r="AG87" i="76"/>
  <c r="AM87" i="76"/>
  <c r="AH87" i="76"/>
  <c r="AC87" i="76"/>
  <c r="X87" i="76"/>
  <c r="S87" i="76"/>
  <c r="Y87" i="76"/>
  <c r="T87" i="76"/>
  <c r="Z87" i="76"/>
  <c r="U87" i="76"/>
  <c r="AA87" i="76"/>
  <c r="V87" i="76"/>
  <c r="AB87" i="76"/>
  <c r="W87" i="76"/>
  <c r="G87" i="76"/>
  <c r="M87" i="76"/>
  <c r="H87" i="76"/>
  <c r="N87" i="76"/>
  <c r="I87" i="76"/>
  <c r="O87" i="76"/>
  <c r="J87" i="76"/>
  <c r="P87" i="76"/>
  <c r="K87" i="76"/>
  <c r="Q87" i="76"/>
  <c r="L87" i="76"/>
  <c r="B88" i="76"/>
  <c r="A88" i="76"/>
  <c r="AD88" i="76"/>
  <c r="C88" i="76"/>
  <c r="D88" i="76"/>
  <c r="AR89" i="76"/>
  <c r="E88" i="76"/>
  <c r="AE88" i="76"/>
  <c r="F89" i="76" l="1"/>
  <c r="R89" i="76"/>
  <c r="AR90" i="76"/>
  <c r="A89" i="76"/>
  <c r="D89" i="76"/>
  <c r="C89" i="76"/>
  <c r="B89" i="76"/>
  <c r="AE89" i="76"/>
  <c r="E89" i="76"/>
  <c r="AD89" i="76"/>
  <c r="L88" i="76"/>
  <c r="G88" i="76"/>
  <c r="M88" i="76"/>
  <c r="H88" i="76"/>
  <c r="N88" i="76"/>
  <c r="I88" i="76"/>
  <c r="O88" i="76"/>
  <c r="J88" i="76"/>
  <c r="P88" i="76"/>
  <c r="K88" i="76"/>
  <c r="Q88" i="76"/>
  <c r="V88" i="76"/>
  <c r="AB88" i="76"/>
  <c r="W88" i="76"/>
  <c r="AC88" i="76"/>
  <c r="X88" i="76"/>
  <c r="S88" i="76"/>
  <c r="Y88" i="76"/>
  <c r="T88" i="76"/>
  <c r="Z88" i="76"/>
  <c r="U88" i="76"/>
  <c r="AA88" i="76"/>
  <c r="AF88" i="76"/>
  <c r="AL88" i="76"/>
  <c r="AG88" i="76"/>
  <c r="AM88" i="76"/>
  <c r="AH88" i="76"/>
  <c r="AN88" i="76"/>
  <c r="AI88" i="76"/>
  <c r="AO88" i="76"/>
  <c r="AJ88" i="76"/>
  <c r="AP88" i="76"/>
  <c r="AK88" i="76"/>
  <c r="F90" i="76" l="1"/>
  <c r="R90" i="76"/>
  <c r="AK89" i="76"/>
  <c r="AF89" i="76"/>
  <c r="AL89" i="76"/>
  <c r="AO89" i="76"/>
  <c r="AJ89" i="76"/>
  <c r="AH89" i="76"/>
  <c r="AN89" i="76"/>
  <c r="AI89" i="76"/>
  <c r="AP89" i="76"/>
  <c r="AG89" i="76"/>
  <c r="AM89" i="76"/>
  <c r="AC89" i="76"/>
  <c r="U89" i="76"/>
  <c r="AA89" i="76"/>
  <c r="V89" i="76"/>
  <c r="AB89" i="76"/>
  <c r="W89" i="76"/>
  <c r="X89" i="76"/>
  <c r="S89" i="76"/>
  <c r="Y89" i="76"/>
  <c r="T89" i="76"/>
  <c r="Z89" i="76"/>
  <c r="N89" i="76"/>
  <c r="M89" i="76"/>
  <c r="H89" i="76"/>
  <c r="G89" i="76"/>
  <c r="I89" i="76"/>
  <c r="K89" i="76"/>
  <c r="J89" i="76"/>
  <c r="P89" i="76"/>
  <c r="Q89" i="76"/>
  <c r="L89" i="76"/>
  <c r="O89" i="76"/>
  <c r="D90" i="76"/>
  <c r="B90" i="76"/>
  <c r="A90" i="76"/>
  <c r="AR91" i="76"/>
  <c r="E90" i="76"/>
  <c r="AE90" i="76"/>
  <c r="AD90" i="76"/>
  <c r="C90" i="76"/>
  <c r="F91" i="76" l="1"/>
  <c r="R91" i="76"/>
  <c r="AI90" i="76"/>
  <c r="AJ90" i="76"/>
  <c r="AP90" i="76"/>
  <c r="AK90" i="76"/>
  <c r="AL90" i="76"/>
  <c r="AN90" i="76"/>
  <c r="AO90" i="76"/>
  <c r="AM90" i="76"/>
  <c r="AH90" i="76"/>
  <c r="AF90" i="76"/>
  <c r="AG90" i="76"/>
  <c r="Y90" i="76"/>
  <c r="T90" i="76"/>
  <c r="Z90" i="76"/>
  <c r="U90" i="76"/>
  <c r="AA90" i="76"/>
  <c r="V90" i="76"/>
  <c r="AB90" i="76"/>
  <c r="W90" i="76"/>
  <c r="AC90" i="76"/>
  <c r="X90" i="76"/>
  <c r="S90" i="76"/>
  <c r="L90" i="76"/>
  <c r="J90" i="76"/>
  <c r="N90" i="76"/>
  <c r="I90" i="76"/>
  <c r="O90" i="76"/>
  <c r="M90" i="76"/>
  <c r="K90" i="76"/>
  <c r="H90" i="76"/>
  <c r="Q90" i="76"/>
  <c r="G90" i="76"/>
  <c r="P90" i="76"/>
  <c r="B91" i="76"/>
  <c r="AR92" i="76"/>
  <c r="E91" i="76"/>
  <c r="C91" i="76"/>
  <c r="AE91" i="76"/>
  <c r="AD91" i="76"/>
  <c r="A91" i="76"/>
  <c r="D91" i="76"/>
  <c r="F92" i="76" l="1"/>
  <c r="R92" i="76"/>
  <c r="AC91" i="76"/>
  <c r="AA91" i="76"/>
  <c r="V91" i="76"/>
  <c r="AB91" i="76"/>
  <c r="Z91" i="76"/>
  <c r="U91" i="76"/>
  <c r="S91" i="76"/>
  <c r="T91" i="76"/>
  <c r="X91" i="76"/>
  <c r="W91" i="76"/>
  <c r="Y91" i="76"/>
  <c r="Q91" i="76"/>
  <c r="L91" i="76"/>
  <c r="G91" i="76"/>
  <c r="M91" i="76"/>
  <c r="H91" i="76"/>
  <c r="N91" i="76"/>
  <c r="O91" i="76"/>
  <c r="J91" i="76"/>
  <c r="K91" i="76"/>
  <c r="I91" i="76"/>
  <c r="P91" i="76"/>
  <c r="AP91" i="76"/>
  <c r="AO91" i="76"/>
  <c r="AJ91" i="76"/>
  <c r="AI91" i="76"/>
  <c r="AK91" i="76"/>
  <c r="AF91" i="76"/>
  <c r="AN91" i="76"/>
  <c r="AL91" i="76"/>
  <c r="AM91" i="76"/>
  <c r="AH91" i="76"/>
  <c r="AG91" i="76"/>
  <c r="E92" i="76"/>
  <c r="A92" i="76"/>
  <c r="AD92" i="76"/>
  <c r="B92" i="76"/>
  <c r="D92" i="76"/>
  <c r="C92" i="76"/>
  <c r="AR93" i="76"/>
  <c r="AE92" i="76"/>
  <c r="F93" i="76" l="1"/>
  <c r="R93" i="76"/>
  <c r="AL92" i="76"/>
  <c r="AI92" i="76"/>
  <c r="AK92" i="76"/>
  <c r="AH92" i="76"/>
  <c r="AN92" i="76"/>
  <c r="AM92" i="76"/>
  <c r="AO92" i="76"/>
  <c r="AJ92" i="76"/>
  <c r="AG92" i="76"/>
  <c r="AF92" i="76"/>
  <c r="AP92" i="76"/>
  <c r="B93" i="76"/>
  <c r="AR94" i="76"/>
  <c r="AE93" i="76"/>
  <c r="E93" i="76"/>
  <c r="AD93" i="76"/>
  <c r="A93" i="76"/>
  <c r="D93" i="76"/>
  <c r="C93" i="76"/>
  <c r="T92" i="76"/>
  <c r="Z92" i="76"/>
  <c r="W92" i="76"/>
  <c r="Y92" i="76"/>
  <c r="V92" i="76"/>
  <c r="AB92" i="76"/>
  <c r="AA92" i="76"/>
  <c r="X92" i="76"/>
  <c r="U92" i="76"/>
  <c r="AC92" i="76"/>
  <c r="S92" i="76"/>
  <c r="N92" i="76"/>
  <c r="K92" i="76"/>
  <c r="M92" i="76"/>
  <c r="J92" i="76"/>
  <c r="P92" i="76"/>
  <c r="O92" i="76"/>
  <c r="Q92" i="76"/>
  <c r="G92" i="76"/>
  <c r="I92" i="76"/>
  <c r="L92" i="76"/>
  <c r="H92" i="76"/>
  <c r="F94" i="76" l="1"/>
  <c r="R94" i="76"/>
  <c r="L93" i="76"/>
  <c r="I93" i="76"/>
  <c r="O93" i="76"/>
  <c r="N93" i="76"/>
  <c r="P93" i="76"/>
  <c r="K93" i="76"/>
  <c r="Q93" i="76"/>
  <c r="H93" i="76"/>
  <c r="G93" i="76"/>
  <c r="M93" i="76"/>
  <c r="J93" i="76"/>
  <c r="C94" i="76"/>
  <c r="AR95" i="76"/>
  <c r="D94" i="76"/>
  <c r="E94" i="76"/>
  <c r="AE94" i="76"/>
  <c r="B94" i="76"/>
  <c r="A94" i="76"/>
  <c r="AD94" i="76"/>
  <c r="AM93" i="76"/>
  <c r="AL93" i="76"/>
  <c r="AJ93" i="76"/>
  <c r="AI93" i="76"/>
  <c r="AO93" i="76"/>
  <c r="AP93" i="76"/>
  <c r="AN93" i="76"/>
  <c r="AK93" i="76"/>
  <c r="AH93" i="76"/>
  <c r="AF93" i="76"/>
  <c r="AG93" i="76"/>
  <c r="U93" i="76"/>
  <c r="W93" i="76"/>
  <c r="Z93" i="76"/>
  <c r="AB93" i="76"/>
  <c r="X93" i="76"/>
  <c r="AC93" i="76"/>
  <c r="T93" i="76"/>
  <c r="AA93" i="76"/>
  <c r="V93" i="76"/>
  <c r="S93" i="76"/>
  <c r="Y93" i="76"/>
  <c r="F95" i="76" l="1"/>
  <c r="R95" i="76"/>
  <c r="AJ94" i="76"/>
  <c r="AL94" i="76"/>
  <c r="AG94" i="76"/>
  <c r="AI94" i="76"/>
  <c r="AH94" i="76"/>
  <c r="AN94" i="76"/>
  <c r="AK94" i="76"/>
  <c r="AM94" i="76"/>
  <c r="AP94" i="76"/>
  <c r="AO94" i="76"/>
  <c r="AF94" i="76"/>
  <c r="H94" i="76"/>
  <c r="K94" i="76"/>
  <c r="P94" i="76"/>
  <c r="Q94" i="76"/>
  <c r="O94" i="76"/>
  <c r="L94" i="76"/>
  <c r="I94" i="76"/>
  <c r="G94" i="76"/>
  <c r="N94" i="76"/>
  <c r="M94" i="76"/>
  <c r="J94" i="76"/>
  <c r="AD95" i="76"/>
  <c r="E95" i="76"/>
  <c r="A95" i="76"/>
  <c r="D95" i="76"/>
  <c r="B95" i="76"/>
  <c r="AR96" i="76"/>
  <c r="AE95" i="76"/>
  <c r="C95" i="76"/>
  <c r="Y94" i="76"/>
  <c r="AB94" i="76"/>
  <c r="AA94" i="76"/>
  <c r="X94" i="76"/>
  <c r="U94" i="76"/>
  <c r="S94" i="76"/>
  <c r="T94" i="76"/>
  <c r="Z94" i="76"/>
  <c r="W94" i="76"/>
  <c r="V94" i="76"/>
  <c r="AC94" i="76"/>
  <c r="F96" i="76" l="1"/>
  <c r="R96" i="76"/>
  <c r="A96" i="76"/>
  <c r="AR97" i="76"/>
  <c r="B96" i="76"/>
  <c r="AE96" i="76"/>
  <c r="D96" i="76"/>
  <c r="C96" i="76"/>
  <c r="AD96" i="76"/>
  <c r="E96" i="76"/>
  <c r="AO95" i="76"/>
  <c r="AN95" i="76"/>
  <c r="AP95" i="76"/>
  <c r="AK95" i="76"/>
  <c r="AF95" i="76"/>
  <c r="AH95" i="76"/>
  <c r="AG95" i="76"/>
  <c r="AM95" i="76"/>
  <c r="AJ95" i="76"/>
  <c r="AL95" i="76"/>
  <c r="AI95" i="76"/>
  <c r="I95" i="76"/>
  <c r="O95" i="76"/>
  <c r="L95" i="76"/>
  <c r="N95" i="76"/>
  <c r="K95" i="76"/>
  <c r="Q95" i="76"/>
  <c r="P95" i="76"/>
  <c r="G95" i="76"/>
  <c r="M95" i="76"/>
  <c r="H95" i="76"/>
  <c r="J95" i="76"/>
  <c r="Y95" i="76"/>
  <c r="T95" i="76"/>
  <c r="V95" i="76"/>
  <c r="U95" i="76"/>
  <c r="AA95" i="76"/>
  <c r="X95" i="76"/>
  <c r="Z95" i="76"/>
  <c r="W95" i="76"/>
  <c r="AC95" i="76"/>
  <c r="AB95" i="76"/>
  <c r="S95" i="76"/>
  <c r="F97" i="76" l="1"/>
  <c r="R97" i="76"/>
  <c r="V96" i="76"/>
  <c r="AB96" i="76"/>
  <c r="AA96" i="76"/>
  <c r="AC96" i="76"/>
  <c r="X96" i="76"/>
  <c r="S96" i="76"/>
  <c r="U96" i="76"/>
  <c r="T96" i="76"/>
  <c r="Z96" i="76"/>
  <c r="W96" i="76"/>
  <c r="Y96" i="76"/>
  <c r="P96" i="76"/>
  <c r="O96" i="76"/>
  <c r="Q96" i="76"/>
  <c r="L96" i="76"/>
  <c r="G96" i="76"/>
  <c r="I96" i="76"/>
  <c r="H96" i="76"/>
  <c r="N96" i="76"/>
  <c r="K96" i="76"/>
  <c r="M96" i="76"/>
  <c r="J96" i="76"/>
  <c r="AH96" i="76"/>
  <c r="AN96" i="76"/>
  <c r="AM96" i="76"/>
  <c r="AO96" i="76"/>
  <c r="AJ96" i="76"/>
  <c r="AP96" i="76"/>
  <c r="AG96" i="76"/>
  <c r="AF96" i="76"/>
  <c r="AL96" i="76"/>
  <c r="AI96" i="76"/>
  <c r="AK96" i="76"/>
  <c r="AR98" i="76"/>
  <c r="E97" i="76"/>
  <c r="AE97" i="76"/>
  <c r="A97" i="76"/>
  <c r="D97" i="76"/>
  <c r="C97" i="76"/>
  <c r="B97" i="76"/>
  <c r="AD97" i="76"/>
  <c r="F98" i="76" l="1"/>
  <c r="R98" i="76"/>
  <c r="AB97" i="76"/>
  <c r="W97" i="76"/>
  <c r="AC97" i="76"/>
  <c r="X97" i="76"/>
  <c r="S97" i="76"/>
  <c r="Y97" i="76"/>
  <c r="T97" i="76"/>
  <c r="Z97" i="76"/>
  <c r="U97" i="76"/>
  <c r="AA97" i="76"/>
  <c r="V97" i="76"/>
  <c r="G97" i="76"/>
  <c r="I97" i="76"/>
  <c r="J97" i="76"/>
  <c r="L97" i="76"/>
  <c r="H97" i="76"/>
  <c r="O97" i="76"/>
  <c r="N97" i="76"/>
  <c r="M97" i="76"/>
  <c r="K97" i="76"/>
  <c r="Q97" i="76"/>
  <c r="P97" i="76"/>
  <c r="AL97" i="76"/>
  <c r="AG97" i="76"/>
  <c r="AM97" i="76"/>
  <c r="AH97" i="76"/>
  <c r="AN97" i="76"/>
  <c r="AI97" i="76"/>
  <c r="AO97" i="76"/>
  <c r="AJ97" i="76"/>
  <c r="AP97" i="76"/>
  <c r="AK97" i="76"/>
  <c r="AF97" i="76"/>
  <c r="E98" i="76"/>
  <c r="C98" i="76"/>
  <c r="A98" i="76"/>
  <c r="AR99" i="76"/>
  <c r="AE98" i="76"/>
  <c r="AD98" i="76"/>
  <c r="D98" i="76"/>
  <c r="B98" i="76"/>
  <c r="F99" i="76" l="1"/>
  <c r="R99" i="76"/>
  <c r="C99" i="76"/>
  <c r="B99" i="76"/>
  <c r="AE99" i="76"/>
  <c r="D99" i="76"/>
  <c r="E99" i="76"/>
  <c r="AR100" i="76"/>
  <c r="A99" i="76"/>
  <c r="AD99" i="76"/>
  <c r="AP98" i="76"/>
  <c r="AK98" i="76"/>
  <c r="AF98" i="76"/>
  <c r="AL98" i="76"/>
  <c r="AG98" i="76"/>
  <c r="AM98" i="76"/>
  <c r="AH98" i="76"/>
  <c r="AN98" i="76"/>
  <c r="AI98" i="76"/>
  <c r="AO98" i="76"/>
  <c r="AJ98" i="76"/>
  <c r="O98" i="76"/>
  <c r="J98" i="76"/>
  <c r="P98" i="76"/>
  <c r="K98" i="76"/>
  <c r="Q98" i="76"/>
  <c r="L98" i="76"/>
  <c r="G98" i="76"/>
  <c r="M98" i="76"/>
  <c r="H98" i="76"/>
  <c r="N98" i="76"/>
  <c r="I98" i="76"/>
  <c r="Z98" i="76"/>
  <c r="T98" i="76"/>
  <c r="AA98" i="76"/>
  <c r="V98" i="76"/>
  <c r="AC98" i="76"/>
  <c r="W98" i="76"/>
  <c r="Y98" i="76"/>
  <c r="U98" i="76"/>
  <c r="S98" i="76"/>
  <c r="AB98" i="76"/>
  <c r="X98" i="76"/>
  <c r="F100" i="76" l="1"/>
  <c r="R100" i="76"/>
  <c r="E100" i="76"/>
  <c r="B100" i="76"/>
  <c r="A100" i="76"/>
  <c r="AE100" i="76"/>
  <c r="C100" i="76"/>
  <c r="D100" i="76"/>
  <c r="AR101" i="76"/>
  <c r="AD100" i="76"/>
  <c r="L99" i="76"/>
  <c r="N99" i="76"/>
  <c r="I99" i="76"/>
  <c r="O99" i="76"/>
  <c r="J99" i="76"/>
  <c r="P99" i="76"/>
  <c r="K99" i="76"/>
  <c r="Q99" i="76"/>
  <c r="G99" i="76"/>
  <c r="M99" i="76"/>
  <c r="H99" i="76"/>
  <c r="Y99" i="76"/>
  <c r="Z99" i="76"/>
  <c r="U99" i="76"/>
  <c r="AA99" i="76"/>
  <c r="V99" i="76"/>
  <c r="AB99" i="76"/>
  <c r="W99" i="76"/>
  <c r="AC99" i="76"/>
  <c r="X99" i="76"/>
  <c r="S99" i="76"/>
  <c r="T99" i="76"/>
  <c r="AL99" i="76"/>
  <c r="AM99" i="76"/>
  <c r="AH99" i="76"/>
  <c r="AN99" i="76"/>
  <c r="AI99" i="76"/>
  <c r="AO99" i="76"/>
  <c r="AJ99" i="76"/>
  <c r="AP99" i="76"/>
  <c r="AK99" i="76"/>
  <c r="AF99" i="76"/>
  <c r="AG99" i="76"/>
  <c r="F101" i="76" l="1"/>
  <c r="R101" i="76"/>
  <c r="B101" i="76"/>
  <c r="AR102" i="76"/>
  <c r="C101" i="76"/>
  <c r="AE101" i="76"/>
  <c r="E101" i="76"/>
  <c r="D101" i="76"/>
  <c r="AD101" i="76"/>
  <c r="A101" i="76"/>
  <c r="AC100" i="76"/>
  <c r="X100" i="76"/>
  <c r="S100" i="76"/>
  <c r="Y100" i="76"/>
  <c r="T100" i="76"/>
  <c r="Z100" i="76"/>
  <c r="U100" i="76"/>
  <c r="AA100" i="76"/>
  <c r="V100" i="76"/>
  <c r="AB100" i="76"/>
  <c r="W100" i="76"/>
  <c r="AL100" i="76"/>
  <c r="AG100" i="76"/>
  <c r="AM100" i="76"/>
  <c r="AH100" i="76"/>
  <c r="AN100" i="76"/>
  <c r="AI100" i="76"/>
  <c r="AO100" i="76"/>
  <c r="AJ100" i="76"/>
  <c r="AP100" i="76"/>
  <c r="AK100" i="76"/>
  <c r="AF100" i="76"/>
  <c r="G100" i="76"/>
  <c r="M100" i="76"/>
  <c r="H100" i="76"/>
  <c r="N100" i="76"/>
  <c r="I100" i="76"/>
  <c r="O100" i="76"/>
  <c r="J100" i="76"/>
  <c r="P100" i="76"/>
  <c r="K100" i="76"/>
  <c r="Q100" i="76"/>
  <c r="L100" i="76"/>
  <c r="F102" i="76" l="1"/>
  <c r="R102" i="76"/>
  <c r="V101" i="76"/>
  <c r="AB101" i="76"/>
  <c r="W101" i="76"/>
  <c r="AC101" i="76"/>
  <c r="S101" i="76"/>
  <c r="Y101" i="76"/>
  <c r="T101" i="76"/>
  <c r="Z101" i="76"/>
  <c r="U101" i="76"/>
  <c r="AA101" i="76"/>
  <c r="X101" i="76"/>
  <c r="H101" i="76"/>
  <c r="N101" i="76"/>
  <c r="I101" i="76"/>
  <c r="O101" i="76"/>
  <c r="J101" i="76"/>
  <c r="P101" i="76"/>
  <c r="K101" i="76"/>
  <c r="Q101" i="76"/>
  <c r="L101" i="76"/>
  <c r="G101" i="76"/>
  <c r="M101" i="76"/>
  <c r="AN101" i="76"/>
  <c r="AI101" i="76"/>
  <c r="AO101" i="76"/>
  <c r="AJ101" i="76"/>
  <c r="AP101" i="76"/>
  <c r="AK101" i="76"/>
  <c r="AF101" i="76"/>
  <c r="AL101" i="76"/>
  <c r="AG101" i="76"/>
  <c r="AM101" i="76"/>
  <c r="AH101" i="76"/>
  <c r="B102" i="76"/>
  <c r="A102" i="76"/>
  <c r="AE102" i="76"/>
  <c r="E102" i="76"/>
  <c r="AD102" i="76"/>
  <c r="AR103" i="76"/>
  <c r="D102" i="76"/>
  <c r="C102" i="76"/>
  <c r="F103" i="76" l="1"/>
  <c r="R103" i="76"/>
  <c r="E103" i="76"/>
  <c r="AR104" i="76"/>
  <c r="A103" i="76"/>
  <c r="AE103" i="76"/>
  <c r="C103" i="76"/>
  <c r="B103" i="76"/>
  <c r="D103" i="76"/>
  <c r="AD103" i="76"/>
  <c r="AI102" i="76"/>
  <c r="AP102" i="76"/>
  <c r="AK102" i="76"/>
  <c r="AF102" i="76"/>
  <c r="AL102" i="76"/>
  <c r="AG102" i="76"/>
  <c r="AM102" i="76"/>
  <c r="AH102" i="76"/>
  <c r="AN102" i="76"/>
  <c r="AO102" i="76"/>
  <c r="AJ102" i="76"/>
  <c r="U102" i="76"/>
  <c r="AA102" i="76"/>
  <c r="Z102" i="76"/>
  <c r="AB102" i="76"/>
  <c r="S102" i="76"/>
  <c r="AC102" i="76"/>
  <c r="X102" i="76"/>
  <c r="V102" i="76"/>
  <c r="Y102" i="76"/>
  <c r="T102" i="76"/>
  <c r="W102" i="76"/>
  <c r="Q102" i="76"/>
  <c r="L102" i="76"/>
  <c r="G102" i="76"/>
  <c r="M102" i="76"/>
  <c r="H102" i="76"/>
  <c r="N102" i="76"/>
  <c r="I102" i="76"/>
  <c r="O102" i="76"/>
  <c r="J102" i="76"/>
  <c r="P102" i="76"/>
  <c r="K102" i="76"/>
  <c r="F104" i="76" l="1"/>
  <c r="R104" i="76"/>
  <c r="AB103" i="76"/>
  <c r="T103" i="76"/>
  <c r="X103" i="76"/>
  <c r="S103" i="76"/>
  <c r="Y103" i="76"/>
  <c r="W103" i="76"/>
  <c r="AC103" i="76"/>
  <c r="U103" i="76"/>
  <c r="AA103" i="76"/>
  <c r="V103" i="76"/>
  <c r="Z103" i="76"/>
  <c r="AO103" i="76"/>
  <c r="AN103" i="76"/>
  <c r="AL103" i="76"/>
  <c r="AG103" i="76"/>
  <c r="AP103" i="76"/>
  <c r="AK103" i="76"/>
  <c r="AF103" i="76"/>
  <c r="AJ103" i="76"/>
  <c r="AM103" i="76"/>
  <c r="AH103" i="76"/>
  <c r="AI103" i="76"/>
  <c r="AR105" i="76"/>
  <c r="B104" i="76"/>
  <c r="AD104" i="76"/>
  <c r="A104" i="76"/>
  <c r="E104" i="76"/>
  <c r="D104" i="76"/>
  <c r="C104" i="76"/>
  <c r="AE104" i="76"/>
  <c r="M103" i="76"/>
  <c r="J103" i="76"/>
  <c r="H103" i="76"/>
  <c r="N103" i="76"/>
  <c r="I103" i="76"/>
  <c r="G103" i="76"/>
  <c r="L103" i="76"/>
  <c r="P103" i="76"/>
  <c r="K103" i="76"/>
  <c r="O103" i="76"/>
  <c r="Q103" i="76"/>
  <c r="F105" i="76" l="1"/>
  <c r="R105" i="76"/>
  <c r="AP104" i="76"/>
  <c r="AI104" i="76"/>
  <c r="AO104" i="76"/>
  <c r="AJ104" i="76"/>
  <c r="AH104" i="76"/>
  <c r="AN104" i="76"/>
  <c r="AF104" i="76"/>
  <c r="AL104" i="76"/>
  <c r="AG104" i="76"/>
  <c r="AM104" i="76"/>
  <c r="AK104" i="76"/>
  <c r="T104" i="76"/>
  <c r="Z104" i="76"/>
  <c r="AA104" i="76"/>
  <c r="V104" i="76"/>
  <c r="AB104" i="76"/>
  <c r="AC104" i="76"/>
  <c r="W104" i="76"/>
  <c r="U104" i="76"/>
  <c r="S104" i="76"/>
  <c r="Y104" i="76"/>
  <c r="X104" i="76"/>
  <c r="H104" i="76"/>
  <c r="I104" i="76"/>
  <c r="O104" i="76"/>
  <c r="J104" i="76"/>
  <c r="P104" i="76"/>
  <c r="N104" i="76"/>
  <c r="Q104" i="76"/>
  <c r="L104" i="76"/>
  <c r="G104" i="76"/>
  <c r="M104" i="76"/>
  <c r="K104" i="76"/>
  <c r="E105" i="76"/>
  <c r="D105" i="76"/>
  <c r="AE105" i="76"/>
  <c r="AR106" i="76"/>
  <c r="C105" i="76"/>
  <c r="A105" i="76"/>
  <c r="AD105" i="76"/>
  <c r="B105" i="76"/>
  <c r="F106" i="76" l="1"/>
  <c r="R106" i="76"/>
  <c r="AO105" i="76"/>
  <c r="AP105" i="76"/>
  <c r="AK105" i="76"/>
  <c r="AF105" i="76"/>
  <c r="AG105" i="76"/>
  <c r="AL105" i="76"/>
  <c r="AJ105" i="76"/>
  <c r="AH105" i="76"/>
  <c r="AN105" i="76"/>
  <c r="AI105" i="76"/>
  <c r="AM105" i="76"/>
  <c r="H105" i="76"/>
  <c r="Q105" i="76"/>
  <c r="L105" i="76"/>
  <c r="G105" i="76"/>
  <c r="M105" i="76"/>
  <c r="K105" i="76"/>
  <c r="N105" i="76"/>
  <c r="I105" i="76"/>
  <c r="O105" i="76"/>
  <c r="J105" i="76"/>
  <c r="P105" i="76"/>
  <c r="Z105" i="76"/>
  <c r="V105" i="76"/>
  <c r="AC105" i="76"/>
  <c r="AB105" i="76"/>
  <c r="X105" i="76"/>
  <c r="S105" i="76"/>
  <c r="Y105" i="76"/>
  <c r="W105" i="76"/>
  <c r="U105" i="76"/>
  <c r="AA105" i="76"/>
  <c r="T105" i="76"/>
  <c r="C106" i="76"/>
  <c r="D106" i="76"/>
  <c r="B106" i="76"/>
  <c r="E106" i="76"/>
  <c r="AD106" i="76"/>
  <c r="AR107" i="76"/>
  <c r="A106" i="76"/>
  <c r="AE106" i="76"/>
  <c r="F107" i="76" l="1"/>
  <c r="R107" i="76"/>
  <c r="D107" i="76"/>
  <c r="B107" i="76"/>
  <c r="AR108" i="76"/>
  <c r="C107" i="76"/>
  <c r="AD107" i="76"/>
  <c r="E107" i="76"/>
  <c r="AE107" i="76"/>
  <c r="A107" i="76"/>
  <c r="G106" i="76"/>
  <c r="N106" i="76"/>
  <c r="I106" i="76"/>
  <c r="O106" i="76"/>
  <c r="J106" i="76"/>
  <c r="P106" i="76"/>
  <c r="K106" i="76"/>
  <c r="Q106" i="76"/>
  <c r="L106" i="76"/>
  <c r="M106" i="76"/>
  <c r="H106" i="76"/>
  <c r="AA106" i="76"/>
  <c r="V106" i="76"/>
  <c r="Y106" i="76"/>
  <c r="W106" i="76"/>
  <c r="AC106" i="76"/>
  <c r="AB106" i="76"/>
  <c r="S106" i="76"/>
  <c r="U106" i="76"/>
  <c r="T106" i="76"/>
  <c r="Z106" i="76"/>
  <c r="X106" i="76"/>
  <c r="AM106" i="76"/>
  <c r="AH106" i="76"/>
  <c r="AN106" i="76"/>
  <c r="AI106" i="76"/>
  <c r="AO106" i="76"/>
  <c r="AJ106" i="76"/>
  <c r="AP106" i="76"/>
  <c r="AK106" i="76"/>
  <c r="AF106" i="76"/>
  <c r="AL106" i="76"/>
  <c r="AG106" i="76"/>
  <c r="F108" i="76" l="1"/>
  <c r="R108" i="76"/>
  <c r="AA107" i="76"/>
  <c r="AB107" i="76"/>
  <c r="AC107" i="76"/>
  <c r="X107" i="76"/>
  <c r="S107" i="76"/>
  <c r="Y107" i="76"/>
  <c r="T107" i="76"/>
  <c r="Z107" i="76"/>
  <c r="U107" i="76"/>
  <c r="V107" i="76"/>
  <c r="W107" i="76"/>
  <c r="AI107" i="76"/>
  <c r="AP107" i="76"/>
  <c r="AF107" i="76"/>
  <c r="AL107" i="76"/>
  <c r="AG107" i="76"/>
  <c r="AM107" i="76"/>
  <c r="AH107" i="76"/>
  <c r="AN107" i="76"/>
  <c r="AO107" i="76"/>
  <c r="AJ107" i="76"/>
  <c r="AK107" i="76"/>
  <c r="AR109" i="76"/>
  <c r="E108" i="76"/>
  <c r="AD108" i="76"/>
  <c r="D108" i="76"/>
  <c r="C108" i="76"/>
  <c r="B108" i="76"/>
  <c r="A108" i="76"/>
  <c r="AE108" i="76"/>
  <c r="P107" i="76"/>
  <c r="L107" i="76"/>
  <c r="G107" i="76"/>
  <c r="M107" i="76"/>
  <c r="H107" i="76"/>
  <c r="N107" i="76"/>
  <c r="I107" i="76"/>
  <c r="O107" i="76"/>
  <c r="J107" i="76"/>
  <c r="K107" i="76"/>
  <c r="Q107" i="76"/>
  <c r="F109" i="76" l="1"/>
  <c r="R109" i="76"/>
  <c r="AG108" i="76"/>
  <c r="AM108" i="76"/>
  <c r="AH108" i="76"/>
  <c r="AN108" i="76"/>
  <c r="AI108" i="76"/>
  <c r="AO108" i="76"/>
  <c r="AJ108" i="76"/>
  <c r="AP108" i="76"/>
  <c r="AK108" i="76"/>
  <c r="AF108" i="76"/>
  <c r="AL108" i="76"/>
  <c r="N108" i="76"/>
  <c r="P108" i="76"/>
  <c r="K108" i="76"/>
  <c r="Q108" i="76"/>
  <c r="L108" i="76"/>
  <c r="G108" i="76"/>
  <c r="M108" i="76"/>
  <c r="H108" i="76"/>
  <c r="I108" i="76"/>
  <c r="O108" i="76"/>
  <c r="J108" i="76"/>
  <c r="D109" i="76"/>
  <c r="A109" i="76"/>
  <c r="E109" i="76"/>
  <c r="C109" i="76"/>
  <c r="AD109" i="76"/>
  <c r="AR110" i="76"/>
  <c r="AE109" i="76"/>
  <c r="B109" i="76"/>
  <c r="Y108" i="76"/>
  <c r="Z108" i="76"/>
  <c r="AA108" i="76"/>
  <c r="AB108" i="76"/>
  <c r="W108" i="76"/>
  <c r="AC108" i="76"/>
  <c r="X108" i="76"/>
  <c r="S108" i="76"/>
  <c r="T108" i="76"/>
  <c r="U108" i="76"/>
  <c r="V108" i="76"/>
  <c r="F110" i="76" l="1"/>
  <c r="R110" i="76"/>
  <c r="A110" i="76"/>
  <c r="AE110" i="76"/>
  <c r="E110" i="76"/>
  <c r="AD110" i="76"/>
  <c r="D110" i="76"/>
  <c r="B110" i="76"/>
  <c r="C110" i="76"/>
  <c r="AR111" i="76"/>
  <c r="X109" i="76"/>
  <c r="AB109" i="76"/>
  <c r="Z109" i="76"/>
  <c r="U109" i="76"/>
  <c r="AA109" i="76"/>
  <c r="V109" i="76"/>
  <c r="W109" i="76"/>
  <c r="T109" i="76"/>
  <c r="AC109" i="76"/>
  <c r="S109" i="76"/>
  <c r="Y109" i="76"/>
  <c r="M109" i="76"/>
  <c r="H109" i="76"/>
  <c r="N109" i="76"/>
  <c r="I109" i="76"/>
  <c r="G109" i="76"/>
  <c r="J109" i="76"/>
  <c r="P109" i="76"/>
  <c r="K109" i="76"/>
  <c r="Q109" i="76"/>
  <c r="O109" i="76"/>
  <c r="L109" i="76"/>
  <c r="AJ109" i="76"/>
  <c r="AP109" i="76"/>
  <c r="AK109" i="76"/>
  <c r="AF109" i="76"/>
  <c r="AL109" i="76"/>
  <c r="AG109" i="76"/>
  <c r="AM109" i="76"/>
  <c r="AH109" i="76"/>
  <c r="AN109" i="76"/>
  <c r="AI109" i="76"/>
  <c r="AO109" i="76"/>
  <c r="F111" i="76" l="1"/>
  <c r="R111" i="76"/>
  <c r="I110" i="76"/>
  <c r="O110" i="76"/>
  <c r="J110" i="76"/>
  <c r="P110" i="76"/>
  <c r="K110" i="76"/>
  <c r="Q110" i="76"/>
  <c r="L110" i="76"/>
  <c r="G110" i="76"/>
  <c r="M110" i="76"/>
  <c r="H110" i="76"/>
  <c r="N110" i="76"/>
  <c r="AR112" i="76"/>
  <c r="C111" i="76"/>
  <c r="AE111" i="76"/>
  <c r="E111" i="76"/>
  <c r="D111" i="76"/>
  <c r="A111" i="76"/>
  <c r="B111" i="76"/>
  <c r="AD111" i="76"/>
  <c r="AN110" i="76"/>
  <c r="AI110" i="76"/>
  <c r="AO110" i="76"/>
  <c r="AJ110" i="76"/>
  <c r="AP110" i="76"/>
  <c r="AK110" i="76"/>
  <c r="AL110" i="76"/>
  <c r="AM110" i="76"/>
  <c r="AH110" i="76"/>
  <c r="AF110" i="76"/>
  <c r="AG110" i="76"/>
  <c r="AC110" i="76"/>
  <c r="X110" i="76"/>
  <c r="AA110" i="76"/>
  <c r="Y110" i="76"/>
  <c r="T110" i="76"/>
  <c r="S110" i="76"/>
  <c r="U110" i="76"/>
  <c r="W110" i="76"/>
  <c r="V110" i="76"/>
  <c r="AB110" i="76"/>
  <c r="Z110" i="76"/>
  <c r="F112" i="76" l="1"/>
  <c r="R112" i="76"/>
  <c r="N111" i="76"/>
  <c r="I111" i="76"/>
  <c r="K111" i="76"/>
  <c r="J111" i="76"/>
  <c r="P111" i="76"/>
  <c r="L111" i="76"/>
  <c r="H111" i="76"/>
  <c r="G111" i="76"/>
  <c r="O111" i="76"/>
  <c r="Q111" i="76"/>
  <c r="M111" i="76"/>
  <c r="AO111" i="76"/>
  <c r="AJ111" i="76"/>
  <c r="AP111" i="76"/>
  <c r="AK111" i="76"/>
  <c r="AF111" i="76"/>
  <c r="AL111" i="76"/>
  <c r="AG111" i="76"/>
  <c r="AM111" i="76"/>
  <c r="AH111" i="76"/>
  <c r="AN111" i="76"/>
  <c r="AI111" i="76"/>
  <c r="D112" i="76"/>
  <c r="C112" i="76"/>
  <c r="AE112" i="76"/>
  <c r="E112" i="76"/>
  <c r="A112" i="76"/>
  <c r="AR113" i="76"/>
  <c r="B112" i="76"/>
  <c r="AD112" i="76"/>
  <c r="Z111" i="76"/>
  <c r="U111" i="76"/>
  <c r="AA111" i="76"/>
  <c r="V111" i="76"/>
  <c r="AB111" i="76"/>
  <c r="W111" i="76"/>
  <c r="X111" i="76"/>
  <c r="Y111" i="76"/>
  <c r="AC111" i="76"/>
  <c r="S111" i="76"/>
  <c r="T111" i="76"/>
  <c r="F113" i="76" l="1"/>
  <c r="R113" i="76"/>
  <c r="AR114" i="76"/>
  <c r="C113" i="76"/>
  <c r="B113" i="76"/>
  <c r="AD113" i="76"/>
  <c r="D113" i="76"/>
  <c r="A113" i="76"/>
  <c r="E113" i="76"/>
  <c r="AE113" i="76"/>
  <c r="I112" i="76"/>
  <c r="P112" i="76"/>
  <c r="Q112" i="76"/>
  <c r="L112" i="76"/>
  <c r="G112" i="76"/>
  <c r="M112" i="76"/>
  <c r="H112" i="76"/>
  <c r="N112" i="76"/>
  <c r="O112" i="76"/>
  <c r="J112" i="76"/>
  <c r="K112" i="76"/>
  <c r="AA112" i="76"/>
  <c r="V112" i="76"/>
  <c r="AB112" i="76"/>
  <c r="W112" i="76"/>
  <c r="AC112" i="76"/>
  <c r="X112" i="76"/>
  <c r="S112" i="76"/>
  <c r="Y112" i="76"/>
  <c r="T112" i="76"/>
  <c r="Z112" i="76"/>
  <c r="U112" i="76"/>
  <c r="AG112" i="76"/>
  <c r="AN112" i="76"/>
  <c r="AI112" i="76"/>
  <c r="AO112" i="76"/>
  <c r="AJ112" i="76"/>
  <c r="AP112" i="76"/>
  <c r="AK112" i="76"/>
  <c r="AF112" i="76"/>
  <c r="AL112" i="76"/>
  <c r="AM112" i="76"/>
  <c r="AH112" i="76"/>
  <c r="F114" i="76" l="1"/>
  <c r="R114" i="76"/>
  <c r="AL113" i="76"/>
  <c r="AG113" i="76"/>
  <c r="AM113" i="76"/>
  <c r="AH113" i="76"/>
  <c r="AN113" i="76"/>
  <c r="AI113" i="76"/>
  <c r="AO113" i="76"/>
  <c r="AJ113" i="76"/>
  <c r="AP113" i="76"/>
  <c r="AK113" i="76"/>
  <c r="AF113" i="76"/>
  <c r="O113" i="76"/>
  <c r="J113" i="76"/>
  <c r="P113" i="76"/>
  <c r="K113" i="76"/>
  <c r="Q113" i="76"/>
  <c r="L113" i="76"/>
  <c r="G113" i="76"/>
  <c r="M113" i="76"/>
  <c r="H113" i="76"/>
  <c r="N113" i="76"/>
  <c r="I113" i="76"/>
  <c r="AB113" i="76"/>
  <c r="W113" i="76"/>
  <c r="AC113" i="76"/>
  <c r="X113" i="76"/>
  <c r="S113" i="76"/>
  <c r="Y113" i="76"/>
  <c r="T113" i="76"/>
  <c r="Z113" i="76"/>
  <c r="U113" i="76"/>
  <c r="AA113" i="76"/>
  <c r="V113" i="76"/>
  <c r="C114" i="76"/>
  <c r="AR115" i="76"/>
  <c r="D114" i="76"/>
  <c r="AE114" i="76"/>
  <c r="E114" i="76"/>
  <c r="AD114" i="76"/>
  <c r="B114" i="76"/>
  <c r="A114" i="76"/>
  <c r="F115" i="76" l="1"/>
  <c r="R115" i="76"/>
  <c r="K114" i="76"/>
  <c r="Q114" i="76"/>
  <c r="L114" i="76"/>
  <c r="G114" i="76"/>
  <c r="M114" i="76"/>
  <c r="H114" i="76"/>
  <c r="N114" i="76"/>
  <c r="I114" i="76"/>
  <c r="O114" i="76"/>
  <c r="J114" i="76"/>
  <c r="P114" i="76"/>
  <c r="E115" i="76"/>
  <c r="D115" i="76"/>
  <c r="AD115" i="76"/>
  <c r="AR116" i="76"/>
  <c r="C115" i="76"/>
  <c r="B115" i="76"/>
  <c r="AE115" i="76"/>
  <c r="A115" i="76"/>
  <c r="AP114" i="76"/>
  <c r="AK114" i="76"/>
  <c r="AF114" i="76"/>
  <c r="AL114" i="76"/>
  <c r="AG114" i="76"/>
  <c r="AM114" i="76"/>
  <c r="AH114" i="76"/>
  <c r="AN114" i="76"/>
  <c r="AI114" i="76"/>
  <c r="AO114" i="76"/>
  <c r="AJ114" i="76"/>
  <c r="Z114" i="76"/>
  <c r="T114" i="76"/>
  <c r="AA114" i="76"/>
  <c r="V114" i="76"/>
  <c r="AC114" i="76"/>
  <c r="U114" i="76"/>
  <c r="AB114" i="76"/>
  <c r="X114" i="76"/>
  <c r="W114" i="76"/>
  <c r="Y114" i="76"/>
  <c r="S114" i="76"/>
  <c r="F116" i="76" l="1"/>
  <c r="R116" i="76"/>
  <c r="AN115" i="76"/>
  <c r="AI115" i="76"/>
  <c r="AO115" i="76"/>
  <c r="AJ115" i="76"/>
  <c r="AP115" i="76"/>
  <c r="AK115" i="76"/>
  <c r="AF115" i="76"/>
  <c r="AL115" i="76"/>
  <c r="AG115" i="76"/>
  <c r="AM115" i="76"/>
  <c r="AH115" i="76"/>
  <c r="J115" i="76"/>
  <c r="P115" i="76"/>
  <c r="K115" i="76"/>
  <c r="Q115" i="76"/>
  <c r="L115" i="76"/>
  <c r="G115" i="76"/>
  <c r="M115" i="76"/>
  <c r="H115" i="76"/>
  <c r="N115" i="76"/>
  <c r="I115" i="76"/>
  <c r="O115" i="76"/>
  <c r="Y115" i="76"/>
  <c r="T115" i="76"/>
  <c r="Z115" i="76"/>
  <c r="U115" i="76"/>
  <c r="AA115" i="76"/>
  <c r="V115" i="76"/>
  <c r="AB115" i="76"/>
  <c r="W115" i="76"/>
  <c r="AC115" i="76"/>
  <c r="X115" i="76"/>
  <c r="S115" i="76"/>
  <c r="C116" i="76"/>
  <c r="B116" i="76"/>
  <c r="A116" i="76"/>
  <c r="AE116" i="76"/>
  <c r="AR117" i="76"/>
  <c r="E116" i="76"/>
  <c r="AD116" i="76"/>
  <c r="D116" i="76"/>
  <c r="F117" i="76" l="1"/>
  <c r="R117" i="76"/>
  <c r="AI116" i="76"/>
  <c r="AO116" i="76"/>
  <c r="AJ116" i="76"/>
  <c r="AP116" i="76"/>
  <c r="AK116" i="76"/>
  <c r="AF116" i="76"/>
  <c r="AL116" i="76"/>
  <c r="AG116" i="76"/>
  <c r="AM116" i="76"/>
  <c r="AH116" i="76"/>
  <c r="AN116" i="76"/>
  <c r="E117" i="76"/>
  <c r="D117" i="76"/>
  <c r="AD117" i="76"/>
  <c r="A117" i="76"/>
  <c r="B117" i="76"/>
  <c r="AR118" i="76"/>
  <c r="C117" i="76"/>
  <c r="AE117" i="76"/>
  <c r="U116" i="76"/>
  <c r="AA116" i="76"/>
  <c r="V116" i="76"/>
  <c r="AB116" i="76"/>
  <c r="W116" i="76"/>
  <c r="AC116" i="76"/>
  <c r="X116" i="76"/>
  <c r="S116" i="76"/>
  <c r="Y116" i="76"/>
  <c r="T116" i="76"/>
  <c r="Z116" i="76"/>
  <c r="O116" i="76"/>
  <c r="J116" i="76"/>
  <c r="P116" i="76"/>
  <c r="K116" i="76"/>
  <c r="I116" i="76"/>
  <c r="N116" i="76"/>
  <c r="G116" i="76"/>
  <c r="M116" i="76"/>
  <c r="H116" i="76"/>
  <c r="Q116" i="76"/>
  <c r="L116" i="76"/>
  <c r="F118" i="76" l="1"/>
  <c r="R118" i="76"/>
  <c r="H117" i="76"/>
  <c r="N117" i="76"/>
  <c r="I117" i="76"/>
  <c r="O117" i="76"/>
  <c r="J117" i="76"/>
  <c r="K117" i="76"/>
  <c r="Q117" i="76"/>
  <c r="L117" i="76"/>
  <c r="M117" i="76"/>
  <c r="P117" i="76"/>
  <c r="G117" i="76"/>
  <c r="Y117" i="76"/>
  <c r="T117" i="76"/>
  <c r="Z117" i="76"/>
  <c r="U117" i="76"/>
  <c r="AA117" i="76"/>
  <c r="V117" i="76"/>
  <c r="AB117" i="76"/>
  <c r="W117" i="76"/>
  <c r="AC117" i="76"/>
  <c r="X117" i="76"/>
  <c r="S117" i="76"/>
  <c r="AN117" i="76"/>
  <c r="AI117" i="76"/>
  <c r="AO117" i="76"/>
  <c r="AJ117" i="76"/>
  <c r="AP117" i="76"/>
  <c r="AK117" i="76"/>
  <c r="AF117" i="76"/>
  <c r="AL117" i="76"/>
  <c r="AG117" i="76"/>
  <c r="AM117" i="76"/>
  <c r="AH117" i="76"/>
  <c r="A118" i="76"/>
  <c r="AE118" i="76"/>
  <c r="AD118" i="76"/>
  <c r="D118" i="76"/>
  <c r="B118" i="76"/>
  <c r="AR119" i="76"/>
  <c r="C118" i="76"/>
  <c r="E118" i="76"/>
  <c r="F119" i="76" l="1"/>
  <c r="R119" i="76"/>
  <c r="Q118" i="76"/>
  <c r="L118" i="76"/>
  <c r="G118" i="76"/>
  <c r="M118" i="76"/>
  <c r="H118" i="76"/>
  <c r="K118" i="76"/>
  <c r="I118" i="76"/>
  <c r="O118" i="76"/>
  <c r="J118" i="76"/>
  <c r="P118" i="76"/>
  <c r="N118" i="76"/>
  <c r="AB118" i="76"/>
  <c r="S118" i="76"/>
  <c r="AC118" i="76"/>
  <c r="AA118" i="76"/>
  <c r="U118" i="76"/>
  <c r="Y118" i="76"/>
  <c r="T118" i="76"/>
  <c r="W118" i="76"/>
  <c r="X118" i="76"/>
  <c r="V118" i="76"/>
  <c r="Z118" i="76"/>
  <c r="E119" i="76"/>
  <c r="AD119" i="76"/>
  <c r="A119" i="76"/>
  <c r="C119" i="76"/>
  <c r="B119" i="76"/>
  <c r="AR120" i="76"/>
  <c r="AE119" i="76"/>
  <c r="D119" i="76"/>
  <c r="AN118" i="76"/>
  <c r="AI118" i="76"/>
  <c r="AG118" i="76"/>
  <c r="AH118" i="76"/>
  <c r="AJ118" i="76"/>
  <c r="AK118" i="76"/>
  <c r="AF118" i="76"/>
  <c r="AL118" i="76"/>
  <c r="AM118" i="76"/>
  <c r="AO118" i="76"/>
  <c r="AP118" i="76"/>
  <c r="F120" i="76" l="1"/>
  <c r="R120" i="76"/>
  <c r="P119" i="76"/>
  <c r="K119" i="76"/>
  <c r="Q119" i="76"/>
  <c r="L119" i="76"/>
  <c r="G119" i="76"/>
  <c r="I119" i="76"/>
  <c r="H119" i="76"/>
  <c r="N119" i="76"/>
  <c r="M119" i="76"/>
  <c r="J119" i="76"/>
  <c r="O119" i="76"/>
  <c r="AH119" i="76"/>
  <c r="AN119" i="76"/>
  <c r="AI119" i="76"/>
  <c r="AO119" i="76"/>
  <c r="AJ119" i="76"/>
  <c r="AP119" i="76"/>
  <c r="AK119" i="76"/>
  <c r="AF119" i="76"/>
  <c r="AL119" i="76"/>
  <c r="AG119" i="76"/>
  <c r="AM119" i="76"/>
  <c r="AR121" i="76"/>
  <c r="B120" i="76"/>
  <c r="AD120" i="76"/>
  <c r="A120" i="76"/>
  <c r="E120" i="76"/>
  <c r="D120" i="76"/>
  <c r="C120" i="76"/>
  <c r="AE120" i="76"/>
  <c r="AA119" i="76"/>
  <c r="V119" i="76"/>
  <c r="AB119" i="76"/>
  <c r="W119" i="76"/>
  <c r="AC119" i="76"/>
  <c r="X119" i="76"/>
  <c r="S119" i="76"/>
  <c r="Y119" i="76"/>
  <c r="T119" i="76"/>
  <c r="Z119" i="76"/>
  <c r="U119" i="76"/>
  <c r="F121" i="76" l="1"/>
  <c r="R121" i="76"/>
  <c r="S120" i="76"/>
  <c r="Z120" i="76"/>
  <c r="AA120" i="76"/>
  <c r="V120" i="76"/>
  <c r="AB120" i="76"/>
  <c r="W120" i="76"/>
  <c r="AC120" i="76"/>
  <c r="X120" i="76"/>
  <c r="Y120" i="76"/>
  <c r="T120" i="76"/>
  <c r="U120" i="76"/>
  <c r="AH120" i="76"/>
  <c r="AG120" i="76"/>
  <c r="AK120" i="76"/>
  <c r="AI120" i="76"/>
  <c r="AO120" i="76"/>
  <c r="AJ120" i="76"/>
  <c r="AP120" i="76"/>
  <c r="AN120" i="76"/>
  <c r="AL120" i="76"/>
  <c r="AM120" i="76"/>
  <c r="AF120" i="76"/>
  <c r="I120" i="76"/>
  <c r="O120" i="76"/>
  <c r="J120" i="76"/>
  <c r="P120" i="76"/>
  <c r="K120" i="76"/>
  <c r="Q120" i="76"/>
  <c r="L120" i="76"/>
  <c r="G120" i="76"/>
  <c r="M120" i="76"/>
  <c r="H120" i="76"/>
  <c r="N120" i="76"/>
  <c r="C121" i="76"/>
  <c r="A121" i="76"/>
  <c r="AD121" i="76"/>
  <c r="D121" i="76"/>
  <c r="E121" i="76"/>
  <c r="AR122" i="76"/>
  <c r="B121" i="76"/>
  <c r="AE121" i="76"/>
  <c r="F122" i="76" l="1"/>
  <c r="R122" i="76"/>
  <c r="AO121" i="76"/>
  <c r="AN121" i="76"/>
  <c r="AG121" i="76"/>
  <c r="AP121" i="76"/>
  <c r="AK121" i="76"/>
  <c r="AF121" i="76"/>
  <c r="AL121" i="76"/>
  <c r="AJ121" i="76"/>
  <c r="AH121" i="76"/>
  <c r="AI121" i="76"/>
  <c r="AM121" i="76"/>
  <c r="B122" i="76"/>
  <c r="AD122" i="76"/>
  <c r="AE122" i="76"/>
  <c r="AR123" i="76"/>
  <c r="D122" i="76"/>
  <c r="E122" i="76"/>
  <c r="A122" i="76"/>
  <c r="C122" i="76"/>
  <c r="Z121" i="76"/>
  <c r="AA121" i="76"/>
  <c r="V121" i="76"/>
  <c r="T121" i="76"/>
  <c r="AC121" i="76"/>
  <c r="AB121" i="76"/>
  <c r="X121" i="76"/>
  <c r="S121" i="76"/>
  <c r="Y121" i="76"/>
  <c r="W121" i="76"/>
  <c r="U121" i="76"/>
  <c r="L121" i="76"/>
  <c r="M121" i="76"/>
  <c r="N121" i="76"/>
  <c r="I121" i="76"/>
  <c r="O121" i="76"/>
  <c r="J121" i="76"/>
  <c r="H121" i="76"/>
  <c r="K121" i="76"/>
  <c r="Q121" i="76"/>
  <c r="G121" i="76"/>
  <c r="P121" i="76"/>
  <c r="F123" i="76" l="1"/>
  <c r="R123" i="76"/>
  <c r="AG122" i="76"/>
  <c r="AM122" i="76"/>
  <c r="AH122" i="76"/>
  <c r="AN122" i="76"/>
  <c r="AI122" i="76"/>
  <c r="AO122" i="76"/>
  <c r="AJ122" i="76"/>
  <c r="AP122" i="76"/>
  <c r="AK122" i="76"/>
  <c r="AF122" i="76"/>
  <c r="AL122" i="76"/>
  <c r="W122" i="76"/>
  <c r="AC122" i="76"/>
  <c r="AB122" i="76"/>
  <c r="S122" i="76"/>
  <c r="U122" i="76"/>
  <c r="T122" i="76"/>
  <c r="Z122" i="76"/>
  <c r="X122" i="76"/>
  <c r="AA122" i="76"/>
  <c r="V122" i="76"/>
  <c r="Y122" i="76"/>
  <c r="H122" i="76"/>
  <c r="N122" i="76"/>
  <c r="I122" i="76"/>
  <c r="O122" i="76"/>
  <c r="J122" i="76"/>
  <c r="P122" i="76"/>
  <c r="K122" i="76"/>
  <c r="Q122" i="76"/>
  <c r="L122" i="76"/>
  <c r="G122" i="76"/>
  <c r="M122" i="76"/>
  <c r="AE123" i="76"/>
  <c r="AR124" i="76"/>
  <c r="C123" i="76"/>
  <c r="AD123" i="76"/>
  <c r="D123" i="76"/>
  <c r="A123" i="76"/>
  <c r="B123" i="76"/>
  <c r="E123" i="76"/>
  <c r="F124" i="76" l="1"/>
  <c r="R124" i="76"/>
  <c r="AB123" i="76"/>
  <c r="W123" i="76"/>
  <c r="AC123" i="76"/>
  <c r="X123" i="76"/>
  <c r="S123" i="76"/>
  <c r="Y123" i="76"/>
  <c r="T123" i="76"/>
  <c r="Z123" i="76"/>
  <c r="U123" i="76"/>
  <c r="AA123" i="76"/>
  <c r="V123" i="76"/>
  <c r="P123" i="76"/>
  <c r="K123" i="76"/>
  <c r="O123" i="76"/>
  <c r="L123" i="76"/>
  <c r="H123" i="76"/>
  <c r="N123" i="76"/>
  <c r="I123" i="76"/>
  <c r="G123" i="76"/>
  <c r="M123" i="76"/>
  <c r="Q123" i="76"/>
  <c r="J123" i="76"/>
  <c r="AM123" i="76"/>
  <c r="AH123" i="76"/>
  <c r="AN123" i="76"/>
  <c r="AI123" i="76"/>
  <c r="AO123" i="76"/>
  <c r="AJ123" i="76"/>
  <c r="AP123" i="76"/>
  <c r="AK123" i="76"/>
  <c r="AF123" i="76"/>
  <c r="AL123" i="76"/>
  <c r="AG123" i="76"/>
  <c r="E124" i="76"/>
  <c r="B124" i="76"/>
  <c r="A124" i="76"/>
  <c r="AE124" i="76"/>
  <c r="C124" i="76"/>
  <c r="AD124" i="76"/>
  <c r="D124" i="76"/>
  <c r="AR125" i="76"/>
  <c r="F125" i="76" l="1"/>
  <c r="R125" i="76"/>
  <c r="L124" i="76"/>
  <c r="G124" i="76"/>
  <c r="M124" i="76"/>
  <c r="H124" i="76"/>
  <c r="Q124" i="76"/>
  <c r="K124" i="76"/>
  <c r="O124" i="76"/>
  <c r="J124" i="76"/>
  <c r="P124" i="76"/>
  <c r="N124" i="76"/>
  <c r="I124" i="76"/>
  <c r="AJ124" i="76"/>
  <c r="AK124" i="76"/>
  <c r="AF124" i="76"/>
  <c r="AL124" i="76"/>
  <c r="AG124" i="76"/>
  <c r="AH124" i="76"/>
  <c r="AP124" i="76"/>
  <c r="AN124" i="76"/>
  <c r="AI124" i="76"/>
  <c r="AO124" i="76"/>
  <c r="AM124" i="76"/>
  <c r="AE125" i="76"/>
  <c r="B125" i="76"/>
  <c r="A125" i="76"/>
  <c r="AR126" i="76"/>
  <c r="E125" i="76"/>
  <c r="C125" i="76"/>
  <c r="AD125" i="76"/>
  <c r="D125" i="76"/>
  <c r="Y124" i="76"/>
  <c r="T124" i="76"/>
  <c r="AC124" i="76"/>
  <c r="X124" i="76"/>
  <c r="S124" i="76"/>
  <c r="Z124" i="76"/>
  <c r="AB124" i="76"/>
  <c r="W124" i="76"/>
  <c r="U124" i="76"/>
  <c r="AA124" i="76"/>
  <c r="V124" i="76"/>
  <c r="F126" i="76" l="1"/>
  <c r="R126" i="76"/>
  <c r="AR127" i="76"/>
  <c r="A126" i="76"/>
  <c r="AE126" i="76"/>
  <c r="AD126" i="76"/>
  <c r="D126" i="76"/>
  <c r="B126" i="76"/>
  <c r="E126" i="76"/>
  <c r="C126" i="76"/>
  <c r="Z125" i="76"/>
  <c r="V125" i="76"/>
  <c r="AB125" i="76"/>
  <c r="W125" i="76"/>
  <c r="U125" i="76"/>
  <c r="S125" i="76"/>
  <c r="X125" i="76"/>
  <c r="Y125" i="76"/>
  <c r="T125" i="76"/>
  <c r="AC125" i="76"/>
  <c r="AA125" i="76"/>
  <c r="N125" i="76"/>
  <c r="I125" i="76"/>
  <c r="O125" i="76"/>
  <c r="J125" i="76"/>
  <c r="H125" i="76"/>
  <c r="P125" i="76"/>
  <c r="Q125" i="76"/>
  <c r="L125" i="76"/>
  <c r="G125" i="76"/>
  <c r="M125" i="76"/>
  <c r="K125" i="76"/>
  <c r="AJ125" i="76"/>
  <c r="AH125" i="76"/>
  <c r="AF125" i="76"/>
  <c r="AL125" i="76"/>
  <c r="AG125" i="76"/>
  <c r="AK125" i="76"/>
  <c r="AM125" i="76"/>
  <c r="AN125" i="76"/>
  <c r="AI125" i="76"/>
  <c r="AO125" i="76"/>
  <c r="AP125" i="76"/>
  <c r="F127" i="76" l="1"/>
  <c r="R127" i="76"/>
  <c r="N126" i="76"/>
  <c r="P126" i="76"/>
  <c r="K126" i="76"/>
  <c r="Q126" i="76"/>
  <c r="L126" i="76"/>
  <c r="G126" i="76"/>
  <c r="M126" i="76"/>
  <c r="H126" i="76"/>
  <c r="I126" i="76"/>
  <c r="O126" i="76"/>
  <c r="J126" i="76"/>
  <c r="AC126" i="76"/>
  <c r="X126" i="76"/>
  <c r="AA126" i="76"/>
  <c r="Y126" i="76"/>
  <c r="T126" i="76"/>
  <c r="S126" i="76"/>
  <c r="U126" i="76"/>
  <c r="W126" i="76"/>
  <c r="V126" i="76"/>
  <c r="AB126" i="76"/>
  <c r="Z126" i="76"/>
  <c r="AO126" i="76"/>
  <c r="AJ126" i="76"/>
  <c r="AP126" i="76"/>
  <c r="AK126" i="76"/>
  <c r="AF126" i="76"/>
  <c r="AL126" i="76"/>
  <c r="AG126" i="76"/>
  <c r="AM126" i="76"/>
  <c r="AH126" i="76"/>
  <c r="AN126" i="76"/>
  <c r="AI126" i="76"/>
  <c r="C127" i="76"/>
  <c r="A127" i="76"/>
  <c r="B127" i="76"/>
  <c r="AD127" i="76"/>
  <c r="AR128" i="76"/>
  <c r="AE127" i="76"/>
  <c r="E127" i="76"/>
  <c r="D127" i="76"/>
  <c r="F128" i="76" l="1"/>
  <c r="R128" i="76"/>
  <c r="A128" i="76"/>
  <c r="AR129" i="76"/>
  <c r="B128" i="76"/>
  <c r="AD128" i="76"/>
  <c r="D128" i="76"/>
  <c r="C128" i="76"/>
  <c r="AE128" i="76"/>
  <c r="E128" i="76"/>
  <c r="L127" i="76"/>
  <c r="Q127" i="76"/>
  <c r="H127" i="76"/>
  <c r="G127" i="76"/>
  <c r="M127" i="76"/>
  <c r="O127" i="76"/>
  <c r="N127" i="76"/>
  <c r="I127" i="76"/>
  <c r="K127" i="76"/>
  <c r="J127" i="76"/>
  <c r="P127" i="76"/>
  <c r="AL127" i="76"/>
  <c r="AG127" i="76"/>
  <c r="AM127" i="76"/>
  <c r="AH127" i="76"/>
  <c r="AN127" i="76"/>
  <c r="AI127" i="76"/>
  <c r="AO127" i="76"/>
  <c r="AJ127" i="76"/>
  <c r="AP127" i="76"/>
  <c r="AK127" i="76"/>
  <c r="AF127" i="76"/>
  <c r="AC127" i="76"/>
  <c r="X127" i="76"/>
  <c r="S127" i="76"/>
  <c r="Y127" i="76"/>
  <c r="T127" i="76"/>
  <c r="Z127" i="76"/>
  <c r="U127" i="76"/>
  <c r="AA127" i="76"/>
  <c r="V127" i="76"/>
  <c r="AB127" i="76"/>
  <c r="W127" i="76"/>
  <c r="F129" i="76" l="1"/>
  <c r="R129" i="76"/>
  <c r="W128" i="76"/>
  <c r="AC128" i="76"/>
  <c r="X128" i="76"/>
  <c r="S128" i="76"/>
  <c r="Y128" i="76"/>
  <c r="T128" i="76"/>
  <c r="Z128" i="76"/>
  <c r="U128" i="76"/>
  <c r="AA128" i="76"/>
  <c r="V128" i="76"/>
  <c r="AB128" i="76"/>
  <c r="AP128" i="76"/>
  <c r="AN128" i="76"/>
  <c r="AI128" i="76"/>
  <c r="AG128" i="76"/>
  <c r="AM128" i="76"/>
  <c r="AO128" i="76"/>
  <c r="AK128" i="76"/>
  <c r="AF128" i="76"/>
  <c r="AL128" i="76"/>
  <c r="AJ128" i="76"/>
  <c r="AH128" i="76"/>
  <c r="M128" i="76"/>
  <c r="Q128" i="76"/>
  <c r="L128" i="76"/>
  <c r="G128" i="76"/>
  <c r="P128" i="76"/>
  <c r="K128" i="76"/>
  <c r="N128" i="76"/>
  <c r="I128" i="76"/>
  <c r="O128" i="76"/>
  <c r="J128" i="76"/>
  <c r="H128" i="76"/>
  <c r="AR130" i="76"/>
  <c r="C129" i="76"/>
  <c r="B129" i="76"/>
  <c r="AD129" i="76"/>
  <c r="E129" i="76"/>
  <c r="A129" i="76"/>
  <c r="D129" i="76"/>
  <c r="AE129" i="76"/>
  <c r="F130" i="76" l="1"/>
  <c r="R130" i="76"/>
  <c r="AO129" i="76"/>
  <c r="AJ129" i="76"/>
  <c r="AP129" i="76"/>
  <c r="AK129" i="76"/>
  <c r="AF129" i="76"/>
  <c r="AL129" i="76"/>
  <c r="AG129" i="76"/>
  <c r="AM129" i="76"/>
  <c r="AH129" i="76"/>
  <c r="AN129" i="76"/>
  <c r="AI129" i="76"/>
  <c r="G129" i="76"/>
  <c r="I129" i="76"/>
  <c r="O129" i="76"/>
  <c r="J129" i="76"/>
  <c r="P129" i="76"/>
  <c r="K129" i="76"/>
  <c r="Q129" i="76"/>
  <c r="L129" i="76"/>
  <c r="M129" i="76"/>
  <c r="H129" i="76"/>
  <c r="N129" i="76"/>
  <c r="U129" i="76"/>
  <c r="AB129" i="76"/>
  <c r="W129" i="76"/>
  <c r="AC129" i="76"/>
  <c r="X129" i="76"/>
  <c r="S129" i="76"/>
  <c r="Y129" i="76"/>
  <c r="T129" i="76"/>
  <c r="Z129" i="76"/>
  <c r="AA129" i="76"/>
  <c r="V129" i="76"/>
  <c r="AE130" i="76"/>
  <c r="A130" i="76"/>
  <c r="C130" i="76"/>
  <c r="AR131" i="76"/>
  <c r="D130" i="76"/>
  <c r="E130" i="76"/>
  <c r="AD130" i="76"/>
  <c r="B130" i="76"/>
  <c r="F131" i="76" l="1"/>
  <c r="R131" i="76"/>
  <c r="W130" i="76"/>
  <c r="Y130" i="76"/>
  <c r="U130" i="76"/>
  <c r="S130" i="76"/>
  <c r="AB130" i="76"/>
  <c r="X130" i="76"/>
  <c r="Z130" i="76"/>
  <c r="T130" i="76"/>
  <c r="AA130" i="76"/>
  <c r="V130" i="76"/>
  <c r="AC130" i="76"/>
  <c r="K130" i="76"/>
  <c r="Q130" i="76"/>
  <c r="L130" i="76"/>
  <c r="J130" i="76"/>
  <c r="P130" i="76"/>
  <c r="O130" i="76"/>
  <c r="N130" i="76"/>
  <c r="I130" i="76"/>
  <c r="G130" i="76"/>
  <c r="M130" i="76"/>
  <c r="H130" i="76"/>
  <c r="E131" i="76"/>
  <c r="AR132" i="76"/>
  <c r="A131" i="76"/>
  <c r="AD131" i="76"/>
  <c r="B131" i="76"/>
  <c r="AE131" i="76"/>
  <c r="D131" i="76"/>
  <c r="C131" i="76"/>
  <c r="AP130" i="76"/>
  <c r="AK130" i="76"/>
  <c r="AF130" i="76"/>
  <c r="AL130" i="76"/>
  <c r="AG130" i="76"/>
  <c r="AM130" i="76"/>
  <c r="AH130" i="76"/>
  <c r="AN130" i="76"/>
  <c r="AI130" i="76"/>
  <c r="AO130" i="76"/>
  <c r="AJ130" i="76"/>
  <c r="F132" i="76" l="1"/>
  <c r="R132" i="76"/>
  <c r="I131" i="76"/>
  <c r="J131" i="76"/>
  <c r="P131" i="76"/>
  <c r="K131" i="76"/>
  <c r="Q131" i="76"/>
  <c r="O131" i="76"/>
  <c r="G131" i="76"/>
  <c r="M131" i="76"/>
  <c r="H131" i="76"/>
  <c r="N131" i="76"/>
  <c r="L131" i="76"/>
  <c r="Z131" i="76"/>
  <c r="U131" i="76"/>
  <c r="AA131" i="76"/>
  <c r="V131" i="76"/>
  <c r="T131" i="76"/>
  <c r="AB131" i="76"/>
  <c r="AC131" i="76"/>
  <c r="X131" i="76"/>
  <c r="S131" i="76"/>
  <c r="Y131" i="76"/>
  <c r="W131" i="76"/>
  <c r="AJ131" i="76"/>
  <c r="AK131" i="76"/>
  <c r="AF131" i="76"/>
  <c r="AL131" i="76"/>
  <c r="AG131" i="76"/>
  <c r="AH131" i="76"/>
  <c r="AP131" i="76"/>
  <c r="AN131" i="76"/>
  <c r="AI131" i="76"/>
  <c r="AO131" i="76"/>
  <c r="AM131" i="76"/>
  <c r="AD132" i="76"/>
  <c r="D132" i="76"/>
  <c r="C132" i="76"/>
  <c r="AR133" i="76"/>
  <c r="B132" i="76"/>
  <c r="A132" i="76"/>
  <c r="AE132" i="76"/>
  <c r="E132" i="76"/>
  <c r="F133" i="76" l="1"/>
  <c r="R133" i="76"/>
  <c r="AE133" i="76"/>
  <c r="B133" i="76"/>
  <c r="A133" i="76"/>
  <c r="AR134" i="76"/>
  <c r="E133" i="76"/>
  <c r="D133" i="76"/>
  <c r="AD133" i="76"/>
  <c r="C133" i="76"/>
  <c r="AH132" i="76"/>
  <c r="AL132" i="76"/>
  <c r="AG132" i="76"/>
  <c r="AM132" i="76"/>
  <c r="AK132" i="76"/>
  <c r="AF132" i="76"/>
  <c r="AI132" i="76"/>
  <c r="AO132" i="76"/>
  <c r="AJ132" i="76"/>
  <c r="AP132" i="76"/>
  <c r="AN132" i="76"/>
  <c r="AB132" i="76"/>
  <c r="W132" i="76"/>
  <c r="AC132" i="76"/>
  <c r="X132" i="76"/>
  <c r="S132" i="76"/>
  <c r="Y132" i="76"/>
  <c r="T132" i="76"/>
  <c r="Z132" i="76"/>
  <c r="U132" i="76"/>
  <c r="AA132" i="76"/>
  <c r="V132" i="76"/>
  <c r="I132" i="76"/>
  <c r="G132" i="76"/>
  <c r="M132" i="76"/>
  <c r="H132" i="76"/>
  <c r="Q132" i="76"/>
  <c r="K132" i="76"/>
  <c r="O132" i="76"/>
  <c r="J132" i="76"/>
  <c r="P132" i="76"/>
  <c r="N132" i="76"/>
  <c r="L132" i="76"/>
  <c r="F134" i="76" l="1"/>
  <c r="R134" i="76"/>
  <c r="C134" i="76"/>
  <c r="AR135" i="76"/>
  <c r="D134" i="76"/>
  <c r="E134" i="76"/>
  <c r="AD134" i="76"/>
  <c r="B134" i="76"/>
  <c r="A134" i="76"/>
  <c r="AE134" i="76"/>
  <c r="AC133" i="76"/>
  <c r="X133" i="76"/>
  <c r="S133" i="76"/>
  <c r="Y133" i="76"/>
  <c r="T133" i="76"/>
  <c r="Z133" i="76"/>
  <c r="U133" i="76"/>
  <c r="AA133" i="76"/>
  <c r="V133" i="76"/>
  <c r="AB133" i="76"/>
  <c r="W133" i="76"/>
  <c r="J133" i="76"/>
  <c r="H133" i="76"/>
  <c r="N133" i="76"/>
  <c r="I133" i="76"/>
  <c r="O133" i="76"/>
  <c r="M133" i="76"/>
  <c r="P133" i="76"/>
  <c r="K133" i="76"/>
  <c r="Q133" i="76"/>
  <c r="L133" i="76"/>
  <c r="G133" i="76"/>
  <c r="AM133" i="76"/>
  <c r="AH133" i="76"/>
  <c r="AN133" i="76"/>
  <c r="AI133" i="76"/>
  <c r="AO133" i="76"/>
  <c r="AJ133" i="76"/>
  <c r="AP133" i="76"/>
  <c r="AK133" i="76"/>
  <c r="AF133" i="76"/>
  <c r="AL133" i="76"/>
  <c r="AG133" i="76"/>
  <c r="F135" i="76" l="1"/>
  <c r="R135" i="76"/>
  <c r="Y134" i="76"/>
  <c r="T134" i="76"/>
  <c r="W134" i="76"/>
  <c r="U134" i="76"/>
  <c r="AA134" i="76"/>
  <c r="Z134" i="76"/>
  <c r="AB134" i="76"/>
  <c r="S134" i="76"/>
  <c r="AC134" i="76"/>
  <c r="X134" i="76"/>
  <c r="V134" i="76"/>
  <c r="P134" i="76"/>
  <c r="K134" i="76"/>
  <c r="Q134" i="76"/>
  <c r="L134" i="76"/>
  <c r="G134" i="76"/>
  <c r="M134" i="76"/>
  <c r="H134" i="76"/>
  <c r="N134" i="76"/>
  <c r="I134" i="76"/>
  <c r="O134" i="76"/>
  <c r="J134" i="76"/>
  <c r="E135" i="76"/>
  <c r="AD135" i="76"/>
  <c r="D135" i="76"/>
  <c r="C135" i="76"/>
  <c r="B135" i="76"/>
  <c r="AR136" i="76"/>
  <c r="A135" i="76"/>
  <c r="AE135" i="76"/>
  <c r="AG134" i="76"/>
  <c r="AM134" i="76"/>
  <c r="AH134" i="76"/>
  <c r="AN134" i="76"/>
  <c r="AI134" i="76"/>
  <c r="AO134" i="76"/>
  <c r="AJ134" i="76"/>
  <c r="AP134" i="76"/>
  <c r="AK134" i="76"/>
  <c r="AF134" i="76"/>
  <c r="AL134" i="76"/>
  <c r="F136" i="76" l="1"/>
  <c r="R136" i="76"/>
  <c r="AH135" i="76"/>
  <c r="AO135" i="76"/>
  <c r="AP135" i="76"/>
  <c r="AK135" i="76"/>
  <c r="AF135" i="76"/>
  <c r="AL135" i="76"/>
  <c r="AG135" i="76"/>
  <c r="AM135" i="76"/>
  <c r="AN135" i="76"/>
  <c r="AI135" i="76"/>
  <c r="AJ135" i="76"/>
  <c r="B136" i="76"/>
  <c r="D136" i="76"/>
  <c r="E136" i="76"/>
  <c r="A136" i="76"/>
  <c r="AE136" i="76"/>
  <c r="AR137" i="76"/>
  <c r="AD136" i="76"/>
  <c r="C136" i="76"/>
  <c r="P135" i="76"/>
  <c r="L135" i="76"/>
  <c r="Q135" i="76"/>
  <c r="H135" i="76"/>
  <c r="J135" i="76"/>
  <c r="I135" i="76"/>
  <c r="O135" i="76"/>
  <c r="M135" i="76"/>
  <c r="K135" i="76"/>
  <c r="N135" i="76"/>
  <c r="G135" i="76"/>
  <c r="X135" i="76"/>
  <c r="T135" i="76"/>
  <c r="AA135" i="76"/>
  <c r="V135" i="76"/>
  <c r="AB135" i="76"/>
  <c r="W135" i="76"/>
  <c r="AC135" i="76"/>
  <c r="S135" i="76"/>
  <c r="Y135" i="76"/>
  <c r="Z135" i="76"/>
  <c r="U135" i="76"/>
  <c r="F137" i="76" l="1"/>
  <c r="R137" i="76"/>
  <c r="AL136" i="76"/>
  <c r="AG136" i="76"/>
  <c r="AM136" i="76"/>
  <c r="AH136" i="76"/>
  <c r="AN136" i="76"/>
  <c r="AI136" i="76"/>
  <c r="AO136" i="76"/>
  <c r="AJ136" i="76"/>
  <c r="AP136" i="76"/>
  <c r="AK136" i="76"/>
  <c r="AF136" i="76"/>
  <c r="Q136" i="76"/>
  <c r="L136" i="76"/>
  <c r="G136" i="76"/>
  <c r="M136" i="76"/>
  <c r="H136" i="76"/>
  <c r="N136" i="76"/>
  <c r="I136" i="76"/>
  <c r="O136" i="76"/>
  <c r="J136" i="76"/>
  <c r="P136" i="76"/>
  <c r="K136" i="76"/>
  <c r="E137" i="76"/>
  <c r="AR138" i="76"/>
  <c r="B137" i="76"/>
  <c r="AE137" i="76"/>
  <c r="C137" i="76"/>
  <c r="A137" i="76"/>
  <c r="AD137" i="76"/>
  <c r="D137" i="76"/>
  <c r="Y136" i="76"/>
  <c r="Z136" i="76"/>
  <c r="AA136" i="76"/>
  <c r="V136" i="76"/>
  <c r="AB136" i="76"/>
  <c r="W136" i="76"/>
  <c r="AC136" i="76"/>
  <c r="X136" i="76"/>
  <c r="S136" i="76"/>
  <c r="T136" i="76"/>
  <c r="U136" i="76"/>
  <c r="F138" i="76" l="1"/>
  <c r="R138" i="76"/>
  <c r="J137" i="76"/>
  <c r="K137" i="76"/>
  <c r="Q137" i="76"/>
  <c r="L137" i="76"/>
  <c r="G137" i="76"/>
  <c r="H137" i="76"/>
  <c r="P137" i="76"/>
  <c r="N137" i="76"/>
  <c r="I137" i="76"/>
  <c r="O137" i="76"/>
  <c r="M137" i="76"/>
  <c r="AC137" i="76"/>
  <c r="AA137" i="76"/>
  <c r="V137" i="76"/>
  <c r="T137" i="76"/>
  <c r="Z137" i="76"/>
  <c r="AB137" i="76"/>
  <c r="X137" i="76"/>
  <c r="S137" i="76"/>
  <c r="Y137" i="76"/>
  <c r="W137" i="76"/>
  <c r="U137" i="76"/>
  <c r="AP137" i="76"/>
  <c r="AK137" i="76"/>
  <c r="AF137" i="76"/>
  <c r="AL137" i="76"/>
  <c r="AJ137" i="76"/>
  <c r="AO137" i="76"/>
  <c r="AH137" i="76"/>
  <c r="AN137" i="76"/>
  <c r="AI137" i="76"/>
  <c r="AG137" i="76"/>
  <c r="AM137" i="76"/>
  <c r="E138" i="76"/>
  <c r="A138" i="76"/>
  <c r="AE138" i="76"/>
  <c r="C138" i="76"/>
  <c r="D138" i="76"/>
  <c r="B138" i="76"/>
  <c r="AR139" i="76"/>
  <c r="AD138" i="76"/>
  <c r="F139" i="76" l="1"/>
  <c r="R139" i="76"/>
  <c r="C139" i="76"/>
  <c r="B139" i="76"/>
  <c r="A139" i="76"/>
  <c r="E139" i="76"/>
  <c r="D139" i="76"/>
  <c r="AE139" i="76"/>
  <c r="AR140" i="76"/>
  <c r="AD139" i="76"/>
  <c r="AG138" i="76"/>
  <c r="AI138" i="76"/>
  <c r="AO138" i="76"/>
  <c r="AJ138" i="76"/>
  <c r="AP138" i="76"/>
  <c r="AK138" i="76"/>
  <c r="AF138" i="76"/>
  <c r="AL138" i="76"/>
  <c r="AM138" i="76"/>
  <c r="AH138" i="76"/>
  <c r="AN138" i="76"/>
  <c r="O138" i="76"/>
  <c r="Q138" i="76"/>
  <c r="G138" i="76"/>
  <c r="M138" i="76"/>
  <c r="H138" i="76"/>
  <c r="N138" i="76"/>
  <c r="I138" i="76"/>
  <c r="J138" i="76"/>
  <c r="P138" i="76"/>
  <c r="K138" i="76"/>
  <c r="L138" i="76"/>
  <c r="X138" i="76"/>
  <c r="Y138" i="76"/>
  <c r="W138" i="76"/>
  <c r="AC138" i="76"/>
  <c r="AB138" i="76"/>
  <c r="S138" i="76"/>
  <c r="U138" i="76"/>
  <c r="T138" i="76"/>
  <c r="Z138" i="76"/>
  <c r="AA138" i="76"/>
  <c r="V138" i="76"/>
  <c r="F140" i="76" l="1"/>
  <c r="R140" i="76"/>
  <c r="J139" i="76"/>
  <c r="N139" i="76"/>
  <c r="G139" i="76"/>
  <c r="L139" i="76"/>
  <c r="P139" i="76"/>
  <c r="K139" i="76"/>
  <c r="Q139" i="76"/>
  <c r="O139" i="76"/>
  <c r="M139" i="76"/>
  <c r="H139" i="76"/>
  <c r="I139" i="76"/>
  <c r="B140" i="76"/>
  <c r="E140" i="76"/>
  <c r="D140" i="76"/>
  <c r="C140" i="76"/>
  <c r="AD140" i="76"/>
  <c r="AR141" i="76"/>
  <c r="A140" i="76"/>
  <c r="AE140" i="76"/>
  <c r="AA139" i="76"/>
  <c r="Z139" i="76"/>
  <c r="X139" i="76"/>
  <c r="S139" i="76"/>
  <c r="AB139" i="76"/>
  <c r="W139" i="76"/>
  <c r="AC139" i="76"/>
  <c r="Y139" i="76"/>
  <c r="V139" i="76"/>
  <c r="T139" i="76"/>
  <c r="U139" i="76"/>
  <c r="AP139" i="76"/>
  <c r="AO139" i="76"/>
  <c r="AM139" i="76"/>
  <c r="AH139" i="76"/>
  <c r="AN139" i="76"/>
  <c r="AL139" i="76"/>
  <c r="AF139" i="76"/>
  <c r="AJ139" i="76"/>
  <c r="AK139" i="76"/>
  <c r="AI139" i="76"/>
  <c r="AG139" i="76"/>
  <c r="F141" i="76" l="1"/>
  <c r="R141" i="76"/>
  <c r="N140" i="76"/>
  <c r="P140" i="76"/>
  <c r="L140" i="76"/>
  <c r="G140" i="76"/>
  <c r="M140" i="76"/>
  <c r="H140" i="76"/>
  <c r="Q140" i="76"/>
  <c r="O140" i="76"/>
  <c r="J140" i="76"/>
  <c r="K140" i="76"/>
  <c r="I140" i="76"/>
  <c r="AB140" i="76"/>
  <c r="X140" i="76"/>
  <c r="Y140" i="76"/>
  <c r="T140" i="76"/>
  <c r="Z140" i="76"/>
  <c r="U140" i="76"/>
  <c r="AA140" i="76"/>
  <c r="V140" i="76"/>
  <c r="W140" i="76"/>
  <c r="AC140" i="76"/>
  <c r="S140" i="76"/>
  <c r="AM140" i="76"/>
  <c r="AF140" i="76"/>
  <c r="AJ140" i="76"/>
  <c r="AO140" i="76"/>
  <c r="AH140" i="76"/>
  <c r="AN140" i="76"/>
  <c r="AI140" i="76"/>
  <c r="AG140" i="76"/>
  <c r="AP140" i="76"/>
  <c r="AK140" i="76"/>
  <c r="AL140" i="76"/>
  <c r="E141" i="76"/>
  <c r="AD141" i="76"/>
  <c r="B141" i="76"/>
  <c r="A141" i="76"/>
  <c r="AE141" i="76"/>
  <c r="AR142" i="76"/>
  <c r="C141" i="76"/>
  <c r="D141" i="76"/>
  <c r="F142" i="76" l="1"/>
  <c r="R142" i="76"/>
  <c r="AJ141" i="76"/>
  <c r="AP141" i="76"/>
  <c r="AK141" i="76"/>
  <c r="AF141" i="76"/>
  <c r="AL141" i="76"/>
  <c r="AG141" i="76"/>
  <c r="AM141" i="76"/>
  <c r="AH141" i="76"/>
  <c r="AN141" i="76"/>
  <c r="AI141" i="76"/>
  <c r="AO141" i="76"/>
  <c r="Q141" i="76"/>
  <c r="M141" i="76"/>
  <c r="H141" i="76"/>
  <c r="I141" i="76"/>
  <c r="N141" i="76"/>
  <c r="L141" i="76"/>
  <c r="J141" i="76"/>
  <c r="P141" i="76"/>
  <c r="K141" i="76"/>
  <c r="O141" i="76"/>
  <c r="G141" i="76"/>
  <c r="Z141" i="76"/>
  <c r="U141" i="76"/>
  <c r="AA141" i="76"/>
  <c r="V141" i="76"/>
  <c r="AB141" i="76"/>
  <c r="W141" i="76"/>
  <c r="AC141" i="76"/>
  <c r="X141" i="76"/>
  <c r="S141" i="76"/>
  <c r="Y141" i="76"/>
  <c r="T141" i="76"/>
  <c r="AE142" i="76"/>
  <c r="E142" i="76"/>
  <c r="AD142" i="76"/>
  <c r="B142" i="76"/>
  <c r="A142" i="76"/>
  <c r="C142" i="76"/>
  <c r="AR143" i="76"/>
  <c r="D142" i="76"/>
  <c r="F143" i="76" l="1"/>
  <c r="R143" i="76"/>
  <c r="Y142" i="76"/>
  <c r="U142" i="76"/>
  <c r="W142" i="76"/>
  <c r="V142" i="76"/>
  <c r="AB142" i="76"/>
  <c r="Z142" i="76"/>
  <c r="AC142" i="76"/>
  <c r="X142" i="76"/>
  <c r="AA142" i="76"/>
  <c r="T142" i="76"/>
  <c r="S142" i="76"/>
  <c r="B143" i="76"/>
  <c r="E143" i="76"/>
  <c r="AR144" i="76"/>
  <c r="A143" i="76"/>
  <c r="AD143" i="76"/>
  <c r="C143" i="76"/>
  <c r="AE143" i="76"/>
  <c r="D143" i="76"/>
  <c r="I142" i="76"/>
  <c r="K142" i="76"/>
  <c r="Q142" i="76"/>
  <c r="L142" i="76"/>
  <c r="G142" i="76"/>
  <c r="M142" i="76"/>
  <c r="H142" i="76"/>
  <c r="N142" i="76"/>
  <c r="O142" i="76"/>
  <c r="J142" i="76"/>
  <c r="P142" i="76"/>
  <c r="AN142" i="76"/>
  <c r="AJ142" i="76"/>
  <c r="AK142" i="76"/>
  <c r="AF142" i="76"/>
  <c r="AL142" i="76"/>
  <c r="AG142" i="76"/>
  <c r="AM142" i="76"/>
  <c r="AH142" i="76"/>
  <c r="AI142" i="76"/>
  <c r="AO142" i="76"/>
  <c r="AP142" i="76"/>
  <c r="F144" i="76" l="1"/>
  <c r="R144" i="76"/>
  <c r="AL143" i="76"/>
  <c r="AG143" i="76"/>
  <c r="AM143" i="76"/>
  <c r="AH143" i="76"/>
  <c r="AN143" i="76"/>
  <c r="AI143" i="76"/>
  <c r="AO143" i="76"/>
  <c r="AJ143" i="76"/>
  <c r="AP143" i="76"/>
  <c r="AK143" i="76"/>
  <c r="AF143" i="76"/>
  <c r="E144" i="76"/>
  <c r="D144" i="76"/>
  <c r="A144" i="76"/>
  <c r="AE144" i="76"/>
  <c r="AR145" i="76"/>
  <c r="B144" i="76"/>
  <c r="AD144" i="76"/>
  <c r="C144" i="76"/>
  <c r="N143" i="76"/>
  <c r="I143" i="76"/>
  <c r="G143" i="76"/>
  <c r="J143" i="76"/>
  <c r="L143" i="76"/>
  <c r="Q143" i="76"/>
  <c r="H143" i="76"/>
  <c r="M143" i="76"/>
  <c r="K143" i="76"/>
  <c r="P143" i="76"/>
  <c r="O143" i="76"/>
  <c r="Y143" i="76"/>
  <c r="T143" i="76"/>
  <c r="Z143" i="76"/>
  <c r="U143" i="76"/>
  <c r="AA143" i="76"/>
  <c r="V143" i="76"/>
  <c r="AB143" i="76"/>
  <c r="W143" i="76"/>
  <c r="AC143" i="76"/>
  <c r="X143" i="76"/>
  <c r="S143" i="76"/>
  <c r="F145" i="76" l="1"/>
  <c r="R145" i="76"/>
  <c r="E145" i="76"/>
  <c r="A145" i="76"/>
  <c r="D145" i="76"/>
  <c r="C145" i="76"/>
  <c r="B145" i="76"/>
  <c r="AD145" i="76"/>
  <c r="AR146" i="76"/>
  <c r="AE145" i="76"/>
  <c r="AG144" i="76"/>
  <c r="AM144" i="76"/>
  <c r="AN144" i="76"/>
  <c r="AO144" i="76"/>
  <c r="AJ144" i="76"/>
  <c r="AP144" i="76"/>
  <c r="AK144" i="76"/>
  <c r="AF144" i="76"/>
  <c r="AL144" i="76"/>
  <c r="AH144" i="76"/>
  <c r="AI144" i="76"/>
  <c r="P144" i="76"/>
  <c r="K144" i="76"/>
  <c r="Q144" i="76"/>
  <c r="L144" i="76"/>
  <c r="G144" i="76"/>
  <c r="M144" i="76"/>
  <c r="H144" i="76"/>
  <c r="N144" i="76"/>
  <c r="I144" i="76"/>
  <c r="O144" i="76"/>
  <c r="J144" i="76"/>
  <c r="W144" i="76"/>
  <c r="AC144" i="76"/>
  <c r="X144" i="76"/>
  <c r="S144" i="76"/>
  <c r="Y144" i="76"/>
  <c r="T144" i="76"/>
  <c r="Z144" i="76"/>
  <c r="U144" i="76"/>
  <c r="AA144" i="76"/>
  <c r="V144" i="76"/>
  <c r="AB144" i="76"/>
  <c r="F146" i="76" l="1"/>
  <c r="R146" i="76"/>
  <c r="J145" i="76"/>
  <c r="P145" i="76"/>
  <c r="K145" i="76"/>
  <c r="Q145" i="76"/>
  <c r="L145" i="76"/>
  <c r="G145" i="76"/>
  <c r="M145" i="76"/>
  <c r="H145" i="76"/>
  <c r="N145" i="76"/>
  <c r="I145" i="76"/>
  <c r="O145" i="76"/>
  <c r="D146" i="76"/>
  <c r="AD146" i="76"/>
  <c r="A146" i="76"/>
  <c r="E146" i="76"/>
  <c r="C146" i="76"/>
  <c r="B146" i="76"/>
  <c r="AR147" i="76"/>
  <c r="AE146" i="76"/>
  <c r="W145" i="76"/>
  <c r="X145" i="76"/>
  <c r="S145" i="76"/>
  <c r="Y145" i="76"/>
  <c r="T145" i="76"/>
  <c r="Z145" i="76"/>
  <c r="U145" i="76"/>
  <c r="AA145" i="76"/>
  <c r="V145" i="76"/>
  <c r="AB145" i="76"/>
  <c r="AC145" i="76"/>
  <c r="AH145" i="76"/>
  <c r="AN145" i="76"/>
  <c r="AI145" i="76"/>
  <c r="AO145" i="76"/>
  <c r="AJ145" i="76"/>
  <c r="AP145" i="76"/>
  <c r="AK145" i="76"/>
  <c r="AF145" i="76"/>
  <c r="AL145" i="76"/>
  <c r="AG145" i="76"/>
  <c r="AM145" i="76"/>
  <c r="F147" i="76" l="1"/>
  <c r="R147" i="76"/>
  <c r="AR148" i="76"/>
  <c r="AE147" i="76"/>
  <c r="E147" i="76"/>
  <c r="A147" i="76"/>
  <c r="C147" i="76"/>
  <c r="B147" i="76"/>
  <c r="AD147" i="76"/>
  <c r="D147" i="76"/>
  <c r="K146" i="76"/>
  <c r="J146" i="76"/>
  <c r="M146" i="76"/>
  <c r="N146" i="76"/>
  <c r="I146" i="76"/>
  <c r="G146" i="76"/>
  <c r="P146" i="76"/>
  <c r="O146" i="76"/>
  <c r="Q146" i="76"/>
  <c r="L146" i="76"/>
  <c r="H146" i="76"/>
  <c r="Y146" i="76"/>
  <c r="V146" i="76"/>
  <c r="Z146" i="76"/>
  <c r="W146" i="76"/>
  <c r="U146" i="76"/>
  <c r="S146" i="76"/>
  <c r="AB146" i="76"/>
  <c r="X146" i="76"/>
  <c r="T146" i="76"/>
  <c r="AA146" i="76"/>
  <c r="AC146" i="76"/>
  <c r="AM146" i="76"/>
  <c r="AH146" i="76"/>
  <c r="AN146" i="76"/>
  <c r="AI146" i="76"/>
  <c r="AG146" i="76"/>
  <c r="AO146" i="76"/>
  <c r="AP146" i="76"/>
  <c r="AK146" i="76"/>
  <c r="AF146" i="76"/>
  <c r="AL146" i="76"/>
  <c r="AJ146" i="76"/>
  <c r="F148" i="76" l="1"/>
  <c r="R148" i="76"/>
  <c r="X147" i="76"/>
  <c r="Z147" i="76"/>
  <c r="U147" i="76"/>
  <c r="AA147" i="76"/>
  <c r="V147" i="76"/>
  <c r="AB147" i="76"/>
  <c r="W147" i="76"/>
  <c r="AC147" i="76"/>
  <c r="S147" i="76"/>
  <c r="Y147" i="76"/>
  <c r="T147" i="76"/>
  <c r="AF147" i="76"/>
  <c r="AL147" i="76"/>
  <c r="AG147" i="76"/>
  <c r="AM147" i="76"/>
  <c r="AH147" i="76"/>
  <c r="AN147" i="76"/>
  <c r="AI147" i="76"/>
  <c r="AO147" i="76"/>
  <c r="AJ147" i="76"/>
  <c r="AP147" i="76"/>
  <c r="AK147" i="76"/>
  <c r="Q147" i="76"/>
  <c r="M147" i="76"/>
  <c r="H147" i="76"/>
  <c r="N147" i="76"/>
  <c r="I147" i="76"/>
  <c r="O147" i="76"/>
  <c r="J147" i="76"/>
  <c r="P147" i="76"/>
  <c r="K147" i="76"/>
  <c r="L147" i="76"/>
  <c r="G147" i="76"/>
  <c r="AR149" i="76"/>
  <c r="C148" i="76"/>
  <c r="B148" i="76"/>
  <c r="A148" i="76"/>
  <c r="AE148" i="76"/>
  <c r="E148" i="76"/>
  <c r="AD148" i="76"/>
  <c r="D148" i="76"/>
  <c r="F149" i="76" l="1"/>
  <c r="R149" i="76"/>
  <c r="AM148" i="76"/>
  <c r="AH148" i="76"/>
  <c r="AN148" i="76"/>
  <c r="AI148" i="76"/>
  <c r="AG148" i="76"/>
  <c r="AO148" i="76"/>
  <c r="AP148" i="76"/>
  <c r="AK148" i="76"/>
  <c r="AF148" i="76"/>
  <c r="AL148" i="76"/>
  <c r="AJ148" i="76"/>
  <c r="AE149" i="76"/>
  <c r="B149" i="76"/>
  <c r="A149" i="76"/>
  <c r="AR150" i="76"/>
  <c r="E149" i="76"/>
  <c r="D149" i="76"/>
  <c r="AD149" i="76"/>
  <c r="C149" i="76"/>
  <c r="Y148" i="76"/>
  <c r="U148" i="76"/>
  <c r="AA148" i="76"/>
  <c r="V148" i="76"/>
  <c r="T148" i="76"/>
  <c r="Z148" i="76"/>
  <c r="AC148" i="76"/>
  <c r="X148" i="76"/>
  <c r="S148" i="76"/>
  <c r="AB148" i="76"/>
  <c r="W148" i="76"/>
  <c r="G148" i="76"/>
  <c r="N148" i="76"/>
  <c r="I148" i="76"/>
  <c r="O148" i="76"/>
  <c r="M148" i="76"/>
  <c r="H148" i="76"/>
  <c r="K148" i="76"/>
  <c r="Q148" i="76"/>
  <c r="L148" i="76"/>
  <c r="J148" i="76"/>
  <c r="P148" i="76"/>
  <c r="F150" i="76" l="1"/>
  <c r="R150" i="76"/>
  <c r="Y149" i="76"/>
  <c r="T149" i="76"/>
  <c r="Z149" i="76"/>
  <c r="U149" i="76"/>
  <c r="V149" i="76"/>
  <c r="AB149" i="76"/>
  <c r="W149" i="76"/>
  <c r="AC149" i="76"/>
  <c r="X149" i="76"/>
  <c r="S149" i="76"/>
  <c r="AA149" i="76"/>
  <c r="P149" i="76"/>
  <c r="L149" i="76"/>
  <c r="H149" i="76"/>
  <c r="N149" i="76"/>
  <c r="I149" i="76"/>
  <c r="O149" i="76"/>
  <c r="J149" i="76"/>
  <c r="K149" i="76"/>
  <c r="Q149" i="76"/>
  <c r="G149" i="76"/>
  <c r="M149" i="76"/>
  <c r="AF149" i="76"/>
  <c r="AG149" i="76"/>
  <c r="AH149" i="76"/>
  <c r="AN149" i="76"/>
  <c r="AI149" i="76"/>
  <c r="AO149" i="76"/>
  <c r="AJ149" i="76"/>
  <c r="AP149" i="76"/>
  <c r="AK149" i="76"/>
  <c r="AL149" i="76"/>
  <c r="AM149" i="76"/>
  <c r="B150" i="76"/>
  <c r="A150" i="76"/>
  <c r="AE150" i="76"/>
  <c r="E150" i="76"/>
  <c r="AD150" i="76"/>
  <c r="AR151" i="76"/>
  <c r="D150" i="76"/>
  <c r="C150" i="76"/>
  <c r="F151" i="76" l="1"/>
  <c r="R151" i="76"/>
  <c r="AR152" i="76"/>
  <c r="E151" i="76"/>
  <c r="AE151" i="76"/>
  <c r="AD151" i="76"/>
  <c r="B151" i="76"/>
  <c r="A151" i="76"/>
  <c r="D151" i="76"/>
  <c r="C151" i="76"/>
  <c r="AG150" i="76"/>
  <c r="AP150" i="76"/>
  <c r="AN150" i="76"/>
  <c r="AI150" i="76"/>
  <c r="AM150" i="76"/>
  <c r="AO150" i="76"/>
  <c r="AJ150" i="76"/>
  <c r="AK150" i="76"/>
  <c r="AF150" i="76"/>
  <c r="AL150" i="76"/>
  <c r="AH150" i="76"/>
  <c r="Y150" i="76"/>
  <c r="T150" i="76"/>
  <c r="W150" i="76"/>
  <c r="U150" i="76"/>
  <c r="AA150" i="76"/>
  <c r="Z150" i="76"/>
  <c r="AB150" i="76"/>
  <c r="S150" i="76"/>
  <c r="AC150" i="76"/>
  <c r="X150" i="76"/>
  <c r="V150" i="76"/>
  <c r="K150" i="76"/>
  <c r="I150" i="76"/>
  <c r="O150" i="76"/>
  <c r="J150" i="76"/>
  <c r="H150" i="76"/>
  <c r="M150" i="76"/>
  <c r="Q150" i="76"/>
  <c r="L150" i="76"/>
  <c r="G150" i="76"/>
  <c r="P150" i="76"/>
  <c r="N150" i="76"/>
  <c r="F152" i="76" l="1"/>
  <c r="R152" i="76"/>
  <c r="X151" i="76"/>
  <c r="Y151" i="76"/>
  <c r="Z151" i="76"/>
  <c r="AA151" i="76"/>
  <c r="V151" i="76"/>
  <c r="AB151" i="76"/>
  <c r="W151" i="76"/>
  <c r="AC151" i="76"/>
  <c r="S151" i="76"/>
  <c r="T151" i="76"/>
  <c r="U151" i="76"/>
  <c r="H151" i="76"/>
  <c r="O151" i="76"/>
  <c r="P151" i="76"/>
  <c r="K151" i="76"/>
  <c r="M151" i="76"/>
  <c r="L151" i="76"/>
  <c r="G151" i="76"/>
  <c r="I151" i="76"/>
  <c r="N151" i="76"/>
  <c r="J151" i="76"/>
  <c r="Q151" i="76"/>
  <c r="AH151" i="76"/>
  <c r="AN151" i="76"/>
  <c r="AI151" i="76"/>
  <c r="AO151" i="76"/>
  <c r="AJ151" i="76"/>
  <c r="AP151" i="76"/>
  <c r="AK151" i="76"/>
  <c r="AF151" i="76"/>
  <c r="AL151" i="76"/>
  <c r="AG151" i="76"/>
  <c r="AM151" i="76"/>
  <c r="AR153" i="76"/>
  <c r="B152" i="76"/>
  <c r="AD152" i="76"/>
  <c r="A152" i="76"/>
  <c r="E152" i="76"/>
  <c r="D152" i="76"/>
  <c r="C152" i="76"/>
  <c r="AE152" i="76"/>
  <c r="F153" i="76" l="1"/>
  <c r="R153" i="76"/>
  <c r="AH152" i="76"/>
  <c r="AL152" i="76"/>
  <c r="AG152" i="76"/>
  <c r="AM152" i="76"/>
  <c r="AK152" i="76"/>
  <c r="AF152" i="76"/>
  <c r="AI152" i="76"/>
  <c r="AO152" i="76"/>
  <c r="AJ152" i="76"/>
  <c r="AP152" i="76"/>
  <c r="AN152" i="76"/>
  <c r="S152" i="76"/>
  <c r="Y152" i="76"/>
  <c r="T152" i="76"/>
  <c r="Z152" i="76"/>
  <c r="U152" i="76"/>
  <c r="AA152" i="76"/>
  <c r="V152" i="76"/>
  <c r="AB152" i="76"/>
  <c r="W152" i="76"/>
  <c r="AC152" i="76"/>
  <c r="X152" i="76"/>
  <c r="P152" i="76"/>
  <c r="I152" i="76"/>
  <c r="O152" i="76"/>
  <c r="J152" i="76"/>
  <c r="H152" i="76"/>
  <c r="N152" i="76"/>
  <c r="Q152" i="76"/>
  <c r="L152" i="76"/>
  <c r="G152" i="76"/>
  <c r="M152" i="76"/>
  <c r="K152" i="76"/>
  <c r="C153" i="76"/>
  <c r="B153" i="76"/>
  <c r="AD153" i="76"/>
  <c r="A153" i="76"/>
  <c r="AE153" i="76"/>
  <c r="AR154" i="76"/>
  <c r="E153" i="76"/>
  <c r="D153" i="76"/>
  <c r="F154" i="76" l="1"/>
  <c r="R154" i="76"/>
  <c r="Y153" i="76"/>
  <c r="T153" i="76"/>
  <c r="Z153" i="76"/>
  <c r="U153" i="76"/>
  <c r="AA153" i="76"/>
  <c r="V153" i="76"/>
  <c r="AB153" i="76"/>
  <c r="W153" i="76"/>
  <c r="AC153" i="76"/>
  <c r="X153" i="76"/>
  <c r="S153" i="76"/>
  <c r="J153" i="76"/>
  <c r="P153" i="76"/>
  <c r="K153" i="76"/>
  <c r="Q153" i="76"/>
  <c r="L153" i="76"/>
  <c r="G153" i="76"/>
  <c r="M153" i="76"/>
  <c r="H153" i="76"/>
  <c r="N153" i="76"/>
  <c r="I153" i="76"/>
  <c r="O153" i="76"/>
  <c r="AO153" i="76"/>
  <c r="AL153" i="76"/>
  <c r="AG153" i="76"/>
  <c r="AM153" i="76"/>
  <c r="AH153" i="76"/>
  <c r="AN153" i="76"/>
  <c r="AI153" i="76"/>
  <c r="AJ153" i="76"/>
  <c r="AP153" i="76"/>
  <c r="AK153" i="76"/>
  <c r="AF153" i="76"/>
  <c r="AR155" i="76"/>
  <c r="AE154" i="76"/>
  <c r="AD154" i="76"/>
  <c r="D154" i="76"/>
  <c r="B154" i="76"/>
  <c r="E154" i="76"/>
  <c r="C154" i="76"/>
  <c r="A154" i="76"/>
  <c r="F155" i="76" l="1"/>
  <c r="R155" i="76"/>
  <c r="AR156" i="76"/>
  <c r="E155" i="76"/>
  <c r="B155" i="76"/>
  <c r="D155" i="76"/>
  <c r="C155" i="76"/>
  <c r="AD155" i="76"/>
  <c r="A155" i="76"/>
  <c r="AE155" i="76"/>
  <c r="K154" i="76"/>
  <c r="Q154" i="76"/>
  <c r="G154" i="76"/>
  <c r="J154" i="76"/>
  <c r="N154" i="76"/>
  <c r="I154" i="76"/>
  <c r="O154" i="76"/>
  <c r="M154" i="76"/>
  <c r="H154" i="76"/>
  <c r="L154" i="76"/>
  <c r="P154" i="76"/>
  <c r="AC154" i="76"/>
  <c r="T154" i="76"/>
  <c r="AA154" i="76"/>
  <c r="V154" i="76"/>
  <c r="Y154" i="76"/>
  <c r="W154" i="76"/>
  <c r="X154" i="76"/>
  <c r="S154" i="76"/>
  <c r="U154" i="76"/>
  <c r="Z154" i="76"/>
  <c r="AB154" i="76"/>
  <c r="AM154" i="76"/>
  <c r="AG154" i="76"/>
  <c r="AL154" i="76"/>
  <c r="AP154" i="76"/>
  <c r="AK154" i="76"/>
  <c r="AF154" i="76"/>
  <c r="AO154" i="76"/>
  <c r="AJ154" i="76"/>
  <c r="AH154" i="76"/>
  <c r="AN154" i="76"/>
  <c r="AI154" i="76"/>
  <c r="F156" i="76" l="1"/>
  <c r="R156" i="76"/>
  <c r="AN155" i="76"/>
  <c r="AI155" i="76"/>
  <c r="AO155" i="76"/>
  <c r="AJ155" i="76"/>
  <c r="AP155" i="76"/>
  <c r="AK155" i="76"/>
  <c r="AF155" i="76"/>
  <c r="AL155" i="76"/>
  <c r="AG155" i="76"/>
  <c r="AM155" i="76"/>
  <c r="AH155" i="76"/>
  <c r="AA155" i="76"/>
  <c r="V155" i="76"/>
  <c r="AB155" i="76"/>
  <c r="W155" i="76"/>
  <c r="AC155" i="76"/>
  <c r="X155" i="76"/>
  <c r="S155" i="76"/>
  <c r="Y155" i="76"/>
  <c r="T155" i="76"/>
  <c r="Z155" i="76"/>
  <c r="U155" i="76"/>
  <c r="L155" i="76"/>
  <c r="G155" i="76"/>
  <c r="M155" i="76"/>
  <c r="H155" i="76"/>
  <c r="N155" i="76"/>
  <c r="I155" i="76"/>
  <c r="O155" i="76"/>
  <c r="J155" i="76"/>
  <c r="P155" i="76"/>
  <c r="K155" i="76"/>
  <c r="Q155" i="76"/>
  <c r="C156" i="76"/>
  <c r="D156" i="76"/>
  <c r="B156" i="76"/>
  <c r="AE156" i="76"/>
  <c r="AR157" i="76"/>
  <c r="E156" i="76"/>
  <c r="AD156" i="76"/>
  <c r="A156" i="76"/>
  <c r="F157" i="76" l="1"/>
  <c r="R157" i="76"/>
  <c r="AR158" i="76"/>
  <c r="C157" i="76"/>
  <c r="AE157" i="76"/>
  <c r="B157" i="76"/>
  <c r="A157" i="76"/>
  <c r="E157" i="76"/>
  <c r="D157" i="76"/>
  <c r="AD157" i="76"/>
  <c r="N156" i="76"/>
  <c r="I156" i="76"/>
  <c r="G156" i="76"/>
  <c r="M156" i="76"/>
  <c r="H156" i="76"/>
  <c r="K156" i="76"/>
  <c r="Q156" i="76"/>
  <c r="O156" i="76"/>
  <c r="J156" i="76"/>
  <c r="P156" i="76"/>
  <c r="L156" i="76"/>
  <c r="AO156" i="76"/>
  <c r="AJ156" i="76"/>
  <c r="AP156" i="76"/>
  <c r="AK156" i="76"/>
  <c r="AF156" i="76"/>
  <c r="AL156" i="76"/>
  <c r="AG156" i="76"/>
  <c r="AM156" i="76"/>
  <c r="AH156" i="76"/>
  <c r="AN156" i="76"/>
  <c r="AI156" i="76"/>
  <c r="Y156" i="76"/>
  <c r="T156" i="76"/>
  <c r="Z156" i="76"/>
  <c r="U156" i="76"/>
  <c r="AA156" i="76"/>
  <c r="V156" i="76"/>
  <c r="AB156" i="76"/>
  <c r="W156" i="76"/>
  <c r="AC156" i="76"/>
  <c r="X156" i="76"/>
  <c r="S156" i="76"/>
  <c r="F158" i="76" l="1"/>
  <c r="R158" i="76"/>
  <c r="X157" i="76"/>
  <c r="Z157" i="76"/>
  <c r="U157" i="76"/>
  <c r="AA157" i="76"/>
  <c r="V157" i="76"/>
  <c r="AB157" i="76"/>
  <c r="W157" i="76"/>
  <c r="AC157" i="76"/>
  <c r="S157" i="76"/>
  <c r="Y157" i="76"/>
  <c r="T157" i="76"/>
  <c r="N157" i="76"/>
  <c r="H157" i="76"/>
  <c r="Q157" i="76"/>
  <c r="L157" i="76"/>
  <c r="G157" i="76"/>
  <c r="P157" i="76"/>
  <c r="M157" i="76"/>
  <c r="I157" i="76"/>
  <c r="O157" i="76"/>
  <c r="J157" i="76"/>
  <c r="K157" i="76"/>
  <c r="AM157" i="76"/>
  <c r="AO157" i="76"/>
  <c r="AJ157" i="76"/>
  <c r="AP157" i="76"/>
  <c r="AK157" i="76"/>
  <c r="AF157" i="76"/>
  <c r="AL157" i="76"/>
  <c r="AG157" i="76"/>
  <c r="AH157" i="76"/>
  <c r="AN157" i="76"/>
  <c r="AI157" i="76"/>
  <c r="C158" i="76"/>
  <c r="AR159" i="76"/>
  <c r="D158" i="76"/>
  <c r="AE158" i="76"/>
  <c r="E158" i="76"/>
  <c r="AD158" i="76"/>
  <c r="B158" i="76"/>
  <c r="A158" i="76"/>
  <c r="F159" i="76" l="1"/>
  <c r="R159" i="76"/>
  <c r="M158" i="76"/>
  <c r="H158" i="76"/>
  <c r="N158" i="76"/>
  <c r="I158" i="76"/>
  <c r="O158" i="76"/>
  <c r="J158" i="76"/>
  <c r="P158" i="76"/>
  <c r="K158" i="76"/>
  <c r="Q158" i="76"/>
  <c r="L158" i="76"/>
  <c r="G158" i="76"/>
  <c r="AR160" i="76"/>
  <c r="A159" i="76"/>
  <c r="AD159" i="76"/>
  <c r="E159" i="76"/>
  <c r="D159" i="76"/>
  <c r="C159" i="76"/>
  <c r="B159" i="76"/>
  <c r="AE159" i="76"/>
  <c r="AG158" i="76"/>
  <c r="AM158" i="76"/>
  <c r="AH158" i="76"/>
  <c r="AN158" i="76"/>
  <c r="AI158" i="76"/>
  <c r="AO158" i="76"/>
  <c r="AJ158" i="76"/>
  <c r="AP158" i="76"/>
  <c r="AK158" i="76"/>
  <c r="AF158" i="76"/>
  <c r="AL158" i="76"/>
  <c r="Y158" i="76"/>
  <c r="T158" i="76"/>
  <c r="S158" i="76"/>
  <c r="U158" i="76"/>
  <c r="W158" i="76"/>
  <c r="V158" i="76"/>
  <c r="AB158" i="76"/>
  <c r="Z158" i="76"/>
  <c r="AC158" i="76"/>
  <c r="X158" i="76"/>
  <c r="AA158" i="76"/>
  <c r="F160" i="76" l="1"/>
  <c r="R160" i="76"/>
  <c r="U159" i="76"/>
  <c r="AC159" i="76"/>
  <c r="X159" i="76"/>
  <c r="S159" i="76"/>
  <c r="Y159" i="76"/>
  <c r="T159" i="76"/>
  <c r="Z159" i="76"/>
  <c r="AA159" i="76"/>
  <c r="V159" i="76"/>
  <c r="AB159" i="76"/>
  <c r="W159" i="76"/>
  <c r="J159" i="76"/>
  <c r="P159" i="76"/>
  <c r="Q159" i="76"/>
  <c r="H159" i="76"/>
  <c r="K159" i="76"/>
  <c r="M159" i="76"/>
  <c r="O159" i="76"/>
  <c r="N159" i="76"/>
  <c r="I159" i="76"/>
  <c r="G159" i="76"/>
  <c r="L159" i="76"/>
  <c r="AE160" i="76"/>
  <c r="A160" i="76"/>
  <c r="AR161" i="76"/>
  <c r="B160" i="76"/>
  <c r="AD160" i="76"/>
  <c r="D160" i="76"/>
  <c r="C160" i="76"/>
  <c r="E160" i="76"/>
  <c r="AL159" i="76"/>
  <c r="AG159" i="76"/>
  <c r="AM159" i="76"/>
  <c r="AH159" i="76"/>
  <c r="AN159" i="76"/>
  <c r="AI159" i="76"/>
  <c r="AO159" i="76"/>
  <c r="AJ159" i="76"/>
  <c r="AP159" i="76"/>
  <c r="AK159" i="76"/>
  <c r="AF159" i="76"/>
  <c r="F161" i="76" l="1"/>
  <c r="R161" i="76"/>
  <c r="S160" i="76"/>
  <c r="Y160" i="76"/>
  <c r="T160" i="76"/>
  <c r="Z160" i="76"/>
  <c r="U160" i="76"/>
  <c r="AA160" i="76"/>
  <c r="V160" i="76"/>
  <c r="AB160" i="76"/>
  <c r="W160" i="76"/>
  <c r="AC160" i="76"/>
  <c r="X160" i="76"/>
  <c r="C161" i="76"/>
  <c r="B161" i="76"/>
  <c r="AD161" i="76"/>
  <c r="A161" i="76"/>
  <c r="D161" i="76"/>
  <c r="E161" i="76"/>
  <c r="AR162" i="76"/>
  <c r="AE161" i="76"/>
  <c r="Q160" i="76"/>
  <c r="M160" i="76"/>
  <c r="H160" i="76"/>
  <c r="I160" i="76"/>
  <c r="O160" i="76"/>
  <c r="J160" i="76"/>
  <c r="P160" i="76"/>
  <c r="N160" i="76"/>
  <c r="L160" i="76"/>
  <c r="G160" i="76"/>
  <c r="K160" i="76"/>
  <c r="AJ160" i="76"/>
  <c r="AN160" i="76"/>
  <c r="AI160" i="76"/>
  <c r="AO160" i="76"/>
  <c r="AM160" i="76"/>
  <c r="AH160" i="76"/>
  <c r="AK160" i="76"/>
  <c r="AF160" i="76"/>
  <c r="AL160" i="76"/>
  <c r="AG160" i="76"/>
  <c r="AP160" i="76"/>
  <c r="F162" i="76" l="1"/>
  <c r="R162" i="76"/>
  <c r="T161" i="76"/>
  <c r="Z161" i="76"/>
  <c r="U161" i="76"/>
  <c r="AA161" i="76"/>
  <c r="V161" i="76"/>
  <c r="AB161" i="76"/>
  <c r="W161" i="76"/>
  <c r="AC161" i="76"/>
  <c r="X161" i="76"/>
  <c r="S161" i="76"/>
  <c r="Y161" i="76"/>
  <c r="L161" i="76"/>
  <c r="G161" i="76"/>
  <c r="M161" i="76"/>
  <c r="H161" i="76"/>
  <c r="N161" i="76"/>
  <c r="I161" i="76"/>
  <c r="O161" i="76"/>
  <c r="J161" i="76"/>
  <c r="P161" i="76"/>
  <c r="K161" i="76"/>
  <c r="Q161" i="76"/>
  <c r="AL161" i="76"/>
  <c r="AG161" i="76"/>
  <c r="AM161" i="76"/>
  <c r="AH161" i="76"/>
  <c r="AN161" i="76"/>
  <c r="AI161" i="76"/>
  <c r="AO161" i="76"/>
  <c r="AJ161" i="76"/>
  <c r="AP161" i="76"/>
  <c r="AK161" i="76"/>
  <c r="AF161" i="76"/>
  <c r="AR163" i="76"/>
  <c r="AE162" i="76"/>
  <c r="AD162" i="76"/>
  <c r="D162" i="76"/>
  <c r="B162" i="76"/>
  <c r="E162" i="76"/>
  <c r="C162" i="76"/>
  <c r="A162" i="76"/>
  <c r="F163" i="76" l="1"/>
  <c r="R163" i="76"/>
  <c r="K162" i="76"/>
  <c r="Q162" i="76"/>
  <c r="L162" i="76"/>
  <c r="G162" i="76"/>
  <c r="P162" i="76"/>
  <c r="J162" i="76"/>
  <c r="N162" i="76"/>
  <c r="I162" i="76"/>
  <c r="O162" i="76"/>
  <c r="M162" i="76"/>
  <c r="H162" i="76"/>
  <c r="AM162" i="76"/>
  <c r="AH162" i="76"/>
  <c r="AN162" i="76"/>
  <c r="AI162" i="76"/>
  <c r="AO162" i="76"/>
  <c r="AG162" i="76"/>
  <c r="AP162" i="76"/>
  <c r="AK162" i="76"/>
  <c r="AF162" i="76"/>
  <c r="AL162" i="76"/>
  <c r="AJ162" i="76"/>
  <c r="W162" i="76"/>
  <c r="AA162" i="76"/>
  <c r="V162" i="76"/>
  <c r="AC162" i="76"/>
  <c r="Z162" i="76"/>
  <c r="U162" i="76"/>
  <c r="T162" i="76"/>
  <c r="S162" i="76"/>
  <c r="AB162" i="76"/>
  <c r="X162" i="76"/>
  <c r="Y162" i="76"/>
  <c r="B163" i="76"/>
  <c r="A163" i="76"/>
  <c r="D163" i="76"/>
  <c r="AE163" i="76"/>
  <c r="AD163" i="76"/>
  <c r="AR164" i="76"/>
  <c r="C163" i="76"/>
  <c r="E163" i="76"/>
  <c r="F164" i="76" l="1"/>
  <c r="R164" i="76"/>
  <c r="J163" i="76"/>
  <c r="K163" i="76"/>
  <c r="Q163" i="76"/>
  <c r="L163" i="76"/>
  <c r="G163" i="76"/>
  <c r="H163" i="76"/>
  <c r="P163" i="76"/>
  <c r="N163" i="76"/>
  <c r="I163" i="76"/>
  <c r="O163" i="76"/>
  <c r="M163" i="76"/>
  <c r="A164" i="76"/>
  <c r="D164" i="76"/>
  <c r="AR165" i="76"/>
  <c r="AD164" i="76"/>
  <c r="C164" i="76"/>
  <c r="B164" i="76"/>
  <c r="AE164" i="76"/>
  <c r="E164" i="76"/>
  <c r="AN163" i="76"/>
  <c r="AI163" i="76"/>
  <c r="AO163" i="76"/>
  <c r="AJ163" i="76"/>
  <c r="AP163" i="76"/>
  <c r="AK163" i="76"/>
  <c r="AF163" i="76"/>
  <c r="AL163" i="76"/>
  <c r="AG163" i="76"/>
  <c r="AM163" i="76"/>
  <c r="AH163" i="76"/>
  <c r="Y163" i="76"/>
  <c r="T163" i="76"/>
  <c r="Z163" i="76"/>
  <c r="U163" i="76"/>
  <c r="AA163" i="76"/>
  <c r="V163" i="76"/>
  <c r="AB163" i="76"/>
  <c r="W163" i="76"/>
  <c r="AC163" i="76"/>
  <c r="X163" i="76"/>
  <c r="S163" i="76"/>
  <c r="F165" i="76" l="1"/>
  <c r="R165" i="76"/>
  <c r="AP164" i="76"/>
  <c r="AK164" i="76"/>
  <c r="AL164" i="76"/>
  <c r="AM164" i="76"/>
  <c r="AH164" i="76"/>
  <c r="AN164" i="76"/>
  <c r="AI164" i="76"/>
  <c r="AO164" i="76"/>
  <c r="AJ164" i="76"/>
  <c r="AF164" i="76"/>
  <c r="AG164" i="76"/>
  <c r="AR166" i="76"/>
  <c r="A165" i="76"/>
  <c r="E165" i="76"/>
  <c r="D165" i="76"/>
  <c r="AD165" i="76"/>
  <c r="C165" i="76"/>
  <c r="AE165" i="76"/>
  <c r="B165" i="76"/>
  <c r="M164" i="76"/>
  <c r="N164" i="76"/>
  <c r="O164" i="76"/>
  <c r="J164" i="76"/>
  <c r="P164" i="76"/>
  <c r="Q164" i="76"/>
  <c r="K164" i="76"/>
  <c r="I164" i="76"/>
  <c r="G164" i="76"/>
  <c r="H164" i="76"/>
  <c r="L164" i="76"/>
  <c r="X164" i="76"/>
  <c r="Y164" i="76"/>
  <c r="T164" i="76"/>
  <c r="Z164" i="76"/>
  <c r="U164" i="76"/>
  <c r="AA164" i="76"/>
  <c r="V164" i="76"/>
  <c r="AB164" i="76"/>
  <c r="W164" i="76"/>
  <c r="AC164" i="76"/>
  <c r="S164" i="76"/>
  <c r="F166" i="76" l="1"/>
  <c r="R166" i="76"/>
  <c r="AP165" i="76"/>
  <c r="AM165" i="76"/>
  <c r="AH165" i="76"/>
  <c r="AN165" i="76"/>
  <c r="AI165" i="76"/>
  <c r="AO165" i="76"/>
  <c r="AJ165" i="76"/>
  <c r="AK165" i="76"/>
  <c r="AF165" i="76"/>
  <c r="AL165" i="76"/>
  <c r="AG165" i="76"/>
  <c r="AE166" i="76"/>
  <c r="E166" i="76"/>
  <c r="D166" i="76"/>
  <c r="B166" i="76"/>
  <c r="AR167" i="76"/>
  <c r="C166" i="76"/>
  <c r="A166" i="76"/>
  <c r="AD166" i="76"/>
  <c r="S165" i="76"/>
  <c r="Z165" i="76"/>
  <c r="X165" i="76"/>
  <c r="V165" i="76"/>
  <c r="AB165" i="76"/>
  <c r="W165" i="76"/>
  <c r="AA165" i="76"/>
  <c r="AC165" i="76"/>
  <c r="Y165" i="76"/>
  <c r="T165" i="76"/>
  <c r="U165" i="76"/>
  <c r="J165" i="76"/>
  <c r="H165" i="76"/>
  <c r="N165" i="76"/>
  <c r="I165" i="76"/>
  <c r="G165" i="76"/>
  <c r="L165" i="76"/>
  <c r="P165" i="76"/>
  <c r="K165" i="76"/>
  <c r="Q165" i="76"/>
  <c r="O165" i="76"/>
  <c r="M165" i="76"/>
  <c r="F167" i="76" l="1"/>
  <c r="R167" i="76"/>
  <c r="M166" i="76"/>
  <c r="H166" i="76"/>
  <c r="N166" i="76"/>
  <c r="I166" i="76"/>
  <c r="G166" i="76"/>
  <c r="O166" i="76"/>
  <c r="P166" i="76"/>
  <c r="K166" i="76"/>
  <c r="Q166" i="76"/>
  <c r="L166" i="76"/>
  <c r="J166" i="76"/>
  <c r="Y166" i="76"/>
  <c r="AC166" i="76"/>
  <c r="X166" i="76"/>
  <c r="V166" i="76"/>
  <c r="AB166" i="76"/>
  <c r="S166" i="76"/>
  <c r="W166" i="76"/>
  <c r="U166" i="76"/>
  <c r="AA166" i="76"/>
  <c r="Z166" i="76"/>
  <c r="T166" i="76"/>
  <c r="D167" i="76"/>
  <c r="AD167" i="76"/>
  <c r="B167" i="76"/>
  <c r="A167" i="76"/>
  <c r="AR168" i="76"/>
  <c r="E167" i="76"/>
  <c r="AE167" i="76"/>
  <c r="C167" i="76"/>
  <c r="AN166" i="76"/>
  <c r="AG166" i="76"/>
  <c r="AM166" i="76"/>
  <c r="AH166" i="76"/>
  <c r="AF166" i="76"/>
  <c r="AL166" i="76"/>
  <c r="AO166" i="76"/>
  <c r="AJ166" i="76"/>
  <c r="AP166" i="76"/>
  <c r="AK166" i="76"/>
  <c r="AI166" i="76"/>
  <c r="F168" i="76" l="1"/>
  <c r="R168" i="76"/>
  <c r="X167" i="76"/>
  <c r="S167" i="76"/>
  <c r="Y167" i="76"/>
  <c r="T167" i="76"/>
  <c r="Z167" i="76"/>
  <c r="U167" i="76"/>
  <c r="V167" i="76"/>
  <c r="W167" i="76"/>
  <c r="AA167" i="76"/>
  <c r="AB167" i="76"/>
  <c r="AC167" i="76"/>
  <c r="P167" i="76"/>
  <c r="K167" i="76"/>
  <c r="Q167" i="76"/>
  <c r="L167" i="76"/>
  <c r="J167" i="76"/>
  <c r="G167" i="76"/>
  <c r="H167" i="76"/>
  <c r="I167" i="76"/>
  <c r="O167" i="76"/>
  <c r="N167" i="76"/>
  <c r="M167" i="76"/>
  <c r="AI167" i="76"/>
  <c r="AO167" i="76"/>
  <c r="AJ167" i="76"/>
  <c r="AP167" i="76"/>
  <c r="AN167" i="76"/>
  <c r="AK167" i="76"/>
  <c r="AL167" i="76"/>
  <c r="AG167" i="76"/>
  <c r="AM167" i="76"/>
  <c r="AH167" i="76"/>
  <c r="AF167" i="76"/>
  <c r="AR169" i="76"/>
  <c r="D168" i="76"/>
  <c r="C168" i="76"/>
  <c r="AE168" i="76"/>
  <c r="B168" i="76"/>
  <c r="AD168" i="76"/>
  <c r="A168" i="76"/>
  <c r="E168" i="76"/>
  <c r="F169" i="76" l="1"/>
  <c r="R169" i="76"/>
  <c r="D169" i="76"/>
  <c r="C169" i="76"/>
  <c r="B169" i="76"/>
  <c r="AD169" i="76"/>
  <c r="AE169" i="76"/>
  <c r="AR170" i="76"/>
  <c r="E169" i="76"/>
  <c r="A169" i="76"/>
  <c r="Z168" i="76"/>
  <c r="U168" i="76"/>
  <c r="AA168" i="76"/>
  <c r="V168" i="76"/>
  <c r="AB168" i="76"/>
  <c r="W168" i="76"/>
  <c r="AC168" i="76"/>
  <c r="X168" i="76"/>
  <c r="S168" i="76"/>
  <c r="Y168" i="76"/>
  <c r="T168" i="76"/>
  <c r="J168" i="76"/>
  <c r="P168" i="76"/>
  <c r="Q168" i="76"/>
  <c r="L168" i="76"/>
  <c r="G168" i="76"/>
  <c r="M168" i="76"/>
  <c r="K168" i="76"/>
  <c r="N168" i="76"/>
  <c r="I168" i="76"/>
  <c r="O168" i="76"/>
  <c r="H168" i="76"/>
  <c r="AM168" i="76"/>
  <c r="AN168" i="76"/>
  <c r="AL168" i="76"/>
  <c r="AG168" i="76"/>
  <c r="AP168" i="76"/>
  <c r="AF168" i="76"/>
  <c r="AH168" i="76"/>
  <c r="AI168" i="76"/>
  <c r="AO168" i="76"/>
  <c r="AJ168" i="76"/>
  <c r="AK168" i="76"/>
  <c r="F170" i="76" l="1"/>
  <c r="R170" i="76"/>
  <c r="C170" i="76"/>
  <c r="AR171" i="76"/>
  <c r="AE170" i="76"/>
  <c r="AD170" i="76"/>
  <c r="A170" i="76"/>
  <c r="D170" i="76"/>
  <c r="E170" i="76"/>
  <c r="B170" i="76"/>
  <c r="M169" i="76"/>
  <c r="H169" i="76"/>
  <c r="N169" i="76"/>
  <c r="L169" i="76"/>
  <c r="G169" i="76"/>
  <c r="J169" i="76"/>
  <c r="P169" i="76"/>
  <c r="K169" i="76"/>
  <c r="Q169" i="76"/>
  <c r="O169" i="76"/>
  <c r="I169" i="76"/>
  <c r="AB169" i="76"/>
  <c r="W169" i="76"/>
  <c r="V169" i="76"/>
  <c r="Y169" i="76"/>
  <c r="T169" i="76"/>
  <c r="Z169" i="76"/>
  <c r="U169" i="76"/>
  <c r="X169" i="76"/>
  <c r="S169" i="76"/>
  <c r="AC169" i="76"/>
  <c r="AA169" i="76"/>
  <c r="AK169" i="76"/>
  <c r="AL169" i="76"/>
  <c r="AG169" i="76"/>
  <c r="AM169" i="76"/>
  <c r="AH169" i="76"/>
  <c r="AN169" i="76"/>
  <c r="AI169" i="76"/>
  <c r="AO169" i="76"/>
  <c r="AJ169" i="76"/>
  <c r="AP169" i="76"/>
  <c r="AF169" i="76"/>
  <c r="F171" i="76" l="1"/>
  <c r="R171" i="76"/>
  <c r="AI170" i="76"/>
  <c r="AO170" i="76"/>
  <c r="AJ170" i="76"/>
  <c r="AP170" i="76"/>
  <c r="AK170" i="76"/>
  <c r="AF170" i="76"/>
  <c r="AL170" i="76"/>
  <c r="AG170" i="76"/>
  <c r="AM170" i="76"/>
  <c r="AH170" i="76"/>
  <c r="AN170" i="76"/>
  <c r="O170" i="76"/>
  <c r="J170" i="76"/>
  <c r="P170" i="76"/>
  <c r="L170" i="76"/>
  <c r="N170" i="76"/>
  <c r="I170" i="76"/>
  <c r="G170" i="76"/>
  <c r="M170" i="76"/>
  <c r="H170" i="76"/>
  <c r="K170" i="76"/>
  <c r="Q170" i="76"/>
  <c r="T170" i="76"/>
  <c r="Z170" i="76"/>
  <c r="X170" i="76"/>
  <c r="S170" i="76"/>
  <c r="Y170" i="76"/>
  <c r="V170" i="76"/>
  <c r="W170" i="76"/>
  <c r="AC170" i="76"/>
  <c r="AB170" i="76"/>
  <c r="U170" i="76"/>
  <c r="AA170" i="76"/>
  <c r="E171" i="76"/>
  <c r="C171" i="76"/>
  <c r="B171" i="76"/>
  <c r="AR172" i="76"/>
  <c r="A171" i="76"/>
  <c r="AE171" i="76"/>
  <c r="AD171" i="76"/>
  <c r="D171" i="76"/>
  <c r="F172" i="76" l="1"/>
  <c r="R172" i="76"/>
  <c r="O171" i="76"/>
  <c r="K171" i="76"/>
  <c r="L171" i="76"/>
  <c r="G171" i="76"/>
  <c r="M171" i="76"/>
  <c r="H171" i="76"/>
  <c r="N171" i="76"/>
  <c r="I171" i="76"/>
  <c r="J171" i="76"/>
  <c r="P171" i="76"/>
  <c r="Q171" i="76"/>
  <c r="AL171" i="76"/>
  <c r="AH171" i="76"/>
  <c r="AN171" i="76"/>
  <c r="AI171" i="76"/>
  <c r="AO171" i="76"/>
  <c r="AJ171" i="76"/>
  <c r="AP171" i="76"/>
  <c r="AK171" i="76"/>
  <c r="AF171" i="76"/>
  <c r="AG171" i="76"/>
  <c r="AM171" i="76"/>
  <c r="S171" i="76"/>
  <c r="U171" i="76"/>
  <c r="AA171" i="76"/>
  <c r="V171" i="76"/>
  <c r="AB171" i="76"/>
  <c r="W171" i="76"/>
  <c r="AC171" i="76"/>
  <c r="X171" i="76"/>
  <c r="Y171" i="76"/>
  <c r="T171" i="76"/>
  <c r="Z171" i="76"/>
  <c r="C172" i="76"/>
  <c r="B172" i="76"/>
  <c r="AR173" i="76"/>
  <c r="E172" i="76"/>
  <c r="AD172" i="76"/>
  <c r="A172" i="76"/>
  <c r="D172" i="76"/>
  <c r="AE172" i="76"/>
  <c r="F173" i="76" l="1"/>
  <c r="R173" i="76"/>
  <c r="K172" i="76"/>
  <c r="O172" i="76"/>
  <c r="J172" i="76"/>
  <c r="P172" i="76"/>
  <c r="N172" i="76"/>
  <c r="L172" i="76"/>
  <c r="I172" i="76"/>
  <c r="G172" i="76"/>
  <c r="M172" i="76"/>
  <c r="H172" i="76"/>
  <c r="Q172" i="76"/>
  <c r="AO172" i="76"/>
  <c r="AK172" i="76"/>
  <c r="AF172" i="76"/>
  <c r="AL172" i="76"/>
  <c r="AJ172" i="76"/>
  <c r="AH172" i="76"/>
  <c r="AM172" i="76"/>
  <c r="AN172" i="76"/>
  <c r="AI172" i="76"/>
  <c r="AG172" i="76"/>
  <c r="AP172" i="76"/>
  <c r="A173" i="76"/>
  <c r="B173" i="76"/>
  <c r="AE173" i="76"/>
  <c r="AR174" i="76"/>
  <c r="C173" i="76"/>
  <c r="E173" i="76"/>
  <c r="D173" i="76"/>
  <c r="AD173" i="76"/>
  <c r="AB172" i="76"/>
  <c r="W172" i="76"/>
  <c r="AC172" i="76"/>
  <c r="X172" i="76"/>
  <c r="S172" i="76"/>
  <c r="Y172" i="76"/>
  <c r="T172" i="76"/>
  <c r="Z172" i="76"/>
  <c r="U172" i="76"/>
  <c r="AA172" i="76"/>
  <c r="V172" i="76"/>
  <c r="F174" i="76" l="1"/>
  <c r="R174" i="76"/>
  <c r="D174" i="76"/>
  <c r="B174" i="76"/>
  <c r="AR175" i="76"/>
  <c r="AE174" i="76"/>
  <c r="AD174" i="76"/>
  <c r="A174" i="76"/>
  <c r="E174" i="76"/>
  <c r="C174" i="76"/>
  <c r="P173" i="76"/>
  <c r="Q173" i="76"/>
  <c r="L173" i="76"/>
  <c r="G173" i="76"/>
  <c r="M173" i="76"/>
  <c r="K173" i="76"/>
  <c r="N173" i="76"/>
  <c r="O173" i="76"/>
  <c r="J173" i="76"/>
  <c r="H173" i="76"/>
  <c r="I173" i="76"/>
  <c r="Y173" i="76"/>
  <c r="T173" i="76"/>
  <c r="Z173" i="76"/>
  <c r="U173" i="76"/>
  <c r="AA173" i="76"/>
  <c r="AB173" i="76"/>
  <c r="W173" i="76"/>
  <c r="X173" i="76"/>
  <c r="S173" i="76"/>
  <c r="V173" i="76"/>
  <c r="AC173" i="76"/>
  <c r="AF173" i="76"/>
  <c r="AL173" i="76"/>
  <c r="AG173" i="76"/>
  <c r="AM173" i="76"/>
  <c r="AH173" i="76"/>
  <c r="AO173" i="76"/>
  <c r="AP173" i="76"/>
  <c r="AN173" i="76"/>
  <c r="AI173" i="76"/>
  <c r="AJ173" i="76"/>
  <c r="AK173" i="76"/>
  <c r="F175" i="76" l="1"/>
  <c r="R175" i="76"/>
  <c r="Q174" i="76"/>
  <c r="N174" i="76"/>
  <c r="H174" i="76"/>
  <c r="I174" i="76"/>
  <c r="O174" i="76"/>
  <c r="J174" i="76"/>
  <c r="P174" i="76"/>
  <c r="K174" i="76"/>
  <c r="L174" i="76"/>
  <c r="M174" i="76"/>
  <c r="G174" i="76"/>
  <c r="S174" i="76"/>
  <c r="V174" i="76"/>
  <c r="Y174" i="76"/>
  <c r="T174" i="76"/>
  <c r="AC174" i="76"/>
  <c r="X174" i="76"/>
  <c r="AA174" i="76"/>
  <c r="Z174" i="76"/>
  <c r="AB174" i="76"/>
  <c r="U174" i="76"/>
  <c r="W174" i="76"/>
  <c r="AN174" i="76"/>
  <c r="AI174" i="76"/>
  <c r="AO174" i="76"/>
  <c r="AJ174" i="76"/>
  <c r="AP174" i="76"/>
  <c r="AK174" i="76"/>
  <c r="AF174" i="76"/>
  <c r="AL174" i="76"/>
  <c r="AG174" i="76"/>
  <c r="AM174" i="76"/>
  <c r="AH174" i="76"/>
  <c r="AR176" i="76"/>
  <c r="A175" i="76"/>
  <c r="AD175" i="76"/>
  <c r="E175" i="76"/>
  <c r="D175" i="76"/>
  <c r="C175" i="76"/>
  <c r="B175" i="76"/>
  <c r="AE175" i="76"/>
  <c r="F176" i="76" l="1"/>
  <c r="R176" i="76"/>
  <c r="AG175" i="76"/>
  <c r="AI175" i="76"/>
  <c r="AO175" i="76"/>
  <c r="AJ175" i="76"/>
  <c r="AP175" i="76"/>
  <c r="AN175" i="76"/>
  <c r="AK175" i="76"/>
  <c r="AL175" i="76"/>
  <c r="AM175" i="76"/>
  <c r="AH175" i="76"/>
  <c r="AF175" i="76"/>
  <c r="Z175" i="76"/>
  <c r="Y175" i="76"/>
  <c r="V175" i="76"/>
  <c r="W175" i="76"/>
  <c r="AC175" i="76"/>
  <c r="X175" i="76"/>
  <c r="S175" i="76"/>
  <c r="T175" i="76"/>
  <c r="AB175" i="76"/>
  <c r="U175" i="76"/>
  <c r="AA175" i="76"/>
  <c r="M175" i="76"/>
  <c r="L175" i="76"/>
  <c r="I175" i="76"/>
  <c r="J175" i="76"/>
  <c r="P175" i="76"/>
  <c r="K175" i="76"/>
  <c r="Q175" i="76"/>
  <c r="O175" i="76"/>
  <c r="G175" i="76"/>
  <c r="H175" i="76"/>
  <c r="N175" i="76"/>
  <c r="D176" i="76"/>
  <c r="B176" i="76"/>
  <c r="AD176" i="76"/>
  <c r="A176" i="76"/>
  <c r="AR177" i="76"/>
  <c r="E176" i="76"/>
  <c r="C176" i="76"/>
  <c r="AE176" i="76"/>
  <c r="F177" i="76" l="1"/>
  <c r="R177" i="76"/>
  <c r="AG176" i="76"/>
  <c r="AH176" i="76"/>
  <c r="AN176" i="76"/>
  <c r="AI176" i="76"/>
  <c r="AJ176" i="76"/>
  <c r="AO176" i="76"/>
  <c r="AM176" i="76"/>
  <c r="AK176" i="76"/>
  <c r="AF176" i="76"/>
  <c r="AL176" i="76"/>
  <c r="AP176" i="76"/>
  <c r="W176" i="76"/>
  <c r="AC176" i="76"/>
  <c r="AB176" i="76"/>
  <c r="S176" i="76"/>
  <c r="U176" i="76"/>
  <c r="T176" i="76"/>
  <c r="Z176" i="76"/>
  <c r="X176" i="76"/>
  <c r="AA176" i="76"/>
  <c r="V176" i="76"/>
  <c r="Y176" i="76"/>
  <c r="N176" i="76"/>
  <c r="I176" i="76"/>
  <c r="O176" i="76"/>
  <c r="J176" i="76"/>
  <c r="H176" i="76"/>
  <c r="P176" i="76"/>
  <c r="Q176" i="76"/>
  <c r="L176" i="76"/>
  <c r="G176" i="76"/>
  <c r="M176" i="76"/>
  <c r="K176" i="76"/>
  <c r="D177" i="76"/>
  <c r="C177" i="76"/>
  <c r="B177" i="76"/>
  <c r="AD177" i="76"/>
  <c r="AR178" i="76"/>
  <c r="A177" i="76"/>
  <c r="AE177" i="76"/>
  <c r="E177" i="76"/>
  <c r="F178" i="76" l="1"/>
  <c r="R178" i="76"/>
  <c r="O177" i="76"/>
  <c r="J177" i="76"/>
  <c r="P177" i="76"/>
  <c r="K177" i="76"/>
  <c r="Q177" i="76"/>
  <c r="L177" i="76"/>
  <c r="G177" i="76"/>
  <c r="M177" i="76"/>
  <c r="H177" i="76"/>
  <c r="N177" i="76"/>
  <c r="I177" i="76"/>
  <c r="AL177" i="76"/>
  <c r="AG177" i="76"/>
  <c r="AJ177" i="76"/>
  <c r="AH177" i="76"/>
  <c r="AN177" i="76"/>
  <c r="AM177" i="76"/>
  <c r="AO177" i="76"/>
  <c r="AF177" i="76"/>
  <c r="AP177" i="76"/>
  <c r="AK177" i="76"/>
  <c r="AI177" i="76"/>
  <c r="E178" i="76"/>
  <c r="C178" i="76"/>
  <c r="A178" i="76"/>
  <c r="AR179" i="76"/>
  <c r="AE178" i="76"/>
  <c r="AD178" i="76"/>
  <c r="D178" i="76"/>
  <c r="B178" i="76"/>
  <c r="AB177" i="76"/>
  <c r="W177" i="76"/>
  <c r="AC177" i="76"/>
  <c r="X177" i="76"/>
  <c r="S177" i="76"/>
  <c r="Y177" i="76"/>
  <c r="T177" i="76"/>
  <c r="Z177" i="76"/>
  <c r="U177" i="76"/>
  <c r="AA177" i="76"/>
  <c r="V177" i="76"/>
  <c r="F179" i="76" l="1"/>
  <c r="R179" i="76"/>
  <c r="B179" i="76"/>
  <c r="AR180" i="76"/>
  <c r="C179" i="76"/>
  <c r="AE179" i="76"/>
  <c r="D179" i="76"/>
  <c r="AD179" i="76"/>
  <c r="A179" i="76"/>
  <c r="E179" i="76"/>
  <c r="AI178" i="76"/>
  <c r="AO178" i="76"/>
  <c r="AJ178" i="76"/>
  <c r="AP178" i="76"/>
  <c r="AK178" i="76"/>
  <c r="AF178" i="76"/>
  <c r="AL178" i="76"/>
  <c r="AG178" i="76"/>
  <c r="AM178" i="76"/>
  <c r="AH178" i="76"/>
  <c r="AN178" i="76"/>
  <c r="K178" i="76"/>
  <c r="M178" i="76"/>
  <c r="I178" i="76"/>
  <c r="G178" i="76"/>
  <c r="Q178" i="76"/>
  <c r="J178" i="76"/>
  <c r="N178" i="76"/>
  <c r="H178" i="76"/>
  <c r="O178" i="76"/>
  <c r="P178" i="76"/>
  <c r="L178" i="76"/>
  <c r="W178" i="76"/>
  <c r="AA178" i="76"/>
  <c r="V178" i="76"/>
  <c r="AC178" i="76"/>
  <c r="Z178" i="76"/>
  <c r="T178" i="76"/>
  <c r="U178" i="76"/>
  <c r="S178" i="76"/>
  <c r="AB178" i="76"/>
  <c r="X178" i="76"/>
  <c r="Y178" i="76"/>
  <c r="F180" i="76" l="1"/>
  <c r="R180" i="76"/>
  <c r="Y179" i="76"/>
  <c r="T179" i="76"/>
  <c r="Z179" i="76"/>
  <c r="U179" i="76"/>
  <c r="AA179" i="76"/>
  <c r="V179" i="76"/>
  <c r="AB179" i="76"/>
  <c r="W179" i="76"/>
  <c r="AC179" i="76"/>
  <c r="X179" i="76"/>
  <c r="S179" i="76"/>
  <c r="AN179" i="76"/>
  <c r="AI179" i="76"/>
  <c r="AO179" i="76"/>
  <c r="AJ179" i="76"/>
  <c r="AP179" i="76"/>
  <c r="AK179" i="76"/>
  <c r="AF179" i="76"/>
  <c r="AL179" i="76"/>
  <c r="AG179" i="76"/>
  <c r="AM179" i="76"/>
  <c r="AH179" i="76"/>
  <c r="C180" i="76"/>
  <c r="A180" i="76"/>
  <c r="B180" i="76"/>
  <c r="AR181" i="76"/>
  <c r="E180" i="76"/>
  <c r="AD180" i="76"/>
  <c r="AE180" i="76"/>
  <c r="D180" i="76"/>
  <c r="J179" i="76"/>
  <c r="P179" i="76"/>
  <c r="K179" i="76"/>
  <c r="Q179" i="76"/>
  <c r="L179" i="76"/>
  <c r="G179" i="76"/>
  <c r="M179" i="76"/>
  <c r="H179" i="76"/>
  <c r="N179" i="76"/>
  <c r="I179" i="76"/>
  <c r="O179" i="76"/>
  <c r="F181" i="76" l="1"/>
  <c r="R181" i="76"/>
  <c r="A181" i="76"/>
  <c r="E181" i="76"/>
  <c r="D181" i="76"/>
  <c r="AR182" i="76"/>
  <c r="C181" i="76"/>
  <c r="AE181" i="76"/>
  <c r="B181" i="76"/>
  <c r="AD181" i="76"/>
  <c r="Y180" i="76"/>
  <c r="T180" i="76"/>
  <c r="S180" i="76"/>
  <c r="U180" i="76"/>
  <c r="W180" i="76"/>
  <c r="V180" i="76"/>
  <c r="AB180" i="76"/>
  <c r="Z180" i="76"/>
  <c r="AC180" i="76"/>
  <c r="X180" i="76"/>
  <c r="AA180" i="76"/>
  <c r="AM180" i="76"/>
  <c r="AH180" i="76"/>
  <c r="AN180" i="76"/>
  <c r="AI180" i="76"/>
  <c r="AO180" i="76"/>
  <c r="AJ180" i="76"/>
  <c r="AP180" i="76"/>
  <c r="AK180" i="76"/>
  <c r="AF180" i="76"/>
  <c r="AL180" i="76"/>
  <c r="AG180" i="76"/>
  <c r="N180" i="76"/>
  <c r="I180" i="76"/>
  <c r="O180" i="76"/>
  <c r="J180" i="76"/>
  <c r="P180" i="76"/>
  <c r="K180" i="76"/>
  <c r="Q180" i="76"/>
  <c r="L180" i="76"/>
  <c r="G180" i="76"/>
  <c r="M180" i="76"/>
  <c r="H180" i="76"/>
  <c r="F182" i="76" l="1"/>
  <c r="R182" i="76"/>
  <c r="AM181" i="76"/>
  <c r="AI181" i="76"/>
  <c r="AJ181" i="76"/>
  <c r="AP181" i="76"/>
  <c r="AO181" i="76"/>
  <c r="AF181" i="76"/>
  <c r="AH181" i="76"/>
  <c r="AG181" i="76"/>
  <c r="AK181" i="76"/>
  <c r="AN181" i="76"/>
  <c r="AL181" i="76"/>
  <c r="AE182" i="76"/>
  <c r="E182" i="76"/>
  <c r="C182" i="76"/>
  <c r="A182" i="76"/>
  <c r="AR183" i="76"/>
  <c r="AD182" i="76"/>
  <c r="D182" i="76"/>
  <c r="B182" i="76"/>
  <c r="L181" i="76"/>
  <c r="O181" i="76"/>
  <c r="J181" i="76"/>
  <c r="N181" i="76"/>
  <c r="P181" i="76"/>
  <c r="K181" i="76"/>
  <c r="G181" i="76"/>
  <c r="M181" i="76"/>
  <c r="I181" i="76"/>
  <c r="H181" i="76"/>
  <c r="Q181" i="76"/>
  <c r="AC181" i="76"/>
  <c r="Z181" i="76"/>
  <c r="U181" i="76"/>
  <c r="AA181" i="76"/>
  <c r="V181" i="76"/>
  <c r="AB181" i="76"/>
  <c r="W181" i="76"/>
  <c r="X181" i="76"/>
  <c r="S181" i="76"/>
  <c r="Y181" i="76"/>
  <c r="T181" i="76"/>
  <c r="F183" i="76" l="1"/>
  <c r="R183" i="76"/>
  <c r="E183" i="76"/>
  <c r="D183" i="76"/>
  <c r="AE183" i="76"/>
  <c r="A183" i="76"/>
  <c r="B183" i="76"/>
  <c r="AR184" i="76"/>
  <c r="C183" i="76"/>
  <c r="AD183" i="76"/>
  <c r="AG182" i="76"/>
  <c r="AM182" i="76"/>
  <c r="AH182" i="76"/>
  <c r="AN182" i="76"/>
  <c r="AI182" i="76"/>
  <c r="AO182" i="76"/>
  <c r="AJ182" i="76"/>
  <c r="AP182" i="76"/>
  <c r="AK182" i="76"/>
  <c r="AF182" i="76"/>
  <c r="AL182" i="76"/>
  <c r="M182" i="76"/>
  <c r="H182" i="76"/>
  <c r="K182" i="76"/>
  <c r="I182" i="76"/>
  <c r="O182" i="76"/>
  <c r="N182" i="76"/>
  <c r="P182" i="76"/>
  <c r="G182" i="76"/>
  <c r="Q182" i="76"/>
  <c r="L182" i="76"/>
  <c r="J182" i="76"/>
  <c r="U182" i="76"/>
  <c r="AA182" i="76"/>
  <c r="Z182" i="76"/>
  <c r="AB182" i="76"/>
  <c r="S182" i="76"/>
  <c r="AC182" i="76"/>
  <c r="X182" i="76"/>
  <c r="V182" i="76"/>
  <c r="Y182" i="76"/>
  <c r="T182" i="76"/>
  <c r="W182" i="76"/>
  <c r="F184" i="76" l="1"/>
  <c r="R184" i="76"/>
  <c r="E184" i="76"/>
  <c r="D184" i="76"/>
  <c r="A184" i="76"/>
  <c r="AR185" i="76"/>
  <c r="B184" i="76"/>
  <c r="AD184" i="76"/>
  <c r="C184" i="76"/>
  <c r="AE184" i="76"/>
  <c r="H183" i="76"/>
  <c r="N183" i="76"/>
  <c r="L183" i="76"/>
  <c r="G183" i="76"/>
  <c r="M183" i="76"/>
  <c r="P183" i="76"/>
  <c r="Q183" i="76"/>
  <c r="J183" i="76"/>
  <c r="I183" i="76"/>
  <c r="K183" i="76"/>
  <c r="O183" i="76"/>
  <c r="AA183" i="76"/>
  <c r="V183" i="76"/>
  <c r="AB183" i="76"/>
  <c r="W183" i="76"/>
  <c r="AC183" i="76"/>
  <c r="X183" i="76"/>
  <c r="S183" i="76"/>
  <c r="Y183" i="76"/>
  <c r="T183" i="76"/>
  <c r="Z183" i="76"/>
  <c r="U183" i="76"/>
  <c r="AP183" i="76"/>
  <c r="AK183" i="76"/>
  <c r="AF183" i="76"/>
  <c r="AL183" i="76"/>
  <c r="AG183" i="76"/>
  <c r="AM183" i="76"/>
  <c r="AH183" i="76"/>
  <c r="AN183" i="76"/>
  <c r="AI183" i="76"/>
  <c r="AO183" i="76"/>
  <c r="AJ183" i="76"/>
  <c r="F185" i="76" l="1"/>
  <c r="R185" i="76"/>
  <c r="AM184" i="76"/>
  <c r="AH184" i="76"/>
  <c r="AN184" i="76"/>
  <c r="AI184" i="76"/>
  <c r="AO184" i="76"/>
  <c r="AJ184" i="76"/>
  <c r="AP184" i="76"/>
  <c r="AK184" i="76"/>
  <c r="AF184" i="76"/>
  <c r="AL184" i="76"/>
  <c r="AG184" i="76"/>
  <c r="D185" i="76"/>
  <c r="C185" i="76"/>
  <c r="B185" i="76"/>
  <c r="AD185" i="76"/>
  <c r="AR186" i="76"/>
  <c r="A185" i="76"/>
  <c r="AE185" i="76"/>
  <c r="E185" i="76"/>
  <c r="M184" i="76"/>
  <c r="H184" i="76"/>
  <c r="Q184" i="76"/>
  <c r="L184" i="76"/>
  <c r="G184" i="76"/>
  <c r="K184" i="76"/>
  <c r="P184" i="76"/>
  <c r="N184" i="76"/>
  <c r="I184" i="76"/>
  <c r="O184" i="76"/>
  <c r="J184" i="76"/>
  <c r="Z184" i="76"/>
  <c r="T184" i="76"/>
  <c r="AA184" i="76"/>
  <c r="V184" i="76"/>
  <c r="AC184" i="76"/>
  <c r="W184" i="76"/>
  <c r="Y184" i="76"/>
  <c r="U184" i="76"/>
  <c r="S184" i="76"/>
  <c r="AB184" i="76"/>
  <c r="X184" i="76"/>
  <c r="F186" i="76" l="1"/>
  <c r="R186" i="76"/>
  <c r="N185" i="76"/>
  <c r="I185" i="76"/>
  <c r="O185" i="76"/>
  <c r="J185" i="76"/>
  <c r="H185" i="76"/>
  <c r="P185" i="76"/>
  <c r="Q185" i="76"/>
  <c r="L185" i="76"/>
  <c r="G185" i="76"/>
  <c r="M185" i="76"/>
  <c r="K185" i="76"/>
  <c r="AL185" i="76"/>
  <c r="AG185" i="76"/>
  <c r="AF185" i="76"/>
  <c r="AH185" i="76"/>
  <c r="AJ185" i="76"/>
  <c r="AI185" i="76"/>
  <c r="AO185" i="76"/>
  <c r="AM185" i="76"/>
  <c r="AP185" i="76"/>
  <c r="AK185" i="76"/>
  <c r="AN185" i="76"/>
  <c r="AD186" i="76"/>
  <c r="D186" i="76"/>
  <c r="B186" i="76"/>
  <c r="AR187" i="76"/>
  <c r="C186" i="76"/>
  <c r="E186" i="76"/>
  <c r="A186" i="76"/>
  <c r="AE186" i="76"/>
  <c r="U185" i="76"/>
  <c r="AA185" i="76"/>
  <c r="V185" i="76"/>
  <c r="AB185" i="76"/>
  <c r="Z185" i="76"/>
  <c r="T185" i="76"/>
  <c r="X185" i="76"/>
  <c r="S185" i="76"/>
  <c r="Y185" i="76"/>
  <c r="W185" i="76"/>
  <c r="AC185" i="76"/>
  <c r="F187" i="76" l="1"/>
  <c r="R187" i="76"/>
  <c r="AL186" i="76"/>
  <c r="AG186" i="76"/>
  <c r="AM186" i="76"/>
  <c r="AH186" i="76"/>
  <c r="AN186" i="76"/>
  <c r="AI186" i="76"/>
  <c r="AO186" i="76"/>
  <c r="AJ186" i="76"/>
  <c r="AP186" i="76"/>
  <c r="AK186" i="76"/>
  <c r="AF186" i="76"/>
  <c r="C187" i="76"/>
  <c r="B187" i="76"/>
  <c r="AR188" i="76"/>
  <c r="A187" i="76"/>
  <c r="AE187" i="76"/>
  <c r="E187" i="76"/>
  <c r="AD187" i="76"/>
  <c r="D187" i="76"/>
  <c r="G186" i="76"/>
  <c r="K186" i="76"/>
  <c r="Q186" i="76"/>
  <c r="P186" i="76"/>
  <c r="J186" i="76"/>
  <c r="H186" i="76"/>
  <c r="M186" i="76"/>
  <c r="N186" i="76"/>
  <c r="L186" i="76"/>
  <c r="O186" i="76"/>
  <c r="I186" i="76"/>
  <c r="AC186" i="76"/>
  <c r="V186" i="76"/>
  <c r="Z186" i="76"/>
  <c r="W186" i="76"/>
  <c r="AB186" i="76"/>
  <c r="S186" i="76"/>
  <c r="U186" i="76"/>
  <c r="T186" i="76"/>
  <c r="X186" i="76"/>
  <c r="AA186" i="76"/>
  <c r="Y186" i="76"/>
  <c r="F188" i="76" l="1"/>
  <c r="R188" i="76"/>
  <c r="AM187" i="76"/>
  <c r="AH187" i="76"/>
  <c r="AN187" i="76"/>
  <c r="AO187" i="76"/>
  <c r="AJ187" i="76"/>
  <c r="AP187" i="76"/>
  <c r="AK187" i="76"/>
  <c r="AF187" i="76"/>
  <c r="AL187" i="76"/>
  <c r="AG187" i="76"/>
  <c r="AI187" i="76"/>
  <c r="D188" i="76"/>
  <c r="B188" i="76"/>
  <c r="A188" i="76"/>
  <c r="AE188" i="76"/>
  <c r="C188" i="76"/>
  <c r="AD188" i="76"/>
  <c r="E188" i="76"/>
  <c r="AR189" i="76"/>
  <c r="K187" i="76"/>
  <c r="G187" i="76"/>
  <c r="H187" i="76"/>
  <c r="N187" i="76"/>
  <c r="I187" i="76"/>
  <c r="O187" i="76"/>
  <c r="J187" i="76"/>
  <c r="P187" i="76"/>
  <c r="Q187" i="76"/>
  <c r="L187" i="76"/>
  <c r="M187" i="76"/>
  <c r="U187" i="76"/>
  <c r="AB187" i="76"/>
  <c r="W187" i="76"/>
  <c r="AC187" i="76"/>
  <c r="X187" i="76"/>
  <c r="S187" i="76"/>
  <c r="Y187" i="76"/>
  <c r="T187" i="76"/>
  <c r="Z187" i="76"/>
  <c r="AA187" i="76"/>
  <c r="V187" i="76"/>
  <c r="F189" i="76" l="1"/>
  <c r="R189" i="76"/>
  <c r="I188" i="76"/>
  <c r="M188" i="76"/>
  <c r="L188" i="76"/>
  <c r="O188" i="76"/>
  <c r="J188" i="76"/>
  <c r="P188" i="76"/>
  <c r="K188" i="76"/>
  <c r="Q188" i="76"/>
  <c r="G188" i="76"/>
  <c r="H188" i="76"/>
  <c r="N188" i="76"/>
  <c r="AO188" i="76"/>
  <c r="AK188" i="76"/>
  <c r="AF188" i="76"/>
  <c r="AL188" i="76"/>
  <c r="AG188" i="76"/>
  <c r="AM188" i="76"/>
  <c r="AH188" i="76"/>
  <c r="AN188" i="76"/>
  <c r="AI188" i="76"/>
  <c r="AJ188" i="76"/>
  <c r="AP188" i="76"/>
  <c r="E189" i="76"/>
  <c r="D189" i="76"/>
  <c r="AD189" i="76"/>
  <c r="A189" i="76"/>
  <c r="B189" i="76"/>
  <c r="AR190" i="76"/>
  <c r="C189" i="76"/>
  <c r="AE189" i="76"/>
  <c r="U188" i="76"/>
  <c r="AA188" i="76"/>
  <c r="Z188" i="76"/>
  <c r="AB188" i="76"/>
  <c r="S188" i="76"/>
  <c r="AC188" i="76"/>
  <c r="X188" i="76"/>
  <c r="V188" i="76"/>
  <c r="Y188" i="76"/>
  <c r="T188" i="76"/>
  <c r="W188" i="76"/>
  <c r="F190" i="76" l="1"/>
  <c r="R190" i="76"/>
  <c r="V189" i="76"/>
  <c r="AB189" i="76"/>
  <c r="W189" i="76"/>
  <c r="AC189" i="76"/>
  <c r="X189" i="76"/>
  <c r="S189" i="76"/>
  <c r="Y189" i="76"/>
  <c r="T189" i="76"/>
  <c r="Z189" i="76"/>
  <c r="U189" i="76"/>
  <c r="AA189" i="76"/>
  <c r="Q189" i="76"/>
  <c r="N189" i="76"/>
  <c r="I189" i="76"/>
  <c r="O189" i="76"/>
  <c r="J189" i="76"/>
  <c r="P189" i="76"/>
  <c r="K189" i="76"/>
  <c r="L189" i="76"/>
  <c r="G189" i="76"/>
  <c r="M189" i="76"/>
  <c r="H189" i="76"/>
  <c r="AF189" i="76"/>
  <c r="AO189" i="76"/>
  <c r="AK189" i="76"/>
  <c r="AM189" i="76"/>
  <c r="AG189" i="76"/>
  <c r="AN189" i="76"/>
  <c r="AI189" i="76"/>
  <c r="AP189" i="76"/>
  <c r="AJ189" i="76"/>
  <c r="AL189" i="76"/>
  <c r="AH189" i="76"/>
  <c r="AR191" i="76"/>
  <c r="D190" i="76"/>
  <c r="C190" i="76"/>
  <c r="B190" i="76"/>
  <c r="A190" i="76"/>
  <c r="AE190" i="76"/>
  <c r="E190" i="76"/>
  <c r="AD190" i="76"/>
  <c r="F191" i="76" l="1"/>
  <c r="R191" i="76"/>
  <c r="U190" i="76"/>
  <c r="W190" i="76"/>
  <c r="V190" i="76"/>
  <c r="AB190" i="76"/>
  <c r="Z190" i="76"/>
  <c r="AC190" i="76"/>
  <c r="X190" i="76"/>
  <c r="AA190" i="76"/>
  <c r="Y190" i="76"/>
  <c r="T190" i="76"/>
  <c r="S190" i="76"/>
  <c r="H190" i="76"/>
  <c r="I190" i="76"/>
  <c r="K190" i="76"/>
  <c r="J190" i="76"/>
  <c r="P190" i="76"/>
  <c r="G190" i="76"/>
  <c r="Q190" i="76"/>
  <c r="L190" i="76"/>
  <c r="O190" i="76"/>
  <c r="M190" i="76"/>
  <c r="N190" i="76"/>
  <c r="C191" i="76"/>
  <c r="B191" i="76"/>
  <c r="AE191" i="76"/>
  <c r="A191" i="76"/>
  <c r="AD191" i="76"/>
  <c r="D191" i="76"/>
  <c r="E191" i="76"/>
  <c r="AR192" i="76"/>
  <c r="AG190" i="76"/>
  <c r="AN190" i="76"/>
  <c r="AI190" i="76"/>
  <c r="AO190" i="76"/>
  <c r="AM190" i="76"/>
  <c r="AH190" i="76"/>
  <c r="AK190" i="76"/>
  <c r="AF190" i="76"/>
  <c r="AL190" i="76"/>
  <c r="AJ190" i="76"/>
  <c r="AP190" i="76"/>
  <c r="F192" i="76" l="1"/>
  <c r="R192" i="76"/>
  <c r="AR193" i="76"/>
  <c r="B192" i="76"/>
  <c r="AD192" i="76"/>
  <c r="A192" i="76"/>
  <c r="E192" i="76"/>
  <c r="D192" i="76"/>
  <c r="C192" i="76"/>
  <c r="AE192" i="76"/>
  <c r="AH191" i="76"/>
  <c r="AO191" i="76"/>
  <c r="AP191" i="76"/>
  <c r="AK191" i="76"/>
  <c r="AF191" i="76"/>
  <c r="AL191" i="76"/>
  <c r="AG191" i="76"/>
  <c r="AM191" i="76"/>
  <c r="AN191" i="76"/>
  <c r="AI191" i="76"/>
  <c r="AJ191" i="76"/>
  <c r="Q191" i="76"/>
  <c r="H191" i="76"/>
  <c r="M191" i="76"/>
  <c r="O191" i="76"/>
  <c r="N191" i="76"/>
  <c r="L191" i="76"/>
  <c r="J191" i="76"/>
  <c r="P191" i="76"/>
  <c r="G191" i="76"/>
  <c r="I191" i="76"/>
  <c r="K191" i="76"/>
  <c r="Y191" i="76"/>
  <c r="T191" i="76"/>
  <c r="Z191" i="76"/>
  <c r="U191" i="76"/>
  <c r="AA191" i="76"/>
  <c r="V191" i="76"/>
  <c r="AB191" i="76"/>
  <c r="W191" i="76"/>
  <c r="AC191" i="76"/>
  <c r="X191" i="76"/>
  <c r="S191" i="76"/>
  <c r="F193" i="76" l="1"/>
  <c r="R193" i="76"/>
  <c r="AO192" i="76"/>
  <c r="AM192" i="76"/>
  <c r="AK192" i="76"/>
  <c r="AF192" i="76"/>
  <c r="AL192" i="76"/>
  <c r="AP192" i="76"/>
  <c r="AG192" i="76"/>
  <c r="AH192" i="76"/>
  <c r="AN192" i="76"/>
  <c r="AI192" i="76"/>
  <c r="AJ192" i="76"/>
  <c r="Z192" i="76"/>
  <c r="X192" i="76"/>
  <c r="AA192" i="76"/>
  <c r="V192" i="76"/>
  <c r="Y192" i="76"/>
  <c r="AC192" i="76"/>
  <c r="S192" i="76"/>
  <c r="T192" i="76"/>
  <c r="W192" i="76"/>
  <c r="AB192" i="76"/>
  <c r="U192" i="76"/>
  <c r="N192" i="76"/>
  <c r="I192" i="76"/>
  <c r="O192" i="76"/>
  <c r="J192" i="76"/>
  <c r="H192" i="76"/>
  <c r="P192" i="76"/>
  <c r="Q192" i="76"/>
  <c r="L192" i="76"/>
  <c r="G192" i="76"/>
  <c r="M192" i="76"/>
  <c r="K192" i="76"/>
  <c r="AR194" i="76"/>
  <c r="A193" i="76"/>
  <c r="AE193" i="76"/>
  <c r="E193" i="76"/>
  <c r="D193" i="76"/>
  <c r="C193" i="76"/>
  <c r="B193" i="76"/>
  <c r="AD193" i="76"/>
  <c r="F194" i="76" l="1"/>
  <c r="R194" i="76"/>
  <c r="Y193" i="76"/>
  <c r="W193" i="76"/>
  <c r="AA193" i="76"/>
  <c r="V193" i="76"/>
  <c r="AB193" i="76"/>
  <c r="Z193" i="76"/>
  <c r="U193" i="76"/>
  <c r="X193" i="76"/>
  <c r="S193" i="76"/>
  <c r="T193" i="76"/>
  <c r="AC193" i="76"/>
  <c r="G193" i="76"/>
  <c r="H193" i="76"/>
  <c r="N193" i="76"/>
  <c r="I193" i="76"/>
  <c r="O193" i="76"/>
  <c r="M193" i="76"/>
  <c r="P193" i="76"/>
  <c r="K193" i="76"/>
  <c r="Q193" i="76"/>
  <c r="L193" i="76"/>
  <c r="J193" i="76"/>
  <c r="AJ193" i="76"/>
  <c r="AH193" i="76"/>
  <c r="AN193" i="76"/>
  <c r="AM193" i="76"/>
  <c r="AG193" i="76"/>
  <c r="AL193" i="76"/>
  <c r="AP193" i="76"/>
  <c r="AK193" i="76"/>
  <c r="AI193" i="76"/>
  <c r="AO193" i="76"/>
  <c r="AF193" i="76"/>
  <c r="AR195" i="76"/>
  <c r="A194" i="76"/>
  <c r="AE194" i="76"/>
  <c r="C194" i="76"/>
  <c r="D194" i="76"/>
  <c r="B194" i="76"/>
  <c r="E194" i="76"/>
  <c r="AD194" i="76"/>
  <c r="F195" i="76" l="1"/>
  <c r="R195" i="76"/>
  <c r="AP194" i="76"/>
  <c r="AK194" i="76"/>
  <c r="AF194" i="76"/>
  <c r="AL194" i="76"/>
  <c r="AG194" i="76"/>
  <c r="AM194" i="76"/>
  <c r="AH194" i="76"/>
  <c r="AN194" i="76"/>
  <c r="AI194" i="76"/>
  <c r="AO194" i="76"/>
  <c r="AJ194" i="76"/>
  <c r="B195" i="76"/>
  <c r="AR196" i="76"/>
  <c r="C195" i="76"/>
  <c r="AE195" i="76"/>
  <c r="E195" i="76"/>
  <c r="AD195" i="76"/>
  <c r="A195" i="76"/>
  <c r="D195" i="76"/>
  <c r="L194" i="76"/>
  <c r="N194" i="76"/>
  <c r="H194" i="76"/>
  <c r="O194" i="76"/>
  <c r="J194" i="76"/>
  <c r="Q194" i="76"/>
  <c r="K194" i="76"/>
  <c r="M194" i="76"/>
  <c r="I194" i="76"/>
  <c r="G194" i="76"/>
  <c r="P194" i="76"/>
  <c r="S194" i="76"/>
  <c r="AB194" i="76"/>
  <c r="Z194" i="76"/>
  <c r="AA194" i="76"/>
  <c r="V194" i="76"/>
  <c r="AC194" i="76"/>
  <c r="W194" i="76"/>
  <c r="Y194" i="76"/>
  <c r="U194" i="76"/>
  <c r="X194" i="76"/>
  <c r="T194" i="76"/>
  <c r="F196" i="76" l="1"/>
  <c r="R196" i="76"/>
  <c r="N195" i="76"/>
  <c r="K195" i="76"/>
  <c r="H195" i="76"/>
  <c r="Q195" i="76"/>
  <c r="L195" i="76"/>
  <c r="G195" i="76"/>
  <c r="P195" i="76"/>
  <c r="J195" i="76"/>
  <c r="I195" i="76"/>
  <c r="O195" i="76"/>
  <c r="M195" i="76"/>
  <c r="AJ195" i="76"/>
  <c r="AN195" i="76"/>
  <c r="AI195" i="76"/>
  <c r="AO195" i="76"/>
  <c r="AM195" i="76"/>
  <c r="AH195" i="76"/>
  <c r="AG195" i="76"/>
  <c r="AF195" i="76"/>
  <c r="AL195" i="76"/>
  <c r="AP195" i="76"/>
  <c r="AK195" i="76"/>
  <c r="AR197" i="76"/>
  <c r="E196" i="76"/>
  <c r="AD196" i="76"/>
  <c r="D196" i="76"/>
  <c r="C196" i="76"/>
  <c r="B196" i="76"/>
  <c r="A196" i="76"/>
  <c r="AE196" i="76"/>
  <c r="T195" i="76"/>
  <c r="V195" i="76"/>
  <c r="AB195" i="76"/>
  <c r="W195" i="76"/>
  <c r="AC195" i="76"/>
  <c r="X195" i="76"/>
  <c r="S195" i="76"/>
  <c r="Y195" i="76"/>
  <c r="Z195" i="76"/>
  <c r="U195" i="76"/>
  <c r="AA195" i="76"/>
  <c r="F197" i="76" l="1"/>
  <c r="R197" i="76"/>
  <c r="AI196" i="76"/>
  <c r="AO196" i="76"/>
  <c r="AH196" i="76"/>
  <c r="AM196" i="76"/>
  <c r="AL196" i="76"/>
  <c r="AG196" i="76"/>
  <c r="AP196" i="76"/>
  <c r="AK196" i="76"/>
  <c r="AF196" i="76"/>
  <c r="AJ196" i="76"/>
  <c r="AN196" i="76"/>
  <c r="AC196" i="76"/>
  <c r="AA196" i="76"/>
  <c r="T196" i="76"/>
  <c r="U196" i="76"/>
  <c r="W196" i="76"/>
  <c r="V196" i="76"/>
  <c r="AB196" i="76"/>
  <c r="Z196" i="76"/>
  <c r="X196" i="76"/>
  <c r="Y196" i="76"/>
  <c r="S196" i="76"/>
  <c r="O196" i="76"/>
  <c r="K196" i="76"/>
  <c r="I196" i="76"/>
  <c r="G196" i="76"/>
  <c r="M196" i="76"/>
  <c r="H196" i="76"/>
  <c r="N196" i="76"/>
  <c r="L196" i="76"/>
  <c r="J196" i="76"/>
  <c r="P196" i="76"/>
  <c r="Q196" i="76"/>
  <c r="B197" i="76"/>
  <c r="AR198" i="76"/>
  <c r="C197" i="76"/>
  <c r="AE197" i="76"/>
  <c r="E197" i="76"/>
  <c r="D197" i="76"/>
  <c r="AD197" i="76"/>
  <c r="A197" i="76"/>
  <c r="F198" i="76" l="1"/>
  <c r="R198" i="76"/>
  <c r="AJ197" i="76"/>
  <c r="AP197" i="76"/>
  <c r="AO197" i="76"/>
  <c r="AF197" i="76"/>
  <c r="AH197" i="76"/>
  <c r="AG197" i="76"/>
  <c r="AM197" i="76"/>
  <c r="AK197" i="76"/>
  <c r="AN197" i="76"/>
  <c r="AI197" i="76"/>
  <c r="AL197" i="76"/>
  <c r="E198" i="76"/>
  <c r="C198" i="76"/>
  <c r="A198" i="76"/>
  <c r="AR199" i="76"/>
  <c r="AE198" i="76"/>
  <c r="AD198" i="76"/>
  <c r="D198" i="76"/>
  <c r="B198" i="76"/>
  <c r="Z197" i="76"/>
  <c r="U197" i="76"/>
  <c r="AA197" i="76"/>
  <c r="V197" i="76"/>
  <c r="AB197" i="76"/>
  <c r="W197" i="76"/>
  <c r="AC197" i="76"/>
  <c r="X197" i="76"/>
  <c r="S197" i="76"/>
  <c r="Y197" i="76"/>
  <c r="T197" i="76"/>
  <c r="J197" i="76"/>
  <c r="G197" i="76"/>
  <c r="P197" i="76"/>
  <c r="K197" i="76"/>
  <c r="Q197" i="76"/>
  <c r="O197" i="76"/>
  <c r="L197" i="76"/>
  <c r="M197" i="76"/>
  <c r="H197" i="76"/>
  <c r="N197" i="76"/>
  <c r="I197" i="76"/>
  <c r="F199" i="76" l="1"/>
  <c r="R199" i="76"/>
  <c r="AN198" i="76"/>
  <c r="AI198" i="76"/>
  <c r="AO198" i="76"/>
  <c r="AJ198" i="76"/>
  <c r="AP198" i="76"/>
  <c r="AK198" i="76"/>
  <c r="AF198" i="76"/>
  <c r="AL198" i="76"/>
  <c r="AG198" i="76"/>
  <c r="AM198" i="76"/>
  <c r="AH198" i="76"/>
  <c r="Q198" i="76"/>
  <c r="L198" i="76"/>
  <c r="J198" i="76"/>
  <c r="M198" i="76"/>
  <c r="H198" i="76"/>
  <c r="K198" i="76"/>
  <c r="I198" i="76"/>
  <c r="O198" i="76"/>
  <c r="N198" i="76"/>
  <c r="P198" i="76"/>
  <c r="G198" i="76"/>
  <c r="AB198" i="76"/>
  <c r="S198" i="76"/>
  <c r="X198" i="76"/>
  <c r="AC198" i="76"/>
  <c r="AA198" i="76"/>
  <c r="Y198" i="76"/>
  <c r="T198" i="76"/>
  <c r="W198" i="76"/>
  <c r="V198" i="76"/>
  <c r="U198" i="76"/>
  <c r="Z198" i="76"/>
  <c r="AR200" i="76"/>
  <c r="C199" i="76"/>
  <c r="AD199" i="76"/>
  <c r="B199" i="76"/>
  <c r="A199" i="76"/>
  <c r="E199" i="76"/>
  <c r="D199" i="76"/>
  <c r="AE199" i="76"/>
  <c r="F200" i="76" l="1"/>
  <c r="R200" i="76"/>
  <c r="AP199" i="76"/>
  <c r="AL199" i="76"/>
  <c r="AI199" i="76"/>
  <c r="AH199" i="76"/>
  <c r="AF199" i="76"/>
  <c r="AO199" i="76"/>
  <c r="AJ199" i="76"/>
  <c r="AN199" i="76"/>
  <c r="AK199" i="76"/>
  <c r="AG199" i="76"/>
  <c r="AM199" i="76"/>
  <c r="V199" i="76"/>
  <c r="AC199" i="76"/>
  <c r="X199" i="76"/>
  <c r="S199" i="76"/>
  <c r="Y199" i="76"/>
  <c r="T199" i="76"/>
  <c r="Z199" i="76"/>
  <c r="U199" i="76"/>
  <c r="AA199" i="76"/>
  <c r="AB199" i="76"/>
  <c r="W199" i="76"/>
  <c r="J199" i="76"/>
  <c r="H199" i="76"/>
  <c r="N199" i="76"/>
  <c r="I199" i="76"/>
  <c r="G199" i="76"/>
  <c r="L199" i="76"/>
  <c r="P199" i="76"/>
  <c r="K199" i="76"/>
  <c r="Q199" i="76"/>
  <c r="O199" i="76"/>
  <c r="M199" i="76"/>
  <c r="AR201" i="76"/>
  <c r="B200" i="76"/>
  <c r="A200" i="76"/>
  <c r="E200" i="76"/>
  <c r="D200" i="76"/>
  <c r="C200" i="76"/>
  <c r="AE200" i="76"/>
  <c r="AD200" i="76"/>
  <c r="F201" i="76" l="1"/>
  <c r="R201" i="76"/>
  <c r="X200" i="76"/>
  <c r="AA200" i="76"/>
  <c r="V200" i="76"/>
  <c r="AC200" i="76"/>
  <c r="W200" i="76"/>
  <c r="Y200" i="76"/>
  <c r="U200" i="76"/>
  <c r="S200" i="76"/>
  <c r="AB200" i="76"/>
  <c r="Z200" i="76"/>
  <c r="T200" i="76"/>
  <c r="AD201" i="76"/>
  <c r="E201" i="76"/>
  <c r="AR202" i="76"/>
  <c r="A201" i="76"/>
  <c r="AE201" i="76"/>
  <c r="C201" i="76"/>
  <c r="B201" i="76"/>
  <c r="D201" i="76"/>
  <c r="P200" i="76"/>
  <c r="Q200" i="76"/>
  <c r="L200" i="76"/>
  <c r="G200" i="76"/>
  <c r="M200" i="76"/>
  <c r="H200" i="76"/>
  <c r="N200" i="76"/>
  <c r="I200" i="76"/>
  <c r="O200" i="76"/>
  <c r="J200" i="76"/>
  <c r="K200" i="76"/>
  <c r="AJ200" i="76"/>
  <c r="AL200" i="76"/>
  <c r="AG200" i="76"/>
  <c r="AM200" i="76"/>
  <c r="AH200" i="76"/>
  <c r="AN200" i="76"/>
  <c r="AI200" i="76"/>
  <c r="AO200" i="76"/>
  <c r="AP200" i="76"/>
  <c r="AK200" i="76"/>
  <c r="AF200" i="76"/>
  <c r="F202" i="76" l="1"/>
  <c r="R202" i="76"/>
  <c r="J201" i="76"/>
  <c r="N201" i="76"/>
  <c r="I201" i="76"/>
  <c r="O201" i="76"/>
  <c r="M201" i="76"/>
  <c r="K201" i="76"/>
  <c r="H201" i="76"/>
  <c r="Q201" i="76"/>
  <c r="L201" i="76"/>
  <c r="G201" i="76"/>
  <c r="P201" i="76"/>
  <c r="AB201" i="76"/>
  <c r="W201" i="76"/>
  <c r="AC201" i="76"/>
  <c r="AA201" i="76"/>
  <c r="V201" i="76"/>
  <c r="U201" i="76"/>
  <c r="T201" i="76"/>
  <c r="Z201" i="76"/>
  <c r="X201" i="76"/>
  <c r="S201" i="76"/>
  <c r="Y201" i="76"/>
  <c r="AO201" i="76"/>
  <c r="AM201" i="76"/>
  <c r="AP201" i="76"/>
  <c r="AK201" i="76"/>
  <c r="AN201" i="76"/>
  <c r="AL201" i="76"/>
  <c r="AG201" i="76"/>
  <c r="AF201" i="76"/>
  <c r="AH201" i="76"/>
  <c r="AJ201" i="76"/>
  <c r="AI201" i="76"/>
  <c r="AR203" i="76"/>
  <c r="A202" i="76"/>
  <c r="C202" i="76"/>
  <c r="AE202" i="76"/>
  <c r="D202" i="76"/>
  <c r="B202" i="76"/>
  <c r="E202" i="76"/>
  <c r="AD202" i="76"/>
  <c r="F203" i="76" l="1"/>
  <c r="R203" i="76"/>
  <c r="AD203" i="76"/>
  <c r="C203" i="76"/>
  <c r="B203" i="76"/>
  <c r="AR204" i="76"/>
  <c r="A203" i="76"/>
  <c r="AE203" i="76"/>
  <c r="E203" i="76"/>
  <c r="D203" i="76"/>
  <c r="AL202" i="76"/>
  <c r="AG202" i="76"/>
  <c r="AM202" i="76"/>
  <c r="AH202" i="76"/>
  <c r="AN202" i="76"/>
  <c r="AI202" i="76"/>
  <c r="AO202" i="76"/>
  <c r="AJ202" i="76"/>
  <c r="AP202" i="76"/>
  <c r="AK202" i="76"/>
  <c r="AF202" i="76"/>
  <c r="O202" i="76"/>
  <c r="J202" i="76"/>
  <c r="M202" i="76"/>
  <c r="K202" i="76"/>
  <c r="Q202" i="76"/>
  <c r="P202" i="76"/>
  <c r="G202" i="76"/>
  <c r="I202" i="76"/>
  <c r="H202" i="76"/>
  <c r="N202" i="76"/>
  <c r="L202" i="76"/>
  <c r="Z202" i="76"/>
  <c r="X202" i="76"/>
  <c r="AA202" i="76"/>
  <c r="V202" i="76"/>
  <c r="Y202" i="76"/>
  <c r="W202" i="76"/>
  <c r="AC202" i="76"/>
  <c r="AB202" i="76"/>
  <c r="S202" i="76"/>
  <c r="U202" i="76"/>
  <c r="T202" i="76"/>
  <c r="F204" i="76" l="1"/>
  <c r="R204" i="76"/>
  <c r="O203" i="76"/>
  <c r="J203" i="76"/>
  <c r="P203" i="76"/>
  <c r="K203" i="76"/>
  <c r="Q203" i="76"/>
  <c r="L203" i="76"/>
  <c r="G203" i="76"/>
  <c r="M203" i="76"/>
  <c r="H203" i="76"/>
  <c r="N203" i="76"/>
  <c r="I203" i="76"/>
  <c r="AF203" i="76"/>
  <c r="AL203" i="76"/>
  <c r="AG203" i="76"/>
  <c r="AM203" i="76"/>
  <c r="AH203" i="76"/>
  <c r="AN203" i="76"/>
  <c r="AI203" i="76"/>
  <c r="AO203" i="76"/>
  <c r="AJ203" i="76"/>
  <c r="AP203" i="76"/>
  <c r="AK203" i="76"/>
  <c r="C204" i="76"/>
  <c r="A204" i="76"/>
  <c r="B204" i="76"/>
  <c r="AR205" i="76"/>
  <c r="E204" i="76"/>
  <c r="AD204" i="76"/>
  <c r="AE204" i="76"/>
  <c r="D204" i="76"/>
  <c r="X203" i="76"/>
  <c r="S203" i="76"/>
  <c r="Y203" i="76"/>
  <c r="T203" i="76"/>
  <c r="Z203" i="76"/>
  <c r="U203" i="76"/>
  <c r="AA203" i="76"/>
  <c r="V203" i="76"/>
  <c r="AB203" i="76"/>
  <c r="W203" i="76"/>
  <c r="AC203" i="76"/>
  <c r="F205" i="76" l="1"/>
  <c r="R205" i="76"/>
  <c r="AR206" i="76"/>
  <c r="C205" i="76"/>
  <c r="B205" i="76"/>
  <c r="A205" i="76"/>
  <c r="E205" i="76"/>
  <c r="D205" i="76"/>
  <c r="AD205" i="76"/>
  <c r="AE205" i="76"/>
  <c r="Y204" i="76"/>
  <c r="T204" i="76"/>
  <c r="W204" i="76"/>
  <c r="U204" i="76"/>
  <c r="AA204" i="76"/>
  <c r="Z204" i="76"/>
  <c r="AB204" i="76"/>
  <c r="S204" i="76"/>
  <c r="AC204" i="76"/>
  <c r="X204" i="76"/>
  <c r="V204" i="76"/>
  <c r="AG204" i="76"/>
  <c r="AM204" i="76"/>
  <c r="AK204" i="76"/>
  <c r="AF204" i="76"/>
  <c r="AL204" i="76"/>
  <c r="AO204" i="76"/>
  <c r="AJ204" i="76"/>
  <c r="AP204" i="76"/>
  <c r="AN204" i="76"/>
  <c r="AI204" i="76"/>
  <c r="AH204" i="76"/>
  <c r="I204" i="76"/>
  <c r="G204" i="76"/>
  <c r="M204" i="76"/>
  <c r="H204" i="76"/>
  <c r="Q204" i="76"/>
  <c r="K204" i="76"/>
  <c r="O204" i="76"/>
  <c r="J204" i="76"/>
  <c r="P204" i="76"/>
  <c r="N204" i="76"/>
  <c r="L204" i="76"/>
  <c r="F206" i="76" l="1"/>
  <c r="R206" i="76"/>
  <c r="AM205" i="76"/>
  <c r="AG205" i="76"/>
  <c r="AN205" i="76"/>
  <c r="AI205" i="76"/>
  <c r="AP205" i="76"/>
  <c r="AJ205" i="76"/>
  <c r="AL205" i="76"/>
  <c r="AH205" i="76"/>
  <c r="AF205" i="76"/>
  <c r="AO205" i="76"/>
  <c r="AK205" i="76"/>
  <c r="Z205" i="76"/>
  <c r="U205" i="76"/>
  <c r="AA205" i="76"/>
  <c r="Y205" i="76"/>
  <c r="T205" i="76"/>
  <c r="S205" i="76"/>
  <c r="AC205" i="76"/>
  <c r="X205" i="76"/>
  <c r="V205" i="76"/>
  <c r="AB205" i="76"/>
  <c r="W205" i="76"/>
  <c r="J205" i="76"/>
  <c r="N205" i="76"/>
  <c r="I205" i="76"/>
  <c r="O205" i="76"/>
  <c r="M205" i="76"/>
  <c r="K205" i="76"/>
  <c r="H205" i="76"/>
  <c r="Q205" i="76"/>
  <c r="L205" i="76"/>
  <c r="G205" i="76"/>
  <c r="P205" i="76"/>
  <c r="AR207" i="76"/>
  <c r="D206" i="76"/>
  <c r="B206" i="76"/>
  <c r="E206" i="76"/>
  <c r="C206" i="76"/>
  <c r="A206" i="76"/>
  <c r="AE206" i="76"/>
  <c r="AD206" i="76"/>
  <c r="F207" i="76" l="1"/>
  <c r="R207" i="76"/>
  <c r="AN206" i="76"/>
  <c r="AI206" i="76"/>
  <c r="AO206" i="76"/>
  <c r="AJ206" i="76"/>
  <c r="AP206" i="76"/>
  <c r="AK206" i="76"/>
  <c r="AF206" i="76"/>
  <c r="AL206" i="76"/>
  <c r="AG206" i="76"/>
  <c r="AM206" i="76"/>
  <c r="AH206" i="76"/>
  <c r="AR208" i="76"/>
  <c r="A207" i="76"/>
  <c r="AD207" i="76"/>
  <c r="D207" i="76"/>
  <c r="C207" i="76"/>
  <c r="B207" i="76"/>
  <c r="AE207" i="76"/>
  <c r="E207" i="76"/>
  <c r="Q206" i="76"/>
  <c r="L206" i="76"/>
  <c r="O206" i="76"/>
  <c r="M206" i="76"/>
  <c r="H206" i="76"/>
  <c r="G206" i="76"/>
  <c r="I206" i="76"/>
  <c r="K206" i="76"/>
  <c r="J206" i="76"/>
  <c r="P206" i="76"/>
  <c r="N206" i="76"/>
  <c r="AB206" i="76"/>
  <c r="Z206" i="76"/>
  <c r="AC206" i="76"/>
  <c r="X206" i="76"/>
  <c r="AA206" i="76"/>
  <c r="Y206" i="76"/>
  <c r="T206" i="76"/>
  <c r="S206" i="76"/>
  <c r="U206" i="76"/>
  <c r="W206" i="76"/>
  <c r="V206" i="76"/>
  <c r="F208" i="76" l="1"/>
  <c r="R208" i="76"/>
  <c r="Y207" i="76"/>
  <c r="T207" i="76"/>
  <c r="Z207" i="76"/>
  <c r="U207" i="76"/>
  <c r="AA207" i="76"/>
  <c r="V207" i="76"/>
  <c r="AB207" i="76"/>
  <c r="W207" i="76"/>
  <c r="AC207" i="76"/>
  <c r="X207" i="76"/>
  <c r="S207" i="76"/>
  <c r="AR209" i="76"/>
  <c r="B208" i="76"/>
  <c r="AD208" i="76"/>
  <c r="A208" i="76"/>
  <c r="E208" i="76"/>
  <c r="D208" i="76"/>
  <c r="C208" i="76"/>
  <c r="AE208" i="76"/>
  <c r="Q207" i="76"/>
  <c r="H207" i="76"/>
  <c r="L207" i="76"/>
  <c r="M207" i="76"/>
  <c r="O207" i="76"/>
  <c r="N207" i="76"/>
  <c r="I207" i="76"/>
  <c r="K207" i="76"/>
  <c r="J207" i="76"/>
  <c r="P207" i="76"/>
  <c r="G207" i="76"/>
  <c r="AP207" i="76"/>
  <c r="AK207" i="76"/>
  <c r="AF207" i="76"/>
  <c r="AL207" i="76"/>
  <c r="AG207" i="76"/>
  <c r="AM207" i="76"/>
  <c r="AH207" i="76"/>
  <c r="AN207" i="76"/>
  <c r="AI207" i="76"/>
  <c r="AO207" i="76"/>
  <c r="AJ207" i="76"/>
  <c r="F209" i="76" l="1"/>
  <c r="R209" i="76"/>
  <c r="Z208" i="76"/>
  <c r="X208" i="76"/>
  <c r="S208" i="76"/>
  <c r="U208" i="76"/>
  <c r="T208" i="76"/>
  <c r="W208" i="76"/>
  <c r="AC208" i="76"/>
  <c r="AA208" i="76"/>
  <c r="V208" i="76"/>
  <c r="Y208" i="76"/>
  <c r="AB208" i="76"/>
  <c r="K208" i="76"/>
  <c r="I208" i="76"/>
  <c r="O208" i="76"/>
  <c r="J208" i="76"/>
  <c r="H208" i="76"/>
  <c r="M208" i="76"/>
  <c r="Q208" i="76"/>
  <c r="L208" i="76"/>
  <c r="G208" i="76"/>
  <c r="P208" i="76"/>
  <c r="N208" i="76"/>
  <c r="AR210" i="76"/>
  <c r="C209" i="76"/>
  <c r="B209" i="76"/>
  <c r="AD209" i="76"/>
  <c r="A209" i="76"/>
  <c r="AE209" i="76"/>
  <c r="E209" i="76"/>
  <c r="D209" i="76"/>
  <c r="AM208" i="76"/>
  <c r="AN208" i="76"/>
  <c r="AI208" i="76"/>
  <c r="AO208" i="76"/>
  <c r="AJ208" i="76"/>
  <c r="AH208" i="76"/>
  <c r="AK208" i="76"/>
  <c r="AF208" i="76"/>
  <c r="AL208" i="76"/>
  <c r="AG208" i="76"/>
  <c r="AP208" i="76"/>
  <c r="F210" i="76" l="1"/>
  <c r="R210" i="76"/>
  <c r="AA209" i="76"/>
  <c r="V209" i="76"/>
  <c r="AB209" i="76"/>
  <c r="W209" i="76"/>
  <c r="AC209" i="76"/>
  <c r="X209" i="76"/>
  <c r="S209" i="76"/>
  <c r="Y209" i="76"/>
  <c r="T209" i="76"/>
  <c r="Z209" i="76"/>
  <c r="U209" i="76"/>
  <c r="P209" i="76"/>
  <c r="K209" i="76"/>
  <c r="Q209" i="76"/>
  <c r="L209" i="76"/>
  <c r="G209" i="76"/>
  <c r="M209" i="76"/>
  <c r="H209" i="76"/>
  <c r="N209" i="76"/>
  <c r="I209" i="76"/>
  <c r="O209" i="76"/>
  <c r="J209" i="76"/>
  <c r="AN209" i="76"/>
  <c r="AG209" i="76"/>
  <c r="AI209" i="76"/>
  <c r="AH209" i="76"/>
  <c r="AJ209" i="76"/>
  <c r="AP209" i="76"/>
  <c r="AO209" i="76"/>
  <c r="AF209" i="76"/>
  <c r="AL209" i="76"/>
  <c r="AK209" i="76"/>
  <c r="AM209" i="76"/>
  <c r="D210" i="76"/>
  <c r="B210" i="76"/>
  <c r="AR211" i="76"/>
  <c r="AE210" i="76"/>
  <c r="AD210" i="76"/>
  <c r="A210" i="76"/>
  <c r="E210" i="76"/>
  <c r="C210" i="76"/>
  <c r="F211" i="76" l="1"/>
  <c r="R211" i="76"/>
  <c r="C211" i="76"/>
  <c r="A211" i="76"/>
  <c r="E211" i="76"/>
  <c r="D211" i="76"/>
  <c r="AE211" i="76"/>
  <c r="AR212" i="76"/>
  <c r="AD211" i="76"/>
  <c r="B211" i="76"/>
  <c r="G210" i="76"/>
  <c r="L210" i="76"/>
  <c r="P210" i="76"/>
  <c r="N210" i="76"/>
  <c r="I210" i="76"/>
  <c r="O210" i="76"/>
  <c r="M210" i="76"/>
  <c r="K210" i="76"/>
  <c r="Q210" i="76"/>
  <c r="J210" i="76"/>
  <c r="H210" i="76"/>
  <c r="T210" i="76"/>
  <c r="X210" i="76"/>
  <c r="W210" i="76"/>
  <c r="AA210" i="76"/>
  <c r="V210" i="76"/>
  <c r="AC210" i="76"/>
  <c r="Z210" i="76"/>
  <c r="U210" i="76"/>
  <c r="S210" i="76"/>
  <c r="AB210" i="76"/>
  <c r="Y210" i="76"/>
  <c r="AM210" i="76"/>
  <c r="AI210" i="76"/>
  <c r="AO210" i="76"/>
  <c r="AJ210" i="76"/>
  <c r="AP210" i="76"/>
  <c r="AK210" i="76"/>
  <c r="AF210" i="76"/>
  <c r="AL210" i="76"/>
  <c r="AG210" i="76"/>
  <c r="AH210" i="76"/>
  <c r="AN210" i="76"/>
  <c r="F212" i="76" l="1"/>
  <c r="R212" i="76"/>
  <c r="J211" i="76"/>
  <c r="N211" i="76"/>
  <c r="I211" i="76"/>
  <c r="O211" i="76"/>
  <c r="M211" i="76"/>
  <c r="K211" i="76"/>
  <c r="H211" i="76"/>
  <c r="Q211" i="76"/>
  <c r="L211" i="76"/>
  <c r="G211" i="76"/>
  <c r="P211" i="76"/>
  <c r="AI211" i="76"/>
  <c r="AJ211" i="76"/>
  <c r="AP211" i="76"/>
  <c r="AK211" i="76"/>
  <c r="AL211" i="76"/>
  <c r="AN211" i="76"/>
  <c r="AO211" i="76"/>
  <c r="AM211" i="76"/>
  <c r="AH211" i="76"/>
  <c r="AF211" i="76"/>
  <c r="AG211" i="76"/>
  <c r="C212" i="76"/>
  <c r="D212" i="76"/>
  <c r="AD212" i="76"/>
  <c r="AR213" i="76"/>
  <c r="E212" i="76"/>
  <c r="B212" i="76"/>
  <c r="A212" i="76"/>
  <c r="AE212" i="76"/>
  <c r="V211" i="76"/>
  <c r="AB211" i="76"/>
  <c r="W211" i="76"/>
  <c r="AC211" i="76"/>
  <c r="X211" i="76"/>
  <c r="S211" i="76"/>
  <c r="Y211" i="76"/>
  <c r="T211" i="76"/>
  <c r="Z211" i="76"/>
  <c r="U211" i="76"/>
  <c r="AA211" i="76"/>
  <c r="F213" i="76" l="1"/>
  <c r="R213" i="76"/>
  <c r="AL212" i="76"/>
  <c r="AG212" i="76"/>
  <c r="AM212" i="76"/>
  <c r="AH212" i="76"/>
  <c r="AN212" i="76"/>
  <c r="AI212" i="76"/>
  <c r="AO212" i="76"/>
  <c r="AJ212" i="76"/>
  <c r="AP212" i="76"/>
  <c r="AK212" i="76"/>
  <c r="AF212" i="76"/>
  <c r="AR214" i="76"/>
  <c r="E213" i="76"/>
  <c r="D213" i="76"/>
  <c r="AD213" i="76"/>
  <c r="A213" i="76"/>
  <c r="B213" i="76"/>
  <c r="C213" i="76"/>
  <c r="AE213" i="76"/>
  <c r="O212" i="76"/>
  <c r="J212" i="76"/>
  <c r="P212" i="76"/>
  <c r="K212" i="76"/>
  <c r="Q212" i="76"/>
  <c r="L212" i="76"/>
  <c r="G212" i="76"/>
  <c r="M212" i="76"/>
  <c r="H212" i="76"/>
  <c r="N212" i="76"/>
  <c r="I212" i="76"/>
  <c r="AB212" i="76"/>
  <c r="W212" i="76"/>
  <c r="AC212" i="76"/>
  <c r="X212" i="76"/>
  <c r="S212" i="76"/>
  <c r="Y212" i="76"/>
  <c r="T212" i="76"/>
  <c r="Z212" i="76"/>
  <c r="U212" i="76"/>
  <c r="AA212" i="76"/>
  <c r="V212" i="76"/>
  <c r="F214" i="76" l="1"/>
  <c r="R214" i="76"/>
  <c r="AC213" i="76"/>
  <c r="X213" i="76"/>
  <c r="S213" i="76"/>
  <c r="Y213" i="76"/>
  <c r="Z213" i="76"/>
  <c r="U213" i="76"/>
  <c r="AA213" i="76"/>
  <c r="V213" i="76"/>
  <c r="AB213" i="76"/>
  <c r="W213" i="76"/>
  <c r="T213" i="76"/>
  <c r="AR215" i="76"/>
  <c r="A214" i="76"/>
  <c r="E214" i="76"/>
  <c r="AD214" i="76"/>
  <c r="D214" i="76"/>
  <c r="B214" i="76"/>
  <c r="C214" i="76"/>
  <c r="AE214" i="76"/>
  <c r="AP213" i="76"/>
  <c r="AL213" i="76"/>
  <c r="AM213" i="76"/>
  <c r="AH213" i="76"/>
  <c r="AN213" i="76"/>
  <c r="AI213" i="76"/>
  <c r="AO213" i="76"/>
  <c r="AJ213" i="76"/>
  <c r="AK213" i="76"/>
  <c r="AF213" i="76"/>
  <c r="AG213" i="76"/>
  <c r="P213" i="76"/>
  <c r="L213" i="76"/>
  <c r="G213" i="76"/>
  <c r="H213" i="76"/>
  <c r="N213" i="76"/>
  <c r="I213" i="76"/>
  <c r="O213" i="76"/>
  <c r="M213" i="76"/>
  <c r="K213" i="76"/>
  <c r="Q213" i="76"/>
  <c r="J213" i="76"/>
  <c r="F215" i="76" l="1"/>
  <c r="R215" i="76"/>
  <c r="AB214" i="76"/>
  <c r="AC214" i="76"/>
  <c r="X214" i="76"/>
  <c r="V214" i="76"/>
  <c r="Y214" i="76"/>
  <c r="S214" i="76"/>
  <c r="W214" i="76"/>
  <c r="U214" i="76"/>
  <c r="AA214" i="76"/>
  <c r="Z214" i="76"/>
  <c r="T214" i="76"/>
  <c r="B215" i="76"/>
  <c r="AD215" i="76"/>
  <c r="A215" i="76"/>
  <c r="E215" i="76"/>
  <c r="D215" i="76"/>
  <c r="AR216" i="76"/>
  <c r="C215" i="76"/>
  <c r="AE215" i="76"/>
  <c r="I214" i="76"/>
  <c r="O214" i="76"/>
  <c r="M214" i="76"/>
  <c r="H214" i="76"/>
  <c r="N214" i="76"/>
  <c r="Q214" i="76"/>
  <c r="L214" i="76"/>
  <c r="J214" i="76"/>
  <c r="P214" i="76"/>
  <c r="K214" i="76"/>
  <c r="G214" i="76"/>
  <c r="AN214" i="76"/>
  <c r="AI214" i="76"/>
  <c r="AO214" i="76"/>
  <c r="AJ214" i="76"/>
  <c r="AP214" i="76"/>
  <c r="AK214" i="76"/>
  <c r="AF214" i="76"/>
  <c r="AL214" i="76"/>
  <c r="AG214" i="76"/>
  <c r="AM214" i="76"/>
  <c r="AH214" i="76"/>
  <c r="F216" i="76" l="1"/>
  <c r="R216" i="76"/>
  <c r="AL215" i="76"/>
  <c r="AG215" i="76"/>
  <c r="AM215" i="76"/>
  <c r="AK215" i="76"/>
  <c r="AF215" i="76"/>
  <c r="AH215" i="76"/>
  <c r="AO215" i="76"/>
  <c r="AJ215" i="76"/>
  <c r="AP215" i="76"/>
  <c r="AN215" i="76"/>
  <c r="AI215" i="76"/>
  <c r="E216" i="76"/>
  <c r="D216" i="76"/>
  <c r="C216" i="76"/>
  <c r="AE216" i="76"/>
  <c r="B216" i="76"/>
  <c r="AD216" i="76"/>
  <c r="A216" i="76"/>
  <c r="AR217" i="76"/>
  <c r="X215" i="76"/>
  <c r="S215" i="76"/>
  <c r="Y215" i="76"/>
  <c r="T215" i="76"/>
  <c r="Z215" i="76"/>
  <c r="U215" i="76"/>
  <c r="AA215" i="76"/>
  <c r="V215" i="76"/>
  <c r="AB215" i="76"/>
  <c r="W215" i="76"/>
  <c r="AC215" i="76"/>
  <c r="M215" i="76"/>
  <c r="H215" i="76"/>
  <c r="N215" i="76"/>
  <c r="I215" i="76"/>
  <c r="G215" i="76"/>
  <c r="L215" i="76"/>
  <c r="P215" i="76"/>
  <c r="K215" i="76"/>
  <c r="Q215" i="76"/>
  <c r="O215" i="76"/>
  <c r="J215" i="76"/>
  <c r="F217" i="76" l="1"/>
  <c r="R217" i="76"/>
  <c r="C217" i="76"/>
  <c r="B217" i="76"/>
  <c r="AD217" i="76"/>
  <c r="D217" i="76"/>
  <c r="AE217" i="76"/>
  <c r="E217" i="76"/>
  <c r="A217" i="76"/>
  <c r="AR218" i="76"/>
  <c r="S216" i="76"/>
  <c r="Y216" i="76"/>
  <c r="T216" i="76"/>
  <c r="Z216" i="76"/>
  <c r="U216" i="76"/>
  <c r="AA216" i="76"/>
  <c r="V216" i="76"/>
  <c r="AB216" i="76"/>
  <c r="W216" i="76"/>
  <c r="AC216" i="76"/>
  <c r="X216" i="76"/>
  <c r="Q216" i="76"/>
  <c r="L216" i="76"/>
  <c r="G216" i="76"/>
  <c r="M216" i="76"/>
  <c r="H216" i="76"/>
  <c r="N216" i="76"/>
  <c r="I216" i="76"/>
  <c r="J216" i="76"/>
  <c r="P216" i="76"/>
  <c r="K216" i="76"/>
  <c r="O216" i="76"/>
  <c r="AN216" i="76"/>
  <c r="AL216" i="76"/>
  <c r="AG216" i="76"/>
  <c r="AM216" i="76"/>
  <c r="AH216" i="76"/>
  <c r="AF216" i="76"/>
  <c r="AP216" i="76"/>
  <c r="AI216" i="76"/>
  <c r="AO216" i="76"/>
  <c r="AJ216" i="76"/>
  <c r="AK216" i="76"/>
  <c r="F218" i="76" l="1"/>
  <c r="R218" i="76"/>
  <c r="E218" i="76"/>
  <c r="C218" i="76"/>
  <c r="A218" i="76"/>
  <c r="AR219" i="76"/>
  <c r="AE218" i="76"/>
  <c r="AD218" i="76"/>
  <c r="D218" i="76"/>
  <c r="B218" i="76"/>
  <c r="AB217" i="76"/>
  <c r="W217" i="76"/>
  <c r="AC217" i="76"/>
  <c r="X217" i="76"/>
  <c r="S217" i="76"/>
  <c r="Y217" i="76"/>
  <c r="T217" i="76"/>
  <c r="Z217" i="76"/>
  <c r="U217" i="76"/>
  <c r="AA217" i="76"/>
  <c r="V217" i="76"/>
  <c r="M217" i="76"/>
  <c r="H217" i="76"/>
  <c r="N217" i="76"/>
  <c r="L217" i="76"/>
  <c r="Q217" i="76"/>
  <c r="J217" i="76"/>
  <c r="P217" i="76"/>
  <c r="K217" i="76"/>
  <c r="I217" i="76"/>
  <c r="G217" i="76"/>
  <c r="O217" i="76"/>
  <c r="AO217" i="76"/>
  <c r="AJ217" i="76"/>
  <c r="AP217" i="76"/>
  <c r="AK217" i="76"/>
  <c r="AF217" i="76"/>
  <c r="AL217" i="76"/>
  <c r="AG217" i="76"/>
  <c r="AM217" i="76"/>
  <c r="AH217" i="76"/>
  <c r="AN217" i="76"/>
  <c r="AI217" i="76"/>
  <c r="F219" i="76" l="1"/>
  <c r="R219" i="76"/>
  <c r="AR220" i="76"/>
  <c r="A219" i="76"/>
  <c r="AD219" i="76"/>
  <c r="E219" i="76"/>
  <c r="D219" i="76"/>
  <c r="C219" i="76"/>
  <c r="B219" i="76"/>
  <c r="AE219" i="76"/>
  <c r="AL218" i="76"/>
  <c r="AG218" i="76"/>
  <c r="AM218" i="76"/>
  <c r="AH218" i="76"/>
  <c r="AN218" i="76"/>
  <c r="AI218" i="76"/>
  <c r="AO218" i="76"/>
  <c r="AJ218" i="76"/>
  <c r="AP218" i="76"/>
  <c r="AK218" i="76"/>
  <c r="AF218" i="76"/>
  <c r="G218" i="76"/>
  <c r="M218" i="76"/>
  <c r="H218" i="76"/>
  <c r="N218" i="76"/>
  <c r="I218" i="76"/>
  <c r="O218" i="76"/>
  <c r="J218" i="76"/>
  <c r="P218" i="76"/>
  <c r="K218" i="76"/>
  <c r="Q218" i="76"/>
  <c r="L218" i="76"/>
  <c r="W218" i="76"/>
  <c r="X218" i="76"/>
  <c r="S218" i="76"/>
  <c r="U218" i="76"/>
  <c r="T218" i="76"/>
  <c r="AB218" i="76"/>
  <c r="Z218" i="76"/>
  <c r="AA218" i="76"/>
  <c r="V218" i="76"/>
  <c r="Y218" i="76"/>
  <c r="AC218" i="76"/>
  <c r="F220" i="76" l="1"/>
  <c r="R220" i="76"/>
  <c r="H219" i="76"/>
  <c r="J219" i="76"/>
  <c r="P219" i="76"/>
  <c r="K219" i="76"/>
  <c r="Q219" i="76"/>
  <c r="L219" i="76"/>
  <c r="G219" i="76"/>
  <c r="M219" i="76"/>
  <c r="N219" i="76"/>
  <c r="I219" i="76"/>
  <c r="O219" i="76"/>
  <c r="Z219" i="76"/>
  <c r="V219" i="76"/>
  <c r="AB219" i="76"/>
  <c r="W219" i="76"/>
  <c r="AC219" i="76"/>
  <c r="X219" i="76"/>
  <c r="S219" i="76"/>
  <c r="Y219" i="76"/>
  <c r="T219" i="76"/>
  <c r="U219" i="76"/>
  <c r="AA219" i="76"/>
  <c r="AK219" i="76"/>
  <c r="AG219" i="76"/>
  <c r="AM219" i="76"/>
  <c r="AH219" i="76"/>
  <c r="AN219" i="76"/>
  <c r="AI219" i="76"/>
  <c r="AO219" i="76"/>
  <c r="AJ219" i="76"/>
  <c r="AP219" i="76"/>
  <c r="AF219" i="76"/>
  <c r="AL219" i="76"/>
  <c r="A220" i="76"/>
  <c r="D220" i="76"/>
  <c r="AR221" i="76"/>
  <c r="E220" i="76"/>
  <c r="AD220" i="76"/>
  <c r="B220" i="76"/>
  <c r="AE220" i="76"/>
  <c r="C220" i="76"/>
  <c r="F221" i="76" l="1"/>
  <c r="R221" i="76"/>
  <c r="N220" i="76"/>
  <c r="I220" i="76"/>
  <c r="O220" i="76"/>
  <c r="J220" i="76"/>
  <c r="P220" i="76"/>
  <c r="K220" i="76"/>
  <c r="L220" i="76"/>
  <c r="G220" i="76"/>
  <c r="M220" i="76"/>
  <c r="Q220" i="76"/>
  <c r="H220" i="76"/>
  <c r="AB220" i="76"/>
  <c r="W220" i="76"/>
  <c r="AC220" i="76"/>
  <c r="X220" i="76"/>
  <c r="S220" i="76"/>
  <c r="Y220" i="76"/>
  <c r="T220" i="76"/>
  <c r="Z220" i="76"/>
  <c r="U220" i="76"/>
  <c r="AA220" i="76"/>
  <c r="V220" i="76"/>
  <c r="AO220" i="76"/>
  <c r="AJ220" i="76"/>
  <c r="AP220" i="76"/>
  <c r="AK220" i="76"/>
  <c r="AF220" i="76"/>
  <c r="AL220" i="76"/>
  <c r="AG220" i="76"/>
  <c r="AM220" i="76"/>
  <c r="AH220" i="76"/>
  <c r="AN220" i="76"/>
  <c r="AI220" i="76"/>
  <c r="A221" i="76"/>
  <c r="E221" i="76"/>
  <c r="D221" i="76"/>
  <c r="AD221" i="76"/>
  <c r="C221" i="76"/>
  <c r="AE221" i="76"/>
  <c r="AR222" i="76"/>
  <c r="B221" i="76"/>
  <c r="F222" i="76" l="1"/>
  <c r="R222" i="76"/>
  <c r="AD222" i="76"/>
  <c r="D222" i="76"/>
  <c r="B222" i="76"/>
  <c r="AR223" i="76"/>
  <c r="C222" i="76"/>
  <c r="E222" i="76"/>
  <c r="A222" i="76"/>
  <c r="AE222" i="76"/>
  <c r="AJ221" i="76"/>
  <c r="AP221" i="76"/>
  <c r="AK221" i="76"/>
  <c r="AF221" i="76"/>
  <c r="AL221" i="76"/>
  <c r="AG221" i="76"/>
  <c r="AM221" i="76"/>
  <c r="AH221" i="76"/>
  <c r="AN221" i="76"/>
  <c r="AI221" i="76"/>
  <c r="AO221" i="76"/>
  <c r="K221" i="76"/>
  <c r="Q221" i="76"/>
  <c r="L221" i="76"/>
  <c r="G221" i="76"/>
  <c r="P221" i="76"/>
  <c r="M221" i="76"/>
  <c r="N221" i="76"/>
  <c r="I221" i="76"/>
  <c r="O221" i="76"/>
  <c r="J221" i="76"/>
  <c r="H221" i="76"/>
  <c r="Z221" i="76"/>
  <c r="U221" i="76"/>
  <c r="S221" i="76"/>
  <c r="Y221" i="76"/>
  <c r="T221" i="76"/>
  <c r="AA221" i="76"/>
  <c r="AC221" i="76"/>
  <c r="X221" i="76"/>
  <c r="V221" i="76"/>
  <c r="AB221" i="76"/>
  <c r="W221" i="76"/>
  <c r="F223" i="76" l="1"/>
  <c r="R223" i="76"/>
  <c r="AI222" i="76"/>
  <c r="AK222" i="76"/>
  <c r="AF222" i="76"/>
  <c r="AL222" i="76"/>
  <c r="AG222" i="76"/>
  <c r="AM222" i="76"/>
  <c r="AH222" i="76"/>
  <c r="AN222" i="76"/>
  <c r="AO222" i="76"/>
  <c r="AJ222" i="76"/>
  <c r="AP222" i="76"/>
  <c r="C223" i="76"/>
  <c r="B223" i="76"/>
  <c r="AR224" i="76"/>
  <c r="E223" i="76"/>
  <c r="AD223" i="76"/>
  <c r="D223" i="76"/>
  <c r="A223" i="76"/>
  <c r="AE223" i="76"/>
  <c r="Q222" i="76"/>
  <c r="I222" i="76"/>
  <c r="L222" i="76"/>
  <c r="M222" i="76"/>
  <c r="H222" i="76"/>
  <c r="N222" i="76"/>
  <c r="O222" i="76"/>
  <c r="J222" i="76"/>
  <c r="P222" i="76"/>
  <c r="K222" i="76"/>
  <c r="G222" i="76"/>
  <c r="U222" i="76"/>
  <c r="AB222" i="76"/>
  <c r="T222" i="76"/>
  <c r="AC222" i="76"/>
  <c r="X222" i="76"/>
  <c r="AA222" i="76"/>
  <c r="Y222" i="76"/>
  <c r="Z222" i="76"/>
  <c r="S222" i="76"/>
  <c r="W222" i="76"/>
  <c r="V222" i="76"/>
  <c r="F224" i="76" l="1"/>
  <c r="R224" i="76"/>
  <c r="B224" i="76"/>
  <c r="C224" i="76"/>
  <c r="E224" i="76"/>
  <c r="A224" i="76"/>
  <c r="AE224" i="76"/>
  <c r="AR225" i="76"/>
  <c r="AD224" i="76"/>
  <c r="D224" i="76"/>
  <c r="AH223" i="76"/>
  <c r="AI223" i="76"/>
  <c r="AJ223" i="76"/>
  <c r="AP223" i="76"/>
  <c r="AK223" i="76"/>
  <c r="AF223" i="76"/>
  <c r="AL223" i="76"/>
  <c r="AG223" i="76"/>
  <c r="AM223" i="76"/>
  <c r="AN223" i="76"/>
  <c r="AO223" i="76"/>
  <c r="K223" i="76"/>
  <c r="M223" i="76"/>
  <c r="H223" i="76"/>
  <c r="N223" i="76"/>
  <c r="I223" i="76"/>
  <c r="O223" i="76"/>
  <c r="J223" i="76"/>
  <c r="P223" i="76"/>
  <c r="Q223" i="76"/>
  <c r="L223" i="76"/>
  <c r="G223" i="76"/>
  <c r="T223" i="76"/>
  <c r="AA223" i="76"/>
  <c r="V223" i="76"/>
  <c r="AB223" i="76"/>
  <c r="W223" i="76"/>
  <c r="AC223" i="76"/>
  <c r="X223" i="76"/>
  <c r="S223" i="76"/>
  <c r="Y223" i="76"/>
  <c r="Z223" i="76"/>
  <c r="U223" i="76"/>
  <c r="F225" i="76" l="1"/>
  <c r="R225" i="76"/>
  <c r="C225" i="76"/>
  <c r="B225" i="76"/>
  <c r="AD225" i="76"/>
  <c r="D225" i="76"/>
  <c r="E225" i="76"/>
  <c r="AR226" i="76"/>
  <c r="A225" i="76"/>
  <c r="AE225" i="76"/>
  <c r="AA224" i="76"/>
  <c r="V224" i="76"/>
  <c r="AB224" i="76"/>
  <c r="W224" i="76"/>
  <c r="AC224" i="76"/>
  <c r="X224" i="76"/>
  <c r="S224" i="76"/>
  <c r="Y224" i="76"/>
  <c r="T224" i="76"/>
  <c r="Z224" i="76"/>
  <c r="U224" i="76"/>
  <c r="AK224" i="76"/>
  <c r="AF224" i="76"/>
  <c r="AL224" i="76"/>
  <c r="AG224" i="76"/>
  <c r="AM224" i="76"/>
  <c r="AH224" i="76"/>
  <c r="AN224" i="76"/>
  <c r="AI224" i="76"/>
  <c r="AO224" i="76"/>
  <c r="AJ224" i="76"/>
  <c r="AP224" i="76"/>
  <c r="I224" i="76"/>
  <c r="O224" i="76"/>
  <c r="J224" i="76"/>
  <c r="P224" i="76"/>
  <c r="K224" i="76"/>
  <c r="Q224" i="76"/>
  <c r="L224" i="76"/>
  <c r="G224" i="76"/>
  <c r="M224" i="76"/>
  <c r="H224" i="76"/>
  <c r="N224" i="76"/>
  <c r="F226" i="76" l="1"/>
  <c r="R226" i="76"/>
  <c r="AL225" i="76"/>
  <c r="AG225" i="76"/>
  <c r="AP225" i="76"/>
  <c r="AK225" i="76"/>
  <c r="AF225" i="76"/>
  <c r="AM225" i="76"/>
  <c r="AO225" i="76"/>
  <c r="AJ225" i="76"/>
  <c r="AH225" i="76"/>
  <c r="AN225" i="76"/>
  <c r="AI225" i="76"/>
  <c r="D226" i="76"/>
  <c r="B226" i="76"/>
  <c r="AR227" i="76"/>
  <c r="AE226" i="76"/>
  <c r="AD226" i="76"/>
  <c r="A226" i="76"/>
  <c r="E226" i="76"/>
  <c r="C226" i="76"/>
  <c r="H225" i="76"/>
  <c r="N225" i="76"/>
  <c r="I225" i="76"/>
  <c r="O225" i="76"/>
  <c r="J225" i="76"/>
  <c r="P225" i="76"/>
  <c r="K225" i="76"/>
  <c r="Q225" i="76"/>
  <c r="L225" i="76"/>
  <c r="G225" i="76"/>
  <c r="M225" i="76"/>
  <c r="X225" i="76"/>
  <c r="S225" i="76"/>
  <c r="Y225" i="76"/>
  <c r="T225" i="76"/>
  <c r="Z225" i="76"/>
  <c r="U225" i="76"/>
  <c r="AA225" i="76"/>
  <c r="V225" i="76"/>
  <c r="AB225" i="76"/>
  <c r="W225" i="76"/>
  <c r="AC225" i="76"/>
  <c r="F227" i="76" l="1"/>
  <c r="R227" i="76"/>
  <c r="G226" i="76"/>
  <c r="M226" i="76"/>
  <c r="H226" i="76"/>
  <c r="Q226" i="76"/>
  <c r="L226" i="76"/>
  <c r="O226" i="76"/>
  <c r="J226" i="76"/>
  <c r="P226" i="76"/>
  <c r="K226" i="76"/>
  <c r="I226" i="76"/>
  <c r="N226" i="76"/>
  <c r="W226" i="76"/>
  <c r="Y226" i="76"/>
  <c r="U226" i="76"/>
  <c r="S226" i="76"/>
  <c r="AC226" i="76"/>
  <c r="V226" i="76"/>
  <c r="Z226" i="76"/>
  <c r="T226" i="76"/>
  <c r="AA226" i="76"/>
  <c r="AB226" i="76"/>
  <c r="X226" i="76"/>
  <c r="AL226" i="76"/>
  <c r="AG226" i="76"/>
  <c r="AM226" i="76"/>
  <c r="AH226" i="76"/>
  <c r="AN226" i="76"/>
  <c r="AJ226" i="76"/>
  <c r="AK226" i="76"/>
  <c r="AI226" i="76"/>
  <c r="AO226" i="76"/>
  <c r="AP226" i="76"/>
  <c r="AF226" i="76"/>
  <c r="AR228" i="76"/>
  <c r="C227" i="76"/>
  <c r="AD227" i="76"/>
  <c r="D227" i="76"/>
  <c r="AE227" i="76"/>
  <c r="A227" i="76"/>
  <c r="B227" i="76"/>
  <c r="E227" i="76"/>
  <c r="F228" i="76" l="1"/>
  <c r="R228" i="76"/>
  <c r="K227" i="76"/>
  <c r="Q227" i="76"/>
  <c r="L227" i="76"/>
  <c r="G227" i="76"/>
  <c r="M227" i="76"/>
  <c r="P227" i="76"/>
  <c r="N227" i="76"/>
  <c r="I227" i="76"/>
  <c r="O227" i="76"/>
  <c r="J227" i="76"/>
  <c r="H227" i="76"/>
  <c r="V227" i="76"/>
  <c r="AB227" i="76"/>
  <c r="W227" i="76"/>
  <c r="AC227" i="76"/>
  <c r="X227" i="76"/>
  <c r="S227" i="76"/>
  <c r="Y227" i="76"/>
  <c r="T227" i="76"/>
  <c r="Z227" i="76"/>
  <c r="U227" i="76"/>
  <c r="AA227" i="76"/>
  <c r="AF227" i="76"/>
  <c r="AJ227" i="76"/>
  <c r="AP227" i="76"/>
  <c r="AK227" i="76"/>
  <c r="AI227" i="76"/>
  <c r="AO227" i="76"/>
  <c r="AG227" i="76"/>
  <c r="AM227" i="76"/>
  <c r="AH227" i="76"/>
  <c r="AN227" i="76"/>
  <c r="AL227" i="76"/>
  <c r="C228" i="76"/>
  <c r="AD228" i="76"/>
  <c r="D228" i="76"/>
  <c r="AR229" i="76"/>
  <c r="E228" i="76"/>
  <c r="B228" i="76"/>
  <c r="A228" i="76"/>
  <c r="AE228" i="76"/>
  <c r="F229" i="76" l="1"/>
  <c r="R229" i="76"/>
  <c r="AN228" i="76"/>
  <c r="AL228" i="76"/>
  <c r="AG228" i="76"/>
  <c r="AM228" i="76"/>
  <c r="AK228" i="76"/>
  <c r="AP228" i="76"/>
  <c r="AI228" i="76"/>
  <c r="AO228" i="76"/>
  <c r="AJ228" i="76"/>
  <c r="AH228" i="76"/>
  <c r="AF228" i="76"/>
  <c r="U228" i="76"/>
  <c r="AB228" i="76"/>
  <c r="W228" i="76"/>
  <c r="AC228" i="76"/>
  <c r="X228" i="76"/>
  <c r="S228" i="76"/>
  <c r="Y228" i="76"/>
  <c r="T228" i="76"/>
  <c r="Z228" i="76"/>
  <c r="AA228" i="76"/>
  <c r="V228" i="76"/>
  <c r="AR230" i="76"/>
  <c r="AE229" i="76"/>
  <c r="A229" i="76"/>
  <c r="C229" i="76"/>
  <c r="E229" i="76"/>
  <c r="D229" i="76"/>
  <c r="AD229" i="76"/>
  <c r="B229" i="76"/>
  <c r="P228" i="76"/>
  <c r="N228" i="76"/>
  <c r="G228" i="76"/>
  <c r="M228" i="76"/>
  <c r="H228" i="76"/>
  <c r="Q228" i="76"/>
  <c r="L228" i="76"/>
  <c r="O228" i="76"/>
  <c r="J228" i="76"/>
  <c r="K228" i="76"/>
  <c r="I228" i="76"/>
  <c r="F230" i="76" l="1"/>
  <c r="R230" i="76"/>
  <c r="O229" i="76"/>
  <c r="H229" i="76"/>
  <c r="N229" i="76"/>
  <c r="I229" i="76"/>
  <c r="G229" i="76"/>
  <c r="M229" i="76"/>
  <c r="P229" i="76"/>
  <c r="K229" i="76"/>
  <c r="Q229" i="76"/>
  <c r="L229" i="76"/>
  <c r="J229" i="76"/>
  <c r="Z229" i="76"/>
  <c r="U229" i="76"/>
  <c r="AA229" i="76"/>
  <c r="V229" i="76"/>
  <c r="AB229" i="76"/>
  <c r="W229" i="76"/>
  <c r="AC229" i="76"/>
  <c r="X229" i="76"/>
  <c r="S229" i="76"/>
  <c r="Y229" i="76"/>
  <c r="T229" i="76"/>
  <c r="AM229" i="76"/>
  <c r="AH229" i="76"/>
  <c r="AN229" i="76"/>
  <c r="AI229" i="76"/>
  <c r="AO229" i="76"/>
  <c r="AJ229" i="76"/>
  <c r="AP229" i="76"/>
  <c r="AK229" i="76"/>
  <c r="AF229" i="76"/>
  <c r="AL229" i="76"/>
  <c r="AG229" i="76"/>
  <c r="AR231" i="76"/>
  <c r="AE230" i="76"/>
  <c r="A230" i="76"/>
  <c r="E230" i="76"/>
  <c r="AD230" i="76"/>
  <c r="D230" i="76"/>
  <c r="B230" i="76"/>
  <c r="C230" i="76"/>
  <c r="F231" i="76" l="1"/>
  <c r="R231" i="76"/>
  <c r="M230" i="76"/>
  <c r="H230" i="76"/>
  <c r="N230" i="76"/>
  <c r="I230" i="76"/>
  <c r="O230" i="76"/>
  <c r="L230" i="76"/>
  <c r="J230" i="76"/>
  <c r="P230" i="76"/>
  <c r="K230" i="76"/>
  <c r="Q230" i="76"/>
  <c r="G230" i="76"/>
  <c r="S230" i="76"/>
  <c r="U230" i="76"/>
  <c r="AA230" i="76"/>
  <c r="Z230" i="76"/>
  <c r="AB230" i="76"/>
  <c r="W230" i="76"/>
  <c r="X230" i="76"/>
  <c r="V230" i="76"/>
  <c r="T230" i="76"/>
  <c r="AC230" i="76"/>
  <c r="Y230" i="76"/>
  <c r="B231" i="76"/>
  <c r="A231" i="76"/>
  <c r="D231" i="76"/>
  <c r="C231" i="76"/>
  <c r="AE231" i="76"/>
  <c r="E231" i="76"/>
  <c r="AR232" i="76"/>
  <c r="AD231" i="76"/>
  <c r="AG230" i="76"/>
  <c r="AM230" i="76"/>
  <c r="AH230" i="76"/>
  <c r="AN230" i="76"/>
  <c r="AI230" i="76"/>
  <c r="AO230" i="76"/>
  <c r="AJ230" i="76"/>
  <c r="AK230" i="76"/>
  <c r="AF230" i="76"/>
  <c r="AL230" i="76"/>
  <c r="AP230" i="76"/>
  <c r="F232" i="76" l="1"/>
  <c r="R232" i="76"/>
  <c r="X231" i="76"/>
  <c r="S231" i="76"/>
  <c r="Y231" i="76"/>
  <c r="T231" i="76"/>
  <c r="Z231" i="76"/>
  <c r="U231" i="76"/>
  <c r="AA231" i="76"/>
  <c r="V231" i="76"/>
  <c r="AB231" i="76"/>
  <c r="W231" i="76"/>
  <c r="AC231" i="76"/>
  <c r="AR233" i="76"/>
  <c r="B232" i="76"/>
  <c r="AD232" i="76"/>
  <c r="A232" i="76"/>
  <c r="D232" i="76"/>
  <c r="C232" i="76"/>
  <c r="E232" i="76"/>
  <c r="AE232" i="76"/>
  <c r="AH231" i="76"/>
  <c r="AN231" i="76"/>
  <c r="AI231" i="76"/>
  <c r="AO231" i="76"/>
  <c r="AJ231" i="76"/>
  <c r="AP231" i="76"/>
  <c r="AK231" i="76"/>
  <c r="AF231" i="76"/>
  <c r="AL231" i="76"/>
  <c r="AG231" i="76"/>
  <c r="AM231" i="76"/>
  <c r="O231" i="76"/>
  <c r="J231" i="76"/>
  <c r="P231" i="76"/>
  <c r="K231" i="76"/>
  <c r="Q231" i="76"/>
  <c r="L231" i="76"/>
  <c r="G231" i="76"/>
  <c r="M231" i="76"/>
  <c r="H231" i="76"/>
  <c r="N231" i="76"/>
  <c r="I231" i="76"/>
  <c r="F233" i="76" l="1"/>
  <c r="R233" i="76"/>
  <c r="S232" i="76"/>
  <c r="Y232" i="76"/>
  <c r="T232" i="76"/>
  <c r="Z232" i="76"/>
  <c r="U232" i="76"/>
  <c r="AA232" i="76"/>
  <c r="V232" i="76"/>
  <c r="W232" i="76"/>
  <c r="AC232" i="76"/>
  <c r="X232" i="76"/>
  <c r="AB232" i="76"/>
  <c r="I232" i="76"/>
  <c r="O232" i="76"/>
  <c r="J232" i="76"/>
  <c r="P232" i="76"/>
  <c r="K232" i="76"/>
  <c r="Q232" i="76"/>
  <c r="L232" i="76"/>
  <c r="G232" i="76"/>
  <c r="M232" i="76"/>
  <c r="H232" i="76"/>
  <c r="N232" i="76"/>
  <c r="C233" i="76"/>
  <c r="B233" i="76"/>
  <c r="AD233" i="76"/>
  <c r="D233" i="76"/>
  <c r="AR234" i="76"/>
  <c r="A233" i="76"/>
  <c r="E233" i="76"/>
  <c r="AE233" i="76"/>
  <c r="AN232" i="76"/>
  <c r="AL232" i="76"/>
  <c r="AG232" i="76"/>
  <c r="AM232" i="76"/>
  <c r="AH232" i="76"/>
  <c r="AF232" i="76"/>
  <c r="AI232" i="76"/>
  <c r="AO232" i="76"/>
  <c r="AJ232" i="76"/>
  <c r="AK232" i="76"/>
  <c r="AP232" i="76"/>
  <c r="F234" i="76" l="1"/>
  <c r="R234" i="76"/>
  <c r="AL233" i="76"/>
  <c r="AG233" i="76"/>
  <c r="AM233" i="76"/>
  <c r="AH233" i="76"/>
  <c r="AN233" i="76"/>
  <c r="AI233" i="76"/>
  <c r="AO233" i="76"/>
  <c r="AJ233" i="76"/>
  <c r="AP233" i="76"/>
  <c r="AK233" i="76"/>
  <c r="AF233" i="76"/>
  <c r="L233" i="76"/>
  <c r="J233" i="76"/>
  <c r="N233" i="76"/>
  <c r="I233" i="76"/>
  <c r="O233" i="76"/>
  <c r="M233" i="76"/>
  <c r="K233" i="76"/>
  <c r="P233" i="76"/>
  <c r="Q233" i="76"/>
  <c r="G233" i="76"/>
  <c r="H233" i="76"/>
  <c r="C234" i="76"/>
  <c r="AD234" i="76"/>
  <c r="AR235" i="76"/>
  <c r="AE234" i="76"/>
  <c r="A234" i="76"/>
  <c r="E234" i="76"/>
  <c r="D234" i="76"/>
  <c r="B234" i="76"/>
  <c r="T233" i="76"/>
  <c r="Z233" i="76"/>
  <c r="U233" i="76"/>
  <c r="AA233" i="76"/>
  <c r="V233" i="76"/>
  <c r="AB233" i="76"/>
  <c r="W233" i="76"/>
  <c r="AC233" i="76"/>
  <c r="X233" i="76"/>
  <c r="S233" i="76"/>
  <c r="Y233" i="76"/>
  <c r="F235" i="76" l="1"/>
  <c r="R235" i="76"/>
  <c r="AL234" i="76"/>
  <c r="AG234" i="76"/>
  <c r="AM234" i="76"/>
  <c r="AH234" i="76"/>
  <c r="AN234" i="76"/>
  <c r="AF234" i="76"/>
  <c r="AI234" i="76"/>
  <c r="AO234" i="76"/>
  <c r="AJ234" i="76"/>
  <c r="AP234" i="76"/>
  <c r="AK234" i="76"/>
  <c r="K234" i="76"/>
  <c r="Q234" i="76"/>
  <c r="L234" i="76"/>
  <c r="G234" i="76"/>
  <c r="P234" i="76"/>
  <c r="J234" i="76"/>
  <c r="N234" i="76"/>
  <c r="I234" i="76"/>
  <c r="O234" i="76"/>
  <c r="M234" i="76"/>
  <c r="H234" i="76"/>
  <c r="W234" i="76"/>
  <c r="AA234" i="76"/>
  <c r="V234" i="76"/>
  <c r="Y234" i="76"/>
  <c r="Z234" i="76"/>
  <c r="AB234" i="76"/>
  <c r="X234" i="76"/>
  <c r="S234" i="76"/>
  <c r="U234" i="76"/>
  <c r="T234" i="76"/>
  <c r="AC234" i="76"/>
  <c r="AR236" i="76"/>
  <c r="C235" i="76"/>
  <c r="B235" i="76"/>
  <c r="AE235" i="76"/>
  <c r="A235" i="76"/>
  <c r="E235" i="76"/>
  <c r="AD235" i="76"/>
  <c r="D235" i="76"/>
  <c r="F236" i="76" l="1"/>
  <c r="R236" i="76"/>
  <c r="P235" i="76"/>
  <c r="K235" i="76"/>
  <c r="Q235" i="76"/>
  <c r="L235" i="76"/>
  <c r="J235" i="76"/>
  <c r="H235" i="76"/>
  <c r="I235" i="76"/>
  <c r="M235" i="76"/>
  <c r="O235" i="76"/>
  <c r="N235" i="76"/>
  <c r="G235" i="76"/>
  <c r="AR237" i="76"/>
  <c r="B236" i="76"/>
  <c r="A236" i="76"/>
  <c r="AE236" i="76"/>
  <c r="E236" i="76"/>
  <c r="AD236" i="76"/>
  <c r="D236" i="76"/>
  <c r="C236" i="76"/>
  <c r="X235" i="76"/>
  <c r="AB235" i="76"/>
  <c r="W235" i="76"/>
  <c r="AC235" i="76"/>
  <c r="AA235" i="76"/>
  <c r="Y235" i="76"/>
  <c r="S235" i="76"/>
  <c r="T235" i="76"/>
  <c r="Z235" i="76"/>
  <c r="U235" i="76"/>
  <c r="V235" i="76"/>
  <c r="AG235" i="76"/>
  <c r="AM235" i="76"/>
  <c r="AH235" i="76"/>
  <c r="AN235" i="76"/>
  <c r="AL235" i="76"/>
  <c r="AI235" i="76"/>
  <c r="AJ235" i="76"/>
  <c r="AP235" i="76"/>
  <c r="AK235" i="76"/>
  <c r="AF235" i="76"/>
  <c r="AO235" i="76"/>
  <c r="F237" i="76" l="1"/>
  <c r="R237" i="76"/>
  <c r="E237" i="76"/>
  <c r="A237" i="76"/>
  <c r="B237" i="76"/>
  <c r="AR238" i="76"/>
  <c r="C237" i="76"/>
  <c r="AE237" i="76"/>
  <c r="D237" i="76"/>
  <c r="AD237" i="76"/>
  <c r="X236" i="76"/>
  <c r="Y236" i="76"/>
  <c r="Z236" i="76"/>
  <c r="U236" i="76"/>
  <c r="AA236" i="76"/>
  <c r="V236" i="76"/>
  <c r="AB236" i="76"/>
  <c r="W236" i="76"/>
  <c r="AC236" i="76"/>
  <c r="S236" i="76"/>
  <c r="T236" i="76"/>
  <c r="M236" i="76"/>
  <c r="I236" i="76"/>
  <c r="O236" i="76"/>
  <c r="J236" i="76"/>
  <c r="P236" i="76"/>
  <c r="K236" i="76"/>
  <c r="Q236" i="76"/>
  <c r="L236" i="76"/>
  <c r="G236" i="76"/>
  <c r="H236" i="76"/>
  <c r="N236" i="76"/>
  <c r="AN236" i="76"/>
  <c r="AI236" i="76"/>
  <c r="AJ236" i="76"/>
  <c r="AK236" i="76"/>
  <c r="AF236" i="76"/>
  <c r="AL236" i="76"/>
  <c r="AG236" i="76"/>
  <c r="AM236" i="76"/>
  <c r="AH236" i="76"/>
  <c r="AO236" i="76"/>
  <c r="AP236" i="76"/>
  <c r="F238" i="76" l="1"/>
  <c r="R238" i="76"/>
  <c r="AC237" i="76"/>
  <c r="X237" i="76"/>
  <c r="V237" i="76"/>
  <c r="AB237" i="76"/>
  <c r="W237" i="76"/>
  <c r="Z237" i="76"/>
  <c r="U237" i="76"/>
  <c r="S237" i="76"/>
  <c r="Y237" i="76"/>
  <c r="T237" i="76"/>
  <c r="AA237" i="76"/>
  <c r="K237" i="76"/>
  <c r="Q237" i="76"/>
  <c r="L237" i="76"/>
  <c r="G237" i="76"/>
  <c r="P237" i="76"/>
  <c r="M237" i="76"/>
  <c r="N237" i="76"/>
  <c r="I237" i="76"/>
  <c r="O237" i="76"/>
  <c r="J237" i="76"/>
  <c r="H237" i="76"/>
  <c r="AJ237" i="76"/>
  <c r="AP237" i="76"/>
  <c r="AK237" i="76"/>
  <c r="AF237" i="76"/>
  <c r="AL237" i="76"/>
  <c r="AG237" i="76"/>
  <c r="AM237" i="76"/>
  <c r="AH237" i="76"/>
  <c r="AN237" i="76"/>
  <c r="AI237" i="76"/>
  <c r="AO237" i="76"/>
  <c r="AD238" i="76"/>
  <c r="D238" i="76"/>
  <c r="B238" i="76"/>
  <c r="AR239" i="76"/>
  <c r="C238" i="76"/>
  <c r="E238" i="76"/>
  <c r="A238" i="76"/>
  <c r="AE238" i="76"/>
  <c r="F239" i="76" l="1"/>
  <c r="R239" i="76"/>
  <c r="AG238" i="76"/>
  <c r="AM238" i="76"/>
  <c r="AH238" i="76"/>
  <c r="AN238" i="76"/>
  <c r="AI238" i="76"/>
  <c r="AJ238" i="76"/>
  <c r="AP238" i="76"/>
  <c r="AK238" i="76"/>
  <c r="AF238" i="76"/>
  <c r="AL238" i="76"/>
  <c r="AO238" i="76"/>
  <c r="M238" i="76"/>
  <c r="H238" i="76"/>
  <c r="N238" i="76"/>
  <c r="I238" i="76"/>
  <c r="O238" i="76"/>
  <c r="J238" i="76"/>
  <c r="K238" i="76"/>
  <c r="Q238" i="76"/>
  <c r="L238" i="76"/>
  <c r="G238" i="76"/>
  <c r="P238" i="76"/>
  <c r="U238" i="76"/>
  <c r="W238" i="76"/>
  <c r="V238" i="76"/>
  <c r="AB238" i="76"/>
  <c r="Z238" i="76"/>
  <c r="X238" i="76"/>
  <c r="AA238" i="76"/>
  <c r="Y238" i="76"/>
  <c r="S238" i="76"/>
  <c r="AC238" i="76"/>
  <c r="T238" i="76"/>
  <c r="D239" i="76"/>
  <c r="E239" i="76"/>
  <c r="AD239" i="76"/>
  <c r="AR240" i="76"/>
  <c r="A239" i="76"/>
  <c r="AE239" i="76"/>
  <c r="C239" i="76"/>
  <c r="B239" i="76"/>
  <c r="F240" i="76" l="1"/>
  <c r="R240" i="76"/>
  <c r="AH239" i="76"/>
  <c r="AJ239" i="76"/>
  <c r="AP239" i="76"/>
  <c r="AK239" i="76"/>
  <c r="AF239" i="76"/>
  <c r="AL239" i="76"/>
  <c r="AG239" i="76"/>
  <c r="AM239" i="76"/>
  <c r="AN239" i="76"/>
  <c r="AI239" i="76"/>
  <c r="AO239" i="76"/>
  <c r="Y239" i="76"/>
  <c r="T239" i="76"/>
  <c r="Z239" i="76"/>
  <c r="U239" i="76"/>
  <c r="AA239" i="76"/>
  <c r="V239" i="76"/>
  <c r="AB239" i="76"/>
  <c r="W239" i="76"/>
  <c r="AC239" i="76"/>
  <c r="X239" i="76"/>
  <c r="S239" i="76"/>
  <c r="B240" i="76"/>
  <c r="C240" i="76"/>
  <c r="E240" i="76"/>
  <c r="AE240" i="76"/>
  <c r="A240" i="76"/>
  <c r="AR241" i="76"/>
  <c r="AD240" i="76"/>
  <c r="D240" i="76"/>
  <c r="J239" i="76"/>
  <c r="K239" i="76"/>
  <c r="L239" i="76"/>
  <c r="M239" i="76"/>
  <c r="H239" i="76"/>
  <c r="N239" i="76"/>
  <c r="I239" i="76"/>
  <c r="O239" i="76"/>
  <c r="P239" i="76"/>
  <c r="Q239" i="76"/>
  <c r="G239" i="76"/>
  <c r="F241" i="76" l="1"/>
  <c r="R241" i="76"/>
  <c r="D241" i="76"/>
  <c r="C241" i="76"/>
  <c r="B241" i="76"/>
  <c r="AD241" i="76"/>
  <c r="AR242" i="76"/>
  <c r="A241" i="76"/>
  <c r="AE241" i="76"/>
  <c r="E241" i="76"/>
  <c r="Z240" i="76"/>
  <c r="U240" i="76"/>
  <c r="AA240" i="76"/>
  <c r="V240" i="76"/>
  <c r="AB240" i="76"/>
  <c r="W240" i="76"/>
  <c r="AC240" i="76"/>
  <c r="X240" i="76"/>
  <c r="S240" i="76"/>
  <c r="Y240" i="76"/>
  <c r="T240" i="76"/>
  <c r="K240" i="76"/>
  <c r="I240" i="76"/>
  <c r="O240" i="76"/>
  <c r="J240" i="76"/>
  <c r="H240" i="76"/>
  <c r="M240" i="76"/>
  <c r="Q240" i="76"/>
  <c r="L240" i="76"/>
  <c r="G240" i="76"/>
  <c r="P240" i="76"/>
  <c r="N240" i="76"/>
  <c r="AO240" i="76"/>
  <c r="AJ240" i="76"/>
  <c r="AP240" i="76"/>
  <c r="AN240" i="76"/>
  <c r="AI240" i="76"/>
  <c r="AH240" i="76"/>
  <c r="AG240" i="76"/>
  <c r="AM240" i="76"/>
  <c r="AK240" i="76"/>
  <c r="AF240" i="76"/>
  <c r="AL240" i="76"/>
  <c r="F242" i="76" l="1"/>
  <c r="R242" i="76"/>
  <c r="O241" i="76"/>
  <c r="L241" i="76"/>
  <c r="M241" i="76"/>
  <c r="H241" i="76"/>
  <c r="N241" i="76"/>
  <c r="I241" i="76"/>
  <c r="G241" i="76"/>
  <c r="P241" i="76"/>
  <c r="K241" i="76"/>
  <c r="Q241" i="76"/>
  <c r="J241" i="76"/>
  <c r="AJ241" i="76"/>
  <c r="AL241" i="76"/>
  <c r="AG241" i="76"/>
  <c r="AM241" i="76"/>
  <c r="AH241" i="76"/>
  <c r="AN241" i="76"/>
  <c r="AI241" i="76"/>
  <c r="AO241" i="76"/>
  <c r="AP241" i="76"/>
  <c r="AK241" i="76"/>
  <c r="AF241" i="76"/>
  <c r="E242" i="76"/>
  <c r="C242" i="76"/>
  <c r="D242" i="76"/>
  <c r="B242" i="76"/>
  <c r="AR243" i="76"/>
  <c r="AD242" i="76"/>
  <c r="A242" i="76"/>
  <c r="AE242" i="76"/>
  <c r="T241" i="76"/>
  <c r="Z241" i="76"/>
  <c r="S241" i="76"/>
  <c r="AB241" i="76"/>
  <c r="W241" i="76"/>
  <c r="U241" i="76"/>
  <c r="AA241" i="76"/>
  <c r="V241" i="76"/>
  <c r="AC241" i="76"/>
  <c r="X241" i="76"/>
  <c r="Y241" i="76"/>
  <c r="F243" i="76" l="1"/>
  <c r="R243" i="76"/>
  <c r="AG242" i="76"/>
  <c r="AI242" i="76"/>
  <c r="AO242" i="76"/>
  <c r="AJ242" i="76"/>
  <c r="AP242" i="76"/>
  <c r="AK242" i="76"/>
  <c r="AF242" i="76"/>
  <c r="AL242" i="76"/>
  <c r="AM242" i="76"/>
  <c r="AH242" i="76"/>
  <c r="AN242" i="76"/>
  <c r="T242" i="76"/>
  <c r="AB242" i="76"/>
  <c r="W242" i="76"/>
  <c r="Y242" i="76"/>
  <c r="U242" i="76"/>
  <c r="AA242" i="76"/>
  <c r="V242" i="76"/>
  <c r="X242" i="76"/>
  <c r="Z242" i="76"/>
  <c r="AC242" i="76"/>
  <c r="S242" i="76"/>
  <c r="C243" i="76"/>
  <c r="B243" i="76"/>
  <c r="A243" i="76"/>
  <c r="E243" i="76"/>
  <c r="D243" i="76"/>
  <c r="AE243" i="76"/>
  <c r="AR244" i="76"/>
  <c r="AD243" i="76"/>
  <c r="J242" i="76"/>
  <c r="L242" i="76"/>
  <c r="G242" i="76"/>
  <c r="M242" i="76"/>
  <c r="H242" i="76"/>
  <c r="N242" i="76"/>
  <c r="I242" i="76"/>
  <c r="O242" i="76"/>
  <c r="P242" i="76"/>
  <c r="K242" i="76"/>
  <c r="Q242" i="76"/>
  <c r="F244" i="76" l="1"/>
  <c r="R244" i="76"/>
  <c r="H243" i="76"/>
  <c r="Q243" i="76"/>
  <c r="L243" i="76"/>
  <c r="G243" i="76"/>
  <c r="P243" i="76"/>
  <c r="M243" i="76"/>
  <c r="N243" i="76"/>
  <c r="I243" i="76"/>
  <c r="O243" i="76"/>
  <c r="J243" i="76"/>
  <c r="K243" i="76"/>
  <c r="AR245" i="76"/>
  <c r="E244" i="76"/>
  <c r="AD244" i="76"/>
  <c r="D244" i="76"/>
  <c r="C244" i="76"/>
  <c r="B244" i="76"/>
  <c r="A244" i="76"/>
  <c r="AE244" i="76"/>
  <c r="Y243" i="76"/>
  <c r="T243" i="76"/>
  <c r="Z243" i="76"/>
  <c r="U243" i="76"/>
  <c r="AA243" i="76"/>
  <c r="V243" i="76"/>
  <c r="AB243" i="76"/>
  <c r="W243" i="76"/>
  <c r="AC243" i="76"/>
  <c r="X243" i="76"/>
  <c r="S243" i="76"/>
  <c r="AN243" i="76"/>
  <c r="AI243" i="76"/>
  <c r="AO243" i="76"/>
  <c r="AJ243" i="76"/>
  <c r="AP243" i="76"/>
  <c r="AK243" i="76"/>
  <c r="AF243" i="76"/>
  <c r="AL243" i="76"/>
  <c r="AG243" i="76"/>
  <c r="AM243" i="76"/>
  <c r="AH243" i="76"/>
  <c r="F245" i="76" l="1"/>
  <c r="R245" i="76"/>
  <c r="U244" i="76"/>
  <c r="AA244" i="76"/>
  <c r="V244" i="76"/>
  <c r="AB244" i="76"/>
  <c r="W244" i="76"/>
  <c r="AC244" i="76"/>
  <c r="X244" i="76"/>
  <c r="S244" i="76"/>
  <c r="Y244" i="76"/>
  <c r="T244" i="76"/>
  <c r="Z244" i="76"/>
  <c r="O244" i="76"/>
  <c r="J244" i="76"/>
  <c r="P244" i="76"/>
  <c r="K244" i="76"/>
  <c r="I244" i="76"/>
  <c r="N244" i="76"/>
  <c r="G244" i="76"/>
  <c r="M244" i="76"/>
  <c r="H244" i="76"/>
  <c r="Q244" i="76"/>
  <c r="L244" i="76"/>
  <c r="AE245" i="76"/>
  <c r="B245" i="76"/>
  <c r="AR246" i="76"/>
  <c r="C245" i="76"/>
  <c r="E245" i="76"/>
  <c r="D245" i="76"/>
  <c r="AD245" i="76"/>
  <c r="A245" i="76"/>
  <c r="AI244" i="76"/>
  <c r="AO244" i="76"/>
  <c r="AJ244" i="76"/>
  <c r="AP244" i="76"/>
  <c r="AK244" i="76"/>
  <c r="AF244" i="76"/>
  <c r="AL244" i="76"/>
  <c r="AG244" i="76"/>
  <c r="AM244" i="76"/>
  <c r="AH244" i="76"/>
  <c r="AN244" i="76"/>
  <c r="F246" i="76" l="1"/>
  <c r="R246" i="76"/>
  <c r="S245" i="76"/>
  <c r="X245" i="76"/>
  <c r="AC245" i="76"/>
  <c r="V245" i="76"/>
  <c r="AB245" i="76"/>
  <c r="W245" i="76"/>
  <c r="U245" i="76"/>
  <c r="AA245" i="76"/>
  <c r="Y245" i="76"/>
  <c r="T245" i="76"/>
  <c r="Z245" i="76"/>
  <c r="AD246" i="76"/>
  <c r="D246" i="76"/>
  <c r="B246" i="76"/>
  <c r="AR247" i="76"/>
  <c r="C246" i="76"/>
  <c r="E246" i="76"/>
  <c r="A246" i="76"/>
  <c r="AE246" i="76"/>
  <c r="M245" i="76"/>
  <c r="H245" i="76"/>
  <c r="N245" i="76"/>
  <c r="I245" i="76"/>
  <c r="G245" i="76"/>
  <c r="O245" i="76"/>
  <c r="P245" i="76"/>
  <c r="K245" i="76"/>
  <c r="Q245" i="76"/>
  <c r="L245" i="76"/>
  <c r="J245" i="76"/>
  <c r="AJ245" i="76"/>
  <c r="AK245" i="76"/>
  <c r="AF245" i="76"/>
  <c r="AG245" i="76"/>
  <c r="AP245" i="76"/>
  <c r="AN245" i="76"/>
  <c r="AI245" i="76"/>
  <c r="AO245" i="76"/>
  <c r="AM245" i="76"/>
  <c r="AL245" i="76"/>
  <c r="AH245" i="76"/>
  <c r="F247" i="76" l="1"/>
  <c r="R247" i="76"/>
  <c r="M246" i="76"/>
  <c r="H246" i="76"/>
  <c r="N246" i="76"/>
  <c r="I246" i="76"/>
  <c r="O246" i="76"/>
  <c r="J246" i="76"/>
  <c r="P246" i="76"/>
  <c r="K246" i="76"/>
  <c r="Q246" i="76"/>
  <c r="L246" i="76"/>
  <c r="G246" i="76"/>
  <c r="U246" i="76"/>
  <c r="AA246" i="76"/>
  <c r="Z246" i="76"/>
  <c r="AB246" i="76"/>
  <c r="S246" i="76"/>
  <c r="AC246" i="76"/>
  <c r="X246" i="76"/>
  <c r="V246" i="76"/>
  <c r="Y246" i="76"/>
  <c r="T246" i="76"/>
  <c r="W246" i="76"/>
  <c r="AG246" i="76"/>
  <c r="AM246" i="76"/>
  <c r="AH246" i="76"/>
  <c r="AN246" i="76"/>
  <c r="AI246" i="76"/>
  <c r="AO246" i="76"/>
  <c r="AJ246" i="76"/>
  <c r="AP246" i="76"/>
  <c r="AK246" i="76"/>
  <c r="AF246" i="76"/>
  <c r="AL246" i="76"/>
  <c r="AR248" i="76"/>
  <c r="AE247" i="76"/>
  <c r="D247" i="76"/>
  <c r="A247" i="76"/>
  <c r="B247" i="76"/>
  <c r="AD247" i="76"/>
  <c r="C247" i="76"/>
  <c r="E247" i="76"/>
  <c r="F248" i="76" l="1"/>
  <c r="R248" i="76"/>
  <c r="H247" i="76"/>
  <c r="J247" i="76"/>
  <c r="P247" i="76"/>
  <c r="K247" i="76"/>
  <c r="M247" i="76"/>
  <c r="L247" i="76"/>
  <c r="G247" i="76"/>
  <c r="I247" i="76"/>
  <c r="N247" i="76"/>
  <c r="Q247" i="76"/>
  <c r="O247" i="76"/>
  <c r="B248" i="76"/>
  <c r="AE248" i="76"/>
  <c r="E248" i="76"/>
  <c r="AD248" i="76"/>
  <c r="A248" i="76"/>
  <c r="AR249" i="76"/>
  <c r="D248" i="76"/>
  <c r="C248" i="76"/>
  <c r="T247" i="76"/>
  <c r="AA247" i="76"/>
  <c r="V247" i="76"/>
  <c r="AB247" i="76"/>
  <c r="W247" i="76"/>
  <c r="AC247" i="76"/>
  <c r="X247" i="76"/>
  <c r="S247" i="76"/>
  <c r="Y247" i="76"/>
  <c r="Z247" i="76"/>
  <c r="U247" i="76"/>
  <c r="AH247" i="76"/>
  <c r="AI247" i="76"/>
  <c r="AJ247" i="76"/>
  <c r="AP247" i="76"/>
  <c r="AK247" i="76"/>
  <c r="AF247" i="76"/>
  <c r="AL247" i="76"/>
  <c r="AG247" i="76"/>
  <c r="AM247" i="76"/>
  <c r="AN247" i="76"/>
  <c r="AO247" i="76"/>
  <c r="F249" i="76" l="1"/>
  <c r="R249" i="76"/>
  <c r="W248" i="76"/>
  <c r="X248" i="76"/>
  <c r="T248" i="76"/>
  <c r="Z248" i="76"/>
  <c r="U248" i="76"/>
  <c r="AA248" i="76"/>
  <c r="V248" i="76"/>
  <c r="AB248" i="76"/>
  <c r="AC248" i="76"/>
  <c r="S248" i="76"/>
  <c r="Y248" i="76"/>
  <c r="AR250" i="76"/>
  <c r="A249" i="76"/>
  <c r="AE249" i="76"/>
  <c r="E249" i="76"/>
  <c r="D249" i="76"/>
  <c r="C249" i="76"/>
  <c r="B249" i="76"/>
  <c r="AD249" i="76"/>
  <c r="N248" i="76"/>
  <c r="O248" i="76"/>
  <c r="M248" i="76"/>
  <c r="H248" i="76"/>
  <c r="Q248" i="76"/>
  <c r="L248" i="76"/>
  <c r="G248" i="76"/>
  <c r="K248" i="76"/>
  <c r="P248" i="76"/>
  <c r="I248" i="76"/>
  <c r="J248" i="76"/>
  <c r="AP248" i="76"/>
  <c r="AK248" i="76"/>
  <c r="AF248" i="76"/>
  <c r="AL248" i="76"/>
  <c r="AG248" i="76"/>
  <c r="AM248" i="76"/>
  <c r="AH248" i="76"/>
  <c r="AN248" i="76"/>
  <c r="AI248" i="76"/>
  <c r="AO248" i="76"/>
  <c r="AJ248" i="76"/>
  <c r="F250" i="76" l="1"/>
  <c r="R250" i="76"/>
  <c r="T249" i="76"/>
  <c r="U249" i="76"/>
  <c r="AB249" i="76"/>
  <c r="W249" i="76"/>
  <c r="AC249" i="76"/>
  <c r="X249" i="76"/>
  <c r="S249" i="76"/>
  <c r="Y249" i="76"/>
  <c r="Z249" i="76"/>
  <c r="AA249" i="76"/>
  <c r="V249" i="76"/>
  <c r="M249" i="76"/>
  <c r="K249" i="76"/>
  <c r="Q249" i="76"/>
  <c r="L249" i="76"/>
  <c r="G249" i="76"/>
  <c r="J249" i="76"/>
  <c r="P249" i="76"/>
  <c r="N249" i="76"/>
  <c r="I249" i="76"/>
  <c r="O249" i="76"/>
  <c r="H249" i="76"/>
  <c r="AL249" i="76"/>
  <c r="AG249" i="76"/>
  <c r="AM249" i="76"/>
  <c r="AH249" i="76"/>
  <c r="AN249" i="76"/>
  <c r="AI249" i="76"/>
  <c r="AO249" i="76"/>
  <c r="AJ249" i="76"/>
  <c r="AP249" i="76"/>
  <c r="AK249" i="76"/>
  <c r="AF249" i="76"/>
  <c r="E250" i="76"/>
  <c r="A250" i="76"/>
  <c r="AE250" i="76"/>
  <c r="AR251" i="76"/>
  <c r="B250" i="76"/>
  <c r="AD250" i="76"/>
  <c r="D250" i="76"/>
  <c r="C250" i="76"/>
  <c r="F251" i="76" l="1"/>
  <c r="R251" i="76"/>
  <c r="AB250" i="76"/>
  <c r="S250" i="76"/>
  <c r="U250" i="76"/>
  <c r="T250" i="76"/>
  <c r="AC250" i="76"/>
  <c r="AA250" i="76"/>
  <c r="V250" i="76"/>
  <c r="W250" i="76"/>
  <c r="X250" i="76"/>
  <c r="Z250" i="76"/>
  <c r="Y250" i="76"/>
  <c r="AM250" i="76"/>
  <c r="AH250" i="76"/>
  <c r="AF250" i="76"/>
  <c r="AL250" i="76"/>
  <c r="AG250" i="76"/>
  <c r="AN250" i="76"/>
  <c r="AP250" i="76"/>
  <c r="AK250" i="76"/>
  <c r="AO250" i="76"/>
  <c r="AJ250" i="76"/>
  <c r="AI250" i="76"/>
  <c r="N250" i="76"/>
  <c r="I250" i="76"/>
  <c r="O250" i="76"/>
  <c r="J250" i="76"/>
  <c r="P250" i="76"/>
  <c r="K250" i="76"/>
  <c r="Q250" i="76"/>
  <c r="L250" i="76"/>
  <c r="M250" i="76"/>
  <c r="H250" i="76"/>
  <c r="G250" i="76"/>
  <c r="E251" i="76"/>
  <c r="AR252" i="76"/>
  <c r="A251" i="76"/>
  <c r="AD251" i="76"/>
  <c r="B251" i="76"/>
  <c r="D251" i="76"/>
  <c r="C251" i="76"/>
  <c r="AE251" i="76"/>
  <c r="F252" i="76" l="1"/>
  <c r="R252" i="76"/>
  <c r="AM251" i="76"/>
  <c r="AH251" i="76"/>
  <c r="AN251" i="76"/>
  <c r="AI251" i="76"/>
  <c r="AO251" i="76"/>
  <c r="AJ251" i="76"/>
  <c r="AP251" i="76"/>
  <c r="AK251" i="76"/>
  <c r="AF251" i="76"/>
  <c r="AL251" i="76"/>
  <c r="AG251" i="76"/>
  <c r="C252" i="76"/>
  <c r="B252" i="76"/>
  <c r="A252" i="76"/>
  <c r="AE252" i="76"/>
  <c r="AR253" i="76"/>
  <c r="E252" i="76"/>
  <c r="AD252" i="76"/>
  <c r="D252" i="76"/>
  <c r="X251" i="76"/>
  <c r="S251" i="76"/>
  <c r="Y251" i="76"/>
  <c r="T251" i="76"/>
  <c r="Z251" i="76"/>
  <c r="U251" i="76"/>
  <c r="AA251" i="76"/>
  <c r="V251" i="76"/>
  <c r="AB251" i="76"/>
  <c r="W251" i="76"/>
  <c r="AC251" i="76"/>
  <c r="H251" i="76"/>
  <c r="N251" i="76"/>
  <c r="I251" i="76"/>
  <c r="O251" i="76"/>
  <c r="J251" i="76"/>
  <c r="P251" i="76"/>
  <c r="K251" i="76"/>
  <c r="Q251" i="76"/>
  <c r="L251" i="76"/>
  <c r="G251" i="76"/>
  <c r="M251" i="76"/>
  <c r="F253" i="76" l="1"/>
  <c r="R253" i="76"/>
  <c r="AO252" i="76"/>
  <c r="AJ252" i="76"/>
  <c r="AP252" i="76"/>
  <c r="AK252" i="76"/>
  <c r="AF252" i="76"/>
  <c r="AL252" i="76"/>
  <c r="AG252" i="76"/>
  <c r="AM252" i="76"/>
  <c r="AH252" i="76"/>
  <c r="AN252" i="76"/>
  <c r="AI252" i="76"/>
  <c r="K252" i="76"/>
  <c r="Q252" i="76"/>
  <c r="L252" i="76"/>
  <c r="G252" i="76"/>
  <c r="M252" i="76"/>
  <c r="H252" i="76"/>
  <c r="N252" i="76"/>
  <c r="I252" i="76"/>
  <c r="O252" i="76"/>
  <c r="J252" i="76"/>
  <c r="P252" i="76"/>
  <c r="A253" i="76"/>
  <c r="E253" i="76"/>
  <c r="D253" i="76"/>
  <c r="AD253" i="76"/>
  <c r="AR254" i="76"/>
  <c r="C253" i="76"/>
  <c r="AE253" i="76"/>
  <c r="B253" i="76"/>
  <c r="AB252" i="76"/>
  <c r="W252" i="76"/>
  <c r="AC252" i="76"/>
  <c r="X252" i="76"/>
  <c r="S252" i="76"/>
  <c r="Y252" i="76"/>
  <c r="T252" i="76"/>
  <c r="Z252" i="76"/>
  <c r="U252" i="76"/>
  <c r="AA252" i="76"/>
  <c r="V252" i="76"/>
  <c r="F254" i="76" l="1"/>
  <c r="R254" i="76"/>
  <c r="H253" i="76"/>
  <c r="J253" i="76"/>
  <c r="P253" i="76"/>
  <c r="K253" i="76"/>
  <c r="I253" i="76"/>
  <c r="Q253" i="76"/>
  <c r="G253" i="76"/>
  <c r="M253" i="76"/>
  <c r="N253" i="76"/>
  <c r="O253" i="76"/>
  <c r="L253" i="76"/>
  <c r="AP253" i="76"/>
  <c r="AM253" i="76"/>
  <c r="AH253" i="76"/>
  <c r="AN253" i="76"/>
  <c r="AI253" i="76"/>
  <c r="AO253" i="76"/>
  <c r="AJ253" i="76"/>
  <c r="AK253" i="76"/>
  <c r="AF253" i="76"/>
  <c r="AL253" i="76"/>
  <c r="AG253" i="76"/>
  <c r="D254" i="76"/>
  <c r="A254" i="76"/>
  <c r="AR255" i="76"/>
  <c r="E254" i="76"/>
  <c r="AD254" i="76"/>
  <c r="AE254" i="76"/>
  <c r="B254" i="76"/>
  <c r="C254" i="76"/>
  <c r="S253" i="76"/>
  <c r="T253" i="76"/>
  <c r="Z253" i="76"/>
  <c r="U253" i="76"/>
  <c r="AA253" i="76"/>
  <c r="V253" i="76"/>
  <c r="AB253" i="76"/>
  <c r="W253" i="76"/>
  <c r="AC253" i="76"/>
  <c r="X253" i="76"/>
  <c r="Y253" i="76"/>
  <c r="F255" i="76" l="1"/>
  <c r="R255" i="76"/>
  <c r="AG254" i="76"/>
  <c r="AM254" i="76"/>
  <c r="AH254" i="76"/>
  <c r="AF254" i="76"/>
  <c r="AN254" i="76"/>
  <c r="AO254" i="76"/>
  <c r="AJ254" i="76"/>
  <c r="AP254" i="76"/>
  <c r="AK254" i="76"/>
  <c r="AI254" i="76"/>
  <c r="AL254" i="76"/>
  <c r="AB254" i="76"/>
  <c r="Z254" i="76"/>
  <c r="AC254" i="76"/>
  <c r="X254" i="76"/>
  <c r="V254" i="76"/>
  <c r="Y254" i="76"/>
  <c r="T254" i="76"/>
  <c r="S254" i="76"/>
  <c r="U254" i="76"/>
  <c r="AA254" i="76"/>
  <c r="W254" i="76"/>
  <c r="M254" i="76"/>
  <c r="H254" i="76"/>
  <c r="N254" i="76"/>
  <c r="G254" i="76"/>
  <c r="I254" i="76"/>
  <c r="J254" i="76"/>
  <c r="P254" i="76"/>
  <c r="K254" i="76"/>
  <c r="L254" i="76"/>
  <c r="Q254" i="76"/>
  <c r="O254" i="76"/>
  <c r="AR256" i="76"/>
  <c r="A255" i="76"/>
  <c r="AE255" i="76"/>
  <c r="C255" i="76"/>
  <c r="B255" i="76"/>
  <c r="D255" i="76"/>
  <c r="E255" i="76"/>
  <c r="AD255" i="76"/>
  <c r="F256" i="76" l="1"/>
  <c r="R256" i="76"/>
  <c r="AC255" i="76"/>
  <c r="W255" i="76"/>
  <c r="Z255" i="76"/>
  <c r="U255" i="76"/>
  <c r="AA255" i="76"/>
  <c r="V255" i="76"/>
  <c r="T255" i="76"/>
  <c r="AB255" i="76"/>
  <c r="X255" i="76"/>
  <c r="S255" i="76"/>
  <c r="Y255" i="76"/>
  <c r="L255" i="76"/>
  <c r="H255" i="76"/>
  <c r="N255" i="76"/>
  <c r="I255" i="76"/>
  <c r="O255" i="76"/>
  <c r="J255" i="76"/>
  <c r="P255" i="76"/>
  <c r="K255" i="76"/>
  <c r="Q255" i="76"/>
  <c r="G255" i="76"/>
  <c r="M255" i="76"/>
  <c r="AO255" i="76"/>
  <c r="AJ255" i="76"/>
  <c r="AP255" i="76"/>
  <c r="AK255" i="76"/>
  <c r="AF255" i="76"/>
  <c r="AL255" i="76"/>
  <c r="AG255" i="76"/>
  <c r="AM255" i="76"/>
  <c r="AH255" i="76"/>
  <c r="AN255" i="76"/>
  <c r="AI255" i="76"/>
  <c r="D256" i="76"/>
  <c r="AE256" i="76"/>
  <c r="E256" i="76"/>
  <c r="A256" i="76"/>
  <c r="C256" i="76"/>
  <c r="AR257" i="76"/>
  <c r="B256" i="76"/>
  <c r="AD256" i="76"/>
  <c r="F257" i="76" l="1"/>
  <c r="R257" i="76"/>
  <c r="D257" i="76"/>
  <c r="C257" i="76"/>
  <c r="B257" i="76"/>
  <c r="AD257" i="76"/>
  <c r="A257" i="76"/>
  <c r="AE257" i="76"/>
  <c r="E257" i="76"/>
  <c r="AR258" i="76"/>
  <c r="I256" i="76"/>
  <c r="O256" i="76"/>
  <c r="J256" i="76"/>
  <c r="P256" i="76"/>
  <c r="K256" i="76"/>
  <c r="Q256" i="76"/>
  <c r="L256" i="76"/>
  <c r="G256" i="76"/>
  <c r="M256" i="76"/>
  <c r="H256" i="76"/>
  <c r="N256" i="76"/>
  <c r="Z256" i="76"/>
  <c r="U256" i="76"/>
  <c r="AA256" i="76"/>
  <c r="V256" i="76"/>
  <c r="AB256" i="76"/>
  <c r="W256" i="76"/>
  <c r="AC256" i="76"/>
  <c r="X256" i="76"/>
  <c r="S256" i="76"/>
  <c r="Y256" i="76"/>
  <c r="T256" i="76"/>
  <c r="AK256" i="76"/>
  <c r="AF256" i="76"/>
  <c r="AL256" i="76"/>
  <c r="AG256" i="76"/>
  <c r="AM256" i="76"/>
  <c r="AH256" i="76"/>
  <c r="AN256" i="76"/>
  <c r="AI256" i="76"/>
  <c r="AO256" i="76"/>
  <c r="AJ256" i="76"/>
  <c r="AP256" i="76"/>
  <c r="F258" i="76" l="1"/>
  <c r="R258" i="76"/>
  <c r="AB257" i="76"/>
  <c r="U257" i="76"/>
  <c r="AA257" i="76"/>
  <c r="V257" i="76"/>
  <c r="T257" i="76"/>
  <c r="AC257" i="76"/>
  <c r="W257" i="76"/>
  <c r="X257" i="76"/>
  <c r="S257" i="76"/>
  <c r="Y257" i="76"/>
  <c r="Z257" i="76"/>
  <c r="P257" i="76"/>
  <c r="K257" i="76"/>
  <c r="Q257" i="76"/>
  <c r="L257" i="76"/>
  <c r="J257" i="76"/>
  <c r="G257" i="76"/>
  <c r="H257" i="76"/>
  <c r="N257" i="76"/>
  <c r="I257" i="76"/>
  <c r="O257" i="76"/>
  <c r="M257" i="76"/>
  <c r="AO257" i="76"/>
  <c r="AJ257" i="76"/>
  <c r="AP257" i="76"/>
  <c r="AK257" i="76"/>
  <c r="AF257" i="76"/>
  <c r="AL257" i="76"/>
  <c r="AG257" i="76"/>
  <c r="AM257" i="76"/>
  <c r="AH257" i="76"/>
  <c r="AN257" i="76"/>
  <c r="AI257" i="76"/>
  <c r="AD258" i="76"/>
  <c r="AE258" i="76"/>
  <c r="A258" i="76"/>
  <c r="AR259" i="76"/>
  <c r="B258" i="76"/>
  <c r="C258" i="76"/>
  <c r="E258" i="76"/>
  <c r="D258" i="76"/>
  <c r="F259" i="76" l="1"/>
  <c r="R259" i="76"/>
  <c r="T258" i="76"/>
  <c r="Y258" i="76"/>
  <c r="S258" i="76"/>
  <c r="AB258" i="76"/>
  <c r="X258" i="76"/>
  <c r="Z258" i="76"/>
  <c r="U258" i="76"/>
  <c r="AA258" i="76"/>
  <c r="V258" i="76"/>
  <c r="AC258" i="76"/>
  <c r="W258" i="76"/>
  <c r="K258" i="76"/>
  <c r="Q258" i="76"/>
  <c r="L258" i="76"/>
  <c r="G258" i="76"/>
  <c r="M258" i="76"/>
  <c r="H258" i="76"/>
  <c r="N258" i="76"/>
  <c r="I258" i="76"/>
  <c r="O258" i="76"/>
  <c r="J258" i="76"/>
  <c r="P258" i="76"/>
  <c r="AR260" i="76"/>
  <c r="A259" i="76"/>
  <c r="AD259" i="76"/>
  <c r="B259" i="76"/>
  <c r="C259" i="76"/>
  <c r="E259" i="76"/>
  <c r="D259" i="76"/>
  <c r="AE259" i="76"/>
  <c r="AJ258" i="76"/>
  <c r="AN258" i="76"/>
  <c r="AL258" i="76"/>
  <c r="AG258" i="76"/>
  <c r="AM258" i="76"/>
  <c r="AK258" i="76"/>
  <c r="AP258" i="76"/>
  <c r="AI258" i="76"/>
  <c r="AO258" i="76"/>
  <c r="AH258" i="76"/>
  <c r="AF258" i="76"/>
  <c r="F260" i="76" l="1"/>
  <c r="R260" i="76"/>
  <c r="AM259" i="76"/>
  <c r="AH259" i="76"/>
  <c r="AN259" i="76"/>
  <c r="AI259" i="76"/>
  <c r="AO259" i="76"/>
  <c r="AJ259" i="76"/>
  <c r="AP259" i="76"/>
  <c r="AK259" i="76"/>
  <c r="AF259" i="76"/>
  <c r="AL259" i="76"/>
  <c r="AG259" i="76"/>
  <c r="Z259" i="76"/>
  <c r="U259" i="76"/>
  <c r="AA259" i="76"/>
  <c r="V259" i="76"/>
  <c r="AB259" i="76"/>
  <c r="W259" i="76"/>
  <c r="AC259" i="76"/>
  <c r="X259" i="76"/>
  <c r="S259" i="76"/>
  <c r="Y259" i="76"/>
  <c r="T259" i="76"/>
  <c r="Q259" i="76"/>
  <c r="L259" i="76"/>
  <c r="G259" i="76"/>
  <c r="M259" i="76"/>
  <c r="H259" i="76"/>
  <c r="I259" i="76"/>
  <c r="O259" i="76"/>
  <c r="J259" i="76"/>
  <c r="P259" i="76"/>
  <c r="N259" i="76"/>
  <c r="K259" i="76"/>
  <c r="B260" i="76"/>
  <c r="A260" i="76"/>
  <c r="AE260" i="76"/>
  <c r="C260" i="76"/>
  <c r="D260" i="76"/>
  <c r="AR261" i="76"/>
  <c r="AD260" i="76"/>
  <c r="E260" i="76"/>
  <c r="F261" i="76" l="1"/>
  <c r="R261" i="76"/>
  <c r="A261" i="76"/>
  <c r="E261" i="76"/>
  <c r="D261" i="76"/>
  <c r="AD261" i="76"/>
  <c r="AR262" i="76"/>
  <c r="AE261" i="76"/>
  <c r="C261" i="76"/>
  <c r="B261" i="76"/>
  <c r="N260" i="76"/>
  <c r="I260" i="76"/>
  <c r="O260" i="76"/>
  <c r="J260" i="76"/>
  <c r="P260" i="76"/>
  <c r="Q260" i="76"/>
  <c r="L260" i="76"/>
  <c r="M260" i="76"/>
  <c r="H260" i="76"/>
  <c r="K260" i="76"/>
  <c r="G260" i="76"/>
  <c r="AB260" i="76"/>
  <c r="W260" i="76"/>
  <c r="AC260" i="76"/>
  <c r="X260" i="76"/>
  <c r="S260" i="76"/>
  <c r="T260" i="76"/>
  <c r="U260" i="76"/>
  <c r="AA260" i="76"/>
  <c r="Y260" i="76"/>
  <c r="Z260" i="76"/>
  <c r="V260" i="76"/>
  <c r="AM260" i="76"/>
  <c r="AH260" i="76"/>
  <c r="AN260" i="76"/>
  <c r="AI260" i="76"/>
  <c r="AO260" i="76"/>
  <c r="AJ260" i="76"/>
  <c r="AP260" i="76"/>
  <c r="AK260" i="76"/>
  <c r="AL260" i="76"/>
  <c r="AG260" i="76"/>
  <c r="AF260" i="76"/>
  <c r="F262" i="76" l="1"/>
  <c r="R262" i="76"/>
  <c r="O261" i="76"/>
  <c r="H261" i="76"/>
  <c r="N261" i="76"/>
  <c r="I261" i="76"/>
  <c r="G261" i="76"/>
  <c r="M261" i="76"/>
  <c r="P261" i="76"/>
  <c r="K261" i="76"/>
  <c r="L261" i="76"/>
  <c r="J261" i="76"/>
  <c r="Q261" i="76"/>
  <c r="C262" i="76"/>
  <c r="A262" i="76"/>
  <c r="B262" i="76"/>
  <c r="D262" i="76"/>
  <c r="AR263" i="76"/>
  <c r="AD262" i="76"/>
  <c r="AE262" i="76"/>
  <c r="E262" i="76"/>
  <c r="Y261" i="76"/>
  <c r="T261" i="76"/>
  <c r="Z261" i="76"/>
  <c r="U261" i="76"/>
  <c r="AA261" i="76"/>
  <c r="AB261" i="76"/>
  <c r="AC261" i="76"/>
  <c r="X261" i="76"/>
  <c r="V261" i="76"/>
  <c r="W261" i="76"/>
  <c r="S261" i="76"/>
  <c r="AF261" i="76"/>
  <c r="AL261" i="76"/>
  <c r="AG261" i="76"/>
  <c r="AM261" i="76"/>
  <c r="AH261" i="76"/>
  <c r="AI261" i="76"/>
  <c r="AO261" i="76"/>
  <c r="AP261" i="76"/>
  <c r="AK261" i="76"/>
  <c r="AN261" i="76"/>
  <c r="AJ261" i="76"/>
  <c r="F263" i="76" l="1"/>
  <c r="R263" i="76"/>
  <c r="AG262" i="76"/>
  <c r="AM262" i="76"/>
  <c r="AH262" i="76"/>
  <c r="AN262" i="76"/>
  <c r="AI262" i="76"/>
  <c r="AO262" i="76"/>
  <c r="AJ262" i="76"/>
  <c r="AK262" i="76"/>
  <c r="AF262" i="76"/>
  <c r="AL262" i="76"/>
  <c r="AP262" i="76"/>
  <c r="C263" i="76"/>
  <c r="B263" i="76"/>
  <c r="AE263" i="76"/>
  <c r="D263" i="76"/>
  <c r="E263" i="76"/>
  <c r="A263" i="76"/>
  <c r="AD263" i="76"/>
  <c r="AR264" i="76"/>
  <c r="S262" i="76"/>
  <c r="U262" i="76"/>
  <c r="AA262" i="76"/>
  <c r="Z262" i="76"/>
  <c r="T262" i="76"/>
  <c r="AB262" i="76"/>
  <c r="AC262" i="76"/>
  <c r="X262" i="76"/>
  <c r="V262" i="76"/>
  <c r="Y262" i="76"/>
  <c r="W262" i="76"/>
  <c r="M262" i="76"/>
  <c r="H262" i="76"/>
  <c r="N262" i="76"/>
  <c r="I262" i="76"/>
  <c r="O262" i="76"/>
  <c r="J262" i="76"/>
  <c r="P262" i="76"/>
  <c r="K262" i="76"/>
  <c r="Q262" i="76"/>
  <c r="L262" i="76"/>
  <c r="G262" i="76"/>
  <c r="F264" i="76" l="1"/>
  <c r="R264" i="76"/>
  <c r="P263" i="76"/>
  <c r="K263" i="76"/>
  <c r="Q263" i="76"/>
  <c r="L263" i="76"/>
  <c r="G263" i="76"/>
  <c r="M263" i="76"/>
  <c r="H263" i="76"/>
  <c r="N263" i="76"/>
  <c r="I263" i="76"/>
  <c r="O263" i="76"/>
  <c r="J263" i="76"/>
  <c r="X263" i="76"/>
  <c r="S263" i="76"/>
  <c r="AB263" i="76"/>
  <c r="W263" i="76"/>
  <c r="AC263" i="76"/>
  <c r="Y263" i="76"/>
  <c r="AA263" i="76"/>
  <c r="V263" i="76"/>
  <c r="T263" i="76"/>
  <c r="Z263" i="76"/>
  <c r="U263" i="76"/>
  <c r="AO263" i="76"/>
  <c r="AJ263" i="76"/>
  <c r="AP263" i="76"/>
  <c r="AK263" i="76"/>
  <c r="AF263" i="76"/>
  <c r="AL263" i="76"/>
  <c r="AG263" i="76"/>
  <c r="AM263" i="76"/>
  <c r="AH263" i="76"/>
  <c r="AN263" i="76"/>
  <c r="AI263" i="76"/>
  <c r="AR265" i="76"/>
  <c r="D264" i="76"/>
  <c r="C264" i="76"/>
  <c r="AE264" i="76"/>
  <c r="B264" i="76"/>
  <c r="AD264" i="76"/>
  <c r="A264" i="76"/>
  <c r="E264" i="76"/>
  <c r="F265" i="76" l="1"/>
  <c r="R265" i="76"/>
  <c r="D265" i="76"/>
  <c r="C265" i="76"/>
  <c r="B265" i="76"/>
  <c r="AD265" i="76"/>
  <c r="A265" i="76"/>
  <c r="AE265" i="76"/>
  <c r="E265" i="76"/>
  <c r="AR266" i="76"/>
  <c r="W264" i="76"/>
  <c r="X264" i="76"/>
  <c r="S264" i="76"/>
  <c r="Y264" i="76"/>
  <c r="T264" i="76"/>
  <c r="U264" i="76"/>
  <c r="AC264" i="76"/>
  <c r="AA264" i="76"/>
  <c r="V264" i="76"/>
  <c r="AB264" i="76"/>
  <c r="Z264" i="76"/>
  <c r="Q264" i="76"/>
  <c r="L264" i="76"/>
  <c r="G264" i="76"/>
  <c r="M264" i="76"/>
  <c r="K264" i="76"/>
  <c r="P264" i="76"/>
  <c r="I264" i="76"/>
  <c r="O264" i="76"/>
  <c r="J264" i="76"/>
  <c r="H264" i="76"/>
  <c r="N264" i="76"/>
  <c r="AF264" i="76"/>
  <c r="AL264" i="76"/>
  <c r="AG264" i="76"/>
  <c r="AM264" i="76"/>
  <c r="AK264" i="76"/>
  <c r="AH264" i="76"/>
  <c r="AI264" i="76"/>
  <c r="AO264" i="76"/>
  <c r="AJ264" i="76"/>
  <c r="AP264" i="76"/>
  <c r="AN264" i="76"/>
  <c r="F266" i="76" l="1"/>
  <c r="R266" i="76"/>
  <c r="T265" i="76"/>
  <c r="Z265" i="76"/>
  <c r="U265" i="76"/>
  <c r="AA265" i="76"/>
  <c r="V265" i="76"/>
  <c r="AB265" i="76"/>
  <c r="W265" i="76"/>
  <c r="AC265" i="76"/>
  <c r="X265" i="76"/>
  <c r="S265" i="76"/>
  <c r="Y265" i="76"/>
  <c r="J265" i="76"/>
  <c r="K265" i="76"/>
  <c r="Q265" i="76"/>
  <c r="L265" i="76"/>
  <c r="G265" i="76"/>
  <c r="H265" i="76"/>
  <c r="N265" i="76"/>
  <c r="I265" i="76"/>
  <c r="O265" i="76"/>
  <c r="P265" i="76"/>
  <c r="M265" i="76"/>
  <c r="AO265" i="76"/>
  <c r="AJ265" i="76"/>
  <c r="AP265" i="76"/>
  <c r="AK265" i="76"/>
  <c r="AF265" i="76"/>
  <c r="AL265" i="76"/>
  <c r="AG265" i="76"/>
  <c r="AM265" i="76"/>
  <c r="AN265" i="76"/>
  <c r="AI265" i="76"/>
  <c r="AH265" i="76"/>
  <c r="AR267" i="76"/>
  <c r="C266" i="76"/>
  <c r="E266" i="76"/>
  <c r="D266" i="76"/>
  <c r="AD266" i="76"/>
  <c r="AE266" i="76"/>
  <c r="A266" i="76"/>
  <c r="B266" i="76"/>
  <c r="F267" i="76" l="1"/>
  <c r="R267" i="76"/>
  <c r="N266" i="76"/>
  <c r="I266" i="76"/>
  <c r="O266" i="76"/>
  <c r="J266" i="76"/>
  <c r="P266" i="76"/>
  <c r="K266" i="76"/>
  <c r="L266" i="76"/>
  <c r="G266" i="76"/>
  <c r="H266" i="76"/>
  <c r="Q266" i="76"/>
  <c r="M266" i="76"/>
  <c r="B267" i="76"/>
  <c r="AD267" i="76"/>
  <c r="A267" i="76"/>
  <c r="AE267" i="76"/>
  <c r="E267" i="76"/>
  <c r="D267" i="76"/>
  <c r="AR268" i="76"/>
  <c r="C267" i="76"/>
  <c r="AM266" i="76"/>
  <c r="AH266" i="76"/>
  <c r="AN266" i="76"/>
  <c r="AI266" i="76"/>
  <c r="AO266" i="76"/>
  <c r="AJ266" i="76"/>
  <c r="AP266" i="76"/>
  <c r="AF266" i="76"/>
  <c r="AL266" i="76"/>
  <c r="AG266" i="76"/>
  <c r="AK266" i="76"/>
  <c r="Z266" i="76"/>
  <c r="X266" i="76"/>
  <c r="S266" i="76"/>
  <c r="Y266" i="76"/>
  <c r="V266" i="76"/>
  <c r="W266" i="76"/>
  <c r="AC266" i="76"/>
  <c r="AB266" i="76"/>
  <c r="U266" i="76"/>
  <c r="AA266" i="76"/>
  <c r="T266" i="76"/>
  <c r="F268" i="76" l="1"/>
  <c r="R268" i="76"/>
  <c r="AR269" i="76"/>
  <c r="E268" i="76"/>
  <c r="D268" i="76"/>
  <c r="C268" i="76"/>
  <c r="B268" i="76"/>
  <c r="A268" i="76"/>
  <c r="AE268" i="76"/>
  <c r="AD268" i="76"/>
  <c r="O267" i="76"/>
  <c r="J267" i="76"/>
  <c r="P267" i="76"/>
  <c r="K267" i="76"/>
  <c r="Q267" i="76"/>
  <c r="L267" i="76"/>
  <c r="G267" i="76"/>
  <c r="M267" i="76"/>
  <c r="H267" i="76"/>
  <c r="N267" i="76"/>
  <c r="I267" i="76"/>
  <c r="X267" i="76"/>
  <c r="S267" i="76"/>
  <c r="Y267" i="76"/>
  <c r="T267" i="76"/>
  <c r="Z267" i="76"/>
  <c r="U267" i="76"/>
  <c r="AA267" i="76"/>
  <c r="V267" i="76"/>
  <c r="AB267" i="76"/>
  <c r="W267" i="76"/>
  <c r="AC267" i="76"/>
  <c r="AF267" i="76"/>
  <c r="AL267" i="76"/>
  <c r="AG267" i="76"/>
  <c r="AM267" i="76"/>
  <c r="AH267" i="76"/>
  <c r="AN267" i="76"/>
  <c r="AI267" i="76"/>
  <c r="AO267" i="76"/>
  <c r="AJ267" i="76"/>
  <c r="AP267" i="76"/>
  <c r="AK267" i="76"/>
  <c r="F269" i="76" l="1"/>
  <c r="R269" i="76"/>
  <c r="Y268" i="76"/>
  <c r="T268" i="76"/>
  <c r="Z268" i="76"/>
  <c r="U268" i="76"/>
  <c r="AA268" i="76"/>
  <c r="V268" i="76"/>
  <c r="AB268" i="76"/>
  <c r="W268" i="76"/>
  <c r="AC268" i="76"/>
  <c r="X268" i="76"/>
  <c r="S268" i="76"/>
  <c r="K268" i="76"/>
  <c r="Q268" i="76"/>
  <c r="L268" i="76"/>
  <c r="J268" i="76"/>
  <c r="H268" i="76"/>
  <c r="M268" i="76"/>
  <c r="N268" i="76"/>
  <c r="I268" i="76"/>
  <c r="G268" i="76"/>
  <c r="P268" i="76"/>
  <c r="O268" i="76"/>
  <c r="AG268" i="76"/>
  <c r="AM268" i="76"/>
  <c r="AH268" i="76"/>
  <c r="AF268" i="76"/>
  <c r="AL268" i="76"/>
  <c r="AO268" i="76"/>
  <c r="AJ268" i="76"/>
  <c r="AP268" i="76"/>
  <c r="AK268" i="76"/>
  <c r="AI268" i="76"/>
  <c r="AN268" i="76"/>
  <c r="A269" i="76"/>
  <c r="E269" i="76"/>
  <c r="AD269" i="76"/>
  <c r="AR270" i="76"/>
  <c r="C269" i="76"/>
  <c r="AE269" i="76"/>
  <c r="D269" i="76"/>
  <c r="B269" i="76"/>
  <c r="F270" i="76" l="1"/>
  <c r="R270" i="76"/>
  <c r="N269" i="76"/>
  <c r="M269" i="76"/>
  <c r="K269" i="76"/>
  <c r="Q269" i="76"/>
  <c r="L269" i="76"/>
  <c r="G269" i="76"/>
  <c r="P269" i="76"/>
  <c r="J269" i="76"/>
  <c r="I269" i="76"/>
  <c r="O269" i="76"/>
  <c r="H269" i="76"/>
  <c r="AF269" i="76"/>
  <c r="AL269" i="76"/>
  <c r="AG269" i="76"/>
  <c r="AM269" i="76"/>
  <c r="AH269" i="76"/>
  <c r="AN269" i="76"/>
  <c r="AI269" i="76"/>
  <c r="AO269" i="76"/>
  <c r="AJ269" i="76"/>
  <c r="AP269" i="76"/>
  <c r="AK269" i="76"/>
  <c r="B270" i="76"/>
  <c r="AE270" i="76"/>
  <c r="AR271" i="76"/>
  <c r="C270" i="76"/>
  <c r="A270" i="76"/>
  <c r="E270" i="76"/>
  <c r="AD270" i="76"/>
  <c r="D270" i="76"/>
  <c r="V269" i="76"/>
  <c r="AA269" i="76"/>
  <c r="X269" i="76"/>
  <c r="Y269" i="76"/>
  <c r="T269" i="76"/>
  <c r="Z269" i="76"/>
  <c r="U269" i="76"/>
  <c r="S269" i="76"/>
  <c r="AB269" i="76"/>
  <c r="W269" i="76"/>
  <c r="AC269" i="76"/>
  <c r="F271" i="76" l="1"/>
  <c r="R271" i="76"/>
  <c r="AB270" i="76"/>
  <c r="Z270" i="76"/>
  <c r="V270" i="76"/>
  <c r="U270" i="76"/>
  <c r="W270" i="76"/>
  <c r="T270" i="76"/>
  <c r="S270" i="76"/>
  <c r="X270" i="76"/>
  <c r="AA270" i="76"/>
  <c r="Y270" i="76"/>
  <c r="AC270" i="76"/>
  <c r="AO270" i="76"/>
  <c r="AJ270" i="76"/>
  <c r="AP270" i="76"/>
  <c r="AK270" i="76"/>
  <c r="AF270" i="76"/>
  <c r="AL270" i="76"/>
  <c r="AH270" i="76"/>
  <c r="AI270" i="76"/>
  <c r="AG270" i="76"/>
  <c r="AM270" i="76"/>
  <c r="AN270" i="76"/>
  <c r="P270" i="76"/>
  <c r="K270" i="76"/>
  <c r="Q270" i="76"/>
  <c r="L270" i="76"/>
  <c r="G270" i="76"/>
  <c r="M270" i="76"/>
  <c r="H270" i="76"/>
  <c r="N270" i="76"/>
  <c r="I270" i="76"/>
  <c r="O270" i="76"/>
  <c r="J270" i="76"/>
  <c r="B271" i="76"/>
  <c r="AR272" i="76"/>
  <c r="C271" i="76"/>
  <c r="AD271" i="76"/>
  <c r="E271" i="76"/>
  <c r="D271" i="76"/>
  <c r="AE271" i="76"/>
  <c r="A271" i="76"/>
  <c r="F272" i="76" l="1"/>
  <c r="R272" i="76"/>
  <c r="A272" i="76"/>
  <c r="AR273" i="76"/>
  <c r="E272" i="76"/>
  <c r="AD272" i="76"/>
  <c r="D272" i="76"/>
  <c r="C272" i="76"/>
  <c r="AE272" i="76"/>
  <c r="B272" i="76"/>
  <c r="Z271" i="76"/>
  <c r="U271" i="76"/>
  <c r="AA271" i="76"/>
  <c r="V271" i="76"/>
  <c r="AB271" i="76"/>
  <c r="W271" i="76"/>
  <c r="X271" i="76"/>
  <c r="S271" i="76"/>
  <c r="Y271" i="76"/>
  <c r="T271" i="76"/>
  <c r="AC271" i="76"/>
  <c r="AH271" i="76"/>
  <c r="AN271" i="76"/>
  <c r="AI271" i="76"/>
  <c r="AO271" i="76"/>
  <c r="AJ271" i="76"/>
  <c r="AP271" i="76"/>
  <c r="AK271" i="76"/>
  <c r="AL271" i="76"/>
  <c r="AG271" i="76"/>
  <c r="AM271" i="76"/>
  <c r="AF271" i="76"/>
  <c r="M271" i="76"/>
  <c r="H271" i="76"/>
  <c r="N271" i="76"/>
  <c r="I271" i="76"/>
  <c r="O271" i="76"/>
  <c r="J271" i="76"/>
  <c r="P271" i="76"/>
  <c r="K271" i="76"/>
  <c r="Q271" i="76"/>
  <c r="L271" i="76"/>
  <c r="G271" i="76"/>
  <c r="F273" i="76" l="1"/>
  <c r="R273" i="76"/>
  <c r="W272" i="76"/>
  <c r="AC272" i="76"/>
  <c r="X272" i="76"/>
  <c r="S272" i="76"/>
  <c r="Y272" i="76"/>
  <c r="T272" i="76"/>
  <c r="Z272" i="76"/>
  <c r="U272" i="76"/>
  <c r="V272" i="76"/>
  <c r="AB272" i="76"/>
  <c r="AA272" i="76"/>
  <c r="AG272" i="76"/>
  <c r="AM272" i="76"/>
  <c r="AH272" i="76"/>
  <c r="AN272" i="76"/>
  <c r="AI272" i="76"/>
  <c r="AO272" i="76"/>
  <c r="AJ272" i="76"/>
  <c r="AK272" i="76"/>
  <c r="AF272" i="76"/>
  <c r="AL272" i="76"/>
  <c r="AP272" i="76"/>
  <c r="P272" i="76"/>
  <c r="Q272" i="76"/>
  <c r="L272" i="76"/>
  <c r="G272" i="76"/>
  <c r="H272" i="76"/>
  <c r="M272" i="76"/>
  <c r="I272" i="76"/>
  <c r="O272" i="76"/>
  <c r="N272" i="76"/>
  <c r="K272" i="76"/>
  <c r="J272" i="76"/>
  <c r="B273" i="76"/>
  <c r="C273" i="76"/>
  <c r="D273" i="76"/>
  <c r="AD273" i="76"/>
  <c r="AR274" i="76"/>
  <c r="A273" i="76"/>
  <c r="AE273" i="76"/>
  <c r="E273" i="76"/>
  <c r="F274" i="76" l="1"/>
  <c r="R274" i="76"/>
  <c r="O273" i="76"/>
  <c r="P273" i="76"/>
  <c r="K273" i="76"/>
  <c r="Q273" i="76"/>
  <c r="L273" i="76"/>
  <c r="M273" i="76"/>
  <c r="J273" i="76"/>
  <c r="H273" i="76"/>
  <c r="N273" i="76"/>
  <c r="I273" i="76"/>
  <c r="G273" i="76"/>
  <c r="AO273" i="76"/>
  <c r="AJ273" i="76"/>
  <c r="AP273" i="76"/>
  <c r="AK273" i="76"/>
  <c r="AF273" i="76"/>
  <c r="AL273" i="76"/>
  <c r="AG273" i="76"/>
  <c r="AM273" i="76"/>
  <c r="AH273" i="76"/>
  <c r="AN273" i="76"/>
  <c r="AI273" i="76"/>
  <c r="AR275" i="76"/>
  <c r="E274" i="76"/>
  <c r="C274" i="76"/>
  <c r="D274" i="76"/>
  <c r="AE274" i="76"/>
  <c r="A274" i="76"/>
  <c r="B274" i="76"/>
  <c r="AD274" i="76"/>
  <c r="T273" i="76"/>
  <c r="Z273" i="76"/>
  <c r="X273" i="76"/>
  <c r="S273" i="76"/>
  <c r="Y273" i="76"/>
  <c r="AB273" i="76"/>
  <c r="W273" i="76"/>
  <c r="AC273" i="76"/>
  <c r="AA273" i="76"/>
  <c r="V273" i="76"/>
  <c r="U273" i="76"/>
  <c r="F275" i="76" l="1"/>
  <c r="R275" i="76"/>
  <c r="K274" i="76"/>
  <c r="Q274" i="76"/>
  <c r="L274" i="76"/>
  <c r="G274" i="76"/>
  <c r="M274" i="76"/>
  <c r="H274" i="76"/>
  <c r="N274" i="76"/>
  <c r="I274" i="76"/>
  <c r="O274" i="76"/>
  <c r="J274" i="76"/>
  <c r="P274" i="76"/>
  <c r="W274" i="76"/>
  <c r="Y274" i="76"/>
  <c r="U274" i="76"/>
  <c r="S274" i="76"/>
  <c r="AB274" i="76"/>
  <c r="X274" i="76"/>
  <c r="Z274" i="76"/>
  <c r="T274" i="76"/>
  <c r="AA274" i="76"/>
  <c r="V274" i="76"/>
  <c r="AC274" i="76"/>
  <c r="AP274" i="76"/>
  <c r="AK274" i="76"/>
  <c r="AF274" i="76"/>
  <c r="AL274" i="76"/>
  <c r="AG274" i="76"/>
  <c r="AM274" i="76"/>
  <c r="AH274" i="76"/>
  <c r="AN274" i="76"/>
  <c r="AI274" i="76"/>
  <c r="AO274" i="76"/>
  <c r="AJ274" i="76"/>
  <c r="C275" i="76"/>
  <c r="B275" i="76"/>
  <c r="AR276" i="76"/>
  <c r="A275" i="76"/>
  <c r="AE275" i="76"/>
  <c r="E275" i="76"/>
  <c r="AD275" i="76"/>
  <c r="D275" i="76"/>
  <c r="F276" i="76" l="1"/>
  <c r="R276" i="76"/>
  <c r="AN275" i="76"/>
  <c r="AI275" i="76"/>
  <c r="AO275" i="76"/>
  <c r="AJ275" i="76"/>
  <c r="AP275" i="76"/>
  <c r="AK275" i="76"/>
  <c r="AF275" i="76"/>
  <c r="AL275" i="76"/>
  <c r="AG275" i="76"/>
  <c r="AM275" i="76"/>
  <c r="AH275" i="76"/>
  <c r="A276" i="76"/>
  <c r="B276" i="76"/>
  <c r="C276" i="76"/>
  <c r="AE276" i="76"/>
  <c r="AR277" i="76"/>
  <c r="E276" i="76"/>
  <c r="AD276" i="76"/>
  <c r="D276" i="76"/>
  <c r="J275" i="76"/>
  <c r="P275" i="76"/>
  <c r="K275" i="76"/>
  <c r="Q275" i="76"/>
  <c r="L275" i="76"/>
  <c r="G275" i="76"/>
  <c r="M275" i="76"/>
  <c r="H275" i="76"/>
  <c r="N275" i="76"/>
  <c r="I275" i="76"/>
  <c r="O275" i="76"/>
  <c r="Y275" i="76"/>
  <c r="T275" i="76"/>
  <c r="Z275" i="76"/>
  <c r="U275" i="76"/>
  <c r="AA275" i="76"/>
  <c r="V275" i="76"/>
  <c r="AB275" i="76"/>
  <c r="W275" i="76"/>
  <c r="AC275" i="76"/>
  <c r="X275" i="76"/>
  <c r="S275" i="76"/>
  <c r="F277" i="76" l="1"/>
  <c r="R277" i="76"/>
  <c r="AL276" i="76"/>
  <c r="AG276" i="76"/>
  <c r="AM276" i="76"/>
  <c r="AH276" i="76"/>
  <c r="AN276" i="76"/>
  <c r="AI276" i="76"/>
  <c r="AO276" i="76"/>
  <c r="AJ276" i="76"/>
  <c r="AP276" i="76"/>
  <c r="AK276" i="76"/>
  <c r="AF276" i="76"/>
  <c r="O276" i="76"/>
  <c r="J276" i="76"/>
  <c r="P276" i="76"/>
  <c r="K276" i="76"/>
  <c r="Q276" i="76"/>
  <c r="L276" i="76"/>
  <c r="G276" i="76"/>
  <c r="M276" i="76"/>
  <c r="H276" i="76"/>
  <c r="N276" i="76"/>
  <c r="I276" i="76"/>
  <c r="D277" i="76"/>
  <c r="AR278" i="76"/>
  <c r="C277" i="76"/>
  <c r="AE277" i="76"/>
  <c r="E277" i="76"/>
  <c r="B277" i="76"/>
  <c r="AD277" i="76"/>
  <c r="A277" i="76"/>
  <c r="AC276" i="76"/>
  <c r="X276" i="76"/>
  <c r="S276" i="76"/>
  <c r="Y276" i="76"/>
  <c r="T276" i="76"/>
  <c r="Z276" i="76"/>
  <c r="U276" i="76"/>
  <c r="AA276" i="76"/>
  <c r="V276" i="76"/>
  <c r="AB276" i="76"/>
  <c r="W276" i="76"/>
  <c r="F278" i="76" l="1"/>
  <c r="R278" i="76"/>
  <c r="Z277" i="76"/>
  <c r="U277" i="76"/>
  <c r="AA277" i="76"/>
  <c r="V277" i="76"/>
  <c r="AB277" i="76"/>
  <c r="W277" i="76"/>
  <c r="AC277" i="76"/>
  <c r="X277" i="76"/>
  <c r="S277" i="76"/>
  <c r="Y277" i="76"/>
  <c r="T277" i="76"/>
  <c r="L277" i="76"/>
  <c r="G277" i="76"/>
  <c r="M277" i="76"/>
  <c r="H277" i="76"/>
  <c r="N277" i="76"/>
  <c r="I277" i="76"/>
  <c r="O277" i="76"/>
  <c r="J277" i="76"/>
  <c r="P277" i="76"/>
  <c r="K277" i="76"/>
  <c r="Q277" i="76"/>
  <c r="AM277" i="76"/>
  <c r="AH277" i="76"/>
  <c r="AN277" i="76"/>
  <c r="AI277" i="76"/>
  <c r="AO277" i="76"/>
  <c r="AJ277" i="76"/>
  <c r="AP277" i="76"/>
  <c r="AK277" i="76"/>
  <c r="AF277" i="76"/>
  <c r="AL277" i="76"/>
  <c r="AG277" i="76"/>
  <c r="AR279" i="76"/>
  <c r="C278" i="76"/>
  <c r="AD278" i="76"/>
  <c r="AE278" i="76"/>
  <c r="B278" i="76"/>
  <c r="D278" i="76"/>
  <c r="E278" i="76"/>
  <c r="A278" i="76"/>
  <c r="F279" i="76" l="1"/>
  <c r="R279" i="76"/>
  <c r="M278" i="76"/>
  <c r="H278" i="76"/>
  <c r="N278" i="76"/>
  <c r="I278" i="76"/>
  <c r="O278" i="76"/>
  <c r="J278" i="76"/>
  <c r="P278" i="76"/>
  <c r="K278" i="76"/>
  <c r="Q278" i="76"/>
  <c r="L278" i="76"/>
  <c r="G278" i="76"/>
  <c r="B279" i="76"/>
  <c r="E279" i="76"/>
  <c r="AR280" i="76"/>
  <c r="A279" i="76"/>
  <c r="AD279" i="76"/>
  <c r="C279" i="76"/>
  <c r="AE279" i="76"/>
  <c r="D279" i="76"/>
  <c r="AB278" i="76"/>
  <c r="S278" i="76"/>
  <c r="AC278" i="76"/>
  <c r="X278" i="76"/>
  <c r="V278" i="76"/>
  <c r="Y278" i="76"/>
  <c r="T278" i="76"/>
  <c r="W278" i="76"/>
  <c r="U278" i="76"/>
  <c r="AA278" i="76"/>
  <c r="Z278" i="76"/>
  <c r="AG278" i="76"/>
  <c r="AH278" i="76"/>
  <c r="AI278" i="76"/>
  <c r="AO278" i="76"/>
  <c r="AJ278" i="76"/>
  <c r="AP278" i="76"/>
  <c r="AK278" i="76"/>
  <c r="AF278" i="76"/>
  <c r="AL278" i="76"/>
  <c r="AM278" i="76"/>
  <c r="AN278" i="76"/>
  <c r="F280" i="76" l="1"/>
  <c r="R280" i="76"/>
  <c r="H279" i="76"/>
  <c r="N279" i="76"/>
  <c r="I279" i="76"/>
  <c r="O279" i="76"/>
  <c r="J279" i="76"/>
  <c r="P279" i="76"/>
  <c r="K279" i="76"/>
  <c r="Q279" i="76"/>
  <c r="L279" i="76"/>
  <c r="G279" i="76"/>
  <c r="M279" i="76"/>
  <c r="X279" i="76"/>
  <c r="S279" i="76"/>
  <c r="Y279" i="76"/>
  <c r="T279" i="76"/>
  <c r="Z279" i="76"/>
  <c r="U279" i="76"/>
  <c r="AA279" i="76"/>
  <c r="V279" i="76"/>
  <c r="AB279" i="76"/>
  <c r="W279" i="76"/>
  <c r="AC279" i="76"/>
  <c r="AO279" i="76"/>
  <c r="AJ279" i="76"/>
  <c r="AP279" i="76"/>
  <c r="AK279" i="76"/>
  <c r="AF279" i="76"/>
  <c r="AL279" i="76"/>
  <c r="AG279" i="76"/>
  <c r="AM279" i="76"/>
  <c r="AH279" i="76"/>
  <c r="AN279" i="76"/>
  <c r="AI279" i="76"/>
  <c r="E280" i="76"/>
  <c r="D280" i="76"/>
  <c r="A280" i="76"/>
  <c r="AE280" i="76"/>
  <c r="AR281" i="76"/>
  <c r="B280" i="76"/>
  <c r="AD280" i="76"/>
  <c r="C280" i="76"/>
  <c r="F281" i="76" l="1"/>
  <c r="R281" i="76"/>
  <c r="K280" i="76"/>
  <c r="O280" i="76"/>
  <c r="H280" i="76"/>
  <c r="M280" i="76"/>
  <c r="Q280" i="76"/>
  <c r="L280" i="76"/>
  <c r="G280" i="76"/>
  <c r="P280" i="76"/>
  <c r="N280" i="76"/>
  <c r="I280" i="76"/>
  <c r="J280" i="76"/>
  <c r="AP280" i="76"/>
  <c r="AK280" i="76"/>
  <c r="AI280" i="76"/>
  <c r="AO280" i="76"/>
  <c r="AJ280" i="76"/>
  <c r="AM280" i="76"/>
  <c r="AH280" i="76"/>
  <c r="AF280" i="76"/>
  <c r="AL280" i="76"/>
  <c r="AG280" i="76"/>
  <c r="AN280" i="76"/>
  <c r="C281" i="76"/>
  <c r="A281" i="76"/>
  <c r="E281" i="76"/>
  <c r="B281" i="76"/>
  <c r="AD281" i="76"/>
  <c r="AR282" i="76"/>
  <c r="AE281" i="76"/>
  <c r="D281" i="76"/>
  <c r="W280" i="76"/>
  <c r="AC280" i="76"/>
  <c r="X280" i="76"/>
  <c r="S280" i="76"/>
  <c r="Y280" i="76"/>
  <c r="T280" i="76"/>
  <c r="Z280" i="76"/>
  <c r="U280" i="76"/>
  <c r="AA280" i="76"/>
  <c r="V280" i="76"/>
  <c r="AB280" i="76"/>
  <c r="F282" i="76" l="1"/>
  <c r="R282" i="76"/>
  <c r="D282" i="76"/>
  <c r="A282" i="76"/>
  <c r="AR283" i="76"/>
  <c r="E282" i="76"/>
  <c r="AE282" i="76"/>
  <c r="B282" i="76"/>
  <c r="AD282" i="76"/>
  <c r="C282" i="76"/>
  <c r="T281" i="76"/>
  <c r="Z281" i="76"/>
  <c r="U281" i="76"/>
  <c r="AA281" i="76"/>
  <c r="V281" i="76"/>
  <c r="AB281" i="76"/>
  <c r="W281" i="76"/>
  <c r="AC281" i="76"/>
  <c r="X281" i="76"/>
  <c r="S281" i="76"/>
  <c r="Y281" i="76"/>
  <c r="M281" i="76"/>
  <c r="H281" i="76"/>
  <c r="O281" i="76"/>
  <c r="Q281" i="76"/>
  <c r="L281" i="76"/>
  <c r="J281" i="76"/>
  <c r="P281" i="76"/>
  <c r="K281" i="76"/>
  <c r="N281" i="76"/>
  <c r="I281" i="76"/>
  <c r="G281" i="76"/>
  <c r="AL281" i="76"/>
  <c r="AG281" i="76"/>
  <c r="AM281" i="76"/>
  <c r="AH281" i="76"/>
  <c r="AN281" i="76"/>
  <c r="AI281" i="76"/>
  <c r="AO281" i="76"/>
  <c r="AJ281" i="76"/>
  <c r="AP281" i="76"/>
  <c r="AK281" i="76"/>
  <c r="AF281" i="76"/>
  <c r="F283" i="76" l="1"/>
  <c r="R283" i="76"/>
  <c r="K282" i="76"/>
  <c r="Q282" i="76"/>
  <c r="L282" i="76"/>
  <c r="G282" i="76"/>
  <c r="M282" i="76"/>
  <c r="H282" i="76"/>
  <c r="N282" i="76"/>
  <c r="I282" i="76"/>
  <c r="O282" i="76"/>
  <c r="J282" i="76"/>
  <c r="P282" i="76"/>
  <c r="AL282" i="76"/>
  <c r="AG282" i="76"/>
  <c r="AM282" i="76"/>
  <c r="AH282" i="76"/>
  <c r="AN282" i="76"/>
  <c r="AI282" i="76"/>
  <c r="AO282" i="76"/>
  <c r="AJ282" i="76"/>
  <c r="AP282" i="76"/>
  <c r="AK282" i="76"/>
  <c r="AF282" i="76"/>
  <c r="S282" i="76"/>
  <c r="U282" i="76"/>
  <c r="T282" i="76"/>
  <c r="Z282" i="76"/>
  <c r="X282" i="76"/>
  <c r="AA282" i="76"/>
  <c r="V282" i="76"/>
  <c r="Y282" i="76"/>
  <c r="W282" i="76"/>
  <c r="AC282" i="76"/>
  <c r="AB282" i="76"/>
  <c r="AD283" i="76"/>
  <c r="E283" i="76"/>
  <c r="C283" i="76"/>
  <c r="D283" i="76"/>
  <c r="A283" i="76"/>
  <c r="AR284" i="76"/>
  <c r="AE283" i="76"/>
  <c r="B283" i="76"/>
  <c r="F284" i="76" l="1"/>
  <c r="R284" i="76"/>
  <c r="AJ283" i="76"/>
  <c r="AP283" i="76"/>
  <c r="AK283" i="76"/>
  <c r="AF283" i="76"/>
  <c r="AL283" i="76"/>
  <c r="AG283" i="76"/>
  <c r="AM283" i="76"/>
  <c r="AN283" i="76"/>
  <c r="AI283" i="76"/>
  <c r="AH283" i="76"/>
  <c r="AO283" i="76"/>
  <c r="AR285" i="76"/>
  <c r="A284" i="76"/>
  <c r="AD284" i="76"/>
  <c r="C284" i="76"/>
  <c r="B284" i="76"/>
  <c r="AE284" i="76"/>
  <c r="D284" i="76"/>
  <c r="E284" i="76"/>
  <c r="H283" i="76"/>
  <c r="N283" i="76"/>
  <c r="I283" i="76"/>
  <c r="O283" i="76"/>
  <c r="J283" i="76"/>
  <c r="P283" i="76"/>
  <c r="K283" i="76"/>
  <c r="Q283" i="76"/>
  <c r="L283" i="76"/>
  <c r="G283" i="76"/>
  <c r="M283" i="76"/>
  <c r="AA283" i="76"/>
  <c r="V283" i="76"/>
  <c r="AB283" i="76"/>
  <c r="W283" i="76"/>
  <c r="AC283" i="76"/>
  <c r="X283" i="76"/>
  <c r="S283" i="76"/>
  <c r="T283" i="76"/>
  <c r="Z283" i="76"/>
  <c r="U283" i="76"/>
  <c r="Y283" i="76"/>
  <c r="F285" i="76" l="1"/>
  <c r="R285" i="76"/>
  <c r="N284" i="76"/>
  <c r="O284" i="76"/>
  <c r="J284" i="76"/>
  <c r="P284" i="76"/>
  <c r="K284" i="76"/>
  <c r="I284" i="76"/>
  <c r="L284" i="76"/>
  <c r="G284" i="76"/>
  <c r="M284" i="76"/>
  <c r="H284" i="76"/>
  <c r="Q284" i="76"/>
  <c r="AE285" i="76"/>
  <c r="A285" i="76"/>
  <c r="E285" i="76"/>
  <c r="AR286" i="76"/>
  <c r="D285" i="76"/>
  <c r="C285" i="76"/>
  <c r="AD285" i="76"/>
  <c r="B285" i="76"/>
  <c r="AP284" i="76"/>
  <c r="AN284" i="76"/>
  <c r="AI284" i="76"/>
  <c r="AO284" i="76"/>
  <c r="AM284" i="76"/>
  <c r="AG284" i="76"/>
  <c r="AK284" i="76"/>
  <c r="AF284" i="76"/>
  <c r="AL284" i="76"/>
  <c r="AJ284" i="76"/>
  <c r="AH284" i="76"/>
  <c r="AB284" i="76"/>
  <c r="AC284" i="76"/>
  <c r="X284" i="76"/>
  <c r="S284" i="76"/>
  <c r="T284" i="76"/>
  <c r="Y284" i="76"/>
  <c r="W284" i="76"/>
  <c r="U284" i="76"/>
  <c r="AA284" i="76"/>
  <c r="V284" i="76"/>
  <c r="Z284" i="76"/>
  <c r="F286" i="76" l="1"/>
  <c r="R286" i="76"/>
  <c r="AC285" i="76"/>
  <c r="X285" i="76"/>
  <c r="S285" i="76"/>
  <c r="Y285" i="76"/>
  <c r="T285" i="76"/>
  <c r="Z285" i="76"/>
  <c r="U285" i="76"/>
  <c r="AA285" i="76"/>
  <c r="V285" i="76"/>
  <c r="AB285" i="76"/>
  <c r="W285" i="76"/>
  <c r="J285" i="76"/>
  <c r="P285" i="76"/>
  <c r="K285" i="76"/>
  <c r="I285" i="76"/>
  <c r="G285" i="76"/>
  <c r="L285" i="76"/>
  <c r="M285" i="76"/>
  <c r="H285" i="76"/>
  <c r="Q285" i="76"/>
  <c r="O285" i="76"/>
  <c r="N285" i="76"/>
  <c r="AM285" i="76"/>
  <c r="AH285" i="76"/>
  <c r="AN285" i="76"/>
  <c r="AI285" i="76"/>
  <c r="AO285" i="76"/>
  <c r="AJ285" i="76"/>
  <c r="AP285" i="76"/>
  <c r="AK285" i="76"/>
  <c r="AF285" i="76"/>
  <c r="AL285" i="76"/>
  <c r="AG285" i="76"/>
  <c r="AE286" i="76"/>
  <c r="AD286" i="76"/>
  <c r="C286" i="76"/>
  <c r="D286" i="76"/>
  <c r="B286" i="76"/>
  <c r="A286" i="76"/>
  <c r="AR287" i="76"/>
  <c r="E286" i="76"/>
  <c r="F287" i="76" l="1"/>
  <c r="R287" i="76"/>
  <c r="A287" i="76"/>
  <c r="E287" i="76"/>
  <c r="D287" i="76"/>
  <c r="C287" i="76"/>
  <c r="AE287" i="76"/>
  <c r="AR288" i="76"/>
  <c r="B287" i="76"/>
  <c r="AD287" i="76"/>
  <c r="AO286" i="76"/>
  <c r="AJ286" i="76"/>
  <c r="AP286" i="76"/>
  <c r="AK286" i="76"/>
  <c r="AF286" i="76"/>
  <c r="AL286" i="76"/>
  <c r="AG286" i="76"/>
  <c r="AM286" i="76"/>
  <c r="AH286" i="76"/>
  <c r="AN286" i="76"/>
  <c r="AI286" i="76"/>
  <c r="Y286" i="76"/>
  <c r="T286" i="76"/>
  <c r="S286" i="76"/>
  <c r="U286" i="76"/>
  <c r="W286" i="76"/>
  <c r="V286" i="76"/>
  <c r="AB286" i="76"/>
  <c r="Z286" i="76"/>
  <c r="AC286" i="76"/>
  <c r="X286" i="76"/>
  <c r="AA286" i="76"/>
  <c r="P286" i="76"/>
  <c r="K286" i="76"/>
  <c r="Q286" i="76"/>
  <c r="L286" i="76"/>
  <c r="G286" i="76"/>
  <c r="M286" i="76"/>
  <c r="H286" i="76"/>
  <c r="N286" i="76"/>
  <c r="I286" i="76"/>
  <c r="O286" i="76"/>
  <c r="J286" i="76"/>
  <c r="F288" i="76" l="1"/>
  <c r="R288" i="76"/>
  <c r="J287" i="76"/>
  <c r="P287" i="76"/>
  <c r="K287" i="76"/>
  <c r="Q287" i="76"/>
  <c r="L287" i="76"/>
  <c r="G287" i="76"/>
  <c r="M287" i="76"/>
  <c r="H287" i="76"/>
  <c r="N287" i="76"/>
  <c r="I287" i="76"/>
  <c r="O287" i="76"/>
  <c r="AH287" i="76"/>
  <c r="AN287" i="76"/>
  <c r="AI287" i="76"/>
  <c r="AO287" i="76"/>
  <c r="AJ287" i="76"/>
  <c r="AP287" i="76"/>
  <c r="AK287" i="76"/>
  <c r="AF287" i="76"/>
  <c r="AL287" i="76"/>
  <c r="AG287" i="76"/>
  <c r="AM287" i="76"/>
  <c r="A288" i="76"/>
  <c r="E288" i="76"/>
  <c r="D288" i="76"/>
  <c r="AE288" i="76"/>
  <c r="AR289" i="76"/>
  <c r="C288" i="76"/>
  <c r="AD288" i="76"/>
  <c r="B288" i="76"/>
  <c r="V287" i="76"/>
  <c r="AB287" i="76"/>
  <c r="W287" i="76"/>
  <c r="AC287" i="76"/>
  <c r="X287" i="76"/>
  <c r="S287" i="76"/>
  <c r="Y287" i="76"/>
  <c r="T287" i="76"/>
  <c r="Z287" i="76"/>
  <c r="U287" i="76"/>
  <c r="AA287" i="76"/>
  <c r="F289" i="76" l="1"/>
  <c r="R289" i="76"/>
  <c r="K288" i="76"/>
  <c r="I288" i="76"/>
  <c r="O288" i="76"/>
  <c r="J288" i="76"/>
  <c r="H288" i="76"/>
  <c r="M288" i="76"/>
  <c r="Q288" i="76"/>
  <c r="L288" i="76"/>
  <c r="G288" i="76"/>
  <c r="P288" i="76"/>
  <c r="N288" i="76"/>
  <c r="AR290" i="76"/>
  <c r="E289" i="76"/>
  <c r="AE289" i="76"/>
  <c r="D289" i="76"/>
  <c r="C289" i="76"/>
  <c r="B289" i="76"/>
  <c r="A289" i="76"/>
  <c r="AD289" i="76"/>
  <c r="Z288" i="76"/>
  <c r="AA288" i="76"/>
  <c r="W288" i="76"/>
  <c r="AC288" i="76"/>
  <c r="X288" i="76"/>
  <c r="S288" i="76"/>
  <c r="Y288" i="76"/>
  <c r="T288" i="76"/>
  <c r="U288" i="76"/>
  <c r="V288" i="76"/>
  <c r="AB288" i="76"/>
  <c r="AO288" i="76"/>
  <c r="AP288" i="76"/>
  <c r="AN288" i="76"/>
  <c r="AI288" i="76"/>
  <c r="AG288" i="76"/>
  <c r="AH288" i="76"/>
  <c r="AJ288" i="76"/>
  <c r="AK288" i="76"/>
  <c r="AF288" i="76"/>
  <c r="AL288" i="76"/>
  <c r="AM288" i="76"/>
  <c r="F290" i="76" l="1"/>
  <c r="R290" i="76"/>
  <c r="AB289" i="76"/>
  <c r="W289" i="76"/>
  <c r="AC289" i="76"/>
  <c r="AA289" i="76"/>
  <c r="Y289" i="76"/>
  <c r="V289" i="76"/>
  <c r="T289" i="76"/>
  <c r="Z289" i="76"/>
  <c r="U289" i="76"/>
  <c r="S289" i="76"/>
  <c r="X289" i="76"/>
  <c r="L289" i="76"/>
  <c r="G289" i="76"/>
  <c r="M289" i="76"/>
  <c r="H289" i="76"/>
  <c r="Q289" i="76"/>
  <c r="K289" i="76"/>
  <c r="O289" i="76"/>
  <c r="J289" i="76"/>
  <c r="P289" i="76"/>
  <c r="N289" i="76"/>
  <c r="I289" i="76"/>
  <c r="AO289" i="76"/>
  <c r="AJ289" i="76"/>
  <c r="AH289" i="76"/>
  <c r="AI289" i="76"/>
  <c r="AK289" i="76"/>
  <c r="AL289" i="76"/>
  <c r="AG289" i="76"/>
  <c r="AM289" i="76"/>
  <c r="AN289" i="76"/>
  <c r="AP289" i="76"/>
  <c r="AF289" i="76"/>
  <c r="AE290" i="76"/>
  <c r="B290" i="76"/>
  <c r="AD290" i="76"/>
  <c r="E290" i="76"/>
  <c r="C290" i="76"/>
  <c r="D290" i="76"/>
  <c r="A290" i="76"/>
  <c r="AR291" i="76"/>
  <c r="F291" i="76" l="1"/>
  <c r="R291" i="76"/>
  <c r="C291" i="76"/>
  <c r="AR292" i="76"/>
  <c r="D291" i="76"/>
  <c r="AE291" i="76"/>
  <c r="B291" i="76"/>
  <c r="E291" i="76"/>
  <c r="A291" i="76"/>
  <c r="AD291" i="76"/>
  <c r="Z290" i="76"/>
  <c r="T290" i="76"/>
  <c r="AA290" i="76"/>
  <c r="V290" i="76"/>
  <c r="AC290" i="76"/>
  <c r="W290" i="76"/>
  <c r="Y290" i="76"/>
  <c r="U290" i="76"/>
  <c r="S290" i="76"/>
  <c r="AB290" i="76"/>
  <c r="X290" i="76"/>
  <c r="O290" i="76"/>
  <c r="P290" i="76"/>
  <c r="Q290" i="76"/>
  <c r="G290" i="76"/>
  <c r="M290" i="76"/>
  <c r="H290" i="76"/>
  <c r="N290" i="76"/>
  <c r="I290" i="76"/>
  <c r="J290" i="76"/>
  <c r="K290" i="76"/>
  <c r="L290" i="76"/>
  <c r="AP290" i="76"/>
  <c r="AL290" i="76"/>
  <c r="AM290" i="76"/>
  <c r="AH290" i="76"/>
  <c r="AN290" i="76"/>
  <c r="AI290" i="76"/>
  <c r="AO290" i="76"/>
  <c r="AJ290" i="76"/>
  <c r="AK290" i="76"/>
  <c r="AF290" i="76"/>
  <c r="AG290" i="76"/>
  <c r="F292" i="76" l="1"/>
  <c r="R292" i="76"/>
  <c r="Y291" i="76"/>
  <c r="T291" i="76"/>
  <c r="Z291" i="76"/>
  <c r="U291" i="76"/>
  <c r="AA291" i="76"/>
  <c r="V291" i="76"/>
  <c r="AB291" i="76"/>
  <c r="W291" i="76"/>
  <c r="AC291" i="76"/>
  <c r="X291" i="76"/>
  <c r="S291" i="76"/>
  <c r="Q291" i="76"/>
  <c r="J291" i="76"/>
  <c r="P291" i="76"/>
  <c r="K291" i="76"/>
  <c r="I291" i="76"/>
  <c r="G291" i="76"/>
  <c r="O291" i="76"/>
  <c r="M291" i="76"/>
  <c r="H291" i="76"/>
  <c r="N291" i="76"/>
  <c r="L291" i="76"/>
  <c r="AH291" i="76"/>
  <c r="AF291" i="76"/>
  <c r="AL291" i="76"/>
  <c r="AG291" i="76"/>
  <c r="AP291" i="76"/>
  <c r="AJ291" i="76"/>
  <c r="AN291" i="76"/>
  <c r="AI291" i="76"/>
  <c r="AO291" i="76"/>
  <c r="AM291" i="76"/>
  <c r="AK291" i="76"/>
  <c r="D292" i="76"/>
  <c r="E292" i="76"/>
  <c r="AR293" i="76"/>
  <c r="AE292" i="76"/>
  <c r="AD292" i="76"/>
  <c r="C292" i="76"/>
  <c r="B292" i="76"/>
  <c r="A292" i="76"/>
  <c r="F293" i="76" l="1"/>
  <c r="R293" i="76"/>
  <c r="AI292" i="76"/>
  <c r="AO292" i="76"/>
  <c r="AJ292" i="76"/>
  <c r="AP292" i="76"/>
  <c r="AN292" i="76"/>
  <c r="AH292" i="76"/>
  <c r="AL292" i="76"/>
  <c r="AG292" i="76"/>
  <c r="AM292" i="76"/>
  <c r="AK292" i="76"/>
  <c r="AF292" i="76"/>
  <c r="AC292" i="76"/>
  <c r="X292" i="76"/>
  <c r="S292" i="76"/>
  <c r="Y292" i="76"/>
  <c r="T292" i="76"/>
  <c r="Z292" i="76"/>
  <c r="U292" i="76"/>
  <c r="AA292" i="76"/>
  <c r="V292" i="76"/>
  <c r="AB292" i="76"/>
  <c r="W292" i="76"/>
  <c r="K292" i="76"/>
  <c r="O292" i="76"/>
  <c r="J292" i="76"/>
  <c r="P292" i="76"/>
  <c r="N292" i="76"/>
  <c r="L292" i="76"/>
  <c r="I292" i="76"/>
  <c r="G292" i="76"/>
  <c r="M292" i="76"/>
  <c r="H292" i="76"/>
  <c r="Q292" i="76"/>
  <c r="A293" i="76"/>
  <c r="AR294" i="76"/>
  <c r="B293" i="76"/>
  <c r="D293" i="76"/>
  <c r="C293" i="76"/>
  <c r="AD293" i="76"/>
  <c r="E293" i="76"/>
  <c r="AE293" i="76"/>
  <c r="F294" i="76" l="1"/>
  <c r="R294" i="76"/>
  <c r="AM293" i="76"/>
  <c r="AH293" i="76"/>
  <c r="AN293" i="76"/>
  <c r="AI293" i="76"/>
  <c r="AO293" i="76"/>
  <c r="AP293" i="76"/>
  <c r="AK293" i="76"/>
  <c r="AL293" i="76"/>
  <c r="AG293" i="76"/>
  <c r="AJ293" i="76"/>
  <c r="AF293" i="76"/>
  <c r="G293" i="76"/>
  <c r="H293" i="76"/>
  <c r="N293" i="76"/>
  <c r="I293" i="76"/>
  <c r="J293" i="76"/>
  <c r="P293" i="76"/>
  <c r="K293" i="76"/>
  <c r="O293" i="76"/>
  <c r="L293" i="76"/>
  <c r="Q293" i="76"/>
  <c r="M293" i="76"/>
  <c r="Z293" i="76"/>
  <c r="U293" i="76"/>
  <c r="AA293" i="76"/>
  <c r="V293" i="76"/>
  <c r="AB293" i="76"/>
  <c r="W293" i="76"/>
  <c r="AC293" i="76"/>
  <c r="X293" i="76"/>
  <c r="Y293" i="76"/>
  <c r="T293" i="76"/>
  <c r="S293" i="76"/>
  <c r="D294" i="76"/>
  <c r="B294" i="76"/>
  <c r="C294" i="76"/>
  <c r="E294" i="76"/>
  <c r="AD294" i="76"/>
  <c r="A294" i="76"/>
  <c r="AE294" i="76"/>
  <c r="AR295" i="76"/>
  <c r="F295" i="76" l="1"/>
  <c r="R295" i="76"/>
  <c r="D295" i="76"/>
  <c r="AR296" i="76"/>
  <c r="AD295" i="76"/>
  <c r="C295" i="76"/>
  <c r="B295" i="76"/>
  <c r="A295" i="76"/>
  <c r="AE295" i="76"/>
  <c r="E295" i="76"/>
  <c r="H294" i="76"/>
  <c r="P294" i="76"/>
  <c r="K294" i="76"/>
  <c r="Q294" i="76"/>
  <c r="L294" i="76"/>
  <c r="G294" i="76"/>
  <c r="M294" i="76"/>
  <c r="N294" i="76"/>
  <c r="I294" i="76"/>
  <c r="O294" i="76"/>
  <c r="J294" i="76"/>
  <c r="AB294" i="76"/>
  <c r="AC294" i="76"/>
  <c r="X294" i="76"/>
  <c r="V294" i="76"/>
  <c r="Y294" i="76"/>
  <c r="S294" i="76"/>
  <c r="W294" i="76"/>
  <c r="U294" i="76"/>
  <c r="AA294" i="76"/>
  <c r="Z294" i="76"/>
  <c r="T294" i="76"/>
  <c r="AG294" i="76"/>
  <c r="AH294" i="76"/>
  <c r="AN294" i="76"/>
  <c r="AI294" i="76"/>
  <c r="AO294" i="76"/>
  <c r="AP294" i="76"/>
  <c r="AM294" i="76"/>
  <c r="AK294" i="76"/>
  <c r="AF294" i="76"/>
  <c r="AL294" i="76"/>
  <c r="AJ294" i="76"/>
  <c r="F296" i="76" l="1"/>
  <c r="R296" i="76"/>
  <c r="E296" i="76"/>
  <c r="D296" i="76"/>
  <c r="AE296" i="76"/>
  <c r="A296" i="76"/>
  <c r="B296" i="76"/>
  <c r="AR297" i="76"/>
  <c r="C296" i="76"/>
  <c r="AD296" i="76"/>
  <c r="AH295" i="76"/>
  <c r="AN295" i="76"/>
  <c r="AI295" i="76"/>
  <c r="AO295" i="76"/>
  <c r="AJ295" i="76"/>
  <c r="AP295" i="76"/>
  <c r="AK295" i="76"/>
  <c r="AF295" i="76"/>
  <c r="AL295" i="76"/>
  <c r="AG295" i="76"/>
  <c r="AM295" i="76"/>
  <c r="X295" i="76"/>
  <c r="S295" i="76"/>
  <c r="Y295" i="76"/>
  <c r="T295" i="76"/>
  <c r="Z295" i="76"/>
  <c r="U295" i="76"/>
  <c r="AC295" i="76"/>
  <c r="AA295" i="76"/>
  <c r="V295" i="76"/>
  <c r="AB295" i="76"/>
  <c r="W295" i="76"/>
  <c r="O295" i="76"/>
  <c r="J295" i="76"/>
  <c r="P295" i="76"/>
  <c r="K295" i="76"/>
  <c r="Q295" i="76"/>
  <c r="G295" i="76"/>
  <c r="H295" i="76"/>
  <c r="N295" i="76"/>
  <c r="L295" i="76"/>
  <c r="M295" i="76"/>
  <c r="I295" i="76"/>
  <c r="F297" i="76" l="1"/>
  <c r="R297" i="76"/>
  <c r="C297" i="76"/>
  <c r="AD297" i="76"/>
  <c r="AR298" i="76"/>
  <c r="E297" i="76"/>
  <c r="AE297" i="76"/>
  <c r="D297" i="76"/>
  <c r="B297" i="76"/>
  <c r="A297" i="76"/>
  <c r="J296" i="76"/>
  <c r="K296" i="76"/>
  <c r="Q296" i="76"/>
  <c r="L296" i="76"/>
  <c r="G296" i="76"/>
  <c r="M296" i="76"/>
  <c r="H296" i="76"/>
  <c r="N296" i="76"/>
  <c r="I296" i="76"/>
  <c r="O296" i="76"/>
  <c r="P296" i="76"/>
  <c r="Z296" i="76"/>
  <c r="U296" i="76"/>
  <c r="AA296" i="76"/>
  <c r="V296" i="76"/>
  <c r="AB296" i="76"/>
  <c r="W296" i="76"/>
  <c r="AC296" i="76"/>
  <c r="X296" i="76"/>
  <c r="S296" i="76"/>
  <c r="Y296" i="76"/>
  <c r="T296" i="76"/>
  <c r="AI296" i="76"/>
  <c r="AO296" i="76"/>
  <c r="AJ296" i="76"/>
  <c r="AP296" i="76"/>
  <c r="AK296" i="76"/>
  <c r="AL296" i="76"/>
  <c r="AG296" i="76"/>
  <c r="AM296" i="76"/>
  <c r="AH296" i="76"/>
  <c r="AN296" i="76"/>
  <c r="AF296" i="76"/>
  <c r="F298" i="76" l="1"/>
  <c r="R298" i="76"/>
  <c r="X297" i="76"/>
  <c r="S297" i="76"/>
  <c r="Y297" i="76"/>
  <c r="T297" i="76"/>
  <c r="AC297" i="76"/>
  <c r="W297" i="76"/>
  <c r="AA297" i="76"/>
  <c r="V297" i="76"/>
  <c r="AB297" i="76"/>
  <c r="Z297" i="76"/>
  <c r="U297" i="76"/>
  <c r="K297" i="76"/>
  <c r="Q297" i="76"/>
  <c r="L297" i="76"/>
  <c r="G297" i="76"/>
  <c r="M297" i="76"/>
  <c r="H297" i="76"/>
  <c r="N297" i="76"/>
  <c r="I297" i="76"/>
  <c r="O297" i="76"/>
  <c r="J297" i="76"/>
  <c r="P297" i="76"/>
  <c r="AH297" i="76"/>
  <c r="AN297" i="76"/>
  <c r="AI297" i="76"/>
  <c r="AO297" i="76"/>
  <c r="AJ297" i="76"/>
  <c r="AP297" i="76"/>
  <c r="AK297" i="76"/>
  <c r="AF297" i="76"/>
  <c r="AL297" i="76"/>
  <c r="AG297" i="76"/>
  <c r="AM297" i="76"/>
  <c r="A298" i="76"/>
  <c r="AE298" i="76"/>
  <c r="AR299" i="76"/>
  <c r="E298" i="76"/>
  <c r="D298" i="76"/>
  <c r="AD298" i="76"/>
  <c r="C298" i="76"/>
  <c r="B298" i="76"/>
  <c r="F299" i="76" l="1"/>
  <c r="R299" i="76"/>
  <c r="I298" i="76"/>
  <c r="H298" i="76"/>
  <c r="K298" i="76"/>
  <c r="O298" i="76"/>
  <c r="J298" i="76"/>
  <c r="P298" i="76"/>
  <c r="N298" i="76"/>
  <c r="L298" i="76"/>
  <c r="G298" i="76"/>
  <c r="M298" i="76"/>
  <c r="Q298" i="76"/>
  <c r="Z298" i="76"/>
  <c r="AA298" i="76"/>
  <c r="Y298" i="76"/>
  <c r="W298" i="76"/>
  <c r="AC298" i="76"/>
  <c r="AB298" i="76"/>
  <c r="S298" i="76"/>
  <c r="U298" i="76"/>
  <c r="T298" i="76"/>
  <c r="X298" i="76"/>
  <c r="V298" i="76"/>
  <c r="AR300" i="76"/>
  <c r="E299" i="76"/>
  <c r="D299" i="76"/>
  <c r="C299" i="76"/>
  <c r="AE299" i="76"/>
  <c r="B299" i="76"/>
  <c r="AD299" i="76"/>
  <c r="A299" i="76"/>
  <c r="AH298" i="76"/>
  <c r="AJ298" i="76"/>
  <c r="AP298" i="76"/>
  <c r="AN298" i="76"/>
  <c r="AL298" i="76"/>
  <c r="AG298" i="76"/>
  <c r="AK298" i="76"/>
  <c r="AM298" i="76"/>
  <c r="AI298" i="76"/>
  <c r="AO298" i="76"/>
  <c r="AF298" i="76"/>
  <c r="F300" i="76" l="1"/>
  <c r="R300" i="76"/>
  <c r="O299" i="76"/>
  <c r="J299" i="76"/>
  <c r="P299" i="76"/>
  <c r="K299" i="76"/>
  <c r="Q299" i="76"/>
  <c r="G299" i="76"/>
  <c r="M299" i="76"/>
  <c r="N299" i="76"/>
  <c r="I299" i="76"/>
  <c r="L299" i="76"/>
  <c r="H299" i="76"/>
  <c r="X299" i="76"/>
  <c r="S299" i="76"/>
  <c r="Y299" i="76"/>
  <c r="W299" i="76"/>
  <c r="U299" i="76"/>
  <c r="Z299" i="76"/>
  <c r="T299" i="76"/>
  <c r="AA299" i="76"/>
  <c r="V299" i="76"/>
  <c r="AC299" i="76"/>
  <c r="AB299" i="76"/>
  <c r="AF299" i="76"/>
  <c r="AL299" i="76"/>
  <c r="AG299" i="76"/>
  <c r="AH299" i="76"/>
  <c r="AJ299" i="76"/>
  <c r="AN299" i="76"/>
  <c r="AI299" i="76"/>
  <c r="AO299" i="76"/>
  <c r="AM299" i="76"/>
  <c r="AK299" i="76"/>
  <c r="AP299" i="76"/>
  <c r="D300" i="76"/>
  <c r="C300" i="76"/>
  <c r="B300" i="76"/>
  <c r="AE300" i="76"/>
  <c r="AR301" i="76"/>
  <c r="AD300" i="76"/>
  <c r="E300" i="76"/>
  <c r="A300" i="76"/>
  <c r="F301" i="76" l="1"/>
  <c r="R301" i="76"/>
  <c r="K300" i="76"/>
  <c r="Q300" i="76"/>
  <c r="L300" i="76"/>
  <c r="M300" i="76"/>
  <c r="H300" i="76"/>
  <c r="J300" i="76"/>
  <c r="N300" i="76"/>
  <c r="I300" i="76"/>
  <c r="G300" i="76"/>
  <c r="P300" i="76"/>
  <c r="O300" i="76"/>
  <c r="AO300" i="76"/>
  <c r="AJ300" i="76"/>
  <c r="AP300" i="76"/>
  <c r="AK300" i="76"/>
  <c r="AF300" i="76"/>
  <c r="AL300" i="76"/>
  <c r="AG300" i="76"/>
  <c r="AM300" i="76"/>
  <c r="AH300" i="76"/>
  <c r="AN300" i="76"/>
  <c r="AI300" i="76"/>
  <c r="E301" i="76"/>
  <c r="D301" i="76"/>
  <c r="C301" i="76"/>
  <c r="AD301" i="76"/>
  <c r="AR302" i="76"/>
  <c r="B301" i="76"/>
  <c r="AE301" i="76"/>
  <c r="A301" i="76"/>
  <c r="AB300" i="76"/>
  <c r="W300" i="76"/>
  <c r="AC300" i="76"/>
  <c r="X300" i="76"/>
  <c r="S300" i="76"/>
  <c r="Y300" i="76"/>
  <c r="T300" i="76"/>
  <c r="Z300" i="76"/>
  <c r="U300" i="76"/>
  <c r="AA300" i="76"/>
  <c r="V300" i="76"/>
  <c r="F302" i="76" l="1"/>
  <c r="R302" i="76"/>
  <c r="Q301" i="76"/>
  <c r="L301" i="76"/>
  <c r="G301" i="76"/>
  <c r="M301" i="76"/>
  <c r="H301" i="76"/>
  <c r="N301" i="76"/>
  <c r="I301" i="76"/>
  <c r="O301" i="76"/>
  <c r="J301" i="76"/>
  <c r="P301" i="76"/>
  <c r="K301" i="76"/>
  <c r="AN301" i="76"/>
  <c r="AI301" i="76"/>
  <c r="AO301" i="76"/>
  <c r="AJ301" i="76"/>
  <c r="AP301" i="76"/>
  <c r="AK301" i="76"/>
  <c r="AF301" i="76"/>
  <c r="AL301" i="76"/>
  <c r="AG301" i="76"/>
  <c r="AM301" i="76"/>
  <c r="AH301" i="76"/>
  <c r="AR303" i="76"/>
  <c r="A302" i="76"/>
  <c r="D302" i="76"/>
  <c r="AD302" i="76"/>
  <c r="C302" i="76"/>
  <c r="E302" i="76"/>
  <c r="AE302" i="76"/>
  <c r="B302" i="76"/>
  <c r="Y301" i="76"/>
  <c r="Z301" i="76"/>
  <c r="AA301" i="76"/>
  <c r="V301" i="76"/>
  <c r="AB301" i="76"/>
  <c r="W301" i="76"/>
  <c r="AC301" i="76"/>
  <c r="X301" i="76"/>
  <c r="S301" i="76"/>
  <c r="T301" i="76"/>
  <c r="U301" i="76"/>
  <c r="F303" i="76" l="1"/>
  <c r="R303" i="76"/>
  <c r="P302" i="76"/>
  <c r="Q302" i="76"/>
  <c r="G302" i="76"/>
  <c r="M302" i="76"/>
  <c r="H302" i="76"/>
  <c r="N302" i="76"/>
  <c r="I302" i="76"/>
  <c r="O302" i="76"/>
  <c r="J302" i="76"/>
  <c r="K302" i="76"/>
  <c r="L302" i="76"/>
  <c r="AO302" i="76"/>
  <c r="AJ302" i="76"/>
  <c r="AP302" i="76"/>
  <c r="AK302" i="76"/>
  <c r="AF302" i="76"/>
  <c r="AL302" i="76"/>
  <c r="AG302" i="76"/>
  <c r="AM302" i="76"/>
  <c r="AH302" i="76"/>
  <c r="AN302" i="76"/>
  <c r="AI302" i="76"/>
  <c r="AB302" i="76"/>
  <c r="S302" i="76"/>
  <c r="U302" i="76"/>
  <c r="W302" i="76"/>
  <c r="V302" i="76"/>
  <c r="Y302" i="76"/>
  <c r="T302" i="76"/>
  <c r="AC302" i="76"/>
  <c r="X302" i="76"/>
  <c r="AA302" i="76"/>
  <c r="Z302" i="76"/>
  <c r="D303" i="76"/>
  <c r="E303" i="76"/>
  <c r="C303" i="76"/>
  <c r="B303" i="76"/>
  <c r="AR304" i="76"/>
  <c r="AE303" i="76"/>
  <c r="A303" i="76"/>
  <c r="AD303" i="76"/>
  <c r="F304" i="76" l="1"/>
  <c r="R304" i="76"/>
  <c r="E304" i="76"/>
  <c r="A304" i="76"/>
  <c r="B304" i="76"/>
  <c r="AR305" i="76"/>
  <c r="C304" i="76"/>
  <c r="AD304" i="76"/>
  <c r="D304" i="76"/>
  <c r="AE304" i="76"/>
  <c r="M303" i="76"/>
  <c r="H303" i="76"/>
  <c r="I303" i="76"/>
  <c r="J303" i="76"/>
  <c r="P303" i="76"/>
  <c r="K303" i="76"/>
  <c r="Q303" i="76"/>
  <c r="L303" i="76"/>
  <c r="G303" i="76"/>
  <c r="N303" i="76"/>
  <c r="O303" i="76"/>
  <c r="S303" i="76"/>
  <c r="Z303" i="76"/>
  <c r="U303" i="76"/>
  <c r="AA303" i="76"/>
  <c r="V303" i="76"/>
  <c r="AB303" i="76"/>
  <c r="W303" i="76"/>
  <c r="AC303" i="76"/>
  <c r="X303" i="76"/>
  <c r="Y303" i="76"/>
  <c r="T303" i="76"/>
  <c r="AP303" i="76"/>
  <c r="AF303" i="76"/>
  <c r="AM303" i="76"/>
  <c r="AH303" i="76"/>
  <c r="AN303" i="76"/>
  <c r="AI303" i="76"/>
  <c r="AO303" i="76"/>
  <c r="AJ303" i="76"/>
  <c r="AK303" i="76"/>
  <c r="AL303" i="76"/>
  <c r="AG303" i="76"/>
  <c r="F305" i="76" l="1"/>
  <c r="R305" i="76"/>
  <c r="Z304" i="76"/>
  <c r="U304" i="76"/>
  <c r="AA304" i="76"/>
  <c r="V304" i="76"/>
  <c r="AB304" i="76"/>
  <c r="W304" i="76"/>
  <c r="AC304" i="76"/>
  <c r="X304" i="76"/>
  <c r="S304" i="76"/>
  <c r="Y304" i="76"/>
  <c r="T304" i="76"/>
  <c r="P304" i="76"/>
  <c r="K304" i="76"/>
  <c r="Q304" i="76"/>
  <c r="O304" i="76"/>
  <c r="I304" i="76"/>
  <c r="H304" i="76"/>
  <c r="L304" i="76"/>
  <c r="G304" i="76"/>
  <c r="M304" i="76"/>
  <c r="N304" i="76"/>
  <c r="J304" i="76"/>
  <c r="AO304" i="76"/>
  <c r="AJ304" i="76"/>
  <c r="AP304" i="76"/>
  <c r="AF304" i="76"/>
  <c r="AN304" i="76"/>
  <c r="AL304" i="76"/>
  <c r="AG304" i="76"/>
  <c r="AM304" i="76"/>
  <c r="AH304" i="76"/>
  <c r="AK304" i="76"/>
  <c r="AI304" i="76"/>
  <c r="C305" i="76"/>
  <c r="B305" i="76"/>
  <c r="A305" i="76"/>
  <c r="AD305" i="76"/>
  <c r="AR306" i="76"/>
  <c r="E305" i="76"/>
  <c r="AE305" i="76"/>
  <c r="D305" i="76"/>
  <c r="F306" i="76" l="1"/>
  <c r="R306" i="76"/>
  <c r="O305" i="76"/>
  <c r="J305" i="76"/>
  <c r="M305" i="76"/>
  <c r="H305" i="76"/>
  <c r="N305" i="76"/>
  <c r="I305" i="76"/>
  <c r="G305" i="76"/>
  <c r="P305" i="76"/>
  <c r="K305" i="76"/>
  <c r="Q305" i="76"/>
  <c r="L305" i="76"/>
  <c r="AP305" i="76"/>
  <c r="AL305" i="76"/>
  <c r="AG305" i="76"/>
  <c r="AM305" i="76"/>
  <c r="AH305" i="76"/>
  <c r="AN305" i="76"/>
  <c r="AI305" i="76"/>
  <c r="AO305" i="76"/>
  <c r="AJ305" i="76"/>
  <c r="AK305" i="76"/>
  <c r="AF305" i="76"/>
  <c r="AR307" i="76"/>
  <c r="B306" i="76"/>
  <c r="AD306" i="76"/>
  <c r="C306" i="76"/>
  <c r="AE306" i="76"/>
  <c r="A306" i="76"/>
  <c r="D306" i="76"/>
  <c r="E306" i="76"/>
  <c r="AB305" i="76"/>
  <c r="Z305" i="76"/>
  <c r="X305" i="76"/>
  <c r="S305" i="76"/>
  <c r="Y305" i="76"/>
  <c r="AC305" i="76"/>
  <c r="T305" i="76"/>
  <c r="U305" i="76"/>
  <c r="AA305" i="76"/>
  <c r="V305" i="76"/>
  <c r="W305" i="76"/>
  <c r="F307" i="76" l="1"/>
  <c r="R307" i="76"/>
  <c r="I306" i="76"/>
  <c r="K306" i="76"/>
  <c r="Q306" i="76"/>
  <c r="L306" i="76"/>
  <c r="G306" i="76"/>
  <c r="M306" i="76"/>
  <c r="H306" i="76"/>
  <c r="N306" i="76"/>
  <c r="O306" i="76"/>
  <c r="J306" i="76"/>
  <c r="P306" i="76"/>
  <c r="E307" i="76"/>
  <c r="D307" i="76"/>
  <c r="C307" i="76"/>
  <c r="A307" i="76"/>
  <c r="B307" i="76"/>
  <c r="AR308" i="76"/>
  <c r="AD307" i="76"/>
  <c r="AE307" i="76"/>
  <c r="S306" i="76"/>
  <c r="X306" i="76"/>
  <c r="T306" i="76"/>
  <c r="AA306" i="76"/>
  <c r="V306" i="76"/>
  <c r="AC306" i="76"/>
  <c r="W306" i="76"/>
  <c r="Y306" i="76"/>
  <c r="U306" i="76"/>
  <c r="AB306" i="76"/>
  <c r="Z306" i="76"/>
  <c r="AJ306" i="76"/>
  <c r="AF306" i="76"/>
  <c r="AL306" i="76"/>
  <c r="AG306" i="76"/>
  <c r="AM306" i="76"/>
  <c r="AH306" i="76"/>
  <c r="AN306" i="76"/>
  <c r="AI306" i="76"/>
  <c r="AO306" i="76"/>
  <c r="AP306" i="76"/>
  <c r="AK306" i="76"/>
  <c r="F308" i="76" l="1"/>
  <c r="R308" i="76"/>
  <c r="O307" i="76"/>
  <c r="K307" i="76"/>
  <c r="Q307" i="76"/>
  <c r="L307" i="76"/>
  <c r="G307" i="76"/>
  <c r="M307" i="76"/>
  <c r="P307" i="76"/>
  <c r="N307" i="76"/>
  <c r="I307" i="76"/>
  <c r="J307" i="76"/>
  <c r="H307" i="76"/>
  <c r="AL307" i="76"/>
  <c r="AJ307" i="76"/>
  <c r="AP307" i="76"/>
  <c r="AK307" i="76"/>
  <c r="AI307" i="76"/>
  <c r="AN307" i="76"/>
  <c r="AG307" i="76"/>
  <c r="AM307" i="76"/>
  <c r="AH307" i="76"/>
  <c r="AF307" i="76"/>
  <c r="AO307" i="76"/>
  <c r="C308" i="76"/>
  <c r="B308" i="76"/>
  <c r="AE308" i="76"/>
  <c r="E308" i="76"/>
  <c r="AR309" i="76"/>
  <c r="A308" i="76"/>
  <c r="AD308" i="76"/>
  <c r="D308" i="76"/>
  <c r="T307" i="76"/>
  <c r="S307" i="76"/>
  <c r="V307" i="76"/>
  <c r="Z307" i="76"/>
  <c r="U307" i="76"/>
  <c r="AA307" i="76"/>
  <c r="Y307" i="76"/>
  <c r="W307" i="76"/>
  <c r="AC307" i="76"/>
  <c r="X307" i="76"/>
  <c r="AB307" i="76"/>
  <c r="F309" i="76" l="1"/>
  <c r="R309" i="76"/>
  <c r="G308" i="76"/>
  <c r="M308" i="76"/>
  <c r="H308" i="76"/>
  <c r="N308" i="76"/>
  <c r="I308" i="76"/>
  <c r="O308" i="76"/>
  <c r="J308" i="76"/>
  <c r="P308" i="76"/>
  <c r="K308" i="76"/>
  <c r="Q308" i="76"/>
  <c r="L308" i="76"/>
  <c r="AB308" i="76"/>
  <c r="W308" i="76"/>
  <c r="AC308" i="76"/>
  <c r="X308" i="76"/>
  <c r="S308" i="76"/>
  <c r="Y308" i="76"/>
  <c r="T308" i="76"/>
  <c r="Z308" i="76"/>
  <c r="U308" i="76"/>
  <c r="AA308" i="76"/>
  <c r="V308" i="76"/>
  <c r="E309" i="76"/>
  <c r="AE309" i="76"/>
  <c r="A309" i="76"/>
  <c r="AR310" i="76"/>
  <c r="B309" i="76"/>
  <c r="D309" i="76"/>
  <c r="C309" i="76"/>
  <c r="AD309" i="76"/>
  <c r="AI308" i="76"/>
  <c r="AO308" i="76"/>
  <c r="AJ308" i="76"/>
  <c r="AP308" i="76"/>
  <c r="AK308" i="76"/>
  <c r="AF308" i="76"/>
  <c r="AL308" i="76"/>
  <c r="AG308" i="76"/>
  <c r="AM308" i="76"/>
  <c r="AH308" i="76"/>
  <c r="AN308" i="76"/>
  <c r="F310" i="76" l="1"/>
  <c r="R310" i="76"/>
  <c r="C310" i="76"/>
  <c r="D310" i="76"/>
  <c r="B310" i="76"/>
  <c r="AR311" i="76"/>
  <c r="A310" i="76"/>
  <c r="AE310" i="76"/>
  <c r="AD310" i="76"/>
  <c r="E310" i="76"/>
  <c r="L309" i="76"/>
  <c r="J309" i="76"/>
  <c r="H309" i="76"/>
  <c r="N309" i="76"/>
  <c r="I309" i="76"/>
  <c r="M309" i="76"/>
  <c r="G309" i="76"/>
  <c r="P309" i="76"/>
  <c r="K309" i="76"/>
  <c r="Q309" i="76"/>
  <c r="O309" i="76"/>
  <c r="AM309" i="76"/>
  <c r="AH309" i="76"/>
  <c r="AN309" i="76"/>
  <c r="AO309" i="76"/>
  <c r="AJ309" i="76"/>
  <c r="AP309" i="76"/>
  <c r="AK309" i="76"/>
  <c r="AF309" i="76"/>
  <c r="AL309" i="76"/>
  <c r="AG309" i="76"/>
  <c r="AI309" i="76"/>
  <c r="AC309" i="76"/>
  <c r="X309" i="76"/>
  <c r="S309" i="76"/>
  <c r="Y309" i="76"/>
  <c r="T309" i="76"/>
  <c r="Z309" i="76"/>
  <c r="U309" i="76"/>
  <c r="AA309" i="76"/>
  <c r="V309" i="76"/>
  <c r="AB309" i="76"/>
  <c r="W309" i="76"/>
  <c r="F311" i="76" l="1"/>
  <c r="R311" i="76"/>
  <c r="AJ310" i="76"/>
  <c r="AK310" i="76"/>
  <c r="AF310" i="76"/>
  <c r="AL310" i="76"/>
  <c r="AM310" i="76"/>
  <c r="AO310" i="76"/>
  <c r="AH310" i="76"/>
  <c r="AI310" i="76"/>
  <c r="AG310" i="76"/>
  <c r="AP310" i="76"/>
  <c r="AN310" i="76"/>
  <c r="AC310" i="76"/>
  <c r="X310" i="76"/>
  <c r="V310" i="76"/>
  <c r="Y310" i="76"/>
  <c r="S310" i="76"/>
  <c r="AA310" i="76"/>
  <c r="T310" i="76"/>
  <c r="U310" i="76"/>
  <c r="Z310" i="76"/>
  <c r="AB310" i="76"/>
  <c r="W310" i="76"/>
  <c r="AR312" i="76"/>
  <c r="D311" i="76"/>
  <c r="AE311" i="76"/>
  <c r="C311" i="76"/>
  <c r="A311" i="76"/>
  <c r="AD311" i="76"/>
  <c r="E311" i="76"/>
  <c r="B311" i="76"/>
  <c r="M310" i="76"/>
  <c r="H310" i="76"/>
  <c r="N310" i="76"/>
  <c r="I310" i="76"/>
  <c r="O310" i="76"/>
  <c r="J310" i="76"/>
  <c r="P310" i="76"/>
  <c r="Q310" i="76"/>
  <c r="L310" i="76"/>
  <c r="K310" i="76"/>
  <c r="G310" i="76"/>
  <c r="F312" i="76" l="1"/>
  <c r="R312" i="76"/>
  <c r="AO311" i="76"/>
  <c r="AJ311" i="76"/>
  <c r="AH311" i="76"/>
  <c r="AN311" i="76"/>
  <c r="AI311" i="76"/>
  <c r="AL311" i="76"/>
  <c r="AG311" i="76"/>
  <c r="AP311" i="76"/>
  <c r="AK311" i="76"/>
  <c r="AF311" i="76"/>
  <c r="AM311" i="76"/>
  <c r="AR313" i="76"/>
  <c r="E312" i="76"/>
  <c r="D312" i="76"/>
  <c r="AE312" i="76"/>
  <c r="C312" i="76"/>
  <c r="AD312" i="76"/>
  <c r="B312" i="76"/>
  <c r="A312" i="76"/>
  <c r="X311" i="76"/>
  <c r="S311" i="76"/>
  <c r="Y311" i="76"/>
  <c r="T311" i="76"/>
  <c r="Z311" i="76"/>
  <c r="U311" i="76"/>
  <c r="AA311" i="76"/>
  <c r="V311" i="76"/>
  <c r="AB311" i="76"/>
  <c r="W311" i="76"/>
  <c r="AC311" i="76"/>
  <c r="I311" i="76"/>
  <c r="O311" i="76"/>
  <c r="J311" i="76"/>
  <c r="P311" i="76"/>
  <c r="K311" i="76"/>
  <c r="Q311" i="76"/>
  <c r="L311" i="76"/>
  <c r="G311" i="76"/>
  <c r="M311" i="76"/>
  <c r="H311" i="76"/>
  <c r="N311" i="76"/>
  <c r="F313" i="76" l="1"/>
  <c r="R313" i="76"/>
  <c r="AR314" i="76"/>
  <c r="E313" i="76"/>
  <c r="AE313" i="76"/>
  <c r="D313" i="76"/>
  <c r="B313" i="76"/>
  <c r="AD313" i="76"/>
  <c r="C313" i="76"/>
  <c r="A313" i="76"/>
  <c r="Z312" i="76"/>
  <c r="U312" i="76"/>
  <c r="AA312" i="76"/>
  <c r="V312" i="76"/>
  <c r="AB312" i="76"/>
  <c r="W312" i="76"/>
  <c r="AC312" i="76"/>
  <c r="X312" i="76"/>
  <c r="S312" i="76"/>
  <c r="Y312" i="76"/>
  <c r="T312" i="76"/>
  <c r="M312" i="76"/>
  <c r="H312" i="76"/>
  <c r="N312" i="76"/>
  <c r="G312" i="76"/>
  <c r="I312" i="76"/>
  <c r="J312" i="76"/>
  <c r="L312" i="76"/>
  <c r="O312" i="76"/>
  <c r="P312" i="76"/>
  <c r="K312" i="76"/>
  <c r="Q312" i="76"/>
  <c r="AP312" i="76"/>
  <c r="AK312" i="76"/>
  <c r="AF312" i="76"/>
  <c r="AL312" i="76"/>
  <c r="AG312" i="76"/>
  <c r="AH312" i="76"/>
  <c r="AN312" i="76"/>
  <c r="AO312" i="76"/>
  <c r="AJ312" i="76"/>
  <c r="AM312" i="76"/>
  <c r="AI312" i="76"/>
  <c r="F314" i="76" l="1"/>
  <c r="R314" i="76"/>
  <c r="Z313" i="76"/>
  <c r="V313" i="76"/>
  <c r="AB313" i="76"/>
  <c r="W313" i="76"/>
  <c r="AC313" i="76"/>
  <c r="X313" i="76"/>
  <c r="S313" i="76"/>
  <c r="Y313" i="76"/>
  <c r="T313" i="76"/>
  <c r="U313" i="76"/>
  <c r="AA313" i="76"/>
  <c r="M313" i="76"/>
  <c r="N313" i="76"/>
  <c r="O313" i="76"/>
  <c r="J313" i="76"/>
  <c r="P313" i="76"/>
  <c r="K313" i="76"/>
  <c r="Q313" i="76"/>
  <c r="L313" i="76"/>
  <c r="G313" i="76"/>
  <c r="H313" i="76"/>
  <c r="I313" i="76"/>
  <c r="AG313" i="76"/>
  <c r="AN313" i="76"/>
  <c r="AO313" i="76"/>
  <c r="AJ313" i="76"/>
  <c r="AP313" i="76"/>
  <c r="AK313" i="76"/>
  <c r="AF313" i="76"/>
  <c r="AL313" i="76"/>
  <c r="AM313" i="76"/>
  <c r="AH313" i="76"/>
  <c r="AI313" i="76"/>
  <c r="D314" i="76"/>
  <c r="E314" i="76"/>
  <c r="AE314" i="76"/>
  <c r="B314" i="76"/>
  <c r="AD314" i="76"/>
  <c r="C314" i="76"/>
  <c r="A314" i="76"/>
  <c r="AR315" i="76"/>
  <c r="F315" i="76" l="1"/>
  <c r="R315" i="76"/>
  <c r="AR316" i="76"/>
  <c r="B315" i="76"/>
  <c r="AD315" i="76"/>
  <c r="AE315" i="76"/>
  <c r="A315" i="76"/>
  <c r="E315" i="76"/>
  <c r="C315" i="76"/>
  <c r="D315" i="76"/>
  <c r="Q314" i="76"/>
  <c r="M314" i="76"/>
  <c r="N314" i="76"/>
  <c r="I314" i="76"/>
  <c r="O314" i="76"/>
  <c r="J314" i="76"/>
  <c r="P314" i="76"/>
  <c r="K314" i="76"/>
  <c r="L314" i="76"/>
  <c r="G314" i="76"/>
  <c r="H314" i="76"/>
  <c r="AL314" i="76"/>
  <c r="AH314" i="76"/>
  <c r="AI314" i="76"/>
  <c r="AO314" i="76"/>
  <c r="AJ314" i="76"/>
  <c r="AP314" i="76"/>
  <c r="AK314" i="76"/>
  <c r="AF314" i="76"/>
  <c r="AG314" i="76"/>
  <c r="AM314" i="76"/>
  <c r="AN314" i="76"/>
  <c r="S314" i="76"/>
  <c r="U314" i="76"/>
  <c r="T314" i="76"/>
  <c r="Z314" i="76"/>
  <c r="X314" i="76"/>
  <c r="AA314" i="76"/>
  <c r="V314" i="76"/>
  <c r="Y314" i="76"/>
  <c r="W314" i="76"/>
  <c r="AC314" i="76"/>
  <c r="AB314" i="76"/>
  <c r="F316" i="76" l="1"/>
  <c r="R316" i="76"/>
  <c r="AA315" i="76"/>
  <c r="T315" i="76"/>
  <c r="Z315" i="76"/>
  <c r="U315" i="76"/>
  <c r="S315" i="76"/>
  <c r="Y315" i="76"/>
  <c r="W315" i="76"/>
  <c r="AC315" i="76"/>
  <c r="V315" i="76"/>
  <c r="AB315" i="76"/>
  <c r="X315" i="76"/>
  <c r="AM315" i="76"/>
  <c r="AH315" i="76"/>
  <c r="AN315" i="76"/>
  <c r="AI315" i="76"/>
  <c r="AO315" i="76"/>
  <c r="AJ315" i="76"/>
  <c r="AP315" i="76"/>
  <c r="AK315" i="76"/>
  <c r="AF315" i="76"/>
  <c r="AL315" i="76"/>
  <c r="AG315" i="76"/>
  <c r="H315" i="76"/>
  <c r="N315" i="76"/>
  <c r="I315" i="76"/>
  <c r="O315" i="76"/>
  <c r="J315" i="76"/>
  <c r="P315" i="76"/>
  <c r="K315" i="76"/>
  <c r="L315" i="76"/>
  <c r="G315" i="76"/>
  <c r="Q315" i="76"/>
  <c r="M315" i="76"/>
  <c r="E316" i="76"/>
  <c r="AR317" i="76"/>
  <c r="A316" i="76"/>
  <c r="D316" i="76"/>
  <c r="C316" i="76"/>
  <c r="B316" i="76"/>
  <c r="AE316" i="76"/>
  <c r="AD316" i="76"/>
  <c r="F317" i="76" l="1"/>
  <c r="R317" i="76"/>
  <c r="AI316" i="76"/>
  <c r="AP316" i="76"/>
  <c r="AK316" i="76"/>
  <c r="AF316" i="76"/>
  <c r="AL316" i="76"/>
  <c r="AG316" i="76"/>
  <c r="AM316" i="76"/>
  <c r="AH316" i="76"/>
  <c r="AN316" i="76"/>
  <c r="AO316" i="76"/>
  <c r="AJ316" i="76"/>
  <c r="G316" i="76"/>
  <c r="M316" i="76"/>
  <c r="H316" i="76"/>
  <c r="N316" i="76"/>
  <c r="I316" i="76"/>
  <c r="O316" i="76"/>
  <c r="J316" i="76"/>
  <c r="P316" i="76"/>
  <c r="K316" i="76"/>
  <c r="Q316" i="76"/>
  <c r="L316" i="76"/>
  <c r="AC316" i="76"/>
  <c r="X316" i="76"/>
  <c r="Y316" i="76"/>
  <c r="T316" i="76"/>
  <c r="Z316" i="76"/>
  <c r="U316" i="76"/>
  <c r="AA316" i="76"/>
  <c r="V316" i="76"/>
  <c r="AB316" i="76"/>
  <c r="W316" i="76"/>
  <c r="S316" i="76"/>
  <c r="A317" i="76"/>
  <c r="AR318" i="76"/>
  <c r="B317" i="76"/>
  <c r="AE317" i="76"/>
  <c r="D317" i="76"/>
  <c r="C317" i="76"/>
  <c r="AD317" i="76"/>
  <c r="E317" i="76"/>
  <c r="F318" i="76" l="1"/>
  <c r="R318" i="76"/>
  <c r="AJ317" i="76"/>
  <c r="AP317" i="76"/>
  <c r="AK317" i="76"/>
  <c r="AF317" i="76"/>
  <c r="AL317" i="76"/>
  <c r="AG317" i="76"/>
  <c r="AM317" i="76"/>
  <c r="AH317" i="76"/>
  <c r="AN317" i="76"/>
  <c r="AI317" i="76"/>
  <c r="AO317" i="76"/>
  <c r="D318" i="76"/>
  <c r="B318" i="76"/>
  <c r="A318" i="76"/>
  <c r="AR319" i="76"/>
  <c r="E318" i="76"/>
  <c r="AE318" i="76"/>
  <c r="AD318" i="76"/>
  <c r="C318" i="76"/>
  <c r="Z317" i="76"/>
  <c r="U317" i="76"/>
  <c r="AA317" i="76"/>
  <c r="V317" i="76"/>
  <c r="AB317" i="76"/>
  <c r="W317" i="76"/>
  <c r="AC317" i="76"/>
  <c r="X317" i="76"/>
  <c r="S317" i="76"/>
  <c r="Y317" i="76"/>
  <c r="T317" i="76"/>
  <c r="M317" i="76"/>
  <c r="H317" i="76"/>
  <c r="Q317" i="76"/>
  <c r="O317" i="76"/>
  <c r="I317" i="76"/>
  <c r="J317" i="76"/>
  <c r="P317" i="76"/>
  <c r="K317" i="76"/>
  <c r="L317" i="76"/>
  <c r="N317" i="76"/>
  <c r="G317" i="76"/>
  <c r="F319" i="76" l="1"/>
  <c r="R319" i="76"/>
  <c r="AB318" i="76"/>
  <c r="AC318" i="76"/>
  <c r="X318" i="76"/>
  <c r="AA318" i="76"/>
  <c r="T318" i="76"/>
  <c r="Y318" i="76"/>
  <c r="Z318" i="76"/>
  <c r="U318" i="76"/>
  <c r="W318" i="76"/>
  <c r="V318" i="76"/>
  <c r="S318" i="76"/>
  <c r="M318" i="76"/>
  <c r="H318" i="76"/>
  <c r="N318" i="76"/>
  <c r="I318" i="76"/>
  <c r="O318" i="76"/>
  <c r="J318" i="76"/>
  <c r="P318" i="76"/>
  <c r="K318" i="76"/>
  <c r="Q318" i="76"/>
  <c r="L318" i="76"/>
  <c r="G318" i="76"/>
  <c r="AG318" i="76"/>
  <c r="AM318" i="76"/>
  <c r="AH318" i="76"/>
  <c r="AN318" i="76"/>
  <c r="AO318" i="76"/>
  <c r="AJ318" i="76"/>
  <c r="AP318" i="76"/>
  <c r="AK318" i="76"/>
  <c r="AF318" i="76"/>
  <c r="AL318" i="76"/>
  <c r="AI318" i="76"/>
  <c r="AR320" i="76"/>
  <c r="AE319" i="76"/>
  <c r="AD319" i="76"/>
  <c r="D319" i="76"/>
  <c r="C319" i="76"/>
  <c r="B319" i="76"/>
  <c r="A319" i="76"/>
  <c r="E319" i="76"/>
  <c r="F320" i="76" l="1"/>
  <c r="R320" i="76"/>
  <c r="J319" i="76"/>
  <c r="P319" i="76"/>
  <c r="K319" i="76"/>
  <c r="Q319" i="76"/>
  <c r="L319" i="76"/>
  <c r="G319" i="76"/>
  <c r="M319" i="76"/>
  <c r="H319" i="76"/>
  <c r="I319" i="76"/>
  <c r="O319" i="76"/>
  <c r="N319" i="76"/>
  <c r="AB319" i="76"/>
  <c r="Z319" i="76"/>
  <c r="U319" i="76"/>
  <c r="AA319" i="76"/>
  <c r="Y319" i="76"/>
  <c r="V319" i="76"/>
  <c r="W319" i="76"/>
  <c r="X319" i="76"/>
  <c r="S319" i="76"/>
  <c r="T319" i="76"/>
  <c r="AC319" i="76"/>
  <c r="A320" i="76"/>
  <c r="B320" i="76"/>
  <c r="AD320" i="76"/>
  <c r="AR321" i="76"/>
  <c r="C320" i="76"/>
  <c r="E320" i="76"/>
  <c r="D320" i="76"/>
  <c r="AE320" i="76"/>
  <c r="AN319" i="76"/>
  <c r="AO319" i="76"/>
  <c r="AJ319" i="76"/>
  <c r="AH319" i="76"/>
  <c r="AF319" i="76"/>
  <c r="AP319" i="76"/>
  <c r="AG319" i="76"/>
  <c r="AM319" i="76"/>
  <c r="AK319" i="76"/>
  <c r="AI319" i="76"/>
  <c r="AL319" i="76"/>
  <c r="F321" i="76" l="1"/>
  <c r="R321" i="76"/>
  <c r="AP320" i="76"/>
  <c r="AN320" i="76"/>
  <c r="AI320" i="76"/>
  <c r="AO320" i="76"/>
  <c r="AM320" i="76"/>
  <c r="AG320" i="76"/>
  <c r="AK320" i="76"/>
  <c r="AF320" i="76"/>
  <c r="AL320" i="76"/>
  <c r="AJ320" i="76"/>
  <c r="AH320" i="76"/>
  <c r="AR322" i="76"/>
  <c r="D321" i="76"/>
  <c r="E321" i="76"/>
  <c r="B321" i="76"/>
  <c r="A321" i="76"/>
  <c r="AD321" i="76"/>
  <c r="AE321" i="76"/>
  <c r="C321" i="76"/>
  <c r="H320" i="76"/>
  <c r="Q320" i="76"/>
  <c r="L320" i="76"/>
  <c r="G320" i="76"/>
  <c r="P320" i="76"/>
  <c r="M320" i="76"/>
  <c r="N320" i="76"/>
  <c r="I320" i="76"/>
  <c r="O320" i="76"/>
  <c r="J320" i="76"/>
  <c r="K320" i="76"/>
  <c r="W320" i="76"/>
  <c r="AC320" i="76"/>
  <c r="X320" i="76"/>
  <c r="S320" i="76"/>
  <c r="Y320" i="76"/>
  <c r="T320" i="76"/>
  <c r="Z320" i="76"/>
  <c r="U320" i="76"/>
  <c r="AA320" i="76"/>
  <c r="V320" i="76"/>
  <c r="AB320" i="76"/>
  <c r="F322" i="76" l="1"/>
  <c r="R322" i="76"/>
  <c r="P321" i="76"/>
  <c r="K321" i="76"/>
  <c r="Q321" i="76"/>
  <c r="L321" i="76"/>
  <c r="G321" i="76"/>
  <c r="M321" i="76"/>
  <c r="H321" i="76"/>
  <c r="N321" i="76"/>
  <c r="I321" i="76"/>
  <c r="O321" i="76"/>
  <c r="J321" i="76"/>
  <c r="AA321" i="76"/>
  <c r="W321" i="76"/>
  <c r="X321" i="76"/>
  <c r="S321" i="76"/>
  <c r="Y321" i="76"/>
  <c r="T321" i="76"/>
  <c r="Z321" i="76"/>
  <c r="U321" i="76"/>
  <c r="V321" i="76"/>
  <c r="AB321" i="76"/>
  <c r="AC321" i="76"/>
  <c r="AE322" i="76"/>
  <c r="AR323" i="76"/>
  <c r="E322" i="76"/>
  <c r="D322" i="76"/>
  <c r="A322" i="76"/>
  <c r="C322" i="76"/>
  <c r="B322" i="76"/>
  <c r="AD322" i="76"/>
  <c r="AK321" i="76"/>
  <c r="AH321" i="76"/>
  <c r="AN321" i="76"/>
  <c r="AI321" i="76"/>
  <c r="AO321" i="76"/>
  <c r="AJ321" i="76"/>
  <c r="AP321" i="76"/>
  <c r="AF321" i="76"/>
  <c r="AL321" i="76"/>
  <c r="AG321" i="76"/>
  <c r="AM321" i="76"/>
  <c r="F323" i="76" l="1"/>
  <c r="R323" i="76"/>
  <c r="L322" i="76"/>
  <c r="G322" i="76"/>
  <c r="M322" i="76"/>
  <c r="H322" i="76"/>
  <c r="Q322" i="76"/>
  <c r="N322" i="76"/>
  <c r="O322" i="76"/>
  <c r="J322" i="76"/>
  <c r="P322" i="76"/>
  <c r="K322" i="76"/>
  <c r="I322" i="76"/>
  <c r="AA322" i="76"/>
  <c r="W322" i="76"/>
  <c r="Y322" i="76"/>
  <c r="U322" i="76"/>
  <c r="V322" i="76"/>
  <c r="X322" i="76"/>
  <c r="AC322" i="76"/>
  <c r="Z322" i="76"/>
  <c r="T322" i="76"/>
  <c r="S322" i="76"/>
  <c r="AB322" i="76"/>
  <c r="C323" i="76"/>
  <c r="AR324" i="76"/>
  <c r="AE323" i="76"/>
  <c r="D323" i="76"/>
  <c r="AD323" i="76"/>
  <c r="A323" i="76"/>
  <c r="E323" i="76"/>
  <c r="B323" i="76"/>
  <c r="AI322" i="76"/>
  <c r="AG322" i="76"/>
  <c r="AP322" i="76"/>
  <c r="AK322" i="76"/>
  <c r="AF322" i="76"/>
  <c r="AJ322" i="76"/>
  <c r="AL322" i="76"/>
  <c r="AM322" i="76"/>
  <c r="AH322" i="76"/>
  <c r="AN322" i="76"/>
  <c r="AO322" i="76"/>
  <c r="F324" i="76" l="1"/>
  <c r="R324" i="76"/>
  <c r="AM323" i="76"/>
  <c r="AH323" i="76"/>
  <c r="AN323" i="76"/>
  <c r="AI323" i="76"/>
  <c r="AO323" i="76"/>
  <c r="AJ323" i="76"/>
  <c r="AP323" i="76"/>
  <c r="AK323" i="76"/>
  <c r="AF323" i="76"/>
  <c r="AL323" i="76"/>
  <c r="AG323" i="76"/>
  <c r="AR325" i="76"/>
  <c r="AD324" i="76"/>
  <c r="E324" i="76"/>
  <c r="D324" i="76"/>
  <c r="A324" i="76"/>
  <c r="B324" i="76"/>
  <c r="AE324" i="76"/>
  <c r="C324" i="76"/>
  <c r="Q323" i="76"/>
  <c r="L323" i="76"/>
  <c r="G323" i="76"/>
  <c r="M323" i="76"/>
  <c r="H323" i="76"/>
  <c r="I323" i="76"/>
  <c r="J323" i="76"/>
  <c r="P323" i="76"/>
  <c r="N323" i="76"/>
  <c r="O323" i="76"/>
  <c r="K323" i="76"/>
  <c r="V323" i="76"/>
  <c r="AB323" i="76"/>
  <c r="W323" i="76"/>
  <c r="AC323" i="76"/>
  <c r="X323" i="76"/>
  <c r="S323" i="76"/>
  <c r="Y323" i="76"/>
  <c r="T323" i="76"/>
  <c r="Z323" i="76"/>
  <c r="U323" i="76"/>
  <c r="AA323" i="76"/>
  <c r="F325" i="76" l="1"/>
  <c r="R325" i="76"/>
  <c r="E325" i="76"/>
  <c r="D325" i="76"/>
  <c r="C325" i="76"/>
  <c r="AD325" i="76"/>
  <c r="AR326" i="76"/>
  <c r="B325" i="76"/>
  <c r="AE325" i="76"/>
  <c r="A325" i="76"/>
  <c r="AB324" i="76"/>
  <c r="W324" i="76"/>
  <c r="AC324" i="76"/>
  <c r="X324" i="76"/>
  <c r="S324" i="76"/>
  <c r="Y324" i="76"/>
  <c r="T324" i="76"/>
  <c r="Z324" i="76"/>
  <c r="U324" i="76"/>
  <c r="AA324" i="76"/>
  <c r="V324" i="76"/>
  <c r="AP324" i="76"/>
  <c r="AI324" i="76"/>
  <c r="AO324" i="76"/>
  <c r="AJ324" i="76"/>
  <c r="AH324" i="76"/>
  <c r="AN324" i="76"/>
  <c r="AF324" i="76"/>
  <c r="AL324" i="76"/>
  <c r="AG324" i="76"/>
  <c r="AM324" i="76"/>
  <c r="AK324" i="76"/>
  <c r="N324" i="76"/>
  <c r="O324" i="76"/>
  <c r="J324" i="76"/>
  <c r="P324" i="76"/>
  <c r="K324" i="76"/>
  <c r="I324" i="76"/>
  <c r="L324" i="76"/>
  <c r="G324" i="76"/>
  <c r="M324" i="76"/>
  <c r="H324" i="76"/>
  <c r="Q324" i="76"/>
  <c r="F326" i="76" l="1"/>
  <c r="R326" i="76"/>
  <c r="O325" i="76"/>
  <c r="P325" i="76"/>
  <c r="K325" i="76"/>
  <c r="Q325" i="76"/>
  <c r="G325" i="76"/>
  <c r="L325" i="76"/>
  <c r="J325" i="76"/>
  <c r="H325" i="76"/>
  <c r="N325" i="76"/>
  <c r="I325" i="76"/>
  <c r="M325" i="76"/>
  <c r="AJ325" i="76"/>
  <c r="AP325" i="76"/>
  <c r="AK325" i="76"/>
  <c r="AF325" i="76"/>
  <c r="AL325" i="76"/>
  <c r="AG325" i="76"/>
  <c r="AM325" i="76"/>
  <c r="AH325" i="76"/>
  <c r="AN325" i="76"/>
  <c r="AI325" i="76"/>
  <c r="AO325" i="76"/>
  <c r="D326" i="76"/>
  <c r="B326" i="76"/>
  <c r="AR327" i="76"/>
  <c r="A326" i="76"/>
  <c r="AE326" i="76"/>
  <c r="AD326" i="76"/>
  <c r="C326" i="76"/>
  <c r="E326" i="76"/>
  <c r="X325" i="76"/>
  <c r="T325" i="76"/>
  <c r="Z325" i="76"/>
  <c r="U325" i="76"/>
  <c r="AA325" i="76"/>
  <c r="V325" i="76"/>
  <c r="AB325" i="76"/>
  <c r="W325" i="76"/>
  <c r="AC325" i="76"/>
  <c r="S325" i="76"/>
  <c r="Y325" i="76"/>
  <c r="F327" i="76" l="1"/>
  <c r="R327" i="76"/>
  <c r="AG326" i="76"/>
  <c r="AM326" i="76"/>
  <c r="AH326" i="76"/>
  <c r="AN326" i="76"/>
  <c r="AI326" i="76"/>
  <c r="AJ326" i="76"/>
  <c r="AP326" i="76"/>
  <c r="AK326" i="76"/>
  <c r="AL326" i="76"/>
  <c r="AO326" i="76"/>
  <c r="AF326" i="76"/>
  <c r="M326" i="76"/>
  <c r="H326" i="76"/>
  <c r="N326" i="76"/>
  <c r="I326" i="76"/>
  <c r="O326" i="76"/>
  <c r="J326" i="76"/>
  <c r="P326" i="76"/>
  <c r="Q326" i="76"/>
  <c r="L326" i="76"/>
  <c r="G326" i="76"/>
  <c r="K326" i="76"/>
  <c r="AB326" i="76"/>
  <c r="S326" i="76"/>
  <c r="AC326" i="76"/>
  <c r="X326" i="76"/>
  <c r="V326" i="76"/>
  <c r="Y326" i="76"/>
  <c r="T326" i="76"/>
  <c r="W326" i="76"/>
  <c r="AA326" i="76"/>
  <c r="Z326" i="76"/>
  <c r="U326" i="76"/>
  <c r="AR328" i="76"/>
  <c r="AD327" i="76"/>
  <c r="A327" i="76"/>
  <c r="E327" i="76"/>
  <c r="B327" i="76"/>
  <c r="D327" i="76"/>
  <c r="AE327" i="76"/>
  <c r="C327" i="76"/>
  <c r="F328" i="76" l="1"/>
  <c r="R328" i="76"/>
  <c r="AA327" i="76"/>
  <c r="V327" i="76"/>
  <c r="AB327" i="76"/>
  <c r="W327" i="76"/>
  <c r="AC327" i="76"/>
  <c r="X327" i="76"/>
  <c r="S327" i="76"/>
  <c r="Y327" i="76"/>
  <c r="T327" i="76"/>
  <c r="Z327" i="76"/>
  <c r="U327" i="76"/>
  <c r="A328" i="76"/>
  <c r="E328" i="76"/>
  <c r="D328" i="76"/>
  <c r="AE328" i="76"/>
  <c r="AR329" i="76"/>
  <c r="C328" i="76"/>
  <c r="AD328" i="76"/>
  <c r="B328" i="76"/>
  <c r="AP327" i="76"/>
  <c r="AK327" i="76"/>
  <c r="AF327" i="76"/>
  <c r="AL327" i="76"/>
  <c r="AG327" i="76"/>
  <c r="AM327" i="76"/>
  <c r="AH327" i="76"/>
  <c r="AN327" i="76"/>
  <c r="AI327" i="76"/>
  <c r="AO327" i="76"/>
  <c r="AJ327" i="76"/>
  <c r="L327" i="76"/>
  <c r="G327" i="76"/>
  <c r="M327" i="76"/>
  <c r="H327" i="76"/>
  <c r="N327" i="76"/>
  <c r="I327" i="76"/>
  <c r="O327" i="76"/>
  <c r="J327" i="76"/>
  <c r="P327" i="76"/>
  <c r="K327" i="76"/>
  <c r="Q327" i="76"/>
  <c r="F329" i="76" l="1"/>
  <c r="R329" i="76"/>
  <c r="AJ328" i="76"/>
  <c r="AN328" i="76"/>
  <c r="AL328" i="76"/>
  <c r="AG328" i="76"/>
  <c r="AP328" i="76"/>
  <c r="AK328" i="76"/>
  <c r="AM328" i="76"/>
  <c r="AI328" i="76"/>
  <c r="AO328" i="76"/>
  <c r="AH328" i="76"/>
  <c r="AF328" i="76"/>
  <c r="H328" i="76"/>
  <c r="M328" i="76"/>
  <c r="Q328" i="76"/>
  <c r="L328" i="76"/>
  <c r="G328" i="76"/>
  <c r="P328" i="76"/>
  <c r="N328" i="76"/>
  <c r="K328" i="76"/>
  <c r="I328" i="76"/>
  <c r="O328" i="76"/>
  <c r="J328" i="76"/>
  <c r="AD329" i="76"/>
  <c r="D329" i="76"/>
  <c r="C329" i="76"/>
  <c r="AE329" i="76"/>
  <c r="AR330" i="76"/>
  <c r="B329" i="76"/>
  <c r="A329" i="76"/>
  <c r="E329" i="76"/>
  <c r="U328" i="76"/>
  <c r="T328" i="76"/>
  <c r="W328" i="76"/>
  <c r="AC328" i="76"/>
  <c r="AA328" i="76"/>
  <c r="V328" i="76"/>
  <c r="AB328" i="76"/>
  <c r="X328" i="76"/>
  <c r="Z328" i="76"/>
  <c r="S328" i="76"/>
  <c r="Y328" i="76"/>
  <c r="F330" i="76" l="1"/>
  <c r="R330" i="76"/>
  <c r="AO329" i="76"/>
  <c r="AP329" i="76"/>
  <c r="AK329" i="76"/>
  <c r="AF329" i="76"/>
  <c r="AG329" i="76"/>
  <c r="AL329" i="76"/>
  <c r="AJ329" i="76"/>
  <c r="AH329" i="76"/>
  <c r="AN329" i="76"/>
  <c r="AI329" i="76"/>
  <c r="AM329" i="76"/>
  <c r="J329" i="76"/>
  <c r="N329" i="76"/>
  <c r="I329" i="76"/>
  <c r="O329" i="76"/>
  <c r="M329" i="76"/>
  <c r="K329" i="76"/>
  <c r="Q329" i="76"/>
  <c r="G329" i="76"/>
  <c r="H329" i="76"/>
  <c r="L329" i="76"/>
  <c r="P329" i="76"/>
  <c r="Z329" i="76"/>
  <c r="X329" i="76"/>
  <c r="S329" i="76"/>
  <c r="Y329" i="76"/>
  <c r="W329" i="76"/>
  <c r="AB329" i="76"/>
  <c r="U329" i="76"/>
  <c r="V329" i="76"/>
  <c r="T329" i="76"/>
  <c r="AC329" i="76"/>
  <c r="AA329" i="76"/>
  <c r="AR331" i="76"/>
  <c r="B330" i="76"/>
  <c r="A330" i="76"/>
  <c r="AE330" i="76"/>
  <c r="C330" i="76"/>
  <c r="E330" i="76"/>
  <c r="AD330" i="76"/>
  <c r="D330" i="76"/>
  <c r="F331" i="76" l="1"/>
  <c r="R331" i="76"/>
  <c r="AL330" i="76"/>
  <c r="AM330" i="76"/>
  <c r="AH330" i="76"/>
  <c r="AN330" i="76"/>
  <c r="AI330" i="76"/>
  <c r="AG330" i="76"/>
  <c r="AJ330" i="76"/>
  <c r="AP330" i="76"/>
  <c r="AK330" i="76"/>
  <c r="AF330" i="76"/>
  <c r="AO330" i="76"/>
  <c r="T330" i="76"/>
  <c r="Z330" i="76"/>
  <c r="X330" i="76"/>
  <c r="AA330" i="76"/>
  <c r="V330" i="76"/>
  <c r="Y330" i="76"/>
  <c r="W330" i="76"/>
  <c r="AC330" i="76"/>
  <c r="AB330" i="76"/>
  <c r="S330" i="76"/>
  <c r="U330" i="76"/>
  <c r="AD331" i="76"/>
  <c r="AR332" i="76"/>
  <c r="D331" i="76"/>
  <c r="E331" i="76"/>
  <c r="AE331" i="76"/>
  <c r="B331" i="76"/>
  <c r="A331" i="76"/>
  <c r="C331" i="76"/>
  <c r="L330" i="76"/>
  <c r="O330" i="76"/>
  <c r="J330" i="76"/>
  <c r="P330" i="76"/>
  <c r="N330" i="76"/>
  <c r="I330" i="76"/>
  <c r="H330" i="76"/>
  <c r="G330" i="76"/>
  <c r="M330" i="76"/>
  <c r="K330" i="76"/>
  <c r="Q330" i="76"/>
  <c r="F332" i="76" l="1"/>
  <c r="R332" i="76"/>
  <c r="AL331" i="76"/>
  <c r="AG331" i="76"/>
  <c r="AI331" i="76"/>
  <c r="AH331" i="76"/>
  <c r="AN331" i="76"/>
  <c r="AK331" i="76"/>
  <c r="AM331" i="76"/>
  <c r="AJ331" i="76"/>
  <c r="AP331" i="76"/>
  <c r="AO331" i="76"/>
  <c r="AF331" i="76"/>
  <c r="O331" i="76"/>
  <c r="G331" i="76"/>
  <c r="N331" i="76"/>
  <c r="M331" i="76"/>
  <c r="K331" i="76"/>
  <c r="J331" i="76"/>
  <c r="H331" i="76"/>
  <c r="Q331" i="76"/>
  <c r="L331" i="76"/>
  <c r="I331" i="76"/>
  <c r="P331" i="76"/>
  <c r="A332" i="76"/>
  <c r="AD332" i="76"/>
  <c r="B332" i="76"/>
  <c r="AR333" i="76"/>
  <c r="D332" i="76"/>
  <c r="E332" i="76"/>
  <c r="C332" i="76"/>
  <c r="AE332" i="76"/>
  <c r="T331" i="76"/>
  <c r="Y331" i="76"/>
  <c r="W331" i="76"/>
  <c r="V331" i="76"/>
  <c r="AC331" i="76"/>
  <c r="AB331" i="76"/>
  <c r="Z331" i="76"/>
  <c r="X331" i="76"/>
  <c r="U331" i="76"/>
  <c r="S331" i="76"/>
  <c r="AA331" i="76"/>
  <c r="F333" i="76" l="1"/>
  <c r="R333" i="76"/>
  <c r="AM332" i="76"/>
  <c r="AJ332" i="76"/>
  <c r="AF332" i="76"/>
  <c r="AH332" i="76"/>
  <c r="AG332" i="76"/>
  <c r="AL332" i="76"/>
  <c r="AP332" i="76"/>
  <c r="AK332" i="76"/>
  <c r="AI332" i="76"/>
  <c r="AO332" i="76"/>
  <c r="AN332" i="76"/>
  <c r="B333" i="76"/>
  <c r="AD333" i="76"/>
  <c r="AR334" i="76"/>
  <c r="D333" i="76"/>
  <c r="C333" i="76"/>
  <c r="A333" i="76"/>
  <c r="AE333" i="76"/>
  <c r="E333" i="76"/>
  <c r="V332" i="76"/>
  <c r="U332" i="76"/>
  <c r="AA332" i="76"/>
  <c r="X332" i="76"/>
  <c r="Z332" i="76"/>
  <c r="W332" i="76"/>
  <c r="AC332" i="76"/>
  <c r="AB332" i="76"/>
  <c r="S332" i="76"/>
  <c r="Y332" i="76"/>
  <c r="T332" i="76"/>
  <c r="O332" i="76"/>
  <c r="N332" i="76"/>
  <c r="Q332" i="76"/>
  <c r="P332" i="76"/>
  <c r="G332" i="76"/>
  <c r="M332" i="76"/>
  <c r="K332" i="76"/>
  <c r="J332" i="76"/>
  <c r="I332" i="76"/>
  <c r="L332" i="76"/>
  <c r="H332" i="76"/>
  <c r="F334" i="76" l="1"/>
  <c r="R334" i="76"/>
  <c r="AL333" i="76"/>
  <c r="AI333" i="76"/>
  <c r="AK333" i="76"/>
  <c r="AH333" i="76"/>
  <c r="AN333" i="76"/>
  <c r="AM333" i="76"/>
  <c r="AO333" i="76"/>
  <c r="AJ333" i="76"/>
  <c r="AP333" i="76"/>
  <c r="AG333" i="76"/>
  <c r="AF333" i="76"/>
  <c r="AC333" i="76"/>
  <c r="X333" i="76"/>
  <c r="S333" i="76"/>
  <c r="U333" i="76"/>
  <c r="T333" i="76"/>
  <c r="Z333" i="76"/>
  <c r="W333" i="76"/>
  <c r="Y333" i="76"/>
  <c r="V333" i="76"/>
  <c r="AB333" i="76"/>
  <c r="AA333" i="76"/>
  <c r="J333" i="76"/>
  <c r="P333" i="76"/>
  <c r="O333" i="76"/>
  <c r="Q333" i="76"/>
  <c r="L333" i="76"/>
  <c r="G333" i="76"/>
  <c r="I333" i="76"/>
  <c r="H333" i="76"/>
  <c r="N333" i="76"/>
  <c r="K333" i="76"/>
  <c r="M333" i="76"/>
  <c r="D334" i="76"/>
  <c r="E334" i="76"/>
  <c r="C334" i="76"/>
  <c r="AR335" i="76"/>
  <c r="AE334" i="76"/>
  <c r="AD334" i="76"/>
  <c r="B334" i="76"/>
  <c r="A334" i="76"/>
  <c r="F335" i="76" l="1"/>
  <c r="R335" i="76"/>
  <c r="C335" i="76"/>
  <c r="D335" i="76"/>
  <c r="AR336" i="76"/>
  <c r="B335" i="76"/>
  <c r="AE335" i="76"/>
  <c r="AD335" i="76"/>
  <c r="A335" i="76"/>
  <c r="E335" i="76"/>
  <c r="Q334" i="76"/>
  <c r="H334" i="76"/>
  <c r="N334" i="76"/>
  <c r="M334" i="76"/>
  <c r="J334" i="76"/>
  <c r="K334" i="76"/>
  <c r="O334" i="76"/>
  <c r="L334" i="76"/>
  <c r="G334" i="76"/>
  <c r="I334" i="76"/>
  <c r="P334" i="76"/>
  <c r="AI334" i="76"/>
  <c r="AG334" i="76"/>
  <c r="AM334" i="76"/>
  <c r="AL334" i="76"/>
  <c r="AJ334" i="76"/>
  <c r="AF334" i="76"/>
  <c r="AK334" i="76"/>
  <c r="AO334" i="76"/>
  <c r="AP334" i="76"/>
  <c r="AN334" i="76"/>
  <c r="AH334" i="76"/>
  <c r="W334" i="76"/>
  <c r="AC334" i="76"/>
  <c r="T334" i="76"/>
  <c r="S334" i="76"/>
  <c r="Y334" i="76"/>
  <c r="V334" i="76"/>
  <c r="X334" i="76"/>
  <c r="U334" i="76"/>
  <c r="AA334" i="76"/>
  <c r="Z334" i="76"/>
  <c r="AB334" i="76"/>
  <c r="F336" i="76" l="1"/>
  <c r="R336" i="76"/>
  <c r="C336" i="76"/>
  <c r="AE336" i="76"/>
  <c r="B336" i="76"/>
  <c r="AR337" i="76"/>
  <c r="E336" i="76"/>
  <c r="AD336" i="76"/>
  <c r="A336" i="76"/>
  <c r="D336" i="76"/>
  <c r="AI335" i="76"/>
  <c r="AM335" i="76"/>
  <c r="AJ335" i="76"/>
  <c r="AP335" i="76"/>
  <c r="AO335" i="76"/>
  <c r="AF335" i="76"/>
  <c r="AL335" i="76"/>
  <c r="AG335" i="76"/>
  <c r="AH335" i="76"/>
  <c r="AN335" i="76"/>
  <c r="AK335" i="76"/>
  <c r="T335" i="76"/>
  <c r="Z335" i="76"/>
  <c r="Y335" i="76"/>
  <c r="W335" i="76"/>
  <c r="V335" i="76"/>
  <c r="AB335" i="76"/>
  <c r="AC335" i="76"/>
  <c r="AA335" i="76"/>
  <c r="X335" i="76"/>
  <c r="U335" i="76"/>
  <c r="S335" i="76"/>
  <c r="O335" i="76"/>
  <c r="H335" i="76"/>
  <c r="N335" i="76"/>
  <c r="M335" i="76"/>
  <c r="K335" i="76"/>
  <c r="J335" i="76"/>
  <c r="P335" i="76"/>
  <c r="Q335" i="76"/>
  <c r="L335" i="76"/>
  <c r="I335" i="76"/>
  <c r="G335" i="76"/>
  <c r="F337" i="76" l="1"/>
  <c r="R337" i="76"/>
  <c r="A337" i="76"/>
  <c r="B337" i="76"/>
  <c r="E337" i="76"/>
  <c r="AR338" i="76"/>
  <c r="C337" i="76"/>
  <c r="AD337" i="76"/>
  <c r="AE337" i="76"/>
  <c r="D337" i="76"/>
  <c r="Y336" i="76"/>
  <c r="T336" i="76"/>
  <c r="V336" i="76"/>
  <c r="AB336" i="76"/>
  <c r="X336" i="76"/>
  <c r="S336" i="76"/>
  <c r="Z336" i="76"/>
  <c r="W336" i="76"/>
  <c r="AC336" i="76"/>
  <c r="AA336" i="76"/>
  <c r="U336" i="76"/>
  <c r="AK336" i="76"/>
  <c r="AF336" i="76"/>
  <c r="AH336" i="76"/>
  <c r="AG336" i="76"/>
  <c r="AM336" i="76"/>
  <c r="AJ336" i="76"/>
  <c r="AL336" i="76"/>
  <c r="AI336" i="76"/>
  <c r="AO336" i="76"/>
  <c r="AN336" i="76"/>
  <c r="AP336" i="76"/>
  <c r="G336" i="76"/>
  <c r="I336" i="76"/>
  <c r="O336" i="76"/>
  <c r="L336" i="76"/>
  <c r="K336" i="76"/>
  <c r="H336" i="76"/>
  <c r="Q336" i="76"/>
  <c r="P336" i="76"/>
  <c r="N336" i="76"/>
  <c r="M336" i="76"/>
  <c r="J336" i="76"/>
  <c r="F338" i="76" l="1"/>
  <c r="R338" i="76"/>
  <c r="AR339" i="76"/>
  <c r="B338" i="76"/>
  <c r="AD338" i="76"/>
  <c r="AE338" i="76"/>
  <c r="E338" i="76"/>
  <c r="C338" i="76"/>
  <c r="A338" i="76"/>
  <c r="D338" i="76"/>
  <c r="AM337" i="76"/>
  <c r="AJ337" i="76"/>
  <c r="AL337" i="76"/>
  <c r="AH337" i="76"/>
  <c r="AO337" i="76"/>
  <c r="AN337" i="76"/>
  <c r="AP337" i="76"/>
  <c r="AK337" i="76"/>
  <c r="AI337" i="76"/>
  <c r="AF337" i="76"/>
  <c r="AG337" i="76"/>
  <c r="I337" i="76"/>
  <c r="N337" i="76"/>
  <c r="K337" i="76"/>
  <c r="M337" i="76"/>
  <c r="J337" i="76"/>
  <c r="H337" i="76"/>
  <c r="O337" i="76"/>
  <c r="Q337" i="76"/>
  <c r="L337" i="76"/>
  <c r="G337" i="76"/>
  <c r="P337" i="76"/>
  <c r="Y337" i="76"/>
  <c r="V337" i="76"/>
  <c r="AB337" i="76"/>
  <c r="AA337" i="76"/>
  <c r="AC337" i="76"/>
  <c r="X337" i="76"/>
  <c r="S337" i="76"/>
  <c r="U337" i="76"/>
  <c r="T337" i="76"/>
  <c r="Z337" i="76"/>
  <c r="W337" i="76"/>
  <c r="F339" i="76" l="1"/>
  <c r="R339" i="76"/>
  <c r="N338" i="76"/>
  <c r="O338" i="76"/>
  <c r="K338" i="76"/>
  <c r="Q338" i="76"/>
  <c r="L338" i="76"/>
  <c r="G338" i="76"/>
  <c r="M338" i="76"/>
  <c r="H338" i="76"/>
  <c r="I338" i="76"/>
  <c r="J338" i="76"/>
  <c r="P338" i="76"/>
  <c r="AI338" i="76"/>
  <c r="AO338" i="76"/>
  <c r="AJ338" i="76"/>
  <c r="AP338" i="76"/>
  <c r="AK338" i="76"/>
  <c r="AF338" i="76"/>
  <c r="AL338" i="76"/>
  <c r="AG338" i="76"/>
  <c r="AM338" i="76"/>
  <c r="AH338" i="76"/>
  <c r="AN338" i="76"/>
  <c r="S338" i="76"/>
  <c r="U338" i="76"/>
  <c r="T338" i="76"/>
  <c r="Z338" i="76"/>
  <c r="X338" i="76"/>
  <c r="AA338" i="76"/>
  <c r="V338" i="76"/>
  <c r="Y338" i="76"/>
  <c r="W338" i="76"/>
  <c r="AC338" i="76"/>
  <c r="AB338" i="76"/>
  <c r="C339" i="76"/>
  <c r="AR340" i="76"/>
  <c r="A339" i="76"/>
  <c r="AE339" i="76"/>
  <c r="E339" i="76"/>
  <c r="AD339" i="76"/>
  <c r="D339" i="76"/>
  <c r="B339" i="76"/>
  <c r="F340" i="76" l="1"/>
  <c r="R340" i="76"/>
  <c r="AH339" i="76"/>
  <c r="AN339" i="76"/>
  <c r="AI339" i="76"/>
  <c r="AO339" i="76"/>
  <c r="AJ339" i="76"/>
  <c r="AP339" i="76"/>
  <c r="AK339" i="76"/>
  <c r="AF339" i="76"/>
  <c r="AL339" i="76"/>
  <c r="AG339" i="76"/>
  <c r="AM339" i="76"/>
  <c r="B340" i="76"/>
  <c r="AR341" i="76"/>
  <c r="D340" i="76"/>
  <c r="E340" i="76"/>
  <c r="C340" i="76"/>
  <c r="AE340" i="76"/>
  <c r="A340" i="76"/>
  <c r="AD340" i="76"/>
  <c r="Z339" i="76"/>
  <c r="U339" i="76"/>
  <c r="AA339" i="76"/>
  <c r="V339" i="76"/>
  <c r="AB339" i="76"/>
  <c r="W339" i="76"/>
  <c r="AC339" i="76"/>
  <c r="X339" i="76"/>
  <c r="S339" i="76"/>
  <c r="Y339" i="76"/>
  <c r="T339" i="76"/>
  <c r="O339" i="76"/>
  <c r="J339" i="76"/>
  <c r="P339" i="76"/>
  <c r="K339" i="76"/>
  <c r="Q339" i="76"/>
  <c r="L339" i="76"/>
  <c r="G339" i="76"/>
  <c r="M339" i="76"/>
  <c r="H339" i="76"/>
  <c r="N339" i="76"/>
  <c r="I339" i="76"/>
  <c r="F341" i="76" l="1"/>
  <c r="R341" i="76"/>
  <c r="G340" i="76"/>
  <c r="M340" i="76"/>
  <c r="H340" i="76"/>
  <c r="N340" i="76"/>
  <c r="I340" i="76"/>
  <c r="O340" i="76"/>
  <c r="J340" i="76"/>
  <c r="P340" i="76"/>
  <c r="K340" i="76"/>
  <c r="Q340" i="76"/>
  <c r="L340" i="76"/>
  <c r="AC340" i="76"/>
  <c r="X340" i="76"/>
  <c r="S340" i="76"/>
  <c r="Y340" i="76"/>
  <c r="T340" i="76"/>
  <c r="Z340" i="76"/>
  <c r="U340" i="76"/>
  <c r="AA340" i="76"/>
  <c r="V340" i="76"/>
  <c r="AB340" i="76"/>
  <c r="W340" i="76"/>
  <c r="AN340" i="76"/>
  <c r="AI340" i="76"/>
  <c r="AO340" i="76"/>
  <c r="AJ340" i="76"/>
  <c r="AP340" i="76"/>
  <c r="AK340" i="76"/>
  <c r="AF340" i="76"/>
  <c r="AL340" i="76"/>
  <c r="AG340" i="76"/>
  <c r="AM340" i="76"/>
  <c r="AH340" i="76"/>
  <c r="AR342" i="76"/>
  <c r="B341" i="76"/>
  <c r="AE341" i="76"/>
  <c r="D341" i="76"/>
  <c r="C341" i="76"/>
  <c r="AD341" i="76"/>
  <c r="E341" i="76"/>
  <c r="A341" i="76"/>
  <c r="F342" i="76" l="1"/>
  <c r="R342" i="76"/>
  <c r="AN341" i="76"/>
  <c r="AI341" i="76"/>
  <c r="AO341" i="76"/>
  <c r="AJ341" i="76"/>
  <c r="AP341" i="76"/>
  <c r="AK341" i="76"/>
  <c r="AF341" i="76"/>
  <c r="AL341" i="76"/>
  <c r="AG341" i="76"/>
  <c r="AM341" i="76"/>
  <c r="AH341" i="76"/>
  <c r="AD342" i="76"/>
  <c r="B342" i="76"/>
  <c r="A342" i="76"/>
  <c r="AE342" i="76"/>
  <c r="E342" i="76"/>
  <c r="C342" i="76"/>
  <c r="AR343" i="76"/>
  <c r="D342" i="76"/>
  <c r="P341" i="76"/>
  <c r="K341" i="76"/>
  <c r="Q341" i="76"/>
  <c r="L341" i="76"/>
  <c r="J341" i="76"/>
  <c r="G341" i="76"/>
  <c r="H341" i="76"/>
  <c r="N341" i="76"/>
  <c r="I341" i="76"/>
  <c r="O341" i="76"/>
  <c r="M341" i="76"/>
  <c r="X341" i="76"/>
  <c r="Y341" i="76"/>
  <c r="T341" i="76"/>
  <c r="Z341" i="76"/>
  <c r="U341" i="76"/>
  <c r="S341" i="76"/>
  <c r="V341" i="76"/>
  <c r="AB341" i="76"/>
  <c r="W341" i="76"/>
  <c r="AC341" i="76"/>
  <c r="AA341" i="76"/>
  <c r="F343" i="76" l="1"/>
  <c r="R343" i="76"/>
  <c r="C343" i="76"/>
  <c r="B343" i="76"/>
  <c r="A343" i="76"/>
  <c r="AE343" i="76"/>
  <c r="AR344" i="76"/>
  <c r="E343" i="76"/>
  <c r="AD343" i="76"/>
  <c r="D343" i="76"/>
  <c r="AC342" i="76"/>
  <c r="X342" i="76"/>
  <c r="AA342" i="76"/>
  <c r="Y342" i="76"/>
  <c r="T342" i="76"/>
  <c r="S342" i="76"/>
  <c r="U342" i="76"/>
  <c r="W342" i="76"/>
  <c r="V342" i="76"/>
  <c r="AB342" i="76"/>
  <c r="Z342" i="76"/>
  <c r="Q342" i="76"/>
  <c r="L342" i="76"/>
  <c r="G342" i="76"/>
  <c r="M342" i="76"/>
  <c r="H342" i="76"/>
  <c r="N342" i="76"/>
  <c r="I342" i="76"/>
  <c r="O342" i="76"/>
  <c r="J342" i="76"/>
  <c r="P342" i="76"/>
  <c r="K342" i="76"/>
  <c r="AN342" i="76"/>
  <c r="AI342" i="76"/>
  <c r="AO342" i="76"/>
  <c r="AJ342" i="76"/>
  <c r="AP342" i="76"/>
  <c r="AK342" i="76"/>
  <c r="AF342" i="76"/>
  <c r="AL342" i="76"/>
  <c r="AG342" i="76"/>
  <c r="AM342" i="76"/>
  <c r="AH342" i="76"/>
  <c r="F344" i="76" l="1"/>
  <c r="R344" i="76"/>
  <c r="Q343" i="76"/>
  <c r="L343" i="76"/>
  <c r="G343" i="76"/>
  <c r="M343" i="76"/>
  <c r="H343" i="76"/>
  <c r="N343" i="76"/>
  <c r="I343" i="76"/>
  <c r="O343" i="76"/>
  <c r="J343" i="76"/>
  <c r="P343" i="76"/>
  <c r="K343" i="76"/>
  <c r="AR345" i="76"/>
  <c r="E344" i="76"/>
  <c r="C344" i="76"/>
  <c r="A344" i="76"/>
  <c r="AE344" i="76"/>
  <c r="D344" i="76"/>
  <c r="B344" i="76"/>
  <c r="AD344" i="76"/>
  <c r="V343" i="76"/>
  <c r="AB343" i="76"/>
  <c r="W343" i="76"/>
  <c r="AC343" i="76"/>
  <c r="X343" i="76"/>
  <c r="S343" i="76"/>
  <c r="Y343" i="76"/>
  <c r="T343" i="76"/>
  <c r="Z343" i="76"/>
  <c r="U343" i="76"/>
  <c r="AA343" i="76"/>
  <c r="AO343" i="76"/>
  <c r="AJ343" i="76"/>
  <c r="AP343" i="76"/>
  <c r="AK343" i="76"/>
  <c r="AF343" i="76"/>
  <c r="AL343" i="76"/>
  <c r="AG343" i="76"/>
  <c r="AM343" i="76"/>
  <c r="AH343" i="76"/>
  <c r="AN343" i="76"/>
  <c r="AI343" i="76"/>
  <c r="F345" i="76" l="1"/>
  <c r="R345" i="76"/>
  <c r="G344" i="76"/>
  <c r="K344" i="76"/>
  <c r="Q344" i="76"/>
  <c r="L344" i="76"/>
  <c r="J344" i="76"/>
  <c r="H344" i="76"/>
  <c r="P344" i="76"/>
  <c r="I344" i="76"/>
  <c r="O344" i="76"/>
  <c r="N344" i="76"/>
  <c r="M344" i="76"/>
  <c r="AG344" i="76"/>
  <c r="AP344" i="76"/>
  <c r="AK344" i="76"/>
  <c r="AF344" i="76"/>
  <c r="AO344" i="76"/>
  <c r="AI344" i="76"/>
  <c r="AM344" i="76"/>
  <c r="AH344" i="76"/>
  <c r="AN344" i="76"/>
  <c r="AL344" i="76"/>
  <c r="AJ344" i="76"/>
  <c r="AR346" i="76"/>
  <c r="E345" i="76"/>
  <c r="AD345" i="76"/>
  <c r="D345" i="76"/>
  <c r="C345" i="76"/>
  <c r="B345" i="76"/>
  <c r="A345" i="76"/>
  <c r="AE345" i="76"/>
  <c r="U344" i="76"/>
  <c r="S344" i="76"/>
  <c r="Y344" i="76"/>
  <c r="T344" i="76"/>
  <c r="AC344" i="76"/>
  <c r="W344" i="76"/>
  <c r="AA344" i="76"/>
  <c r="AB344" i="76"/>
  <c r="Z344" i="76"/>
  <c r="V344" i="76"/>
  <c r="X344" i="76"/>
  <c r="F346" i="76" l="1"/>
  <c r="R346" i="76"/>
  <c r="AL345" i="76"/>
  <c r="AM345" i="76"/>
  <c r="AN345" i="76"/>
  <c r="AO345" i="76"/>
  <c r="AJ345" i="76"/>
  <c r="AP345" i="76"/>
  <c r="AK345" i="76"/>
  <c r="AF345" i="76"/>
  <c r="AG345" i="76"/>
  <c r="AH345" i="76"/>
  <c r="AI345" i="76"/>
  <c r="T345" i="76"/>
  <c r="Z345" i="76"/>
  <c r="U345" i="76"/>
  <c r="AA345" i="76"/>
  <c r="V345" i="76"/>
  <c r="AB345" i="76"/>
  <c r="W345" i="76"/>
  <c r="AC345" i="76"/>
  <c r="X345" i="76"/>
  <c r="S345" i="76"/>
  <c r="Y345" i="76"/>
  <c r="J345" i="76"/>
  <c r="L345" i="76"/>
  <c r="G345" i="76"/>
  <c r="M345" i="76"/>
  <c r="H345" i="76"/>
  <c r="N345" i="76"/>
  <c r="I345" i="76"/>
  <c r="O345" i="76"/>
  <c r="P345" i="76"/>
  <c r="K345" i="76"/>
  <c r="Q345" i="76"/>
  <c r="AD346" i="76"/>
  <c r="AE346" i="76"/>
  <c r="E346" i="76"/>
  <c r="C346" i="76"/>
  <c r="A346" i="76"/>
  <c r="D346" i="76"/>
  <c r="AR347" i="76"/>
  <c r="B346" i="76"/>
  <c r="F347" i="76" l="1"/>
  <c r="R347" i="76"/>
  <c r="D347" i="76"/>
  <c r="C347" i="76"/>
  <c r="B347" i="76"/>
  <c r="AD347" i="76"/>
  <c r="AR348" i="76"/>
  <c r="A347" i="76"/>
  <c r="AE347" i="76"/>
  <c r="E347" i="76"/>
  <c r="Z346" i="76"/>
  <c r="T346" i="76"/>
  <c r="AA346" i="76"/>
  <c r="V346" i="76"/>
  <c r="AC346" i="76"/>
  <c r="W346" i="76"/>
  <c r="Y346" i="76"/>
  <c r="U346" i="76"/>
  <c r="S346" i="76"/>
  <c r="AB346" i="76"/>
  <c r="X346" i="76"/>
  <c r="N346" i="76"/>
  <c r="I346" i="76"/>
  <c r="O346" i="76"/>
  <c r="J346" i="76"/>
  <c r="P346" i="76"/>
  <c r="K346" i="76"/>
  <c r="Q346" i="76"/>
  <c r="L346" i="76"/>
  <c r="G346" i="76"/>
  <c r="M346" i="76"/>
  <c r="H346" i="76"/>
  <c r="AM346" i="76"/>
  <c r="AH346" i="76"/>
  <c r="AN346" i="76"/>
  <c r="AI346" i="76"/>
  <c r="AO346" i="76"/>
  <c r="AJ346" i="76"/>
  <c r="AP346" i="76"/>
  <c r="AK346" i="76"/>
  <c r="AF346" i="76"/>
  <c r="AL346" i="76"/>
  <c r="AG346" i="76"/>
  <c r="F348" i="76" l="1"/>
  <c r="R348" i="76"/>
  <c r="N347" i="76"/>
  <c r="I347" i="76"/>
  <c r="O347" i="76"/>
  <c r="J347" i="76"/>
  <c r="P347" i="76"/>
  <c r="K347" i="76"/>
  <c r="Q347" i="76"/>
  <c r="L347" i="76"/>
  <c r="G347" i="76"/>
  <c r="M347" i="76"/>
  <c r="H347" i="76"/>
  <c r="AO347" i="76"/>
  <c r="AJ347" i="76"/>
  <c r="AP347" i="76"/>
  <c r="AK347" i="76"/>
  <c r="AF347" i="76"/>
  <c r="AL347" i="76"/>
  <c r="AG347" i="76"/>
  <c r="AM347" i="76"/>
  <c r="AH347" i="76"/>
  <c r="AN347" i="76"/>
  <c r="AI347" i="76"/>
  <c r="AR349" i="76"/>
  <c r="E348" i="76"/>
  <c r="C348" i="76"/>
  <c r="AE348" i="76"/>
  <c r="A348" i="76"/>
  <c r="AD348" i="76"/>
  <c r="B348" i="76"/>
  <c r="D348" i="76"/>
  <c r="AA347" i="76"/>
  <c r="V347" i="76"/>
  <c r="AB347" i="76"/>
  <c r="W347" i="76"/>
  <c r="AC347" i="76"/>
  <c r="X347" i="76"/>
  <c r="S347" i="76"/>
  <c r="Y347" i="76"/>
  <c r="T347" i="76"/>
  <c r="Z347" i="76"/>
  <c r="U347" i="76"/>
  <c r="F349" i="76" l="1"/>
  <c r="R349" i="76"/>
  <c r="Y348" i="76"/>
  <c r="T348" i="76"/>
  <c r="U348" i="76"/>
  <c r="V348" i="76"/>
  <c r="AB348" i="76"/>
  <c r="W348" i="76"/>
  <c r="AC348" i="76"/>
  <c r="X348" i="76"/>
  <c r="S348" i="76"/>
  <c r="Z348" i="76"/>
  <c r="AA348" i="76"/>
  <c r="M348" i="76"/>
  <c r="N348" i="76"/>
  <c r="O348" i="76"/>
  <c r="J348" i="76"/>
  <c r="P348" i="76"/>
  <c r="K348" i="76"/>
  <c r="I348" i="76"/>
  <c r="L348" i="76"/>
  <c r="G348" i="76"/>
  <c r="H348" i="76"/>
  <c r="Q348" i="76"/>
  <c r="AH348" i="76"/>
  <c r="AI348" i="76"/>
  <c r="AO348" i="76"/>
  <c r="AJ348" i="76"/>
  <c r="AK348" i="76"/>
  <c r="AM348" i="76"/>
  <c r="AF348" i="76"/>
  <c r="AL348" i="76"/>
  <c r="AG348" i="76"/>
  <c r="AP348" i="76"/>
  <c r="AN348" i="76"/>
  <c r="AE349" i="76"/>
  <c r="AR350" i="76"/>
  <c r="B349" i="76"/>
  <c r="D349" i="76"/>
  <c r="C349" i="76"/>
  <c r="AD349" i="76"/>
  <c r="E349" i="76"/>
  <c r="A349" i="76"/>
  <c r="F350" i="76" l="1"/>
  <c r="R350" i="76"/>
  <c r="AE350" i="76"/>
  <c r="B350" i="76"/>
  <c r="A350" i="76"/>
  <c r="D350" i="76"/>
  <c r="AD350" i="76"/>
  <c r="C350" i="76"/>
  <c r="E350" i="76"/>
  <c r="AR351" i="76"/>
  <c r="AC349" i="76"/>
  <c r="AB349" i="76"/>
  <c r="Z349" i="76"/>
  <c r="U349" i="76"/>
  <c r="AA349" i="76"/>
  <c r="Y349" i="76"/>
  <c r="T349" i="76"/>
  <c r="W349" i="76"/>
  <c r="X349" i="76"/>
  <c r="S349" i="76"/>
  <c r="V349" i="76"/>
  <c r="P349" i="76"/>
  <c r="N349" i="76"/>
  <c r="M349" i="76"/>
  <c r="H349" i="76"/>
  <c r="Q349" i="76"/>
  <c r="O349" i="76"/>
  <c r="L349" i="76"/>
  <c r="J349" i="76"/>
  <c r="K349" i="76"/>
  <c r="I349" i="76"/>
  <c r="G349" i="76"/>
  <c r="AM349" i="76"/>
  <c r="AG349" i="76"/>
  <c r="AJ349" i="76"/>
  <c r="AP349" i="76"/>
  <c r="AK349" i="76"/>
  <c r="AI349" i="76"/>
  <c r="AO349" i="76"/>
  <c r="AF349" i="76"/>
  <c r="AH349" i="76"/>
  <c r="AN349" i="76"/>
  <c r="AL349" i="76"/>
  <c r="F351" i="76" l="1"/>
  <c r="R351" i="76"/>
  <c r="K350" i="76"/>
  <c r="I350" i="76"/>
  <c r="O350" i="76"/>
  <c r="J350" i="76"/>
  <c r="P350" i="76"/>
  <c r="N350" i="76"/>
  <c r="Q350" i="76"/>
  <c r="L350" i="76"/>
  <c r="G350" i="76"/>
  <c r="M350" i="76"/>
  <c r="H350" i="76"/>
  <c r="AE351" i="76"/>
  <c r="C351" i="76"/>
  <c r="D351" i="76"/>
  <c r="B351" i="76"/>
  <c r="AR352" i="76"/>
  <c r="E351" i="76"/>
  <c r="AD351" i="76"/>
  <c r="A351" i="76"/>
  <c r="U350" i="76"/>
  <c r="AA350" i="76"/>
  <c r="Z350" i="76"/>
  <c r="AB350" i="76"/>
  <c r="S350" i="76"/>
  <c r="AC350" i="76"/>
  <c r="X350" i="76"/>
  <c r="V350" i="76"/>
  <c r="Y350" i="76"/>
  <c r="T350" i="76"/>
  <c r="W350" i="76"/>
  <c r="AO350" i="76"/>
  <c r="AN350" i="76"/>
  <c r="AI350" i="76"/>
  <c r="AG350" i="76"/>
  <c r="AM350" i="76"/>
  <c r="AH350" i="76"/>
  <c r="AK350" i="76"/>
  <c r="AF350" i="76"/>
  <c r="AL350" i="76"/>
  <c r="AJ350" i="76"/>
  <c r="AP350" i="76"/>
  <c r="F352" i="76" l="1"/>
  <c r="R352" i="76"/>
  <c r="D352" i="76"/>
  <c r="B352" i="76"/>
  <c r="C352" i="76"/>
  <c r="AE352" i="76"/>
  <c r="AR353" i="76"/>
  <c r="E352" i="76"/>
  <c r="AD352" i="76"/>
  <c r="A352" i="76"/>
  <c r="H351" i="76"/>
  <c r="N351" i="76"/>
  <c r="I351" i="76"/>
  <c r="O351" i="76"/>
  <c r="J351" i="76"/>
  <c r="P351" i="76"/>
  <c r="K351" i="76"/>
  <c r="Q351" i="76"/>
  <c r="L351" i="76"/>
  <c r="G351" i="76"/>
  <c r="M351" i="76"/>
  <c r="X351" i="76"/>
  <c r="S351" i="76"/>
  <c r="Y351" i="76"/>
  <c r="AB351" i="76"/>
  <c r="W351" i="76"/>
  <c r="AC351" i="76"/>
  <c r="AA351" i="76"/>
  <c r="V351" i="76"/>
  <c r="U351" i="76"/>
  <c r="T351" i="76"/>
  <c r="Z351" i="76"/>
  <c r="AO351" i="76"/>
  <c r="AJ351" i="76"/>
  <c r="AP351" i="76"/>
  <c r="AK351" i="76"/>
  <c r="AF351" i="76"/>
  <c r="AL351" i="76"/>
  <c r="AG351" i="76"/>
  <c r="AM351" i="76"/>
  <c r="AH351" i="76"/>
  <c r="AN351" i="76"/>
  <c r="AI351" i="76"/>
  <c r="F353" i="76" l="1"/>
  <c r="R353" i="76"/>
  <c r="C353" i="76"/>
  <c r="AE353" i="76"/>
  <c r="B353" i="76"/>
  <c r="E353" i="76"/>
  <c r="A353" i="76"/>
  <c r="AR354" i="76"/>
  <c r="D353" i="76"/>
  <c r="AD353" i="76"/>
  <c r="N352" i="76"/>
  <c r="I352" i="76"/>
  <c r="O352" i="76"/>
  <c r="J352" i="76"/>
  <c r="P352" i="76"/>
  <c r="K352" i="76"/>
  <c r="Q352" i="76"/>
  <c r="L352" i="76"/>
  <c r="G352" i="76"/>
  <c r="M352" i="76"/>
  <c r="H352" i="76"/>
  <c r="AG352" i="76"/>
  <c r="AM352" i="76"/>
  <c r="AH352" i="76"/>
  <c r="AN352" i="76"/>
  <c r="AI352" i="76"/>
  <c r="AO352" i="76"/>
  <c r="AJ352" i="76"/>
  <c r="AP352" i="76"/>
  <c r="AK352" i="76"/>
  <c r="AF352" i="76"/>
  <c r="AL352" i="76"/>
  <c r="X352" i="76"/>
  <c r="S352" i="76"/>
  <c r="Y352" i="76"/>
  <c r="T352" i="76"/>
  <c r="Z352" i="76"/>
  <c r="U352" i="76"/>
  <c r="AA352" i="76"/>
  <c r="V352" i="76"/>
  <c r="AB352" i="76"/>
  <c r="W352" i="76"/>
  <c r="AC352" i="76"/>
  <c r="F354" i="76" l="1"/>
  <c r="R354" i="76"/>
  <c r="AD354" i="76"/>
  <c r="D354" i="76"/>
  <c r="E354" i="76"/>
  <c r="C354" i="76"/>
  <c r="AE354" i="76"/>
  <c r="A354" i="76"/>
  <c r="AR355" i="76"/>
  <c r="B354" i="76"/>
  <c r="T353" i="76"/>
  <c r="X353" i="76"/>
  <c r="S353" i="76"/>
  <c r="Y353" i="76"/>
  <c r="W353" i="76"/>
  <c r="AC353" i="76"/>
  <c r="U353" i="76"/>
  <c r="AA353" i="76"/>
  <c r="V353" i="76"/>
  <c r="AB353" i="76"/>
  <c r="Z353" i="76"/>
  <c r="AL353" i="76"/>
  <c r="AM353" i="76"/>
  <c r="AH353" i="76"/>
  <c r="AN353" i="76"/>
  <c r="AI353" i="76"/>
  <c r="AJ353" i="76"/>
  <c r="AG353" i="76"/>
  <c r="AP353" i="76"/>
  <c r="AK353" i="76"/>
  <c r="AF353" i="76"/>
  <c r="AO353" i="76"/>
  <c r="N353" i="76"/>
  <c r="I353" i="76"/>
  <c r="O353" i="76"/>
  <c r="J353" i="76"/>
  <c r="H353" i="76"/>
  <c r="M353" i="76"/>
  <c r="Q353" i="76"/>
  <c r="L353" i="76"/>
  <c r="G353" i="76"/>
  <c r="P353" i="76"/>
  <c r="K353" i="76"/>
  <c r="F355" i="76" l="1"/>
  <c r="R355" i="76"/>
  <c r="Z354" i="76"/>
  <c r="W354" i="76"/>
  <c r="AC354" i="76"/>
  <c r="AB354" i="76"/>
  <c r="S354" i="76"/>
  <c r="U354" i="76"/>
  <c r="T354" i="76"/>
  <c r="X354" i="76"/>
  <c r="AA354" i="76"/>
  <c r="V354" i="76"/>
  <c r="Y354" i="76"/>
  <c r="M354" i="76"/>
  <c r="N354" i="76"/>
  <c r="I354" i="76"/>
  <c r="O354" i="76"/>
  <c r="J354" i="76"/>
  <c r="P354" i="76"/>
  <c r="K354" i="76"/>
  <c r="Q354" i="76"/>
  <c r="L354" i="76"/>
  <c r="G354" i="76"/>
  <c r="H354" i="76"/>
  <c r="AR356" i="76"/>
  <c r="E355" i="76"/>
  <c r="AD355" i="76"/>
  <c r="D355" i="76"/>
  <c r="B355" i="76"/>
  <c r="C355" i="76"/>
  <c r="A355" i="76"/>
  <c r="AE355" i="76"/>
  <c r="AG354" i="76"/>
  <c r="AM354" i="76"/>
  <c r="AH354" i="76"/>
  <c r="AN354" i="76"/>
  <c r="AI354" i="76"/>
  <c r="AO354" i="76"/>
  <c r="AJ354" i="76"/>
  <c r="AP354" i="76"/>
  <c r="AK354" i="76"/>
  <c r="AF354" i="76"/>
  <c r="AL354" i="76"/>
  <c r="F356" i="76" l="1"/>
  <c r="R356" i="76"/>
  <c r="AO355" i="76"/>
  <c r="AJ355" i="76"/>
  <c r="AP355" i="76"/>
  <c r="AK355" i="76"/>
  <c r="AF355" i="76"/>
  <c r="AL355" i="76"/>
  <c r="AG355" i="76"/>
  <c r="AM355" i="76"/>
  <c r="AH355" i="76"/>
  <c r="AN355" i="76"/>
  <c r="AI355" i="76"/>
  <c r="H355" i="76"/>
  <c r="N355" i="76"/>
  <c r="I355" i="76"/>
  <c r="O355" i="76"/>
  <c r="J355" i="76"/>
  <c r="P355" i="76"/>
  <c r="K355" i="76"/>
  <c r="L355" i="76"/>
  <c r="G355" i="76"/>
  <c r="M355" i="76"/>
  <c r="Q355" i="76"/>
  <c r="V355" i="76"/>
  <c r="AB355" i="76"/>
  <c r="W355" i="76"/>
  <c r="AC355" i="76"/>
  <c r="X355" i="76"/>
  <c r="S355" i="76"/>
  <c r="T355" i="76"/>
  <c r="U355" i="76"/>
  <c r="Y355" i="76"/>
  <c r="Z355" i="76"/>
  <c r="AA355" i="76"/>
  <c r="AR357" i="76"/>
  <c r="E356" i="76"/>
  <c r="C356" i="76"/>
  <c r="AE356" i="76"/>
  <c r="A356" i="76"/>
  <c r="D356" i="76"/>
  <c r="B356" i="76"/>
  <c r="AD356" i="76"/>
  <c r="F357" i="76" l="1"/>
  <c r="R357" i="76"/>
  <c r="E357" i="76"/>
  <c r="AD357" i="76"/>
  <c r="AR358" i="76"/>
  <c r="B357" i="76"/>
  <c r="AE357" i="76"/>
  <c r="A357" i="76"/>
  <c r="D357" i="76"/>
  <c r="C357" i="76"/>
  <c r="M356" i="76"/>
  <c r="K356" i="76"/>
  <c r="Q356" i="76"/>
  <c r="L356" i="76"/>
  <c r="J356" i="76"/>
  <c r="H356" i="76"/>
  <c r="P356" i="76"/>
  <c r="N356" i="76"/>
  <c r="I356" i="76"/>
  <c r="O356" i="76"/>
  <c r="G356" i="76"/>
  <c r="AI356" i="76"/>
  <c r="AO356" i="76"/>
  <c r="AJ356" i="76"/>
  <c r="AP356" i="76"/>
  <c r="AF356" i="76"/>
  <c r="AN356" i="76"/>
  <c r="AL356" i="76"/>
  <c r="AG356" i="76"/>
  <c r="AM356" i="76"/>
  <c r="AH356" i="76"/>
  <c r="AK356" i="76"/>
  <c r="AB356" i="76"/>
  <c r="W356" i="76"/>
  <c r="AC356" i="76"/>
  <c r="X356" i="76"/>
  <c r="S356" i="76"/>
  <c r="Y356" i="76"/>
  <c r="T356" i="76"/>
  <c r="Z356" i="76"/>
  <c r="U356" i="76"/>
  <c r="AA356" i="76"/>
  <c r="V356" i="76"/>
  <c r="F358" i="76" l="1"/>
  <c r="R358" i="76"/>
  <c r="AC357" i="76"/>
  <c r="X357" i="76"/>
  <c r="S357" i="76"/>
  <c r="Y357" i="76"/>
  <c r="T357" i="76"/>
  <c r="Z357" i="76"/>
  <c r="U357" i="76"/>
  <c r="AA357" i="76"/>
  <c r="V357" i="76"/>
  <c r="AB357" i="76"/>
  <c r="W357" i="76"/>
  <c r="P357" i="76"/>
  <c r="Q357" i="76"/>
  <c r="J357" i="76"/>
  <c r="M357" i="76"/>
  <c r="H357" i="76"/>
  <c r="N357" i="76"/>
  <c r="I357" i="76"/>
  <c r="G357" i="76"/>
  <c r="O357" i="76"/>
  <c r="K357" i="76"/>
  <c r="L357" i="76"/>
  <c r="AN357" i="76"/>
  <c r="AJ357" i="76"/>
  <c r="AP357" i="76"/>
  <c r="AK357" i="76"/>
  <c r="AF357" i="76"/>
  <c r="AL357" i="76"/>
  <c r="AG357" i="76"/>
  <c r="AM357" i="76"/>
  <c r="AH357" i="76"/>
  <c r="AI357" i="76"/>
  <c r="AO357" i="76"/>
  <c r="AE358" i="76"/>
  <c r="A358" i="76"/>
  <c r="E358" i="76"/>
  <c r="C358" i="76"/>
  <c r="D358" i="76"/>
  <c r="AR359" i="76"/>
  <c r="AD358" i="76"/>
  <c r="B358" i="76"/>
  <c r="F359" i="76" l="1"/>
  <c r="R359" i="76"/>
  <c r="AG358" i="76"/>
  <c r="AM358" i="76"/>
  <c r="AH358" i="76"/>
  <c r="AN358" i="76"/>
  <c r="AI358" i="76"/>
  <c r="AO358" i="76"/>
  <c r="AJ358" i="76"/>
  <c r="AP358" i="76"/>
  <c r="AK358" i="76"/>
  <c r="AF358" i="76"/>
  <c r="AL358" i="76"/>
  <c r="B359" i="76"/>
  <c r="A359" i="76"/>
  <c r="AE359" i="76"/>
  <c r="C359" i="76"/>
  <c r="D359" i="76"/>
  <c r="AR360" i="76"/>
  <c r="E359" i="76"/>
  <c r="AD359" i="76"/>
  <c r="X358" i="76"/>
  <c r="Y358" i="76"/>
  <c r="T358" i="76"/>
  <c r="S358" i="76"/>
  <c r="U358" i="76"/>
  <c r="W358" i="76"/>
  <c r="V358" i="76"/>
  <c r="AB358" i="76"/>
  <c r="Z358" i="76"/>
  <c r="AC358" i="76"/>
  <c r="AA358" i="76"/>
  <c r="M358" i="76"/>
  <c r="Q358" i="76"/>
  <c r="L358" i="76"/>
  <c r="G358" i="76"/>
  <c r="P358" i="76"/>
  <c r="K358" i="76"/>
  <c r="N358" i="76"/>
  <c r="I358" i="76"/>
  <c r="O358" i="76"/>
  <c r="J358" i="76"/>
  <c r="H358" i="76"/>
  <c r="F360" i="76" l="1"/>
  <c r="R360" i="76"/>
  <c r="Q359" i="76"/>
  <c r="L359" i="76"/>
  <c r="G359" i="76"/>
  <c r="P359" i="76"/>
  <c r="J359" i="76"/>
  <c r="N359" i="76"/>
  <c r="I359" i="76"/>
  <c r="O359" i="76"/>
  <c r="M359" i="76"/>
  <c r="K359" i="76"/>
  <c r="H359" i="76"/>
  <c r="V359" i="76"/>
  <c r="AB359" i="76"/>
  <c r="W359" i="76"/>
  <c r="U359" i="76"/>
  <c r="S359" i="76"/>
  <c r="X359" i="76"/>
  <c r="Y359" i="76"/>
  <c r="T359" i="76"/>
  <c r="AC359" i="76"/>
  <c r="AA359" i="76"/>
  <c r="Z359" i="76"/>
  <c r="AO359" i="76"/>
  <c r="AJ359" i="76"/>
  <c r="AF359" i="76"/>
  <c r="AH359" i="76"/>
  <c r="AN359" i="76"/>
  <c r="AP359" i="76"/>
  <c r="AI359" i="76"/>
  <c r="AL359" i="76"/>
  <c r="AG359" i="76"/>
  <c r="AM359" i="76"/>
  <c r="AK359" i="76"/>
  <c r="D360" i="76"/>
  <c r="B360" i="76"/>
  <c r="AE360" i="76"/>
  <c r="AR361" i="76"/>
  <c r="E360" i="76"/>
  <c r="AD360" i="76"/>
  <c r="A360" i="76"/>
  <c r="C360" i="76"/>
  <c r="F361" i="76" l="1"/>
  <c r="R361" i="76"/>
  <c r="G360" i="76"/>
  <c r="M360" i="76"/>
  <c r="H360" i="76"/>
  <c r="N360" i="76"/>
  <c r="I360" i="76"/>
  <c r="O360" i="76"/>
  <c r="J360" i="76"/>
  <c r="P360" i="76"/>
  <c r="K360" i="76"/>
  <c r="Q360" i="76"/>
  <c r="L360" i="76"/>
  <c r="Z360" i="76"/>
  <c r="U360" i="76"/>
  <c r="AA360" i="76"/>
  <c r="V360" i="76"/>
  <c r="AB360" i="76"/>
  <c r="W360" i="76"/>
  <c r="AC360" i="76"/>
  <c r="X360" i="76"/>
  <c r="S360" i="76"/>
  <c r="Y360" i="76"/>
  <c r="T360" i="76"/>
  <c r="AR362" i="76"/>
  <c r="E361" i="76"/>
  <c r="AD361" i="76"/>
  <c r="D361" i="76"/>
  <c r="B361" i="76"/>
  <c r="A361" i="76"/>
  <c r="AE361" i="76"/>
  <c r="C361" i="76"/>
  <c r="AI360" i="76"/>
  <c r="AO360" i="76"/>
  <c r="AJ360" i="76"/>
  <c r="AP360" i="76"/>
  <c r="AK360" i="76"/>
  <c r="AF360" i="76"/>
  <c r="AL360" i="76"/>
  <c r="AG360" i="76"/>
  <c r="AM360" i="76"/>
  <c r="AH360" i="76"/>
  <c r="AN360" i="76"/>
  <c r="F362" i="76" l="1"/>
  <c r="R362" i="76"/>
  <c r="H361" i="76"/>
  <c r="I361" i="76"/>
  <c r="L361" i="76"/>
  <c r="P361" i="76"/>
  <c r="K361" i="76"/>
  <c r="Q361" i="76"/>
  <c r="O361" i="76"/>
  <c r="M361" i="76"/>
  <c r="J361" i="76"/>
  <c r="N361" i="76"/>
  <c r="G361" i="76"/>
  <c r="AC361" i="76"/>
  <c r="AA361" i="76"/>
  <c r="V361" i="76"/>
  <c r="AB361" i="76"/>
  <c r="Z361" i="76"/>
  <c r="T361" i="76"/>
  <c r="X361" i="76"/>
  <c r="S361" i="76"/>
  <c r="Y361" i="76"/>
  <c r="W361" i="76"/>
  <c r="U361" i="76"/>
  <c r="AL361" i="76"/>
  <c r="AM361" i="76"/>
  <c r="AH361" i="76"/>
  <c r="AN361" i="76"/>
  <c r="AI361" i="76"/>
  <c r="AJ361" i="76"/>
  <c r="AG361" i="76"/>
  <c r="AP361" i="76"/>
  <c r="AK361" i="76"/>
  <c r="AF361" i="76"/>
  <c r="AO361" i="76"/>
  <c r="AD362" i="76"/>
  <c r="AE362" i="76"/>
  <c r="E362" i="76"/>
  <c r="C362" i="76"/>
  <c r="A362" i="76"/>
  <c r="D362" i="76"/>
  <c r="AR363" i="76"/>
  <c r="B362" i="76"/>
  <c r="F363" i="76" l="1"/>
  <c r="R363" i="76"/>
  <c r="G362" i="76"/>
  <c r="M362" i="76"/>
  <c r="H362" i="76"/>
  <c r="N362" i="76"/>
  <c r="I362" i="76"/>
  <c r="O362" i="76"/>
  <c r="J362" i="76"/>
  <c r="P362" i="76"/>
  <c r="K362" i="76"/>
  <c r="Q362" i="76"/>
  <c r="L362" i="76"/>
  <c r="S362" i="76"/>
  <c r="AB362" i="76"/>
  <c r="X362" i="76"/>
  <c r="Z362" i="76"/>
  <c r="T362" i="76"/>
  <c r="AA362" i="76"/>
  <c r="V362" i="76"/>
  <c r="AC362" i="76"/>
  <c r="W362" i="76"/>
  <c r="Y362" i="76"/>
  <c r="U362" i="76"/>
  <c r="AR364" i="76"/>
  <c r="A363" i="76"/>
  <c r="D363" i="76"/>
  <c r="C363" i="76"/>
  <c r="E363" i="76"/>
  <c r="AD363" i="76"/>
  <c r="AE363" i="76"/>
  <c r="B363" i="76"/>
  <c r="AI362" i="76"/>
  <c r="AO362" i="76"/>
  <c r="AJ362" i="76"/>
  <c r="AP362" i="76"/>
  <c r="AK362" i="76"/>
  <c r="AF362" i="76"/>
  <c r="AL362" i="76"/>
  <c r="AG362" i="76"/>
  <c r="AM362" i="76"/>
  <c r="AH362" i="76"/>
  <c r="AN362" i="76"/>
  <c r="F364" i="76" l="1"/>
  <c r="R364" i="76"/>
  <c r="N363" i="76"/>
  <c r="J363" i="76"/>
  <c r="M363" i="76"/>
  <c r="Q363" i="76"/>
  <c r="L363" i="76"/>
  <c r="G363" i="76"/>
  <c r="P363" i="76"/>
  <c r="K363" i="76"/>
  <c r="I363" i="76"/>
  <c r="O363" i="76"/>
  <c r="H363" i="76"/>
  <c r="AL363" i="76"/>
  <c r="AM363" i="76"/>
  <c r="AH363" i="76"/>
  <c r="AN363" i="76"/>
  <c r="AI363" i="76"/>
  <c r="AJ363" i="76"/>
  <c r="AG363" i="76"/>
  <c r="AP363" i="76"/>
  <c r="AK363" i="76"/>
  <c r="AF363" i="76"/>
  <c r="AO363" i="76"/>
  <c r="U363" i="76"/>
  <c r="AA363" i="76"/>
  <c r="V363" i="76"/>
  <c r="AB363" i="76"/>
  <c r="Z363" i="76"/>
  <c r="T363" i="76"/>
  <c r="X363" i="76"/>
  <c r="S363" i="76"/>
  <c r="Y363" i="76"/>
  <c r="W363" i="76"/>
  <c r="AC363" i="76"/>
  <c r="D364" i="76"/>
  <c r="B364" i="76"/>
  <c r="A364" i="76"/>
  <c r="AR365" i="76"/>
  <c r="E364" i="76"/>
  <c r="C364" i="76"/>
  <c r="AE364" i="76"/>
  <c r="AD364" i="76"/>
  <c r="F365" i="76" l="1"/>
  <c r="R365" i="76"/>
  <c r="U364" i="76"/>
  <c r="AA364" i="76"/>
  <c r="V364" i="76"/>
  <c r="AB364" i="76"/>
  <c r="W364" i="76"/>
  <c r="AC364" i="76"/>
  <c r="X364" i="76"/>
  <c r="S364" i="76"/>
  <c r="Y364" i="76"/>
  <c r="T364" i="76"/>
  <c r="Z364" i="76"/>
  <c r="AD365" i="76"/>
  <c r="A365" i="76"/>
  <c r="AR366" i="76"/>
  <c r="B365" i="76"/>
  <c r="AE365" i="76"/>
  <c r="D365" i="76"/>
  <c r="C365" i="76"/>
  <c r="E365" i="76"/>
  <c r="O364" i="76"/>
  <c r="J364" i="76"/>
  <c r="P364" i="76"/>
  <c r="K364" i="76"/>
  <c r="Q364" i="76"/>
  <c r="L364" i="76"/>
  <c r="G364" i="76"/>
  <c r="M364" i="76"/>
  <c r="H364" i="76"/>
  <c r="N364" i="76"/>
  <c r="I364" i="76"/>
  <c r="AI364" i="76"/>
  <c r="AO364" i="76"/>
  <c r="AJ364" i="76"/>
  <c r="AP364" i="76"/>
  <c r="AK364" i="76"/>
  <c r="AF364" i="76"/>
  <c r="AL364" i="76"/>
  <c r="AG364" i="76"/>
  <c r="AM364" i="76"/>
  <c r="AH364" i="76"/>
  <c r="AN364" i="76"/>
  <c r="F366" i="76" l="1"/>
  <c r="R366" i="76"/>
  <c r="N365" i="76"/>
  <c r="I365" i="76"/>
  <c r="O365" i="76"/>
  <c r="J365" i="76"/>
  <c r="H365" i="76"/>
  <c r="P365" i="76"/>
  <c r="Q365" i="76"/>
  <c r="G365" i="76"/>
  <c r="M365" i="76"/>
  <c r="K365" i="76"/>
  <c r="L365" i="76"/>
  <c r="Z365" i="76"/>
  <c r="S365" i="76"/>
  <c r="Y365" i="76"/>
  <c r="T365" i="76"/>
  <c r="AC365" i="76"/>
  <c r="AA365" i="76"/>
  <c r="X365" i="76"/>
  <c r="AB365" i="76"/>
  <c r="W365" i="76"/>
  <c r="U365" i="76"/>
  <c r="V365" i="76"/>
  <c r="AM365" i="76"/>
  <c r="AN365" i="76"/>
  <c r="AI365" i="76"/>
  <c r="AO365" i="76"/>
  <c r="AP365" i="76"/>
  <c r="AL365" i="76"/>
  <c r="AJ365" i="76"/>
  <c r="AH365" i="76"/>
  <c r="AF365" i="76"/>
  <c r="AG365" i="76"/>
  <c r="AK365" i="76"/>
  <c r="D366" i="76"/>
  <c r="E366" i="76"/>
  <c r="C366" i="76"/>
  <c r="AR367" i="76"/>
  <c r="AD366" i="76"/>
  <c r="B366" i="76"/>
  <c r="AE366" i="76"/>
  <c r="A366" i="76"/>
  <c r="F367" i="76" l="1"/>
  <c r="R367" i="76"/>
  <c r="K366" i="76"/>
  <c r="I366" i="76"/>
  <c r="O366" i="76"/>
  <c r="J366" i="76"/>
  <c r="H366" i="76"/>
  <c r="M366" i="76"/>
  <c r="Q366" i="76"/>
  <c r="L366" i="76"/>
  <c r="G366" i="76"/>
  <c r="P366" i="76"/>
  <c r="N366" i="76"/>
  <c r="AO366" i="76"/>
  <c r="AM366" i="76"/>
  <c r="AK366" i="76"/>
  <c r="AF366" i="76"/>
  <c r="AL366" i="76"/>
  <c r="AP366" i="76"/>
  <c r="AG366" i="76"/>
  <c r="AH366" i="76"/>
  <c r="AN366" i="76"/>
  <c r="AI366" i="76"/>
  <c r="AJ366" i="76"/>
  <c r="AB366" i="76"/>
  <c r="S366" i="76"/>
  <c r="AC366" i="76"/>
  <c r="X366" i="76"/>
  <c r="V366" i="76"/>
  <c r="Y366" i="76"/>
  <c r="T366" i="76"/>
  <c r="W366" i="76"/>
  <c r="U366" i="76"/>
  <c r="AA366" i="76"/>
  <c r="Z366" i="76"/>
  <c r="D367" i="76"/>
  <c r="C367" i="76"/>
  <c r="B367" i="76"/>
  <c r="AR368" i="76"/>
  <c r="E367" i="76"/>
  <c r="AD367" i="76"/>
  <c r="A367" i="76"/>
  <c r="AE367" i="76"/>
  <c r="F368" i="76" l="1"/>
  <c r="R368" i="76"/>
  <c r="AJ367" i="76"/>
  <c r="AF367" i="76"/>
  <c r="AL367" i="76"/>
  <c r="AG367" i="76"/>
  <c r="AM367" i="76"/>
  <c r="AH367" i="76"/>
  <c r="AN367" i="76"/>
  <c r="AI367" i="76"/>
  <c r="AO367" i="76"/>
  <c r="AP367" i="76"/>
  <c r="AK367" i="76"/>
  <c r="H367" i="76"/>
  <c r="N367" i="76"/>
  <c r="I367" i="76"/>
  <c r="O367" i="76"/>
  <c r="J367" i="76"/>
  <c r="P367" i="76"/>
  <c r="K367" i="76"/>
  <c r="Q367" i="76"/>
  <c r="L367" i="76"/>
  <c r="G367" i="76"/>
  <c r="M367" i="76"/>
  <c r="X367" i="76"/>
  <c r="Y367" i="76"/>
  <c r="T367" i="76"/>
  <c r="U367" i="76"/>
  <c r="AA367" i="76"/>
  <c r="V367" i="76"/>
  <c r="AB367" i="76"/>
  <c r="W367" i="76"/>
  <c r="AC367" i="76"/>
  <c r="S367" i="76"/>
  <c r="Z367" i="76"/>
  <c r="E368" i="76"/>
  <c r="D368" i="76"/>
  <c r="B368" i="76"/>
  <c r="C368" i="76"/>
  <c r="A368" i="76"/>
  <c r="AE368" i="76"/>
  <c r="AR369" i="76"/>
  <c r="AD368" i="76"/>
  <c r="F369" i="76" l="1"/>
  <c r="R369" i="76"/>
  <c r="B369" i="76"/>
  <c r="E369" i="76"/>
  <c r="C369" i="76"/>
  <c r="AE369" i="76"/>
  <c r="AR370" i="76"/>
  <c r="D369" i="76"/>
  <c r="AD369" i="76"/>
  <c r="A369" i="76"/>
  <c r="W368" i="76"/>
  <c r="X368" i="76"/>
  <c r="S368" i="76"/>
  <c r="Y368" i="76"/>
  <c r="T368" i="76"/>
  <c r="U368" i="76"/>
  <c r="AC368" i="76"/>
  <c r="AA368" i="76"/>
  <c r="V368" i="76"/>
  <c r="AB368" i="76"/>
  <c r="Z368" i="76"/>
  <c r="G368" i="76"/>
  <c r="M368" i="76"/>
  <c r="H368" i="76"/>
  <c r="N368" i="76"/>
  <c r="I368" i="76"/>
  <c r="O368" i="76"/>
  <c r="J368" i="76"/>
  <c r="P368" i="76"/>
  <c r="K368" i="76"/>
  <c r="Q368" i="76"/>
  <c r="L368" i="76"/>
  <c r="AN368" i="76"/>
  <c r="AI368" i="76"/>
  <c r="AO368" i="76"/>
  <c r="AJ368" i="76"/>
  <c r="AP368" i="76"/>
  <c r="AK368" i="76"/>
  <c r="AF368" i="76"/>
  <c r="AL368" i="76"/>
  <c r="AG368" i="76"/>
  <c r="AM368" i="76"/>
  <c r="AH368" i="76"/>
  <c r="F370" i="76" l="1"/>
  <c r="R370" i="76"/>
  <c r="AD370" i="76"/>
  <c r="AE370" i="76"/>
  <c r="E370" i="76"/>
  <c r="C370" i="76"/>
  <c r="D370" i="76"/>
  <c r="AR371" i="76"/>
  <c r="A370" i="76"/>
  <c r="B370" i="76"/>
  <c r="T369" i="76"/>
  <c r="Z369" i="76"/>
  <c r="U369" i="76"/>
  <c r="V369" i="76"/>
  <c r="S369" i="76"/>
  <c r="W369" i="76"/>
  <c r="AA369" i="76"/>
  <c r="Y369" i="76"/>
  <c r="AB369" i="76"/>
  <c r="AC369" i="76"/>
  <c r="X369" i="76"/>
  <c r="AO369" i="76"/>
  <c r="AJ369" i="76"/>
  <c r="AP369" i="76"/>
  <c r="AK369" i="76"/>
  <c r="AF369" i="76"/>
  <c r="AL369" i="76"/>
  <c r="AG369" i="76"/>
  <c r="AM369" i="76"/>
  <c r="AH369" i="76"/>
  <c r="AN369" i="76"/>
  <c r="AI369" i="76"/>
  <c r="J369" i="76"/>
  <c r="P369" i="76"/>
  <c r="K369" i="76"/>
  <c r="I369" i="76"/>
  <c r="G369" i="76"/>
  <c r="O369" i="76"/>
  <c r="M369" i="76"/>
  <c r="H369" i="76"/>
  <c r="N369" i="76"/>
  <c r="L369" i="76"/>
  <c r="Q369" i="76"/>
  <c r="F371" i="76" l="1"/>
  <c r="R371" i="76"/>
  <c r="N370" i="76"/>
  <c r="I370" i="76"/>
  <c r="O370" i="76"/>
  <c r="J370" i="76"/>
  <c r="K370" i="76"/>
  <c r="Q370" i="76"/>
  <c r="L370" i="76"/>
  <c r="G370" i="76"/>
  <c r="M370" i="76"/>
  <c r="H370" i="76"/>
  <c r="P370" i="76"/>
  <c r="AM370" i="76"/>
  <c r="AH370" i="76"/>
  <c r="AN370" i="76"/>
  <c r="AI370" i="76"/>
  <c r="AO370" i="76"/>
  <c r="AJ370" i="76"/>
  <c r="AP370" i="76"/>
  <c r="AK370" i="76"/>
  <c r="AF370" i="76"/>
  <c r="AL370" i="76"/>
  <c r="AG370" i="76"/>
  <c r="C371" i="76"/>
  <c r="AR372" i="76"/>
  <c r="A371" i="76"/>
  <c r="AE371" i="76"/>
  <c r="E371" i="76"/>
  <c r="AD371" i="76"/>
  <c r="D371" i="76"/>
  <c r="B371" i="76"/>
  <c r="Z370" i="76"/>
  <c r="X370" i="76"/>
  <c r="AA370" i="76"/>
  <c r="V370" i="76"/>
  <c r="Y370" i="76"/>
  <c r="W370" i="76"/>
  <c r="AC370" i="76"/>
  <c r="AB370" i="76"/>
  <c r="S370" i="76"/>
  <c r="U370" i="76"/>
  <c r="T370" i="76"/>
  <c r="F372" i="76" l="1"/>
  <c r="R372" i="76"/>
  <c r="O371" i="76"/>
  <c r="J371" i="76"/>
  <c r="P371" i="76"/>
  <c r="K371" i="76"/>
  <c r="Q371" i="76"/>
  <c r="L371" i="76"/>
  <c r="M371" i="76"/>
  <c r="H371" i="76"/>
  <c r="I371" i="76"/>
  <c r="G371" i="76"/>
  <c r="N371" i="76"/>
  <c r="AO371" i="76"/>
  <c r="AJ371" i="76"/>
  <c r="AP371" i="76"/>
  <c r="AK371" i="76"/>
  <c r="AF371" i="76"/>
  <c r="AI371" i="76"/>
  <c r="AL371" i="76"/>
  <c r="AG371" i="76"/>
  <c r="AM371" i="76"/>
  <c r="AH371" i="76"/>
  <c r="AN371" i="76"/>
  <c r="AR373" i="76"/>
  <c r="AD372" i="76"/>
  <c r="E372" i="76"/>
  <c r="C372" i="76"/>
  <c r="D372" i="76"/>
  <c r="AE372" i="76"/>
  <c r="A372" i="76"/>
  <c r="B372" i="76"/>
  <c r="Z371" i="76"/>
  <c r="U371" i="76"/>
  <c r="AA371" i="76"/>
  <c r="V371" i="76"/>
  <c r="AB371" i="76"/>
  <c r="W371" i="76"/>
  <c r="AC371" i="76"/>
  <c r="S371" i="76"/>
  <c r="Y371" i="76"/>
  <c r="T371" i="76"/>
  <c r="X371" i="76"/>
  <c r="F373" i="76" l="1"/>
  <c r="R373" i="76"/>
  <c r="AO372" i="76"/>
  <c r="AJ372" i="76"/>
  <c r="AP372" i="76"/>
  <c r="AK372" i="76"/>
  <c r="AF372" i="76"/>
  <c r="AL372" i="76"/>
  <c r="AG372" i="76"/>
  <c r="AM372" i="76"/>
  <c r="AH372" i="76"/>
  <c r="AN372" i="76"/>
  <c r="AI372" i="76"/>
  <c r="AB372" i="76"/>
  <c r="W372" i="76"/>
  <c r="AC372" i="76"/>
  <c r="X372" i="76"/>
  <c r="S372" i="76"/>
  <c r="Y372" i="76"/>
  <c r="T372" i="76"/>
  <c r="Z372" i="76"/>
  <c r="U372" i="76"/>
  <c r="AA372" i="76"/>
  <c r="V372" i="76"/>
  <c r="N372" i="76"/>
  <c r="I372" i="76"/>
  <c r="O372" i="76"/>
  <c r="M372" i="76"/>
  <c r="H372" i="76"/>
  <c r="K372" i="76"/>
  <c r="Q372" i="76"/>
  <c r="L372" i="76"/>
  <c r="G372" i="76"/>
  <c r="P372" i="76"/>
  <c r="J372" i="76"/>
  <c r="AR374" i="76"/>
  <c r="B373" i="76"/>
  <c r="AE373" i="76"/>
  <c r="A373" i="76"/>
  <c r="E373" i="76"/>
  <c r="D373" i="76"/>
  <c r="C373" i="76"/>
  <c r="AD373" i="76"/>
  <c r="F374" i="76" l="1"/>
  <c r="R374" i="76"/>
  <c r="Y373" i="76"/>
  <c r="X373" i="76"/>
  <c r="AC373" i="76"/>
  <c r="V373" i="76"/>
  <c r="AB373" i="76"/>
  <c r="W373" i="76"/>
  <c r="U373" i="76"/>
  <c r="AA373" i="76"/>
  <c r="S373" i="76"/>
  <c r="T373" i="76"/>
  <c r="Z373" i="76"/>
  <c r="G373" i="76"/>
  <c r="P373" i="76"/>
  <c r="Q373" i="76"/>
  <c r="L373" i="76"/>
  <c r="M373" i="76"/>
  <c r="H373" i="76"/>
  <c r="N373" i="76"/>
  <c r="I373" i="76"/>
  <c r="J373" i="76"/>
  <c r="K373" i="76"/>
  <c r="O373" i="76"/>
  <c r="AJ373" i="76"/>
  <c r="AM373" i="76"/>
  <c r="AH373" i="76"/>
  <c r="AF373" i="76"/>
  <c r="AL373" i="76"/>
  <c r="AG373" i="76"/>
  <c r="AP373" i="76"/>
  <c r="AN373" i="76"/>
  <c r="AI373" i="76"/>
  <c r="AO373" i="76"/>
  <c r="AK373" i="76"/>
  <c r="D374" i="76"/>
  <c r="AR375" i="76"/>
  <c r="A374" i="76"/>
  <c r="AD374" i="76"/>
  <c r="B374" i="76"/>
  <c r="AE374" i="76"/>
  <c r="E374" i="76"/>
  <c r="C374" i="76"/>
  <c r="F375" i="76" l="1"/>
  <c r="R375" i="76"/>
  <c r="AJ374" i="76"/>
  <c r="AK374" i="76"/>
  <c r="AL374" i="76"/>
  <c r="AG374" i="76"/>
  <c r="AM374" i="76"/>
  <c r="AH374" i="76"/>
  <c r="AF374" i="76"/>
  <c r="AN374" i="76"/>
  <c r="AO374" i="76"/>
  <c r="AP374" i="76"/>
  <c r="AI374" i="76"/>
  <c r="AB374" i="76"/>
  <c r="Z374" i="76"/>
  <c r="AC374" i="76"/>
  <c r="X374" i="76"/>
  <c r="AA374" i="76"/>
  <c r="Y374" i="76"/>
  <c r="T374" i="76"/>
  <c r="S374" i="76"/>
  <c r="U374" i="76"/>
  <c r="W374" i="76"/>
  <c r="V374" i="76"/>
  <c r="K374" i="76"/>
  <c r="I374" i="76"/>
  <c r="M374" i="76"/>
  <c r="H374" i="76"/>
  <c r="N374" i="76"/>
  <c r="L374" i="76"/>
  <c r="G374" i="76"/>
  <c r="J374" i="76"/>
  <c r="P374" i="76"/>
  <c r="Q374" i="76"/>
  <c r="O374" i="76"/>
  <c r="B375" i="76"/>
  <c r="A375" i="76"/>
  <c r="AE375" i="76"/>
  <c r="E375" i="76"/>
  <c r="C375" i="76"/>
  <c r="D375" i="76"/>
  <c r="AR376" i="76"/>
  <c r="AD375" i="76"/>
  <c r="F376" i="76" l="1"/>
  <c r="R376" i="76"/>
  <c r="D376" i="76"/>
  <c r="B376" i="76"/>
  <c r="C376" i="76"/>
  <c r="AE376" i="76"/>
  <c r="AR377" i="76"/>
  <c r="AD376" i="76"/>
  <c r="A376" i="76"/>
  <c r="E376" i="76"/>
  <c r="Q375" i="76"/>
  <c r="L375" i="76"/>
  <c r="G375" i="76"/>
  <c r="H375" i="76"/>
  <c r="P375" i="76"/>
  <c r="N375" i="76"/>
  <c r="I375" i="76"/>
  <c r="M375" i="76"/>
  <c r="J375" i="76"/>
  <c r="K375" i="76"/>
  <c r="O375" i="76"/>
  <c r="AO375" i="76"/>
  <c r="AJ375" i="76"/>
  <c r="AP375" i="76"/>
  <c r="AK375" i="76"/>
  <c r="AF375" i="76"/>
  <c r="AL375" i="76"/>
  <c r="AG375" i="76"/>
  <c r="AM375" i="76"/>
  <c r="AH375" i="76"/>
  <c r="AN375" i="76"/>
  <c r="AI375" i="76"/>
  <c r="V375" i="76"/>
  <c r="AB375" i="76"/>
  <c r="W375" i="76"/>
  <c r="U375" i="76"/>
  <c r="S375" i="76"/>
  <c r="AA375" i="76"/>
  <c r="T375" i="76"/>
  <c r="AC375" i="76"/>
  <c r="Y375" i="76"/>
  <c r="Z375" i="76"/>
  <c r="X375" i="76"/>
  <c r="F377" i="76" l="1"/>
  <c r="R377" i="76"/>
  <c r="AA376" i="76"/>
  <c r="V376" i="76"/>
  <c r="AB376" i="76"/>
  <c r="W376" i="76"/>
  <c r="AC376" i="76"/>
  <c r="X376" i="76"/>
  <c r="S376" i="76"/>
  <c r="Y376" i="76"/>
  <c r="T376" i="76"/>
  <c r="Z376" i="76"/>
  <c r="U376" i="76"/>
  <c r="D377" i="76"/>
  <c r="AR378" i="76"/>
  <c r="E377" i="76"/>
  <c r="AD377" i="76"/>
  <c r="C377" i="76"/>
  <c r="AE377" i="76"/>
  <c r="B377" i="76"/>
  <c r="A377" i="76"/>
  <c r="N376" i="76"/>
  <c r="I376" i="76"/>
  <c r="O376" i="76"/>
  <c r="J376" i="76"/>
  <c r="P376" i="76"/>
  <c r="K376" i="76"/>
  <c r="Q376" i="76"/>
  <c r="L376" i="76"/>
  <c r="G376" i="76"/>
  <c r="M376" i="76"/>
  <c r="H376" i="76"/>
  <c r="AM376" i="76"/>
  <c r="AH376" i="76"/>
  <c r="AN376" i="76"/>
  <c r="AI376" i="76"/>
  <c r="AO376" i="76"/>
  <c r="AJ376" i="76"/>
  <c r="AP376" i="76"/>
  <c r="AK376" i="76"/>
  <c r="AF376" i="76"/>
  <c r="AL376" i="76"/>
  <c r="AG376" i="76"/>
  <c r="F378" i="76" l="1"/>
  <c r="R378" i="76"/>
  <c r="AD378" i="76"/>
  <c r="AE378" i="76"/>
  <c r="AR379" i="76"/>
  <c r="B378" i="76"/>
  <c r="A378" i="76"/>
  <c r="E378" i="76"/>
  <c r="C378" i="76"/>
  <c r="D378" i="76"/>
  <c r="Z377" i="76"/>
  <c r="AA377" i="76"/>
  <c r="V377" i="76"/>
  <c r="AB377" i="76"/>
  <c r="W377" i="76"/>
  <c r="U377" i="76"/>
  <c r="X377" i="76"/>
  <c r="S377" i="76"/>
  <c r="Y377" i="76"/>
  <c r="T377" i="76"/>
  <c r="AC377" i="76"/>
  <c r="AJ377" i="76"/>
  <c r="AH377" i="76"/>
  <c r="AN377" i="76"/>
  <c r="AI377" i="76"/>
  <c r="AO377" i="76"/>
  <c r="AM377" i="76"/>
  <c r="AP377" i="76"/>
  <c r="AK377" i="76"/>
  <c r="AF377" i="76"/>
  <c r="AL377" i="76"/>
  <c r="AG377" i="76"/>
  <c r="J377" i="76"/>
  <c r="H377" i="76"/>
  <c r="N377" i="76"/>
  <c r="I377" i="76"/>
  <c r="G377" i="76"/>
  <c r="L377" i="76"/>
  <c r="P377" i="76"/>
  <c r="K377" i="76"/>
  <c r="Q377" i="76"/>
  <c r="O377" i="76"/>
  <c r="M377" i="76"/>
  <c r="F379" i="76" l="1"/>
  <c r="R379" i="76"/>
  <c r="AK378" i="76"/>
  <c r="AL378" i="76"/>
  <c r="AM378" i="76"/>
  <c r="AH378" i="76"/>
  <c r="AN378" i="76"/>
  <c r="AI378" i="76"/>
  <c r="AO378" i="76"/>
  <c r="AJ378" i="76"/>
  <c r="AP378" i="76"/>
  <c r="AF378" i="76"/>
  <c r="AG378" i="76"/>
  <c r="Z378" i="76"/>
  <c r="T378" i="76"/>
  <c r="AA378" i="76"/>
  <c r="V378" i="76"/>
  <c r="AC378" i="76"/>
  <c r="W378" i="76"/>
  <c r="Y378" i="76"/>
  <c r="U378" i="76"/>
  <c r="S378" i="76"/>
  <c r="AB378" i="76"/>
  <c r="X378" i="76"/>
  <c r="K378" i="76"/>
  <c r="Q378" i="76"/>
  <c r="L378" i="76"/>
  <c r="G378" i="76"/>
  <c r="M378" i="76"/>
  <c r="H378" i="76"/>
  <c r="N378" i="76"/>
  <c r="I378" i="76"/>
  <c r="O378" i="76"/>
  <c r="J378" i="76"/>
  <c r="P378" i="76"/>
  <c r="B379" i="76"/>
  <c r="AR380" i="76"/>
  <c r="A379" i="76"/>
  <c r="AE379" i="76"/>
  <c r="E379" i="76"/>
  <c r="AD379" i="76"/>
  <c r="D379" i="76"/>
  <c r="C379" i="76"/>
  <c r="F380" i="76" l="1"/>
  <c r="R380" i="76"/>
  <c r="AP379" i="76"/>
  <c r="AK379" i="76"/>
  <c r="AF379" i="76"/>
  <c r="AL379" i="76"/>
  <c r="AG379" i="76"/>
  <c r="AM379" i="76"/>
  <c r="AH379" i="76"/>
  <c r="AN379" i="76"/>
  <c r="AI379" i="76"/>
  <c r="AO379" i="76"/>
  <c r="AJ379" i="76"/>
  <c r="E380" i="76"/>
  <c r="C380" i="76"/>
  <c r="AE380" i="76"/>
  <c r="AD380" i="76"/>
  <c r="AR381" i="76"/>
  <c r="B380" i="76"/>
  <c r="A380" i="76"/>
  <c r="D380" i="76"/>
  <c r="T379" i="76"/>
  <c r="Z379" i="76"/>
  <c r="U379" i="76"/>
  <c r="AA379" i="76"/>
  <c r="V379" i="76"/>
  <c r="AB379" i="76"/>
  <c r="W379" i="76"/>
  <c r="AC379" i="76"/>
  <c r="X379" i="76"/>
  <c r="S379" i="76"/>
  <c r="Y379" i="76"/>
  <c r="J379" i="76"/>
  <c r="P379" i="76"/>
  <c r="K379" i="76"/>
  <c r="Q379" i="76"/>
  <c r="L379" i="76"/>
  <c r="G379" i="76"/>
  <c r="M379" i="76"/>
  <c r="H379" i="76"/>
  <c r="N379" i="76"/>
  <c r="I379" i="76"/>
  <c r="O379" i="76"/>
  <c r="F381" i="76" l="1"/>
  <c r="R381" i="76"/>
  <c r="AF380" i="76"/>
  <c r="AL380" i="76"/>
  <c r="AG380" i="76"/>
  <c r="AM380" i="76"/>
  <c r="AK380" i="76"/>
  <c r="AI380" i="76"/>
  <c r="AO380" i="76"/>
  <c r="AP380" i="76"/>
  <c r="AN380" i="76"/>
  <c r="AH380" i="76"/>
  <c r="AJ380" i="76"/>
  <c r="L380" i="76"/>
  <c r="G380" i="76"/>
  <c r="M380" i="76"/>
  <c r="H380" i="76"/>
  <c r="Q380" i="76"/>
  <c r="N380" i="76"/>
  <c r="O380" i="76"/>
  <c r="J380" i="76"/>
  <c r="P380" i="76"/>
  <c r="K380" i="76"/>
  <c r="I380" i="76"/>
  <c r="AR382" i="76"/>
  <c r="D381" i="76"/>
  <c r="C381" i="76"/>
  <c r="AD381" i="76"/>
  <c r="B381" i="76"/>
  <c r="A381" i="76"/>
  <c r="AE381" i="76"/>
  <c r="E381" i="76"/>
  <c r="Y380" i="76"/>
  <c r="T380" i="76"/>
  <c r="AC380" i="76"/>
  <c r="X380" i="76"/>
  <c r="S380" i="76"/>
  <c r="Z380" i="76"/>
  <c r="AB380" i="76"/>
  <c r="W380" i="76"/>
  <c r="AA380" i="76"/>
  <c r="V380" i="76"/>
  <c r="U380" i="76"/>
  <c r="F382" i="76" l="1"/>
  <c r="R382" i="76"/>
  <c r="AC381" i="76"/>
  <c r="X381" i="76"/>
  <c r="S381" i="76"/>
  <c r="T381" i="76"/>
  <c r="AB381" i="76"/>
  <c r="Z381" i="76"/>
  <c r="U381" i="76"/>
  <c r="AA381" i="76"/>
  <c r="Y381" i="76"/>
  <c r="V381" i="76"/>
  <c r="W381" i="76"/>
  <c r="AM381" i="76"/>
  <c r="AG381" i="76"/>
  <c r="AJ381" i="76"/>
  <c r="AP381" i="76"/>
  <c r="AK381" i="76"/>
  <c r="AN381" i="76"/>
  <c r="AI381" i="76"/>
  <c r="AO381" i="76"/>
  <c r="AH381" i="76"/>
  <c r="AF381" i="76"/>
  <c r="AL381" i="76"/>
  <c r="J381" i="76"/>
  <c r="P381" i="76"/>
  <c r="K381" i="76"/>
  <c r="L381" i="76"/>
  <c r="G381" i="76"/>
  <c r="M381" i="76"/>
  <c r="H381" i="76"/>
  <c r="Q381" i="76"/>
  <c r="O381" i="76"/>
  <c r="I381" i="76"/>
  <c r="N381" i="76"/>
  <c r="A382" i="76"/>
  <c r="D382" i="76"/>
  <c r="AD382" i="76"/>
  <c r="C382" i="76"/>
  <c r="E382" i="76"/>
  <c r="AR383" i="76"/>
  <c r="AE382" i="76"/>
  <c r="B382" i="76"/>
  <c r="F383" i="76" l="1"/>
  <c r="R383" i="76"/>
  <c r="K382" i="76"/>
  <c r="L382" i="76"/>
  <c r="M382" i="76"/>
  <c r="H382" i="76"/>
  <c r="N382" i="76"/>
  <c r="I382" i="76"/>
  <c r="O382" i="76"/>
  <c r="J382" i="76"/>
  <c r="P382" i="76"/>
  <c r="Q382" i="76"/>
  <c r="G382" i="76"/>
  <c r="Y382" i="76"/>
  <c r="U382" i="76"/>
  <c r="AB382" i="76"/>
  <c r="S382" i="76"/>
  <c r="AC382" i="76"/>
  <c r="X382" i="76"/>
  <c r="V382" i="76"/>
  <c r="T382" i="76"/>
  <c r="W382" i="76"/>
  <c r="AA382" i="76"/>
  <c r="Z382" i="76"/>
  <c r="AG382" i="76"/>
  <c r="AH382" i="76"/>
  <c r="AI382" i="76"/>
  <c r="AO382" i="76"/>
  <c r="AJ382" i="76"/>
  <c r="AP382" i="76"/>
  <c r="AK382" i="76"/>
  <c r="AF382" i="76"/>
  <c r="AL382" i="76"/>
  <c r="AM382" i="76"/>
  <c r="AN382" i="76"/>
  <c r="A383" i="76"/>
  <c r="C383" i="76"/>
  <c r="D383" i="76"/>
  <c r="AR384" i="76"/>
  <c r="E383" i="76"/>
  <c r="AD383" i="76"/>
  <c r="B383" i="76"/>
  <c r="AE383" i="76"/>
  <c r="F384" i="76" l="1"/>
  <c r="R384" i="76"/>
  <c r="AP383" i="76"/>
  <c r="AK383" i="76"/>
  <c r="AF383" i="76"/>
  <c r="AL383" i="76"/>
  <c r="AG383" i="76"/>
  <c r="AM383" i="76"/>
  <c r="AH383" i="76"/>
  <c r="AN383" i="76"/>
  <c r="AI383" i="76"/>
  <c r="AO383" i="76"/>
  <c r="AJ383" i="76"/>
  <c r="AR385" i="76"/>
  <c r="E384" i="76"/>
  <c r="AD384" i="76"/>
  <c r="C384" i="76"/>
  <c r="A384" i="76"/>
  <c r="AE384" i="76"/>
  <c r="B384" i="76"/>
  <c r="D384" i="76"/>
  <c r="T383" i="76"/>
  <c r="Z383" i="76"/>
  <c r="U383" i="76"/>
  <c r="AA383" i="76"/>
  <c r="V383" i="76"/>
  <c r="AB383" i="76"/>
  <c r="W383" i="76"/>
  <c r="AC383" i="76"/>
  <c r="X383" i="76"/>
  <c r="Y383" i="76"/>
  <c r="S383" i="76"/>
  <c r="O383" i="76"/>
  <c r="J383" i="76"/>
  <c r="P383" i="76"/>
  <c r="K383" i="76"/>
  <c r="Q383" i="76"/>
  <c r="L383" i="76"/>
  <c r="G383" i="76"/>
  <c r="M383" i="76"/>
  <c r="H383" i="76"/>
  <c r="I383" i="76"/>
  <c r="N383" i="76"/>
  <c r="F385" i="76" l="1"/>
  <c r="R385" i="76"/>
  <c r="D385" i="76"/>
  <c r="C385" i="76"/>
  <c r="E385" i="76"/>
  <c r="B385" i="76"/>
  <c r="AR386" i="76"/>
  <c r="A385" i="76"/>
  <c r="AD385" i="76"/>
  <c r="AE385" i="76"/>
  <c r="AC384" i="76"/>
  <c r="S384" i="76"/>
  <c r="Y384" i="76"/>
  <c r="Z384" i="76"/>
  <c r="AA384" i="76"/>
  <c r="V384" i="76"/>
  <c r="AB384" i="76"/>
  <c r="W384" i="76"/>
  <c r="U384" i="76"/>
  <c r="T384" i="76"/>
  <c r="X384" i="76"/>
  <c r="AN384" i="76"/>
  <c r="AJ384" i="76"/>
  <c r="AK384" i="76"/>
  <c r="AF384" i="76"/>
  <c r="AL384" i="76"/>
  <c r="AG384" i="76"/>
  <c r="AM384" i="76"/>
  <c r="AH384" i="76"/>
  <c r="AI384" i="76"/>
  <c r="AO384" i="76"/>
  <c r="AP384" i="76"/>
  <c r="G384" i="76"/>
  <c r="M384" i="76"/>
  <c r="K384" i="76"/>
  <c r="Q384" i="76"/>
  <c r="L384" i="76"/>
  <c r="O384" i="76"/>
  <c r="J384" i="76"/>
  <c r="H384" i="76"/>
  <c r="N384" i="76"/>
  <c r="I384" i="76"/>
  <c r="P384" i="76"/>
  <c r="F386" i="76" l="1"/>
  <c r="R386" i="76"/>
  <c r="AL385" i="76"/>
  <c r="AG385" i="76"/>
  <c r="AM385" i="76"/>
  <c r="AH385" i="76"/>
  <c r="AN385" i="76"/>
  <c r="AI385" i="76"/>
  <c r="AO385" i="76"/>
  <c r="AJ385" i="76"/>
  <c r="AP385" i="76"/>
  <c r="AK385" i="76"/>
  <c r="AF385" i="76"/>
  <c r="C386" i="76"/>
  <c r="B386" i="76"/>
  <c r="AE386" i="76"/>
  <c r="D386" i="76"/>
  <c r="E386" i="76"/>
  <c r="AR387" i="76"/>
  <c r="A386" i="76"/>
  <c r="AD386" i="76"/>
  <c r="T385" i="76"/>
  <c r="U385" i="76"/>
  <c r="AA385" i="76"/>
  <c r="V385" i="76"/>
  <c r="W385" i="76"/>
  <c r="Z385" i="76"/>
  <c r="X385" i="76"/>
  <c r="S385" i="76"/>
  <c r="AC385" i="76"/>
  <c r="AB385" i="76"/>
  <c r="Y385" i="76"/>
  <c r="N385" i="76"/>
  <c r="I385" i="76"/>
  <c r="O385" i="76"/>
  <c r="J385" i="76"/>
  <c r="H385" i="76"/>
  <c r="M385" i="76"/>
  <c r="Q385" i="76"/>
  <c r="L385" i="76"/>
  <c r="G385" i="76"/>
  <c r="P385" i="76"/>
  <c r="K385" i="76"/>
  <c r="F387" i="76" l="1"/>
  <c r="R387" i="76"/>
  <c r="Z386" i="76"/>
  <c r="AA386" i="76"/>
  <c r="W386" i="76"/>
  <c r="AC386" i="76"/>
  <c r="AB386" i="76"/>
  <c r="S386" i="76"/>
  <c r="U386" i="76"/>
  <c r="T386" i="76"/>
  <c r="X386" i="76"/>
  <c r="V386" i="76"/>
  <c r="Y386" i="76"/>
  <c r="AD387" i="76"/>
  <c r="AR388" i="76"/>
  <c r="E387" i="76"/>
  <c r="D387" i="76"/>
  <c r="C387" i="76"/>
  <c r="AE387" i="76"/>
  <c r="B387" i="76"/>
  <c r="A387" i="76"/>
  <c r="O386" i="76"/>
  <c r="J386" i="76"/>
  <c r="P386" i="76"/>
  <c r="N386" i="76"/>
  <c r="I386" i="76"/>
  <c r="K386" i="76"/>
  <c r="G386" i="76"/>
  <c r="M386" i="76"/>
  <c r="H386" i="76"/>
  <c r="Q386" i="76"/>
  <c r="L386" i="76"/>
  <c r="AH386" i="76"/>
  <c r="AO386" i="76"/>
  <c r="AP386" i="76"/>
  <c r="AK386" i="76"/>
  <c r="AF386" i="76"/>
  <c r="AL386" i="76"/>
  <c r="AG386" i="76"/>
  <c r="AM386" i="76"/>
  <c r="AN386" i="76"/>
  <c r="AI386" i="76"/>
  <c r="AJ386" i="76"/>
  <c r="F388" i="76" l="1"/>
  <c r="R388" i="76"/>
  <c r="Z387" i="76"/>
  <c r="U387" i="76"/>
  <c r="AA387" i="76"/>
  <c r="V387" i="76"/>
  <c r="AB387" i="76"/>
  <c r="W387" i="76"/>
  <c r="AC387" i="76"/>
  <c r="X387" i="76"/>
  <c r="S387" i="76"/>
  <c r="Y387" i="76"/>
  <c r="T387" i="76"/>
  <c r="H387" i="76"/>
  <c r="N387" i="76"/>
  <c r="I387" i="76"/>
  <c r="O387" i="76"/>
  <c r="J387" i="76"/>
  <c r="P387" i="76"/>
  <c r="K387" i="76"/>
  <c r="Q387" i="76"/>
  <c r="L387" i="76"/>
  <c r="G387" i="76"/>
  <c r="M387" i="76"/>
  <c r="AO387" i="76"/>
  <c r="AJ387" i="76"/>
  <c r="AP387" i="76"/>
  <c r="AF387" i="76"/>
  <c r="AL387" i="76"/>
  <c r="AG387" i="76"/>
  <c r="AM387" i="76"/>
  <c r="AH387" i="76"/>
  <c r="AN387" i="76"/>
  <c r="AI387" i="76"/>
  <c r="AK387" i="76"/>
  <c r="E388" i="76"/>
  <c r="C388" i="76"/>
  <c r="AE388" i="76"/>
  <c r="A388" i="76"/>
  <c r="D388" i="76"/>
  <c r="B388" i="76"/>
  <c r="AR389" i="76"/>
  <c r="AD388" i="76"/>
  <c r="F389" i="76" l="1"/>
  <c r="R389" i="76"/>
  <c r="AB388" i="76"/>
  <c r="T388" i="76"/>
  <c r="AC388" i="76"/>
  <c r="X388" i="76"/>
  <c r="S388" i="76"/>
  <c r="Y388" i="76"/>
  <c r="W388" i="76"/>
  <c r="U388" i="76"/>
  <c r="AA388" i="76"/>
  <c r="V388" i="76"/>
  <c r="Z388" i="76"/>
  <c r="M388" i="76"/>
  <c r="N388" i="76"/>
  <c r="O388" i="76"/>
  <c r="J388" i="76"/>
  <c r="P388" i="76"/>
  <c r="K388" i="76"/>
  <c r="I388" i="76"/>
  <c r="L388" i="76"/>
  <c r="G388" i="76"/>
  <c r="H388" i="76"/>
  <c r="Q388" i="76"/>
  <c r="AM388" i="76"/>
  <c r="AK388" i="76"/>
  <c r="AL388" i="76"/>
  <c r="AO388" i="76"/>
  <c r="AH388" i="76"/>
  <c r="AN388" i="76"/>
  <c r="AI388" i="76"/>
  <c r="AG388" i="76"/>
  <c r="AP388" i="76"/>
  <c r="AF388" i="76"/>
  <c r="AJ388" i="76"/>
  <c r="E389" i="76"/>
  <c r="AE389" i="76"/>
  <c r="B389" i="76"/>
  <c r="A389" i="76"/>
  <c r="D389" i="76"/>
  <c r="AR390" i="76"/>
  <c r="AD389" i="76"/>
  <c r="C389" i="76"/>
  <c r="F390" i="76" l="1"/>
  <c r="R390" i="76"/>
  <c r="AR391" i="76"/>
  <c r="B390" i="76"/>
  <c r="AD390" i="76"/>
  <c r="C390" i="76"/>
  <c r="AE390" i="76"/>
  <c r="E390" i="76"/>
  <c r="D390" i="76"/>
  <c r="A390" i="76"/>
  <c r="L389" i="76"/>
  <c r="G389" i="76"/>
  <c r="M389" i="76"/>
  <c r="H389" i="76"/>
  <c r="N389" i="76"/>
  <c r="I389" i="76"/>
  <c r="O389" i="76"/>
  <c r="J389" i="76"/>
  <c r="P389" i="76"/>
  <c r="K389" i="76"/>
  <c r="Q389" i="76"/>
  <c r="AC389" i="76"/>
  <c r="X389" i="76"/>
  <c r="S389" i="76"/>
  <c r="T389" i="76"/>
  <c r="Z389" i="76"/>
  <c r="U389" i="76"/>
  <c r="AA389" i="76"/>
  <c r="V389" i="76"/>
  <c r="AB389" i="76"/>
  <c r="W389" i="76"/>
  <c r="Y389" i="76"/>
  <c r="AM389" i="76"/>
  <c r="AH389" i="76"/>
  <c r="AN389" i="76"/>
  <c r="AI389" i="76"/>
  <c r="AO389" i="76"/>
  <c r="AJ389" i="76"/>
  <c r="AP389" i="76"/>
  <c r="AK389" i="76"/>
  <c r="AF389" i="76"/>
  <c r="AL389" i="76"/>
  <c r="AG389" i="76"/>
  <c r="F391" i="76" l="1"/>
  <c r="R391" i="76"/>
  <c r="U390" i="76"/>
  <c r="T390" i="76"/>
  <c r="AC390" i="76"/>
  <c r="X390" i="76"/>
  <c r="AA390" i="76"/>
  <c r="Y390" i="76"/>
  <c r="Z390" i="76"/>
  <c r="AB390" i="76"/>
  <c r="W390" i="76"/>
  <c r="V390" i="76"/>
  <c r="S390" i="76"/>
  <c r="K390" i="76"/>
  <c r="H390" i="76"/>
  <c r="M390" i="76"/>
  <c r="Q390" i="76"/>
  <c r="L390" i="76"/>
  <c r="G390" i="76"/>
  <c r="P390" i="76"/>
  <c r="N390" i="76"/>
  <c r="I390" i="76"/>
  <c r="O390" i="76"/>
  <c r="J390" i="76"/>
  <c r="AP390" i="76"/>
  <c r="AN390" i="76"/>
  <c r="AO390" i="76"/>
  <c r="AG390" i="76"/>
  <c r="AK390" i="76"/>
  <c r="AF390" i="76"/>
  <c r="AL390" i="76"/>
  <c r="AJ390" i="76"/>
  <c r="AH390" i="76"/>
  <c r="AI390" i="76"/>
  <c r="AM390" i="76"/>
  <c r="AE391" i="76"/>
  <c r="AD391" i="76"/>
  <c r="D391" i="76"/>
  <c r="C391" i="76"/>
  <c r="B391" i="76"/>
  <c r="AR392" i="76"/>
  <c r="A391" i="76"/>
  <c r="E391" i="76"/>
  <c r="F392" i="76" l="1"/>
  <c r="R392" i="76"/>
  <c r="I391" i="76"/>
  <c r="J391" i="76"/>
  <c r="L391" i="76"/>
  <c r="G391" i="76"/>
  <c r="Q391" i="76"/>
  <c r="H391" i="76"/>
  <c r="P391" i="76"/>
  <c r="M391" i="76"/>
  <c r="O391" i="76"/>
  <c r="N391" i="76"/>
  <c r="K391" i="76"/>
  <c r="AR393" i="76"/>
  <c r="C392" i="76"/>
  <c r="D392" i="76"/>
  <c r="B392" i="76"/>
  <c r="AE392" i="76"/>
  <c r="E392" i="76"/>
  <c r="AD392" i="76"/>
  <c r="A392" i="76"/>
  <c r="Z391" i="76"/>
  <c r="V391" i="76"/>
  <c r="AB391" i="76"/>
  <c r="W391" i="76"/>
  <c r="AC391" i="76"/>
  <c r="X391" i="76"/>
  <c r="S391" i="76"/>
  <c r="Y391" i="76"/>
  <c r="T391" i="76"/>
  <c r="U391" i="76"/>
  <c r="AA391" i="76"/>
  <c r="AO391" i="76"/>
  <c r="AJ391" i="76"/>
  <c r="AN391" i="76"/>
  <c r="AP391" i="76"/>
  <c r="AK391" i="76"/>
  <c r="AL391" i="76"/>
  <c r="AG391" i="76"/>
  <c r="AM391" i="76"/>
  <c r="AI391" i="76"/>
  <c r="AH391" i="76"/>
  <c r="AF391" i="76"/>
  <c r="F393" i="76" l="1"/>
  <c r="R393" i="76"/>
  <c r="G392" i="76"/>
  <c r="M392" i="76"/>
  <c r="K392" i="76"/>
  <c r="Q392" i="76"/>
  <c r="L392" i="76"/>
  <c r="O392" i="76"/>
  <c r="J392" i="76"/>
  <c r="P392" i="76"/>
  <c r="N392" i="76"/>
  <c r="I392" i="76"/>
  <c r="H392" i="76"/>
  <c r="AC392" i="76"/>
  <c r="S392" i="76"/>
  <c r="Y392" i="76"/>
  <c r="T392" i="76"/>
  <c r="U392" i="76"/>
  <c r="V392" i="76"/>
  <c r="Z392" i="76"/>
  <c r="W392" i="76"/>
  <c r="AA392" i="76"/>
  <c r="AB392" i="76"/>
  <c r="X392" i="76"/>
  <c r="A393" i="76"/>
  <c r="AR394" i="76"/>
  <c r="AE393" i="76"/>
  <c r="D393" i="76"/>
  <c r="B393" i="76"/>
  <c r="AD393" i="76"/>
  <c r="E393" i="76"/>
  <c r="C393" i="76"/>
  <c r="AI392" i="76"/>
  <c r="AO392" i="76"/>
  <c r="AJ392" i="76"/>
  <c r="AP392" i="76"/>
  <c r="AK392" i="76"/>
  <c r="AF392" i="76"/>
  <c r="AL392" i="76"/>
  <c r="AG392" i="76"/>
  <c r="AM392" i="76"/>
  <c r="AH392" i="76"/>
  <c r="AN392" i="76"/>
  <c r="F394" i="76" l="1"/>
  <c r="R394" i="76"/>
  <c r="AL393" i="76"/>
  <c r="AG393" i="76"/>
  <c r="AM393" i="76"/>
  <c r="AH393" i="76"/>
  <c r="AN393" i="76"/>
  <c r="AI393" i="76"/>
  <c r="AO393" i="76"/>
  <c r="AJ393" i="76"/>
  <c r="AP393" i="76"/>
  <c r="AK393" i="76"/>
  <c r="AF393" i="76"/>
  <c r="V393" i="76"/>
  <c r="AC393" i="76"/>
  <c r="X393" i="76"/>
  <c r="S393" i="76"/>
  <c r="Y393" i="76"/>
  <c r="T393" i="76"/>
  <c r="Z393" i="76"/>
  <c r="U393" i="76"/>
  <c r="AA393" i="76"/>
  <c r="AB393" i="76"/>
  <c r="W393" i="76"/>
  <c r="H393" i="76"/>
  <c r="N393" i="76"/>
  <c r="I393" i="76"/>
  <c r="O393" i="76"/>
  <c r="J393" i="76"/>
  <c r="P393" i="76"/>
  <c r="K393" i="76"/>
  <c r="Q393" i="76"/>
  <c r="L393" i="76"/>
  <c r="G393" i="76"/>
  <c r="M393" i="76"/>
  <c r="D394" i="76"/>
  <c r="C394" i="76"/>
  <c r="AE394" i="76"/>
  <c r="AR395" i="76"/>
  <c r="A394" i="76"/>
  <c r="AD394" i="76"/>
  <c r="E394" i="76"/>
  <c r="B394" i="76"/>
  <c r="F395" i="76" l="1"/>
  <c r="R395" i="76"/>
  <c r="T394" i="76"/>
  <c r="S394" i="76"/>
  <c r="AB394" i="76"/>
  <c r="X394" i="76"/>
  <c r="Y394" i="76"/>
  <c r="W394" i="76"/>
  <c r="AA394" i="76"/>
  <c r="V394" i="76"/>
  <c r="AC394" i="76"/>
  <c r="Z394" i="76"/>
  <c r="U394" i="76"/>
  <c r="K394" i="76"/>
  <c r="I394" i="76"/>
  <c r="G394" i="76"/>
  <c r="M394" i="76"/>
  <c r="H394" i="76"/>
  <c r="L394" i="76"/>
  <c r="N394" i="76"/>
  <c r="O394" i="76"/>
  <c r="J394" i="76"/>
  <c r="P394" i="76"/>
  <c r="Q394" i="76"/>
  <c r="AK394" i="76"/>
  <c r="AL394" i="76"/>
  <c r="AG394" i="76"/>
  <c r="AP394" i="76"/>
  <c r="AN394" i="76"/>
  <c r="AM394" i="76"/>
  <c r="AI394" i="76"/>
  <c r="AO394" i="76"/>
  <c r="AJ394" i="76"/>
  <c r="AH394" i="76"/>
  <c r="AF394" i="76"/>
  <c r="AR396" i="76"/>
  <c r="D395" i="76"/>
  <c r="AE395" i="76"/>
  <c r="C395" i="76"/>
  <c r="A395" i="76"/>
  <c r="B395" i="76"/>
  <c r="E395" i="76"/>
  <c r="AD395" i="76"/>
  <c r="F396" i="76" l="1"/>
  <c r="R396" i="76"/>
  <c r="AP395" i="76"/>
  <c r="AK395" i="76"/>
  <c r="AF395" i="76"/>
  <c r="AL395" i="76"/>
  <c r="AG395" i="76"/>
  <c r="AM395" i="76"/>
  <c r="AH395" i="76"/>
  <c r="AN395" i="76"/>
  <c r="AI395" i="76"/>
  <c r="AO395" i="76"/>
  <c r="AJ395" i="76"/>
  <c r="AB395" i="76"/>
  <c r="W395" i="76"/>
  <c r="AC395" i="76"/>
  <c r="X395" i="76"/>
  <c r="S395" i="76"/>
  <c r="Y395" i="76"/>
  <c r="T395" i="76"/>
  <c r="Z395" i="76"/>
  <c r="U395" i="76"/>
  <c r="AA395" i="76"/>
  <c r="V395" i="76"/>
  <c r="M395" i="76"/>
  <c r="H395" i="76"/>
  <c r="N395" i="76"/>
  <c r="I395" i="76"/>
  <c r="O395" i="76"/>
  <c r="J395" i="76"/>
  <c r="P395" i="76"/>
  <c r="K395" i="76"/>
  <c r="Q395" i="76"/>
  <c r="L395" i="76"/>
  <c r="G395" i="76"/>
  <c r="B396" i="76"/>
  <c r="AR397" i="76"/>
  <c r="AD396" i="76"/>
  <c r="E396" i="76"/>
  <c r="C396" i="76"/>
  <c r="AE396" i="76"/>
  <c r="A396" i="76"/>
  <c r="D396" i="76"/>
  <c r="F397" i="76" l="1"/>
  <c r="R397" i="76"/>
  <c r="C397" i="76"/>
  <c r="D397" i="76"/>
  <c r="B397" i="76"/>
  <c r="AD397" i="76"/>
  <c r="AR398" i="76"/>
  <c r="E397" i="76"/>
  <c r="AE397" i="76"/>
  <c r="A397" i="76"/>
  <c r="AP396" i="76"/>
  <c r="AK396" i="76"/>
  <c r="AF396" i="76"/>
  <c r="AL396" i="76"/>
  <c r="AJ396" i="76"/>
  <c r="AM396" i="76"/>
  <c r="AH396" i="76"/>
  <c r="AN396" i="76"/>
  <c r="AI396" i="76"/>
  <c r="AO396" i="76"/>
  <c r="AG396" i="76"/>
  <c r="Y396" i="76"/>
  <c r="T396" i="76"/>
  <c r="Z396" i="76"/>
  <c r="U396" i="76"/>
  <c r="AA396" i="76"/>
  <c r="V396" i="76"/>
  <c r="AB396" i="76"/>
  <c r="W396" i="76"/>
  <c r="AC396" i="76"/>
  <c r="X396" i="76"/>
  <c r="S396" i="76"/>
  <c r="N396" i="76"/>
  <c r="I396" i="76"/>
  <c r="O396" i="76"/>
  <c r="M396" i="76"/>
  <c r="G396" i="76"/>
  <c r="K396" i="76"/>
  <c r="Q396" i="76"/>
  <c r="L396" i="76"/>
  <c r="J396" i="76"/>
  <c r="P396" i="76"/>
  <c r="H396" i="76"/>
  <c r="F398" i="76" l="1"/>
  <c r="R398" i="76"/>
  <c r="AM397" i="76"/>
  <c r="AH397" i="76"/>
  <c r="AN397" i="76"/>
  <c r="AI397" i="76"/>
  <c r="AO397" i="76"/>
  <c r="AP397" i="76"/>
  <c r="AF397" i="76"/>
  <c r="AL397" i="76"/>
  <c r="AJ397" i="76"/>
  <c r="AK397" i="76"/>
  <c r="AG397" i="76"/>
  <c r="AR399" i="76"/>
  <c r="C398" i="76"/>
  <c r="AD398" i="76"/>
  <c r="B398" i="76"/>
  <c r="A398" i="76"/>
  <c r="E398" i="76"/>
  <c r="D398" i="76"/>
  <c r="AE398" i="76"/>
  <c r="AC397" i="76"/>
  <c r="X397" i="76"/>
  <c r="S397" i="76"/>
  <c r="Y397" i="76"/>
  <c r="T397" i="76"/>
  <c r="Z397" i="76"/>
  <c r="U397" i="76"/>
  <c r="AA397" i="76"/>
  <c r="V397" i="76"/>
  <c r="AB397" i="76"/>
  <c r="W397" i="76"/>
  <c r="J397" i="76"/>
  <c r="N397" i="76"/>
  <c r="I397" i="76"/>
  <c r="O397" i="76"/>
  <c r="M397" i="76"/>
  <c r="K397" i="76"/>
  <c r="G397" i="76"/>
  <c r="H397" i="76"/>
  <c r="Q397" i="76"/>
  <c r="L397" i="76"/>
  <c r="P397" i="76"/>
  <c r="F399" i="76" l="1"/>
  <c r="R399" i="76"/>
  <c r="I398" i="76"/>
  <c r="O398" i="76"/>
  <c r="J398" i="76"/>
  <c r="H398" i="76"/>
  <c r="M398" i="76"/>
  <c r="L398" i="76"/>
  <c r="G398" i="76"/>
  <c r="P398" i="76"/>
  <c r="K398" i="76"/>
  <c r="Q398" i="76"/>
  <c r="N398" i="76"/>
  <c r="AB398" i="76"/>
  <c r="S398" i="76"/>
  <c r="AC398" i="76"/>
  <c r="AA398" i="76"/>
  <c r="U398" i="76"/>
  <c r="Y398" i="76"/>
  <c r="T398" i="76"/>
  <c r="W398" i="76"/>
  <c r="Z398" i="76"/>
  <c r="V398" i="76"/>
  <c r="X398" i="76"/>
  <c r="D399" i="76"/>
  <c r="C399" i="76"/>
  <c r="AE399" i="76"/>
  <c r="E399" i="76"/>
  <c r="A399" i="76"/>
  <c r="AR400" i="76"/>
  <c r="B399" i="76"/>
  <c r="AD399" i="76"/>
  <c r="AK398" i="76"/>
  <c r="AF398" i="76"/>
  <c r="AL398" i="76"/>
  <c r="AP398" i="76"/>
  <c r="AO398" i="76"/>
  <c r="AM398" i="76"/>
  <c r="AI398" i="76"/>
  <c r="AJ398" i="76"/>
  <c r="AG398" i="76"/>
  <c r="AN398" i="76"/>
  <c r="AH398" i="76"/>
  <c r="F400" i="76" l="1"/>
  <c r="R400" i="76"/>
  <c r="K399" i="76"/>
  <c r="J399" i="76"/>
  <c r="I399" i="76"/>
  <c r="H399" i="76"/>
  <c r="N399" i="76"/>
  <c r="L399" i="76"/>
  <c r="Q399" i="76"/>
  <c r="G399" i="76"/>
  <c r="P399" i="76"/>
  <c r="M399" i="76"/>
  <c r="O399" i="76"/>
  <c r="AD400" i="76"/>
  <c r="AR401" i="76"/>
  <c r="D400" i="76"/>
  <c r="C400" i="76"/>
  <c r="A400" i="76"/>
  <c r="AE400" i="76"/>
  <c r="E400" i="76"/>
  <c r="B400" i="76"/>
  <c r="T399" i="76"/>
  <c r="S399" i="76"/>
  <c r="AB399" i="76"/>
  <c r="W399" i="76"/>
  <c r="AC399" i="76"/>
  <c r="X399" i="76"/>
  <c r="V399" i="76"/>
  <c r="Y399" i="76"/>
  <c r="Z399" i="76"/>
  <c r="U399" i="76"/>
  <c r="AA399" i="76"/>
  <c r="AL399" i="76"/>
  <c r="AF399" i="76"/>
  <c r="AJ399" i="76"/>
  <c r="AH399" i="76"/>
  <c r="AN399" i="76"/>
  <c r="AI399" i="76"/>
  <c r="AG399" i="76"/>
  <c r="AP399" i="76"/>
  <c r="AK399" i="76"/>
  <c r="AO399" i="76"/>
  <c r="AM399" i="76"/>
  <c r="F401" i="76" l="1"/>
  <c r="R401" i="76"/>
  <c r="G400" i="76"/>
  <c r="M400" i="76"/>
  <c r="H400" i="76"/>
  <c r="N400" i="76"/>
  <c r="I400" i="76"/>
  <c r="O400" i="76"/>
  <c r="P400" i="76"/>
  <c r="K400" i="76"/>
  <c r="L400" i="76"/>
  <c r="J400" i="76"/>
  <c r="Q400" i="76"/>
  <c r="W400" i="76"/>
  <c r="AC400" i="76"/>
  <c r="X400" i="76"/>
  <c r="S400" i="76"/>
  <c r="Y400" i="76"/>
  <c r="T400" i="76"/>
  <c r="Z400" i="76"/>
  <c r="AA400" i="76"/>
  <c r="V400" i="76"/>
  <c r="U400" i="76"/>
  <c r="AB400" i="76"/>
  <c r="AN400" i="76"/>
  <c r="AI400" i="76"/>
  <c r="AO400" i="76"/>
  <c r="AJ400" i="76"/>
  <c r="AP400" i="76"/>
  <c r="AK400" i="76"/>
  <c r="AL400" i="76"/>
  <c r="AG400" i="76"/>
  <c r="AH400" i="76"/>
  <c r="AF400" i="76"/>
  <c r="AM400" i="76"/>
  <c r="AE401" i="76"/>
  <c r="D401" i="76"/>
  <c r="B401" i="76"/>
  <c r="A401" i="76"/>
  <c r="AR402" i="76"/>
  <c r="C401" i="76"/>
  <c r="AD401" i="76"/>
  <c r="E401" i="76"/>
  <c r="F402" i="76" l="1"/>
  <c r="R402" i="76"/>
  <c r="AR403" i="76"/>
  <c r="A402" i="76"/>
  <c r="AD402" i="76"/>
  <c r="B402" i="76"/>
  <c r="E402" i="76"/>
  <c r="D402" i="76"/>
  <c r="C402" i="76"/>
  <c r="AE402" i="76"/>
  <c r="M401" i="76"/>
  <c r="H401" i="76"/>
  <c r="N401" i="76"/>
  <c r="L401" i="76"/>
  <c r="Q401" i="76"/>
  <c r="J401" i="76"/>
  <c r="P401" i="76"/>
  <c r="K401" i="76"/>
  <c r="I401" i="76"/>
  <c r="O401" i="76"/>
  <c r="G401" i="76"/>
  <c r="AL401" i="76"/>
  <c r="AG401" i="76"/>
  <c r="AM401" i="76"/>
  <c r="AH401" i="76"/>
  <c r="AN401" i="76"/>
  <c r="AI401" i="76"/>
  <c r="AO401" i="76"/>
  <c r="AJ401" i="76"/>
  <c r="AP401" i="76"/>
  <c r="AK401" i="76"/>
  <c r="AF401" i="76"/>
  <c r="T401" i="76"/>
  <c r="Z401" i="76"/>
  <c r="U401" i="76"/>
  <c r="AA401" i="76"/>
  <c r="Y401" i="76"/>
  <c r="AB401" i="76"/>
  <c r="W401" i="76"/>
  <c r="AC401" i="76"/>
  <c r="X401" i="76"/>
  <c r="V401" i="76"/>
  <c r="S401" i="76"/>
  <c r="F403" i="76" l="1"/>
  <c r="R403" i="76"/>
  <c r="AP402" i="76"/>
  <c r="AK402" i="76"/>
  <c r="AF402" i="76"/>
  <c r="AI402" i="76"/>
  <c r="AO402" i="76"/>
  <c r="AM402" i="76"/>
  <c r="AH402" i="76"/>
  <c r="AN402" i="76"/>
  <c r="AJ402" i="76"/>
  <c r="AL402" i="76"/>
  <c r="AG402" i="76"/>
  <c r="W402" i="76"/>
  <c r="AC402" i="76"/>
  <c r="AB402" i="76"/>
  <c r="U402" i="76"/>
  <c r="AA402" i="76"/>
  <c r="Y402" i="76"/>
  <c r="Z402" i="76"/>
  <c r="X402" i="76"/>
  <c r="S402" i="76"/>
  <c r="T402" i="76"/>
  <c r="V402" i="76"/>
  <c r="N402" i="76"/>
  <c r="I402" i="76"/>
  <c r="O402" i="76"/>
  <c r="J402" i="76"/>
  <c r="P402" i="76"/>
  <c r="K402" i="76"/>
  <c r="Q402" i="76"/>
  <c r="L402" i="76"/>
  <c r="G402" i="76"/>
  <c r="M402" i="76"/>
  <c r="H402" i="76"/>
  <c r="C403" i="76"/>
  <c r="B403" i="76"/>
  <c r="A403" i="76"/>
  <c r="AE403" i="76"/>
  <c r="AR404" i="76"/>
  <c r="E403" i="76"/>
  <c r="AD403" i="76"/>
  <c r="D403" i="76"/>
  <c r="F404" i="76" l="1"/>
  <c r="R404" i="76"/>
  <c r="V403" i="76"/>
  <c r="AB403" i="76"/>
  <c r="W403" i="76"/>
  <c r="AC403" i="76"/>
  <c r="AA403" i="76"/>
  <c r="X403" i="76"/>
  <c r="Y403" i="76"/>
  <c r="T403" i="76"/>
  <c r="Z403" i="76"/>
  <c r="U403" i="76"/>
  <c r="S403" i="76"/>
  <c r="AP403" i="76"/>
  <c r="AK403" i="76"/>
  <c r="AF403" i="76"/>
  <c r="AL403" i="76"/>
  <c r="AG403" i="76"/>
  <c r="AJ403" i="76"/>
  <c r="AH403" i="76"/>
  <c r="AN403" i="76"/>
  <c r="AI403" i="76"/>
  <c r="AO403" i="76"/>
  <c r="AM403" i="76"/>
  <c r="A404" i="76"/>
  <c r="D404" i="76"/>
  <c r="B404" i="76"/>
  <c r="AE404" i="76"/>
  <c r="AR405" i="76"/>
  <c r="AD404" i="76"/>
  <c r="E404" i="76"/>
  <c r="C404" i="76"/>
  <c r="O403" i="76"/>
  <c r="J403" i="76"/>
  <c r="P403" i="76"/>
  <c r="K403" i="76"/>
  <c r="Q403" i="76"/>
  <c r="L403" i="76"/>
  <c r="G403" i="76"/>
  <c r="M403" i="76"/>
  <c r="H403" i="76"/>
  <c r="N403" i="76"/>
  <c r="I403" i="76"/>
  <c r="F405" i="76" l="1"/>
  <c r="R405" i="76"/>
  <c r="E405" i="76"/>
  <c r="AE405" i="76"/>
  <c r="A405" i="76"/>
  <c r="D405" i="76"/>
  <c r="B405" i="76"/>
  <c r="AR406" i="76"/>
  <c r="AD405" i="76"/>
  <c r="C405" i="76"/>
  <c r="AB404" i="76"/>
  <c r="W404" i="76"/>
  <c r="AC404" i="76"/>
  <c r="X404" i="76"/>
  <c r="S404" i="76"/>
  <c r="Y404" i="76"/>
  <c r="T404" i="76"/>
  <c r="Z404" i="76"/>
  <c r="U404" i="76"/>
  <c r="AA404" i="76"/>
  <c r="V404" i="76"/>
  <c r="AO404" i="76"/>
  <c r="AJ404" i="76"/>
  <c r="AP404" i="76"/>
  <c r="AK404" i="76"/>
  <c r="AI404" i="76"/>
  <c r="AL404" i="76"/>
  <c r="AG404" i="76"/>
  <c r="AM404" i="76"/>
  <c r="AH404" i="76"/>
  <c r="AF404" i="76"/>
  <c r="AN404" i="76"/>
  <c r="N404" i="76"/>
  <c r="I404" i="76"/>
  <c r="O404" i="76"/>
  <c r="M404" i="76"/>
  <c r="J404" i="76"/>
  <c r="K404" i="76"/>
  <c r="Q404" i="76"/>
  <c r="L404" i="76"/>
  <c r="G404" i="76"/>
  <c r="P404" i="76"/>
  <c r="H404" i="76"/>
  <c r="F406" i="76" l="1"/>
  <c r="R406" i="76"/>
  <c r="D406" i="76"/>
  <c r="AR407" i="76"/>
  <c r="B406" i="76"/>
  <c r="A406" i="76"/>
  <c r="E406" i="76"/>
  <c r="AD406" i="76"/>
  <c r="C406" i="76"/>
  <c r="AE406" i="76"/>
  <c r="AC405" i="76"/>
  <c r="T405" i="76"/>
  <c r="Z405" i="76"/>
  <c r="U405" i="76"/>
  <c r="AA405" i="76"/>
  <c r="V405" i="76"/>
  <c r="AB405" i="76"/>
  <c r="W405" i="76"/>
  <c r="X405" i="76"/>
  <c r="S405" i="76"/>
  <c r="Y405" i="76"/>
  <c r="AM405" i="76"/>
  <c r="AH405" i="76"/>
  <c r="AN405" i="76"/>
  <c r="AO405" i="76"/>
  <c r="AJ405" i="76"/>
  <c r="AP405" i="76"/>
  <c r="AK405" i="76"/>
  <c r="AF405" i="76"/>
  <c r="AL405" i="76"/>
  <c r="AG405" i="76"/>
  <c r="AI405" i="76"/>
  <c r="G405" i="76"/>
  <c r="I405" i="76"/>
  <c r="O405" i="76"/>
  <c r="J405" i="76"/>
  <c r="P405" i="76"/>
  <c r="K405" i="76"/>
  <c r="Q405" i="76"/>
  <c r="L405" i="76"/>
  <c r="M405" i="76"/>
  <c r="H405" i="76"/>
  <c r="N405" i="76"/>
  <c r="F407" i="76" l="1"/>
  <c r="R407" i="76"/>
  <c r="AM406" i="76"/>
  <c r="AN406" i="76"/>
  <c r="AI406" i="76"/>
  <c r="AO406" i="76"/>
  <c r="AJ406" i="76"/>
  <c r="AH406" i="76"/>
  <c r="AK406" i="76"/>
  <c r="AF406" i="76"/>
  <c r="AL406" i="76"/>
  <c r="AG406" i="76"/>
  <c r="AP406" i="76"/>
  <c r="Q406" i="76"/>
  <c r="L406" i="76"/>
  <c r="G406" i="76"/>
  <c r="M406" i="76"/>
  <c r="H406" i="76"/>
  <c r="N406" i="76"/>
  <c r="I406" i="76"/>
  <c r="O406" i="76"/>
  <c r="J406" i="76"/>
  <c r="P406" i="76"/>
  <c r="K406" i="76"/>
  <c r="AC406" i="76"/>
  <c r="X406" i="76"/>
  <c r="AA406" i="76"/>
  <c r="Y406" i="76"/>
  <c r="T406" i="76"/>
  <c r="S406" i="76"/>
  <c r="U406" i="76"/>
  <c r="W406" i="76"/>
  <c r="V406" i="76"/>
  <c r="AB406" i="76"/>
  <c r="Z406" i="76"/>
  <c r="AR408" i="76"/>
  <c r="D407" i="76"/>
  <c r="AE407" i="76"/>
  <c r="C407" i="76"/>
  <c r="AD407" i="76"/>
  <c r="B407" i="76"/>
  <c r="E407" i="76"/>
  <c r="A407" i="76"/>
  <c r="F408" i="76" l="1"/>
  <c r="R408" i="76"/>
  <c r="J407" i="76"/>
  <c r="L407" i="76"/>
  <c r="P407" i="76"/>
  <c r="Q407" i="76"/>
  <c r="H407" i="76"/>
  <c r="K407" i="76"/>
  <c r="M407" i="76"/>
  <c r="O407" i="76"/>
  <c r="N407" i="76"/>
  <c r="I407" i="76"/>
  <c r="G407" i="76"/>
  <c r="AH407" i="76"/>
  <c r="AN407" i="76"/>
  <c r="AI407" i="76"/>
  <c r="AO407" i="76"/>
  <c r="AJ407" i="76"/>
  <c r="AP407" i="76"/>
  <c r="AK407" i="76"/>
  <c r="AF407" i="76"/>
  <c r="AL407" i="76"/>
  <c r="AG407" i="76"/>
  <c r="AM407" i="76"/>
  <c r="C408" i="76"/>
  <c r="A408" i="76"/>
  <c r="AE408" i="76"/>
  <c r="D408" i="76"/>
  <c r="B408" i="76"/>
  <c r="AR409" i="76"/>
  <c r="E408" i="76"/>
  <c r="AD408" i="76"/>
  <c r="Z407" i="76"/>
  <c r="U407" i="76"/>
  <c r="AA407" i="76"/>
  <c r="V407" i="76"/>
  <c r="AB407" i="76"/>
  <c r="W407" i="76"/>
  <c r="AC407" i="76"/>
  <c r="X407" i="76"/>
  <c r="S407" i="76"/>
  <c r="Y407" i="76"/>
  <c r="T407" i="76"/>
  <c r="F409" i="76" l="1"/>
  <c r="R409" i="76"/>
  <c r="AR410" i="76"/>
  <c r="E409" i="76"/>
  <c r="D409" i="76"/>
  <c r="AD409" i="76"/>
  <c r="B409" i="76"/>
  <c r="C409" i="76"/>
  <c r="AE409" i="76"/>
  <c r="A409" i="76"/>
  <c r="AC408" i="76"/>
  <c r="S408" i="76"/>
  <c r="Y408" i="76"/>
  <c r="T408" i="76"/>
  <c r="Z408" i="76"/>
  <c r="X408" i="76"/>
  <c r="AA408" i="76"/>
  <c r="V408" i="76"/>
  <c r="AB408" i="76"/>
  <c r="W408" i="76"/>
  <c r="U408" i="76"/>
  <c r="K408" i="76"/>
  <c r="Q408" i="76"/>
  <c r="L408" i="76"/>
  <c r="G408" i="76"/>
  <c r="P408" i="76"/>
  <c r="J408" i="76"/>
  <c r="N408" i="76"/>
  <c r="I408" i="76"/>
  <c r="O408" i="76"/>
  <c r="M408" i="76"/>
  <c r="H408" i="76"/>
  <c r="AM408" i="76"/>
  <c r="AH408" i="76"/>
  <c r="AN408" i="76"/>
  <c r="AI408" i="76"/>
  <c r="AO408" i="76"/>
  <c r="AJ408" i="76"/>
  <c r="AP408" i="76"/>
  <c r="AK408" i="76"/>
  <c r="AF408" i="76"/>
  <c r="AL408" i="76"/>
  <c r="AG408" i="76"/>
  <c r="F410" i="76" l="1"/>
  <c r="R410" i="76"/>
  <c r="AH409" i="76"/>
  <c r="AN409" i="76"/>
  <c r="AI409" i="76"/>
  <c r="AO409" i="76"/>
  <c r="AJ409" i="76"/>
  <c r="AP409" i="76"/>
  <c r="AK409" i="76"/>
  <c r="AF409" i="76"/>
  <c r="AL409" i="76"/>
  <c r="AG409" i="76"/>
  <c r="AM409" i="76"/>
  <c r="X409" i="76"/>
  <c r="S409" i="76"/>
  <c r="Y409" i="76"/>
  <c r="T409" i="76"/>
  <c r="Z409" i="76"/>
  <c r="U409" i="76"/>
  <c r="AA409" i="76"/>
  <c r="V409" i="76"/>
  <c r="AB409" i="76"/>
  <c r="W409" i="76"/>
  <c r="AC409" i="76"/>
  <c r="O409" i="76"/>
  <c r="J409" i="76"/>
  <c r="P409" i="76"/>
  <c r="K409" i="76"/>
  <c r="Q409" i="76"/>
  <c r="L409" i="76"/>
  <c r="G409" i="76"/>
  <c r="M409" i="76"/>
  <c r="H409" i="76"/>
  <c r="N409" i="76"/>
  <c r="I409" i="76"/>
  <c r="AR411" i="76"/>
  <c r="AD410" i="76"/>
  <c r="B410" i="76"/>
  <c r="D410" i="76"/>
  <c r="E410" i="76"/>
  <c r="AE410" i="76"/>
  <c r="A410" i="76"/>
  <c r="C410" i="76"/>
  <c r="F411" i="76" l="1"/>
  <c r="R411" i="76"/>
  <c r="K410" i="76"/>
  <c r="Q410" i="76"/>
  <c r="L410" i="76"/>
  <c r="G410" i="76"/>
  <c r="M410" i="76"/>
  <c r="H410" i="76"/>
  <c r="N410" i="76"/>
  <c r="I410" i="76"/>
  <c r="O410" i="76"/>
  <c r="J410" i="76"/>
  <c r="P410" i="76"/>
  <c r="E411" i="76"/>
  <c r="AD411" i="76"/>
  <c r="D411" i="76"/>
  <c r="B411" i="76"/>
  <c r="C411" i="76"/>
  <c r="AR412" i="76"/>
  <c r="A411" i="76"/>
  <c r="AE411" i="76"/>
  <c r="AM410" i="76"/>
  <c r="AH410" i="76"/>
  <c r="AN410" i="76"/>
  <c r="AI410" i="76"/>
  <c r="AO410" i="76"/>
  <c r="AJ410" i="76"/>
  <c r="AP410" i="76"/>
  <c r="AK410" i="76"/>
  <c r="AF410" i="76"/>
  <c r="AL410" i="76"/>
  <c r="AG410" i="76"/>
  <c r="Z410" i="76"/>
  <c r="T410" i="76"/>
  <c r="AA410" i="76"/>
  <c r="V410" i="76"/>
  <c r="AC410" i="76"/>
  <c r="W410" i="76"/>
  <c r="Y410" i="76"/>
  <c r="U410" i="76"/>
  <c r="S410" i="76"/>
  <c r="AB410" i="76"/>
  <c r="X410" i="76"/>
  <c r="F412" i="76" l="1"/>
  <c r="R412" i="76"/>
  <c r="L411" i="76"/>
  <c r="H411" i="76"/>
  <c r="N411" i="76"/>
  <c r="I411" i="76"/>
  <c r="O411" i="76"/>
  <c r="J411" i="76"/>
  <c r="P411" i="76"/>
  <c r="K411" i="76"/>
  <c r="Q411" i="76"/>
  <c r="G411" i="76"/>
  <c r="M411" i="76"/>
  <c r="AO411" i="76"/>
  <c r="AF411" i="76"/>
  <c r="AN411" i="76"/>
  <c r="AL411" i="76"/>
  <c r="AG411" i="76"/>
  <c r="AM411" i="76"/>
  <c r="AP411" i="76"/>
  <c r="AK411" i="76"/>
  <c r="AI411" i="76"/>
  <c r="AJ411" i="76"/>
  <c r="AH411" i="76"/>
  <c r="B412" i="76"/>
  <c r="A412" i="76"/>
  <c r="D412" i="76"/>
  <c r="E412" i="76"/>
  <c r="AE412" i="76"/>
  <c r="AR413" i="76"/>
  <c r="AD412" i="76"/>
  <c r="C412" i="76"/>
  <c r="T411" i="76"/>
  <c r="AA411" i="76"/>
  <c r="V411" i="76"/>
  <c r="AB411" i="76"/>
  <c r="W411" i="76"/>
  <c r="AC411" i="76"/>
  <c r="X411" i="76"/>
  <c r="S411" i="76"/>
  <c r="Y411" i="76"/>
  <c r="Z411" i="76"/>
  <c r="U411" i="76"/>
  <c r="F413" i="76" l="1"/>
  <c r="R413" i="76"/>
  <c r="AR414" i="76"/>
  <c r="D413" i="76"/>
  <c r="AE413" i="76"/>
  <c r="E413" i="76"/>
  <c r="C413" i="76"/>
  <c r="B413" i="76"/>
  <c r="A413" i="76"/>
  <c r="AD413" i="76"/>
  <c r="N412" i="76"/>
  <c r="I412" i="76"/>
  <c r="G412" i="76"/>
  <c r="M412" i="76"/>
  <c r="H412" i="76"/>
  <c r="Q412" i="76"/>
  <c r="J412" i="76"/>
  <c r="P412" i="76"/>
  <c r="K412" i="76"/>
  <c r="O412" i="76"/>
  <c r="L412" i="76"/>
  <c r="AM412" i="76"/>
  <c r="AH412" i="76"/>
  <c r="AN412" i="76"/>
  <c r="AI412" i="76"/>
  <c r="AO412" i="76"/>
  <c r="AJ412" i="76"/>
  <c r="AG412" i="76"/>
  <c r="AP412" i="76"/>
  <c r="AK412" i="76"/>
  <c r="AF412" i="76"/>
  <c r="AL412" i="76"/>
  <c r="AB412" i="76"/>
  <c r="W412" i="76"/>
  <c r="AC412" i="76"/>
  <c r="X412" i="76"/>
  <c r="S412" i="76"/>
  <c r="Y412" i="76"/>
  <c r="T412" i="76"/>
  <c r="Z412" i="76"/>
  <c r="U412" i="76"/>
  <c r="AA412" i="76"/>
  <c r="V412" i="76"/>
  <c r="F414" i="76" l="1"/>
  <c r="R414" i="76"/>
  <c r="Y413" i="76"/>
  <c r="T413" i="76"/>
  <c r="Z413" i="76"/>
  <c r="U413" i="76"/>
  <c r="AA413" i="76"/>
  <c r="V413" i="76"/>
  <c r="AB413" i="76"/>
  <c r="W413" i="76"/>
  <c r="AC413" i="76"/>
  <c r="X413" i="76"/>
  <c r="S413" i="76"/>
  <c r="Q413" i="76"/>
  <c r="L413" i="76"/>
  <c r="G413" i="76"/>
  <c r="M413" i="76"/>
  <c r="H413" i="76"/>
  <c r="N413" i="76"/>
  <c r="I413" i="76"/>
  <c r="O413" i="76"/>
  <c r="J413" i="76"/>
  <c r="P413" i="76"/>
  <c r="K413" i="76"/>
  <c r="AN413" i="76"/>
  <c r="AI413" i="76"/>
  <c r="AO413" i="76"/>
  <c r="AJ413" i="76"/>
  <c r="AP413" i="76"/>
  <c r="AK413" i="76"/>
  <c r="AF413" i="76"/>
  <c r="AL413" i="76"/>
  <c r="AG413" i="76"/>
  <c r="AM413" i="76"/>
  <c r="AH413" i="76"/>
  <c r="E414" i="76"/>
  <c r="D414" i="76"/>
  <c r="AR415" i="76"/>
  <c r="C414" i="76"/>
  <c r="AE414" i="76"/>
  <c r="AD414" i="76"/>
  <c r="B414" i="76"/>
  <c r="A414" i="76"/>
  <c r="F415" i="76" l="1"/>
  <c r="R415" i="76"/>
  <c r="AE415" i="76"/>
  <c r="E415" i="76"/>
  <c r="D415" i="76"/>
  <c r="A415" i="76"/>
  <c r="AR416" i="76"/>
  <c r="B415" i="76"/>
  <c r="AD415" i="76"/>
  <c r="C415" i="76"/>
  <c r="AK414" i="76"/>
  <c r="AF414" i="76"/>
  <c r="AL414" i="76"/>
  <c r="AG414" i="76"/>
  <c r="AM414" i="76"/>
  <c r="AH414" i="76"/>
  <c r="AN414" i="76"/>
  <c r="AI414" i="76"/>
  <c r="AO414" i="76"/>
  <c r="AJ414" i="76"/>
  <c r="AP414" i="76"/>
  <c r="L414" i="76"/>
  <c r="M414" i="76"/>
  <c r="H414" i="76"/>
  <c r="N414" i="76"/>
  <c r="O414" i="76"/>
  <c r="Q414" i="76"/>
  <c r="G414" i="76"/>
  <c r="P414" i="76"/>
  <c r="K414" i="76"/>
  <c r="I414" i="76"/>
  <c r="J414" i="76"/>
  <c r="S414" i="76"/>
  <c r="U414" i="76"/>
  <c r="AA414" i="76"/>
  <c r="Z414" i="76"/>
  <c r="AB414" i="76"/>
  <c r="W414" i="76"/>
  <c r="AC414" i="76"/>
  <c r="X414" i="76"/>
  <c r="V414" i="76"/>
  <c r="Y414" i="76"/>
  <c r="T414" i="76"/>
  <c r="F416" i="76" l="1"/>
  <c r="R416" i="76"/>
  <c r="D416" i="76"/>
  <c r="AR417" i="76"/>
  <c r="B416" i="76"/>
  <c r="C416" i="76"/>
  <c r="A416" i="76"/>
  <c r="AE416" i="76"/>
  <c r="E416" i="76"/>
  <c r="AD416" i="76"/>
  <c r="L415" i="76"/>
  <c r="H415" i="76"/>
  <c r="N415" i="76"/>
  <c r="J415" i="76"/>
  <c r="G415" i="76"/>
  <c r="I415" i="76"/>
  <c r="P415" i="76"/>
  <c r="K415" i="76"/>
  <c r="M415" i="76"/>
  <c r="O415" i="76"/>
  <c r="Q415" i="76"/>
  <c r="AB415" i="76"/>
  <c r="W415" i="76"/>
  <c r="AC415" i="76"/>
  <c r="X415" i="76"/>
  <c r="V415" i="76"/>
  <c r="S415" i="76"/>
  <c r="T415" i="76"/>
  <c r="Z415" i="76"/>
  <c r="U415" i="76"/>
  <c r="AA415" i="76"/>
  <c r="Y415" i="76"/>
  <c r="AP415" i="76"/>
  <c r="AK415" i="76"/>
  <c r="AF415" i="76"/>
  <c r="AL415" i="76"/>
  <c r="AG415" i="76"/>
  <c r="AM415" i="76"/>
  <c r="AH415" i="76"/>
  <c r="AN415" i="76"/>
  <c r="AI415" i="76"/>
  <c r="AO415" i="76"/>
  <c r="AJ415" i="76"/>
  <c r="F417" i="76" l="1"/>
  <c r="R417" i="76"/>
  <c r="AG416" i="76"/>
  <c r="AM416" i="76"/>
  <c r="AH416" i="76"/>
  <c r="AN416" i="76"/>
  <c r="AI416" i="76"/>
  <c r="AO416" i="76"/>
  <c r="AJ416" i="76"/>
  <c r="AP416" i="76"/>
  <c r="AK416" i="76"/>
  <c r="AF416" i="76"/>
  <c r="AL416" i="76"/>
  <c r="E417" i="76"/>
  <c r="C417" i="76"/>
  <c r="D417" i="76"/>
  <c r="AE417" i="76"/>
  <c r="B417" i="76"/>
  <c r="AR418" i="76"/>
  <c r="AD417" i="76"/>
  <c r="A417" i="76"/>
  <c r="S416" i="76"/>
  <c r="Y416" i="76"/>
  <c r="T416" i="76"/>
  <c r="Z416" i="76"/>
  <c r="U416" i="76"/>
  <c r="AA416" i="76"/>
  <c r="AB416" i="76"/>
  <c r="W416" i="76"/>
  <c r="X416" i="76"/>
  <c r="V416" i="76"/>
  <c r="AC416" i="76"/>
  <c r="K416" i="76"/>
  <c r="Q416" i="76"/>
  <c r="L416" i="76"/>
  <c r="G416" i="76"/>
  <c r="M416" i="76"/>
  <c r="H416" i="76"/>
  <c r="I416" i="76"/>
  <c r="O416" i="76"/>
  <c r="P416" i="76"/>
  <c r="N416" i="76"/>
  <c r="J416" i="76"/>
  <c r="F418" i="76" l="1"/>
  <c r="R418" i="76"/>
  <c r="AH417" i="76"/>
  <c r="AN417" i="76"/>
  <c r="AI417" i="76"/>
  <c r="AO417" i="76"/>
  <c r="AJ417" i="76"/>
  <c r="AP417" i="76"/>
  <c r="AK417" i="76"/>
  <c r="AF417" i="76"/>
  <c r="AL417" i="76"/>
  <c r="AG417" i="76"/>
  <c r="AM417" i="76"/>
  <c r="P417" i="76"/>
  <c r="Q417" i="76"/>
  <c r="L417" i="76"/>
  <c r="G417" i="76"/>
  <c r="M417" i="76"/>
  <c r="K417" i="76"/>
  <c r="N417" i="76"/>
  <c r="I417" i="76"/>
  <c r="O417" i="76"/>
  <c r="J417" i="76"/>
  <c r="H417" i="76"/>
  <c r="E418" i="76"/>
  <c r="AR419" i="76"/>
  <c r="A418" i="76"/>
  <c r="AD418" i="76"/>
  <c r="C418" i="76"/>
  <c r="B418" i="76"/>
  <c r="AE418" i="76"/>
  <c r="D418" i="76"/>
  <c r="AA417" i="76"/>
  <c r="V417" i="76"/>
  <c r="AB417" i="76"/>
  <c r="W417" i="76"/>
  <c r="AC417" i="76"/>
  <c r="X417" i="76"/>
  <c r="S417" i="76"/>
  <c r="Y417" i="76"/>
  <c r="T417" i="76"/>
  <c r="Z417" i="76"/>
  <c r="U417" i="76"/>
  <c r="F419" i="76" l="1"/>
  <c r="R419" i="76"/>
  <c r="K418" i="76"/>
  <c r="G418" i="76"/>
  <c r="N418" i="76"/>
  <c r="I418" i="76"/>
  <c r="O418" i="76"/>
  <c r="J418" i="76"/>
  <c r="P418" i="76"/>
  <c r="Q418" i="76"/>
  <c r="L418" i="76"/>
  <c r="M418" i="76"/>
  <c r="H418" i="76"/>
  <c r="AP418" i="76"/>
  <c r="AK418" i="76"/>
  <c r="AM418" i="76"/>
  <c r="AH418" i="76"/>
  <c r="AI418" i="76"/>
  <c r="AO418" i="76"/>
  <c r="AJ418" i="76"/>
  <c r="AF418" i="76"/>
  <c r="AN418" i="76"/>
  <c r="AL418" i="76"/>
  <c r="AG418" i="76"/>
  <c r="AC418" i="76"/>
  <c r="Y418" i="76"/>
  <c r="W418" i="76"/>
  <c r="AB418" i="76"/>
  <c r="S418" i="76"/>
  <c r="U418" i="76"/>
  <c r="T418" i="76"/>
  <c r="X418" i="76"/>
  <c r="AA418" i="76"/>
  <c r="V418" i="76"/>
  <c r="Z418" i="76"/>
  <c r="C419" i="76"/>
  <c r="E419" i="76"/>
  <c r="AR420" i="76"/>
  <c r="A419" i="76"/>
  <c r="AD419" i="76"/>
  <c r="D419" i="76"/>
  <c r="B419" i="76"/>
  <c r="AE419" i="76"/>
  <c r="F420" i="76" l="1"/>
  <c r="R420" i="76"/>
  <c r="Y419" i="76"/>
  <c r="T419" i="76"/>
  <c r="Z419" i="76"/>
  <c r="U419" i="76"/>
  <c r="AA419" i="76"/>
  <c r="V419" i="76"/>
  <c r="AB419" i="76"/>
  <c r="W419" i="76"/>
  <c r="AC419" i="76"/>
  <c r="X419" i="76"/>
  <c r="S419" i="76"/>
  <c r="AH419" i="76"/>
  <c r="AN419" i="76"/>
  <c r="AI419" i="76"/>
  <c r="AO419" i="76"/>
  <c r="AJ419" i="76"/>
  <c r="AP419" i="76"/>
  <c r="AK419" i="76"/>
  <c r="AF419" i="76"/>
  <c r="AL419" i="76"/>
  <c r="AG419" i="76"/>
  <c r="AM419" i="76"/>
  <c r="AR421" i="76"/>
  <c r="AD420" i="76"/>
  <c r="B420" i="76"/>
  <c r="A420" i="76"/>
  <c r="D420" i="76"/>
  <c r="E420" i="76"/>
  <c r="C420" i="76"/>
  <c r="AE420" i="76"/>
  <c r="L419" i="76"/>
  <c r="G419" i="76"/>
  <c r="M419" i="76"/>
  <c r="H419" i="76"/>
  <c r="N419" i="76"/>
  <c r="I419" i="76"/>
  <c r="O419" i="76"/>
  <c r="J419" i="76"/>
  <c r="P419" i="76"/>
  <c r="K419" i="76"/>
  <c r="Q419" i="76"/>
  <c r="F421" i="76" l="1"/>
  <c r="R421" i="76"/>
  <c r="AO420" i="76"/>
  <c r="AJ420" i="76"/>
  <c r="AP420" i="76"/>
  <c r="AK420" i="76"/>
  <c r="AF420" i="76"/>
  <c r="AL420" i="76"/>
  <c r="AG420" i="76"/>
  <c r="AM420" i="76"/>
  <c r="AH420" i="76"/>
  <c r="AN420" i="76"/>
  <c r="AI420" i="76"/>
  <c r="Y420" i="76"/>
  <c r="T420" i="76"/>
  <c r="Z420" i="76"/>
  <c r="U420" i="76"/>
  <c r="S420" i="76"/>
  <c r="AA420" i="76"/>
  <c r="AB420" i="76"/>
  <c r="W420" i="76"/>
  <c r="AC420" i="76"/>
  <c r="X420" i="76"/>
  <c r="V420" i="76"/>
  <c r="L420" i="76"/>
  <c r="N420" i="76"/>
  <c r="I420" i="76"/>
  <c r="O420" i="76"/>
  <c r="J420" i="76"/>
  <c r="H420" i="76"/>
  <c r="K420" i="76"/>
  <c r="Q420" i="76"/>
  <c r="G420" i="76"/>
  <c r="P420" i="76"/>
  <c r="M420" i="76"/>
  <c r="A421" i="76"/>
  <c r="AR422" i="76"/>
  <c r="E421" i="76"/>
  <c r="AD421" i="76"/>
  <c r="C421" i="76"/>
  <c r="AE421" i="76"/>
  <c r="D421" i="76"/>
  <c r="B421" i="76"/>
  <c r="F422" i="76" l="1"/>
  <c r="R422" i="76"/>
  <c r="AM421" i="76"/>
  <c r="AH421" i="76"/>
  <c r="AN421" i="76"/>
  <c r="AI421" i="76"/>
  <c r="AO421" i="76"/>
  <c r="AJ421" i="76"/>
  <c r="AP421" i="76"/>
  <c r="AK421" i="76"/>
  <c r="AF421" i="76"/>
  <c r="AL421" i="76"/>
  <c r="AG421" i="76"/>
  <c r="L421" i="76"/>
  <c r="G421" i="76"/>
  <c r="M421" i="76"/>
  <c r="P421" i="76"/>
  <c r="K421" i="76"/>
  <c r="Q421" i="76"/>
  <c r="O421" i="76"/>
  <c r="J421" i="76"/>
  <c r="I421" i="76"/>
  <c r="H421" i="76"/>
  <c r="N421" i="76"/>
  <c r="E422" i="76"/>
  <c r="D422" i="76"/>
  <c r="A422" i="76"/>
  <c r="AR423" i="76"/>
  <c r="B422" i="76"/>
  <c r="C422" i="76"/>
  <c r="AD422" i="76"/>
  <c r="AE422" i="76"/>
  <c r="S421" i="76"/>
  <c r="Z421" i="76"/>
  <c r="U421" i="76"/>
  <c r="AA421" i="76"/>
  <c r="V421" i="76"/>
  <c r="AB421" i="76"/>
  <c r="W421" i="76"/>
  <c r="AC421" i="76"/>
  <c r="X421" i="76"/>
  <c r="Y421" i="76"/>
  <c r="T421" i="76"/>
  <c r="F423" i="76" l="1"/>
  <c r="R423" i="76"/>
  <c r="AO422" i="76"/>
  <c r="AJ422" i="76"/>
  <c r="AP422" i="76"/>
  <c r="AF422" i="76"/>
  <c r="AG422" i="76"/>
  <c r="AM422" i="76"/>
  <c r="AH422" i="76"/>
  <c r="AN422" i="76"/>
  <c r="AL422" i="76"/>
  <c r="AK422" i="76"/>
  <c r="AI422" i="76"/>
  <c r="P422" i="76"/>
  <c r="K422" i="76"/>
  <c r="Q422" i="76"/>
  <c r="L422" i="76"/>
  <c r="G422" i="76"/>
  <c r="M422" i="76"/>
  <c r="H422" i="76"/>
  <c r="N422" i="76"/>
  <c r="I422" i="76"/>
  <c r="O422" i="76"/>
  <c r="J422" i="76"/>
  <c r="AB422" i="76"/>
  <c r="AA422" i="76"/>
  <c r="Y422" i="76"/>
  <c r="T422" i="76"/>
  <c r="S422" i="76"/>
  <c r="U422" i="76"/>
  <c r="W422" i="76"/>
  <c r="V422" i="76"/>
  <c r="Z422" i="76"/>
  <c r="AC422" i="76"/>
  <c r="X422" i="76"/>
  <c r="E423" i="76"/>
  <c r="C423" i="76"/>
  <c r="AR424" i="76"/>
  <c r="A423" i="76"/>
  <c r="AE423" i="76"/>
  <c r="AD423" i="76"/>
  <c r="D423" i="76"/>
  <c r="B423" i="76"/>
  <c r="F424" i="76" l="1"/>
  <c r="R424" i="76"/>
  <c r="AJ423" i="76"/>
  <c r="AH423" i="76"/>
  <c r="AN423" i="76"/>
  <c r="AI423" i="76"/>
  <c r="AG423" i="76"/>
  <c r="AL423" i="76"/>
  <c r="AP423" i="76"/>
  <c r="AK423" i="76"/>
  <c r="AF423" i="76"/>
  <c r="AO423" i="76"/>
  <c r="AM423" i="76"/>
  <c r="H423" i="76"/>
  <c r="M423" i="76"/>
  <c r="O423" i="76"/>
  <c r="N423" i="76"/>
  <c r="I423" i="76"/>
  <c r="K423" i="76"/>
  <c r="J423" i="76"/>
  <c r="P423" i="76"/>
  <c r="G423" i="76"/>
  <c r="Q423" i="76"/>
  <c r="L423" i="76"/>
  <c r="AD424" i="76"/>
  <c r="AR425" i="76"/>
  <c r="B424" i="76"/>
  <c r="D424" i="76"/>
  <c r="C424" i="76"/>
  <c r="A424" i="76"/>
  <c r="AE424" i="76"/>
  <c r="E424" i="76"/>
  <c r="Y423" i="76"/>
  <c r="T423" i="76"/>
  <c r="Z423" i="76"/>
  <c r="U423" i="76"/>
  <c r="AA423" i="76"/>
  <c r="V423" i="76"/>
  <c r="AB423" i="76"/>
  <c r="W423" i="76"/>
  <c r="AC423" i="76"/>
  <c r="X423" i="76"/>
  <c r="S423" i="76"/>
  <c r="F425" i="76" l="1"/>
  <c r="R425" i="76"/>
  <c r="B425" i="76"/>
  <c r="A425" i="76"/>
  <c r="AE425" i="76"/>
  <c r="D425" i="76"/>
  <c r="AD425" i="76"/>
  <c r="AR426" i="76"/>
  <c r="E425" i="76"/>
  <c r="C425" i="76"/>
  <c r="AA424" i="76"/>
  <c r="V424" i="76"/>
  <c r="AB424" i="76"/>
  <c r="W424" i="76"/>
  <c r="AC424" i="76"/>
  <c r="X424" i="76"/>
  <c r="T424" i="76"/>
  <c r="U424" i="76"/>
  <c r="S424" i="76"/>
  <c r="Y424" i="76"/>
  <c r="Z424" i="76"/>
  <c r="AP424" i="76"/>
  <c r="AK424" i="76"/>
  <c r="AF424" i="76"/>
  <c r="AL424" i="76"/>
  <c r="AG424" i="76"/>
  <c r="AH424" i="76"/>
  <c r="AN424" i="76"/>
  <c r="AO424" i="76"/>
  <c r="AJ424" i="76"/>
  <c r="AM424" i="76"/>
  <c r="AI424" i="76"/>
  <c r="N424" i="76"/>
  <c r="I424" i="76"/>
  <c r="O424" i="76"/>
  <c r="J424" i="76"/>
  <c r="P424" i="76"/>
  <c r="K424" i="76"/>
  <c r="Q424" i="76"/>
  <c r="L424" i="76"/>
  <c r="G424" i="76"/>
  <c r="M424" i="76"/>
  <c r="H424" i="76"/>
  <c r="F426" i="76" l="1"/>
  <c r="R426" i="76"/>
  <c r="Y425" i="76"/>
  <c r="U425" i="76"/>
  <c r="AA425" i="76"/>
  <c r="V425" i="76"/>
  <c r="AB425" i="76"/>
  <c r="W425" i="76"/>
  <c r="AC425" i="76"/>
  <c r="X425" i="76"/>
  <c r="S425" i="76"/>
  <c r="T425" i="76"/>
  <c r="Z425" i="76"/>
  <c r="J425" i="76"/>
  <c r="K425" i="76"/>
  <c r="L425" i="76"/>
  <c r="G425" i="76"/>
  <c r="M425" i="76"/>
  <c r="H425" i="76"/>
  <c r="N425" i="76"/>
  <c r="I425" i="76"/>
  <c r="O425" i="76"/>
  <c r="P425" i="76"/>
  <c r="Q425" i="76"/>
  <c r="AR427" i="76"/>
  <c r="B426" i="76"/>
  <c r="D426" i="76"/>
  <c r="AE426" i="76"/>
  <c r="E426" i="76"/>
  <c r="A426" i="76"/>
  <c r="AD426" i="76"/>
  <c r="C426" i="76"/>
  <c r="AH425" i="76"/>
  <c r="AN425" i="76"/>
  <c r="AI425" i="76"/>
  <c r="AO425" i="76"/>
  <c r="AJ425" i="76"/>
  <c r="AP425" i="76"/>
  <c r="AK425" i="76"/>
  <c r="AF425" i="76"/>
  <c r="AL425" i="76"/>
  <c r="AG425" i="76"/>
  <c r="AM425" i="76"/>
  <c r="F427" i="76" l="1"/>
  <c r="R427" i="76"/>
  <c r="N426" i="76"/>
  <c r="O426" i="76"/>
  <c r="P426" i="76"/>
  <c r="K426" i="76"/>
  <c r="Q426" i="76"/>
  <c r="L426" i="76"/>
  <c r="G426" i="76"/>
  <c r="M426" i="76"/>
  <c r="H426" i="76"/>
  <c r="I426" i="76"/>
  <c r="J426" i="76"/>
  <c r="Z426" i="76"/>
  <c r="T426" i="76"/>
  <c r="AA426" i="76"/>
  <c r="V426" i="76"/>
  <c r="AC426" i="76"/>
  <c r="W426" i="76"/>
  <c r="Y426" i="76"/>
  <c r="U426" i="76"/>
  <c r="S426" i="76"/>
  <c r="AB426" i="76"/>
  <c r="X426" i="76"/>
  <c r="AM426" i="76"/>
  <c r="AH426" i="76"/>
  <c r="AN426" i="76"/>
  <c r="AI426" i="76"/>
  <c r="AO426" i="76"/>
  <c r="AJ426" i="76"/>
  <c r="AP426" i="76"/>
  <c r="AK426" i="76"/>
  <c r="AF426" i="76"/>
  <c r="AL426" i="76"/>
  <c r="AG426" i="76"/>
  <c r="D427" i="76"/>
  <c r="AR428" i="76"/>
  <c r="E427" i="76"/>
  <c r="AE427" i="76"/>
  <c r="C427" i="76"/>
  <c r="AD427" i="76"/>
  <c r="B427" i="76"/>
  <c r="A427" i="76"/>
  <c r="F428" i="76" l="1"/>
  <c r="R428" i="76"/>
  <c r="AP427" i="76"/>
  <c r="AK427" i="76"/>
  <c r="AF427" i="76"/>
  <c r="AO427" i="76"/>
  <c r="AJ427" i="76"/>
  <c r="AL427" i="76"/>
  <c r="AH427" i="76"/>
  <c r="AN427" i="76"/>
  <c r="AI427" i="76"/>
  <c r="AG427" i="76"/>
  <c r="AM427" i="76"/>
  <c r="AR429" i="76"/>
  <c r="E428" i="76"/>
  <c r="C428" i="76"/>
  <c r="AE428" i="76"/>
  <c r="D428" i="76"/>
  <c r="B428" i="76"/>
  <c r="A428" i="76"/>
  <c r="AD428" i="76"/>
  <c r="AA427" i="76"/>
  <c r="T427" i="76"/>
  <c r="Z427" i="76"/>
  <c r="U427" i="76"/>
  <c r="S427" i="76"/>
  <c r="Y427" i="76"/>
  <c r="AB427" i="76"/>
  <c r="AC427" i="76"/>
  <c r="X427" i="76"/>
  <c r="W427" i="76"/>
  <c r="V427" i="76"/>
  <c r="J427" i="76"/>
  <c r="P427" i="76"/>
  <c r="K427" i="76"/>
  <c r="I427" i="76"/>
  <c r="O427" i="76"/>
  <c r="Q427" i="76"/>
  <c r="M427" i="76"/>
  <c r="N427" i="76"/>
  <c r="L427" i="76"/>
  <c r="G427" i="76"/>
  <c r="H427" i="76"/>
  <c r="F429" i="76" l="1"/>
  <c r="R429" i="76"/>
  <c r="AB428" i="76"/>
  <c r="W428" i="76"/>
  <c r="AC428" i="76"/>
  <c r="X428" i="76"/>
  <c r="S428" i="76"/>
  <c r="Y428" i="76"/>
  <c r="T428" i="76"/>
  <c r="Z428" i="76"/>
  <c r="U428" i="76"/>
  <c r="AA428" i="76"/>
  <c r="V428" i="76"/>
  <c r="E429" i="76"/>
  <c r="D429" i="76"/>
  <c r="AD429" i="76"/>
  <c r="AR430" i="76"/>
  <c r="B429" i="76"/>
  <c r="AE429" i="76"/>
  <c r="A429" i="76"/>
  <c r="C429" i="76"/>
  <c r="I428" i="76"/>
  <c r="O428" i="76"/>
  <c r="K428" i="76"/>
  <c r="Q428" i="76"/>
  <c r="L428" i="76"/>
  <c r="J428" i="76"/>
  <c r="H428" i="76"/>
  <c r="M428" i="76"/>
  <c r="N428" i="76"/>
  <c r="G428" i="76"/>
  <c r="P428" i="76"/>
  <c r="AM428" i="76"/>
  <c r="AH428" i="76"/>
  <c r="AN428" i="76"/>
  <c r="AG428" i="76"/>
  <c r="AL428" i="76"/>
  <c r="AJ428" i="76"/>
  <c r="AP428" i="76"/>
  <c r="AK428" i="76"/>
  <c r="AF428" i="76"/>
  <c r="AI428" i="76"/>
  <c r="AO428" i="76"/>
  <c r="F430" i="76" l="1"/>
  <c r="R430" i="76"/>
  <c r="Y429" i="76"/>
  <c r="T429" i="76"/>
  <c r="Z429" i="76"/>
  <c r="U429" i="76"/>
  <c r="AA429" i="76"/>
  <c r="V429" i="76"/>
  <c r="AB429" i="76"/>
  <c r="W429" i="76"/>
  <c r="AC429" i="76"/>
  <c r="X429" i="76"/>
  <c r="S429" i="76"/>
  <c r="N429" i="76"/>
  <c r="O429" i="76"/>
  <c r="P429" i="76"/>
  <c r="Q429" i="76"/>
  <c r="L429" i="76"/>
  <c r="G429" i="76"/>
  <c r="M429" i="76"/>
  <c r="H429" i="76"/>
  <c r="I429" i="76"/>
  <c r="J429" i="76"/>
  <c r="K429" i="76"/>
  <c r="AL429" i="76"/>
  <c r="AM429" i="76"/>
  <c r="AN429" i="76"/>
  <c r="AI429" i="76"/>
  <c r="AO429" i="76"/>
  <c r="AJ429" i="76"/>
  <c r="AP429" i="76"/>
  <c r="AK429" i="76"/>
  <c r="AF429" i="76"/>
  <c r="AG429" i="76"/>
  <c r="AH429" i="76"/>
  <c r="AE430" i="76"/>
  <c r="B430" i="76"/>
  <c r="AD430" i="76"/>
  <c r="D430" i="76"/>
  <c r="C430" i="76"/>
  <c r="E430" i="76"/>
  <c r="A430" i="76"/>
  <c r="AR431" i="76"/>
  <c r="F431" i="76" l="1"/>
  <c r="R431" i="76"/>
  <c r="AB430" i="76"/>
  <c r="S430" i="76"/>
  <c r="AC430" i="76"/>
  <c r="X430" i="76"/>
  <c r="V430" i="76"/>
  <c r="Y430" i="76"/>
  <c r="T430" i="76"/>
  <c r="W430" i="76"/>
  <c r="U430" i="76"/>
  <c r="AA430" i="76"/>
  <c r="Z430" i="76"/>
  <c r="Q430" i="76"/>
  <c r="L430" i="76"/>
  <c r="G430" i="76"/>
  <c r="P430" i="76"/>
  <c r="N430" i="76"/>
  <c r="K430" i="76"/>
  <c r="I430" i="76"/>
  <c r="O430" i="76"/>
  <c r="J430" i="76"/>
  <c r="H430" i="76"/>
  <c r="M430" i="76"/>
  <c r="AK430" i="76"/>
  <c r="AF430" i="76"/>
  <c r="AL430" i="76"/>
  <c r="AJ430" i="76"/>
  <c r="AH430" i="76"/>
  <c r="AP430" i="76"/>
  <c r="AN430" i="76"/>
  <c r="AI430" i="76"/>
  <c r="AO430" i="76"/>
  <c r="AM430" i="76"/>
  <c r="AG430" i="76"/>
  <c r="AR432" i="76"/>
  <c r="A431" i="76"/>
  <c r="AD431" i="76"/>
  <c r="AE431" i="76"/>
  <c r="D431" i="76"/>
  <c r="C431" i="76"/>
  <c r="E431" i="76"/>
  <c r="B431" i="76"/>
  <c r="F432" i="76" l="1"/>
  <c r="R432" i="76"/>
  <c r="Q431" i="76"/>
  <c r="P431" i="76"/>
  <c r="K431" i="76"/>
  <c r="M431" i="76"/>
  <c r="O431" i="76"/>
  <c r="L431" i="76"/>
  <c r="N431" i="76"/>
  <c r="J431" i="76"/>
  <c r="I431" i="76"/>
  <c r="G431" i="76"/>
  <c r="H431" i="76"/>
  <c r="AN431" i="76"/>
  <c r="AL431" i="76"/>
  <c r="AG431" i="76"/>
  <c r="AM431" i="76"/>
  <c r="AK431" i="76"/>
  <c r="AI431" i="76"/>
  <c r="AO431" i="76"/>
  <c r="AJ431" i="76"/>
  <c r="AH431" i="76"/>
  <c r="AP431" i="76"/>
  <c r="AF431" i="76"/>
  <c r="V431" i="76"/>
  <c r="T431" i="76"/>
  <c r="Z431" i="76"/>
  <c r="U431" i="76"/>
  <c r="AA431" i="76"/>
  <c r="Y431" i="76"/>
  <c r="AB431" i="76"/>
  <c r="AC431" i="76"/>
  <c r="X431" i="76"/>
  <c r="S431" i="76"/>
  <c r="W431" i="76"/>
  <c r="E432" i="76"/>
  <c r="AR433" i="76"/>
  <c r="B432" i="76"/>
  <c r="C432" i="76"/>
  <c r="AE432" i="76"/>
  <c r="D432" i="76"/>
  <c r="A432" i="76"/>
  <c r="AD432" i="76"/>
  <c r="F433" i="76" l="1"/>
  <c r="R433" i="76"/>
  <c r="AN432" i="76"/>
  <c r="AI432" i="76"/>
  <c r="AO432" i="76"/>
  <c r="AM432" i="76"/>
  <c r="AH432" i="76"/>
  <c r="AK432" i="76"/>
  <c r="AL432" i="76"/>
  <c r="AP432" i="76"/>
  <c r="AG432" i="76"/>
  <c r="AF432" i="76"/>
  <c r="AJ432" i="76"/>
  <c r="G432" i="76"/>
  <c r="M432" i="76"/>
  <c r="H432" i="76"/>
  <c r="N432" i="76"/>
  <c r="L432" i="76"/>
  <c r="O432" i="76"/>
  <c r="J432" i="76"/>
  <c r="P432" i="76"/>
  <c r="K432" i="76"/>
  <c r="I432" i="76"/>
  <c r="Q432" i="76"/>
  <c r="D433" i="76"/>
  <c r="C433" i="76"/>
  <c r="E433" i="76"/>
  <c r="AE433" i="76"/>
  <c r="AR434" i="76"/>
  <c r="A433" i="76"/>
  <c r="AD433" i="76"/>
  <c r="B433" i="76"/>
  <c r="W432" i="76"/>
  <c r="AC432" i="76"/>
  <c r="X432" i="76"/>
  <c r="S432" i="76"/>
  <c r="AB432" i="76"/>
  <c r="V432" i="76"/>
  <c r="Z432" i="76"/>
  <c r="U432" i="76"/>
  <c r="AA432" i="76"/>
  <c r="Y432" i="76"/>
  <c r="T432" i="76"/>
  <c r="F434" i="76" l="1"/>
  <c r="R434" i="76"/>
  <c r="AE434" i="76"/>
  <c r="AD434" i="76"/>
  <c r="C434" i="76"/>
  <c r="B434" i="76"/>
  <c r="D434" i="76"/>
  <c r="A434" i="76"/>
  <c r="E434" i="76"/>
  <c r="AR435" i="76"/>
  <c r="W433" i="76"/>
  <c r="X433" i="76"/>
  <c r="S433" i="76"/>
  <c r="Y433" i="76"/>
  <c r="Z433" i="76"/>
  <c r="AC433" i="76"/>
  <c r="V433" i="76"/>
  <c r="T433" i="76"/>
  <c r="AB433" i="76"/>
  <c r="AA433" i="76"/>
  <c r="U433" i="76"/>
  <c r="AP433" i="76"/>
  <c r="AK433" i="76"/>
  <c r="AF433" i="76"/>
  <c r="AL433" i="76"/>
  <c r="AJ433" i="76"/>
  <c r="AO433" i="76"/>
  <c r="AH433" i="76"/>
  <c r="AN433" i="76"/>
  <c r="AI433" i="76"/>
  <c r="AG433" i="76"/>
  <c r="AM433" i="76"/>
  <c r="J433" i="76"/>
  <c r="K433" i="76"/>
  <c r="Q433" i="76"/>
  <c r="L433" i="76"/>
  <c r="G433" i="76"/>
  <c r="H433" i="76"/>
  <c r="P433" i="76"/>
  <c r="N433" i="76"/>
  <c r="I433" i="76"/>
  <c r="O433" i="76"/>
  <c r="M433" i="76"/>
  <c r="F435" i="76" l="1"/>
  <c r="R435" i="76"/>
  <c r="E435" i="76"/>
  <c r="A435" i="76"/>
  <c r="AE435" i="76"/>
  <c r="AR436" i="76"/>
  <c r="C435" i="76"/>
  <c r="AD435" i="76"/>
  <c r="B435" i="76"/>
  <c r="D435" i="76"/>
  <c r="W434" i="76"/>
  <c r="AC434" i="76"/>
  <c r="AB434" i="76"/>
  <c r="V434" i="76"/>
  <c r="T434" i="76"/>
  <c r="Y434" i="76"/>
  <c r="Z434" i="76"/>
  <c r="X434" i="76"/>
  <c r="AA434" i="76"/>
  <c r="U434" i="76"/>
  <c r="S434" i="76"/>
  <c r="N434" i="76"/>
  <c r="I434" i="76"/>
  <c r="O434" i="76"/>
  <c r="J434" i="76"/>
  <c r="P434" i="76"/>
  <c r="K434" i="76"/>
  <c r="Q434" i="76"/>
  <c r="L434" i="76"/>
  <c r="G434" i="76"/>
  <c r="M434" i="76"/>
  <c r="H434" i="76"/>
  <c r="AM434" i="76"/>
  <c r="AH434" i="76"/>
  <c r="AN434" i="76"/>
  <c r="AI434" i="76"/>
  <c r="AO434" i="76"/>
  <c r="AJ434" i="76"/>
  <c r="AP434" i="76"/>
  <c r="AK434" i="76"/>
  <c r="AF434" i="76"/>
  <c r="AL434" i="76"/>
  <c r="AG434" i="76"/>
  <c r="F436" i="76" l="1"/>
  <c r="R436" i="76"/>
  <c r="A436" i="76"/>
  <c r="AR437" i="76"/>
  <c r="E436" i="76"/>
  <c r="C436" i="76"/>
  <c r="AE436" i="76"/>
  <c r="D436" i="76"/>
  <c r="B436" i="76"/>
  <c r="AD436" i="76"/>
  <c r="AH435" i="76"/>
  <c r="AI435" i="76"/>
  <c r="AO435" i="76"/>
  <c r="AJ435" i="76"/>
  <c r="AP435" i="76"/>
  <c r="AN435" i="76"/>
  <c r="AL435" i="76"/>
  <c r="AG435" i="76"/>
  <c r="AM435" i="76"/>
  <c r="AK435" i="76"/>
  <c r="AF435" i="76"/>
  <c r="O435" i="76"/>
  <c r="I435" i="76"/>
  <c r="L435" i="76"/>
  <c r="G435" i="76"/>
  <c r="P435" i="76"/>
  <c r="K435" i="76"/>
  <c r="Q435" i="76"/>
  <c r="M435" i="76"/>
  <c r="J435" i="76"/>
  <c r="H435" i="76"/>
  <c r="N435" i="76"/>
  <c r="AB435" i="76"/>
  <c r="AC435" i="76"/>
  <c r="X435" i="76"/>
  <c r="S435" i="76"/>
  <c r="Y435" i="76"/>
  <c r="W435" i="76"/>
  <c r="Z435" i="76"/>
  <c r="U435" i="76"/>
  <c r="AA435" i="76"/>
  <c r="V435" i="76"/>
  <c r="T435" i="76"/>
  <c r="F437" i="76" l="1"/>
  <c r="R437" i="76"/>
  <c r="AB436" i="76"/>
  <c r="W436" i="76"/>
  <c r="AC436" i="76"/>
  <c r="X436" i="76"/>
  <c r="S436" i="76"/>
  <c r="Y436" i="76"/>
  <c r="T436" i="76"/>
  <c r="Z436" i="76"/>
  <c r="U436" i="76"/>
  <c r="AA436" i="76"/>
  <c r="V436" i="76"/>
  <c r="A437" i="76"/>
  <c r="AR438" i="76"/>
  <c r="D437" i="76"/>
  <c r="AD437" i="76"/>
  <c r="C437" i="76"/>
  <c r="AE437" i="76"/>
  <c r="B437" i="76"/>
  <c r="E437" i="76"/>
  <c r="K436" i="76"/>
  <c r="Q436" i="76"/>
  <c r="O436" i="76"/>
  <c r="J436" i="76"/>
  <c r="P436" i="76"/>
  <c r="I436" i="76"/>
  <c r="N436" i="76"/>
  <c r="L436" i="76"/>
  <c r="G436" i="76"/>
  <c r="M436" i="76"/>
  <c r="H436" i="76"/>
  <c r="AO436" i="76"/>
  <c r="AJ436" i="76"/>
  <c r="AP436" i="76"/>
  <c r="AK436" i="76"/>
  <c r="AF436" i="76"/>
  <c r="AL436" i="76"/>
  <c r="AG436" i="76"/>
  <c r="AM436" i="76"/>
  <c r="AH436" i="76"/>
  <c r="AN436" i="76"/>
  <c r="AI436" i="76"/>
  <c r="F438" i="76" l="1"/>
  <c r="R438" i="76"/>
  <c r="C438" i="76"/>
  <c r="B438" i="76"/>
  <c r="AR439" i="76"/>
  <c r="A438" i="76"/>
  <c r="AE438" i="76"/>
  <c r="AD438" i="76"/>
  <c r="E438" i="76"/>
  <c r="D438" i="76"/>
  <c r="U437" i="76"/>
  <c r="V437" i="76"/>
  <c r="AB437" i="76"/>
  <c r="W437" i="76"/>
  <c r="X437" i="76"/>
  <c r="Z437" i="76"/>
  <c r="S437" i="76"/>
  <c r="Y437" i="76"/>
  <c r="T437" i="76"/>
  <c r="AC437" i="76"/>
  <c r="AA437" i="76"/>
  <c r="AM437" i="76"/>
  <c r="AH437" i="76"/>
  <c r="AN437" i="76"/>
  <c r="AI437" i="76"/>
  <c r="AO437" i="76"/>
  <c r="AJ437" i="76"/>
  <c r="AP437" i="76"/>
  <c r="AK437" i="76"/>
  <c r="AF437" i="76"/>
  <c r="AL437" i="76"/>
  <c r="AG437" i="76"/>
  <c r="O437" i="76"/>
  <c r="P437" i="76"/>
  <c r="K437" i="76"/>
  <c r="Q437" i="76"/>
  <c r="L437" i="76"/>
  <c r="J437" i="76"/>
  <c r="M437" i="76"/>
  <c r="H437" i="76"/>
  <c r="N437" i="76"/>
  <c r="I437" i="76"/>
  <c r="G437" i="76"/>
  <c r="F439" i="76" l="1"/>
  <c r="R439" i="76"/>
  <c r="AP438" i="76"/>
  <c r="AN438" i="76"/>
  <c r="AI438" i="76"/>
  <c r="AG438" i="76"/>
  <c r="AM438" i="76"/>
  <c r="AO438" i="76"/>
  <c r="AK438" i="76"/>
  <c r="AF438" i="76"/>
  <c r="AL438" i="76"/>
  <c r="AJ438" i="76"/>
  <c r="AH438" i="76"/>
  <c r="AE439" i="76"/>
  <c r="C439" i="76"/>
  <c r="D439" i="76"/>
  <c r="B439" i="76"/>
  <c r="AR440" i="76"/>
  <c r="E439" i="76"/>
  <c r="AD439" i="76"/>
  <c r="A439" i="76"/>
  <c r="T438" i="76"/>
  <c r="U438" i="76"/>
  <c r="W438" i="76"/>
  <c r="V438" i="76"/>
  <c r="AB438" i="76"/>
  <c r="S438" i="76"/>
  <c r="AC438" i="76"/>
  <c r="X438" i="76"/>
  <c r="AA438" i="76"/>
  <c r="Y438" i="76"/>
  <c r="Z438" i="76"/>
  <c r="H438" i="76"/>
  <c r="I438" i="76"/>
  <c r="O438" i="76"/>
  <c r="J438" i="76"/>
  <c r="K438" i="76"/>
  <c r="M438" i="76"/>
  <c r="Q438" i="76"/>
  <c r="L438" i="76"/>
  <c r="G438" i="76"/>
  <c r="P438" i="76"/>
  <c r="N438" i="76"/>
  <c r="F440" i="76" l="1"/>
  <c r="R440" i="76"/>
  <c r="I439" i="76"/>
  <c r="J439" i="76"/>
  <c r="P439" i="76"/>
  <c r="G439" i="76"/>
  <c r="Q439" i="76"/>
  <c r="K439" i="76"/>
  <c r="H439" i="76"/>
  <c r="M439" i="76"/>
  <c r="O439" i="76"/>
  <c r="N439" i="76"/>
  <c r="L439" i="76"/>
  <c r="AP439" i="76"/>
  <c r="AK439" i="76"/>
  <c r="AF439" i="76"/>
  <c r="AL439" i="76"/>
  <c r="AG439" i="76"/>
  <c r="AM439" i="76"/>
  <c r="AH439" i="76"/>
  <c r="AN439" i="76"/>
  <c r="AI439" i="76"/>
  <c r="AO439" i="76"/>
  <c r="AJ439" i="76"/>
  <c r="C440" i="76"/>
  <c r="A440" i="76"/>
  <c r="AE440" i="76"/>
  <c r="D440" i="76"/>
  <c r="AD440" i="76"/>
  <c r="E440" i="76"/>
  <c r="AR441" i="76"/>
  <c r="B440" i="76"/>
  <c r="AC439" i="76"/>
  <c r="S439" i="76"/>
  <c r="Y439" i="76"/>
  <c r="T439" i="76"/>
  <c r="Z439" i="76"/>
  <c r="AA439" i="76"/>
  <c r="X439" i="76"/>
  <c r="V439" i="76"/>
  <c r="AB439" i="76"/>
  <c r="W439" i="76"/>
  <c r="U439" i="76"/>
  <c r="F441" i="76" l="1"/>
  <c r="R441" i="76"/>
  <c r="G440" i="76"/>
  <c r="M440" i="76"/>
  <c r="H440" i="76"/>
  <c r="N440" i="76"/>
  <c r="I440" i="76"/>
  <c r="O440" i="76"/>
  <c r="J440" i="76"/>
  <c r="P440" i="76"/>
  <c r="K440" i="76"/>
  <c r="Q440" i="76"/>
  <c r="L440" i="76"/>
  <c r="E441" i="76"/>
  <c r="AR442" i="76"/>
  <c r="D441" i="76"/>
  <c r="AE441" i="76"/>
  <c r="B441" i="76"/>
  <c r="A441" i="76"/>
  <c r="AD441" i="76"/>
  <c r="C441" i="76"/>
  <c r="W440" i="76"/>
  <c r="AC440" i="76"/>
  <c r="X440" i="76"/>
  <c r="V440" i="76"/>
  <c r="AB440" i="76"/>
  <c r="T440" i="76"/>
  <c r="Z440" i="76"/>
  <c r="U440" i="76"/>
  <c r="S440" i="76"/>
  <c r="Y440" i="76"/>
  <c r="AA440" i="76"/>
  <c r="AL440" i="76"/>
  <c r="AG440" i="76"/>
  <c r="AH440" i="76"/>
  <c r="AI440" i="76"/>
  <c r="AO440" i="76"/>
  <c r="AJ440" i="76"/>
  <c r="AP440" i="76"/>
  <c r="AN440" i="76"/>
  <c r="AK440" i="76"/>
  <c r="AM440" i="76"/>
  <c r="AF440" i="76"/>
  <c r="F442" i="76" l="1"/>
  <c r="R442" i="76"/>
  <c r="AL441" i="76"/>
  <c r="AH441" i="76"/>
  <c r="AN441" i="76"/>
  <c r="AI441" i="76"/>
  <c r="AJ441" i="76"/>
  <c r="AG441" i="76"/>
  <c r="AP441" i="76"/>
  <c r="AK441" i="76"/>
  <c r="AF441" i="76"/>
  <c r="AO441" i="76"/>
  <c r="AM441" i="76"/>
  <c r="AD442" i="76"/>
  <c r="AR443" i="76"/>
  <c r="E442" i="76"/>
  <c r="A442" i="76"/>
  <c r="D442" i="76"/>
  <c r="C442" i="76"/>
  <c r="B442" i="76"/>
  <c r="AE442" i="76"/>
  <c r="X441" i="76"/>
  <c r="S441" i="76"/>
  <c r="Y441" i="76"/>
  <c r="W441" i="76"/>
  <c r="U441" i="76"/>
  <c r="AC441" i="76"/>
  <c r="AA441" i="76"/>
  <c r="V441" i="76"/>
  <c r="AB441" i="76"/>
  <c r="Z441" i="76"/>
  <c r="T441" i="76"/>
  <c r="L441" i="76"/>
  <c r="G441" i="76"/>
  <c r="M441" i="76"/>
  <c r="H441" i="76"/>
  <c r="N441" i="76"/>
  <c r="I441" i="76"/>
  <c r="O441" i="76"/>
  <c r="J441" i="76"/>
  <c r="P441" i="76"/>
  <c r="K441" i="76"/>
  <c r="Q441" i="76"/>
  <c r="F443" i="76" l="1"/>
  <c r="R443" i="76"/>
  <c r="AL442" i="76"/>
  <c r="AG442" i="76"/>
  <c r="AM442" i="76"/>
  <c r="AK442" i="76"/>
  <c r="AF442" i="76"/>
  <c r="AI442" i="76"/>
  <c r="AO442" i="76"/>
  <c r="AJ442" i="76"/>
  <c r="AP442" i="76"/>
  <c r="AN442" i="76"/>
  <c r="AH442" i="76"/>
  <c r="O442" i="76"/>
  <c r="J442" i="76"/>
  <c r="P442" i="76"/>
  <c r="K442" i="76"/>
  <c r="I442" i="76"/>
  <c r="L442" i="76"/>
  <c r="G442" i="76"/>
  <c r="M442" i="76"/>
  <c r="H442" i="76"/>
  <c r="Q442" i="76"/>
  <c r="N442" i="76"/>
  <c r="AC442" i="76"/>
  <c r="W442" i="76"/>
  <c r="Y442" i="76"/>
  <c r="U442" i="76"/>
  <c r="S442" i="76"/>
  <c r="AB442" i="76"/>
  <c r="X442" i="76"/>
  <c r="Z442" i="76"/>
  <c r="T442" i="76"/>
  <c r="AA442" i="76"/>
  <c r="V442" i="76"/>
  <c r="D443" i="76"/>
  <c r="AR444" i="76"/>
  <c r="E443" i="76"/>
  <c r="AE443" i="76"/>
  <c r="C443" i="76"/>
  <c r="AD443" i="76"/>
  <c r="B443" i="76"/>
  <c r="A443" i="76"/>
  <c r="F444" i="76" l="1"/>
  <c r="R444" i="76"/>
  <c r="AL443" i="76"/>
  <c r="AG443" i="76"/>
  <c r="AM443" i="76"/>
  <c r="AH443" i="76"/>
  <c r="AN443" i="76"/>
  <c r="AI443" i="76"/>
  <c r="AO443" i="76"/>
  <c r="AJ443" i="76"/>
  <c r="AP443" i="76"/>
  <c r="AK443" i="76"/>
  <c r="AF443" i="76"/>
  <c r="AR445" i="76"/>
  <c r="AD444" i="76"/>
  <c r="C444" i="76"/>
  <c r="AE444" i="76"/>
  <c r="A444" i="76"/>
  <c r="D444" i="76"/>
  <c r="E444" i="76"/>
  <c r="B444" i="76"/>
  <c r="AC443" i="76"/>
  <c r="X443" i="76"/>
  <c r="S443" i="76"/>
  <c r="Y443" i="76"/>
  <c r="T443" i="76"/>
  <c r="Z443" i="76"/>
  <c r="U443" i="76"/>
  <c r="AA443" i="76"/>
  <c r="V443" i="76"/>
  <c r="AB443" i="76"/>
  <c r="W443" i="76"/>
  <c r="Q443" i="76"/>
  <c r="L443" i="76"/>
  <c r="G443" i="76"/>
  <c r="M443" i="76"/>
  <c r="H443" i="76"/>
  <c r="N443" i="76"/>
  <c r="I443" i="76"/>
  <c r="O443" i="76"/>
  <c r="J443" i="76"/>
  <c r="P443" i="76"/>
  <c r="K443" i="76"/>
  <c r="F445" i="76" l="1"/>
  <c r="R445" i="76"/>
  <c r="N444" i="76"/>
  <c r="I444" i="76"/>
  <c r="O444" i="76"/>
  <c r="M444" i="76"/>
  <c r="H444" i="76"/>
  <c r="K444" i="76"/>
  <c r="Q444" i="76"/>
  <c r="L444" i="76"/>
  <c r="G444" i="76"/>
  <c r="P444" i="76"/>
  <c r="J444" i="76"/>
  <c r="AM444" i="76"/>
  <c r="AH444" i="76"/>
  <c r="AN444" i="76"/>
  <c r="AL444" i="76"/>
  <c r="AG444" i="76"/>
  <c r="AJ444" i="76"/>
  <c r="AP444" i="76"/>
  <c r="AK444" i="76"/>
  <c r="AF444" i="76"/>
  <c r="AO444" i="76"/>
  <c r="AI444" i="76"/>
  <c r="AR446" i="76"/>
  <c r="B445" i="76"/>
  <c r="AE445" i="76"/>
  <c r="A445" i="76"/>
  <c r="AD445" i="76"/>
  <c r="E445" i="76"/>
  <c r="D445" i="76"/>
  <c r="C445" i="76"/>
  <c r="AB444" i="76"/>
  <c r="W444" i="76"/>
  <c r="AC444" i="76"/>
  <c r="X444" i="76"/>
  <c r="V444" i="76"/>
  <c r="Y444" i="76"/>
  <c r="T444" i="76"/>
  <c r="Z444" i="76"/>
  <c r="U444" i="76"/>
  <c r="AA444" i="76"/>
  <c r="S444" i="76"/>
  <c r="F446" i="76" l="1"/>
  <c r="R446" i="76"/>
  <c r="AC445" i="76"/>
  <c r="X445" i="76"/>
  <c r="S445" i="76"/>
  <c r="Y445" i="76"/>
  <c r="T445" i="76"/>
  <c r="U445" i="76"/>
  <c r="AA445" i="76"/>
  <c r="AB445" i="76"/>
  <c r="W445" i="76"/>
  <c r="Z445" i="76"/>
  <c r="V445" i="76"/>
  <c r="J445" i="76"/>
  <c r="P445" i="76"/>
  <c r="K445" i="76"/>
  <c r="L445" i="76"/>
  <c r="N445" i="76"/>
  <c r="O445" i="76"/>
  <c r="G445" i="76"/>
  <c r="M445" i="76"/>
  <c r="H445" i="76"/>
  <c r="Q445" i="76"/>
  <c r="I445" i="76"/>
  <c r="AM445" i="76"/>
  <c r="AH445" i="76"/>
  <c r="AN445" i="76"/>
  <c r="AI445" i="76"/>
  <c r="AO445" i="76"/>
  <c r="AJ445" i="76"/>
  <c r="AP445" i="76"/>
  <c r="AK445" i="76"/>
  <c r="AF445" i="76"/>
  <c r="AL445" i="76"/>
  <c r="AG445" i="76"/>
  <c r="AR447" i="76"/>
  <c r="E446" i="76"/>
  <c r="AE446" i="76"/>
  <c r="C446" i="76"/>
  <c r="B446" i="76"/>
  <c r="AD446" i="76"/>
  <c r="A446" i="76"/>
  <c r="D446" i="76"/>
  <c r="F447" i="76" l="1"/>
  <c r="R447" i="76"/>
  <c r="O446" i="76"/>
  <c r="M446" i="76"/>
  <c r="H446" i="76"/>
  <c r="N446" i="76"/>
  <c r="L446" i="76"/>
  <c r="Q446" i="76"/>
  <c r="J446" i="76"/>
  <c r="P446" i="76"/>
  <c r="K446" i="76"/>
  <c r="I446" i="76"/>
  <c r="G446" i="76"/>
  <c r="AB446" i="76"/>
  <c r="S446" i="76"/>
  <c r="AC446" i="76"/>
  <c r="X446" i="76"/>
  <c r="V446" i="76"/>
  <c r="Y446" i="76"/>
  <c r="T446" i="76"/>
  <c r="W446" i="76"/>
  <c r="U446" i="76"/>
  <c r="AA446" i="76"/>
  <c r="Z446" i="76"/>
  <c r="C447" i="76"/>
  <c r="B447" i="76"/>
  <c r="E447" i="76"/>
  <c r="AE447" i="76"/>
  <c r="A447" i="76"/>
  <c r="D447" i="76"/>
  <c r="AD447" i="76"/>
  <c r="AR448" i="76"/>
  <c r="AN446" i="76"/>
  <c r="AO446" i="76"/>
  <c r="AJ446" i="76"/>
  <c r="AP446" i="76"/>
  <c r="AK446" i="76"/>
  <c r="AI446" i="76"/>
  <c r="AL446" i="76"/>
  <c r="AG446" i="76"/>
  <c r="AM446" i="76"/>
  <c r="AH446" i="76"/>
  <c r="AF446" i="76"/>
  <c r="F448" i="76" l="1"/>
  <c r="R448" i="76"/>
  <c r="AR449" i="76"/>
  <c r="C448" i="76"/>
  <c r="A448" i="76"/>
  <c r="AE448" i="76"/>
  <c r="E448" i="76"/>
  <c r="B448" i="76"/>
  <c r="D448" i="76"/>
  <c r="AD448" i="76"/>
  <c r="AI447" i="76"/>
  <c r="AO447" i="76"/>
  <c r="AJ447" i="76"/>
  <c r="AP447" i="76"/>
  <c r="AN447" i="76"/>
  <c r="AH447" i="76"/>
  <c r="AL447" i="76"/>
  <c r="AG447" i="76"/>
  <c r="AM447" i="76"/>
  <c r="AK447" i="76"/>
  <c r="AF447" i="76"/>
  <c r="AA447" i="76"/>
  <c r="V447" i="76"/>
  <c r="T447" i="76"/>
  <c r="Z447" i="76"/>
  <c r="U447" i="76"/>
  <c r="X447" i="76"/>
  <c r="S447" i="76"/>
  <c r="AB447" i="76"/>
  <c r="W447" i="76"/>
  <c r="AC447" i="76"/>
  <c r="Y447" i="76"/>
  <c r="L447" i="76"/>
  <c r="N447" i="76"/>
  <c r="H447" i="76"/>
  <c r="J447" i="76"/>
  <c r="I447" i="76"/>
  <c r="G447" i="76"/>
  <c r="Q447" i="76"/>
  <c r="P447" i="76"/>
  <c r="K447" i="76"/>
  <c r="M447" i="76"/>
  <c r="O447" i="76"/>
  <c r="F449" i="76" l="1"/>
  <c r="R449" i="76"/>
  <c r="I448" i="76"/>
  <c r="G448" i="76"/>
  <c r="M448" i="76"/>
  <c r="H448" i="76"/>
  <c r="Q448" i="76"/>
  <c r="K448" i="76"/>
  <c r="O448" i="76"/>
  <c r="J448" i="76"/>
  <c r="P448" i="76"/>
  <c r="N448" i="76"/>
  <c r="L448" i="76"/>
  <c r="AN448" i="76"/>
  <c r="AI448" i="76"/>
  <c r="AO448" i="76"/>
  <c r="AM448" i="76"/>
  <c r="AH448" i="76"/>
  <c r="AK448" i="76"/>
  <c r="AF448" i="76"/>
  <c r="AL448" i="76"/>
  <c r="AG448" i="76"/>
  <c r="AP448" i="76"/>
  <c r="AJ448" i="76"/>
  <c r="Y448" i="76"/>
  <c r="W448" i="76"/>
  <c r="AC448" i="76"/>
  <c r="X448" i="76"/>
  <c r="S448" i="76"/>
  <c r="AB448" i="76"/>
  <c r="T448" i="76"/>
  <c r="Z448" i="76"/>
  <c r="U448" i="76"/>
  <c r="AA448" i="76"/>
  <c r="V448" i="76"/>
  <c r="AR450" i="76"/>
  <c r="D449" i="76"/>
  <c r="C449" i="76"/>
  <c r="B449" i="76"/>
  <c r="AE449" i="76"/>
  <c r="A449" i="76"/>
  <c r="AD449" i="76"/>
  <c r="E449" i="76"/>
  <c r="F450" i="76" l="1"/>
  <c r="R450" i="76"/>
  <c r="AF449" i="76"/>
  <c r="AH449" i="76"/>
  <c r="AN449" i="76"/>
  <c r="AI449" i="76"/>
  <c r="AO449" i="76"/>
  <c r="AJ449" i="76"/>
  <c r="AP449" i="76"/>
  <c r="AK449" i="76"/>
  <c r="AL449" i="76"/>
  <c r="AG449" i="76"/>
  <c r="AM449" i="76"/>
  <c r="E450" i="76"/>
  <c r="C450" i="76"/>
  <c r="B450" i="76"/>
  <c r="AE450" i="76"/>
  <c r="A450" i="76"/>
  <c r="AD450" i="76"/>
  <c r="AR451" i="76"/>
  <c r="D450" i="76"/>
  <c r="AA449" i="76"/>
  <c r="W449" i="76"/>
  <c r="X449" i="76"/>
  <c r="S449" i="76"/>
  <c r="Y449" i="76"/>
  <c r="T449" i="76"/>
  <c r="Z449" i="76"/>
  <c r="U449" i="76"/>
  <c r="V449" i="76"/>
  <c r="AB449" i="76"/>
  <c r="AC449" i="76"/>
  <c r="L449" i="76"/>
  <c r="N449" i="76"/>
  <c r="I449" i="76"/>
  <c r="O449" i="76"/>
  <c r="J449" i="76"/>
  <c r="P449" i="76"/>
  <c r="K449" i="76"/>
  <c r="Q449" i="76"/>
  <c r="G449" i="76"/>
  <c r="M449" i="76"/>
  <c r="H449" i="76"/>
  <c r="F451" i="76" l="1"/>
  <c r="R451" i="76"/>
  <c r="AA450" i="76"/>
  <c r="V450" i="76"/>
  <c r="Y450" i="76"/>
  <c r="W450" i="76"/>
  <c r="AC450" i="76"/>
  <c r="AB450" i="76"/>
  <c r="S450" i="76"/>
  <c r="U450" i="76"/>
  <c r="T450" i="76"/>
  <c r="Z450" i="76"/>
  <c r="X450" i="76"/>
  <c r="AI450" i="76"/>
  <c r="AO450" i="76"/>
  <c r="AJ450" i="76"/>
  <c r="AP450" i="76"/>
  <c r="AK450" i="76"/>
  <c r="AN450" i="76"/>
  <c r="AL450" i="76"/>
  <c r="AG450" i="76"/>
  <c r="AM450" i="76"/>
  <c r="AH450" i="76"/>
  <c r="AF450" i="76"/>
  <c r="D451" i="76"/>
  <c r="B451" i="76"/>
  <c r="AE451" i="76"/>
  <c r="E451" i="76"/>
  <c r="AD451" i="76"/>
  <c r="C451" i="76"/>
  <c r="A451" i="76"/>
  <c r="AR452" i="76"/>
  <c r="G450" i="76"/>
  <c r="M450" i="76"/>
  <c r="H450" i="76"/>
  <c r="N450" i="76"/>
  <c r="I450" i="76"/>
  <c r="O450" i="76"/>
  <c r="J450" i="76"/>
  <c r="P450" i="76"/>
  <c r="K450" i="76"/>
  <c r="Q450" i="76"/>
  <c r="L450" i="76"/>
  <c r="F452" i="76" l="1"/>
  <c r="R452" i="76"/>
  <c r="H451" i="76"/>
  <c r="N451" i="76"/>
  <c r="I451" i="76"/>
  <c r="O451" i="76"/>
  <c r="J451" i="76"/>
  <c r="P451" i="76"/>
  <c r="K451" i="76"/>
  <c r="Q451" i="76"/>
  <c r="L451" i="76"/>
  <c r="G451" i="76"/>
  <c r="M451" i="76"/>
  <c r="Z451" i="76"/>
  <c r="U451" i="76"/>
  <c r="AA451" i="76"/>
  <c r="V451" i="76"/>
  <c r="AB451" i="76"/>
  <c r="W451" i="76"/>
  <c r="AC451" i="76"/>
  <c r="X451" i="76"/>
  <c r="S451" i="76"/>
  <c r="Y451" i="76"/>
  <c r="T451" i="76"/>
  <c r="E452" i="76"/>
  <c r="C452" i="76"/>
  <c r="AE452" i="76"/>
  <c r="A452" i="76"/>
  <c r="D452" i="76"/>
  <c r="B452" i="76"/>
  <c r="AR453" i="76"/>
  <c r="AD452" i="76"/>
  <c r="AL451" i="76"/>
  <c r="AG451" i="76"/>
  <c r="AM451" i="76"/>
  <c r="AH451" i="76"/>
  <c r="AN451" i="76"/>
  <c r="AI451" i="76"/>
  <c r="AO451" i="76"/>
  <c r="AJ451" i="76"/>
  <c r="AP451" i="76"/>
  <c r="AK451" i="76"/>
  <c r="AF451" i="76"/>
  <c r="F453" i="76" l="1"/>
  <c r="R453" i="76"/>
  <c r="AR454" i="76"/>
  <c r="D453" i="76"/>
  <c r="AD453" i="76"/>
  <c r="A453" i="76"/>
  <c r="B453" i="76"/>
  <c r="E453" i="76"/>
  <c r="C453" i="76"/>
  <c r="AE453" i="76"/>
  <c r="U452" i="76"/>
  <c r="AA452" i="76"/>
  <c r="V452" i="76"/>
  <c r="AB452" i="76"/>
  <c r="W452" i="76"/>
  <c r="AC452" i="76"/>
  <c r="X452" i="76"/>
  <c r="S452" i="76"/>
  <c r="Y452" i="76"/>
  <c r="T452" i="76"/>
  <c r="Z452" i="76"/>
  <c r="O452" i="76"/>
  <c r="J452" i="76"/>
  <c r="P452" i="76"/>
  <c r="K452" i="76"/>
  <c r="Q452" i="76"/>
  <c r="L452" i="76"/>
  <c r="G452" i="76"/>
  <c r="M452" i="76"/>
  <c r="H452" i="76"/>
  <c r="N452" i="76"/>
  <c r="I452" i="76"/>
  <c r="AK452" i="76"/>
  <c r="AF452" i="76"/>
  <c r="AL452" i="76"/>
  <c r="AG452" i="76"/>
  <c r="AM452" i="76"/>
  <c r="AP452" i="76"/>
  <c r="AN452" i="76"/>
  <c r="AI452" i="76"/>
  <c r="AO452" i="76"/>
  <c r="AJ452" i="76"/>
  <c r="AH452" i="76"/>
  <c r="F454" i="76" l="1"/>
  <c r="R454" i="76"/>
  <c r="AN453" i="76"/>
  <c r="AI453" i="76"/>
  <c r="AO453" i="76"/>
  <c r="AJ453" i="76"/>
  <c r="AP453" i="76"/>
  <c r="AK453" i="76"/>
  <c r="AF453" i="76"/>
  <c r="AL453" i="76"/>
  <c r="AG453" i="76"/>
  <c r="AM453" i="76"/>
  <c r="AH453" i="76"/>
  <c r="H453" i="76"/>
  <c r="N453" i="76"/>
  <c r="I453" i="76"/>
  <c r="O453" i="76"/>
  <c r="J453" i="76"/>
  <c r="P453" i="76"/>
  <c r="K453" i="76"/>
  <c r="Q453" i="76"/>
  <c r="G453" i="76"/>
  <c r="M453" i="76"/>
  <c r="L453" i="76"/>
  <c r="Y453" i="76"/>
  <c r="T453" i="76"/>
  <c r="Z453" i="76"/>
  <c r="U453" i="76"/>
  <c r="AA453" i="76"/>
  <c r="V453" i="76"/>
  <c r="AB453" i="76"/>
  <c r="W453" i="76"/>
  <c r="AC453" i="76"/>
  <c r="X453" i="76"/>
  <c r="S453" i="76"/>
  <c r="AD454" i="76"/>
  <c r="E454" i="76"/>
  <c r="AE454" i="76"/>
  <c r="A454" i="76"/>
  <c r="C454" i="76"/>
  <c r="B454" i="76"/>
  <c r="AR455" i="76"/>
  <c r="D454" i="76"/>
  <c r="F455" i="76" l="1"/>
  <c r="R455" i="76"/>
  <c r="AE455" i="76"/>
  <c r="C455" i="76"/>
  <c r="AR456" i="76"/>
  <c r="B455" i="76"/>
  <c r="D455" i="76"/>
  <c r="E455" i="76"/>
  <c r="AD455" i="76"/>
  <c r="A455" i="76"/>
  <c r="AC454" i="76"/>
  <c r="X454" i="76"/>
  <c r="AA454" i="76"/>
  <c r="Y454" i="76"/>
  <c r="Z454" i="76"/>
  <c r="T454" i="76"/>
  <c r="U454" i="76"/>
  <c r="W454" i="76"/>
  <c r="V454" i="76"/>
  <c r="AB454" i="76"/>
  <c r="S454" i="76"/>
  <c r="M454" i="76"/>
  <c r="H454" i="76"/>
  <c r="N454" i="76"/>
  <c r="I454" i="76"/>
  <c r="O454" i="76"/>
  <c r="J454" i="76"/>
  <c r="P454" i="76"/>
  <c r="K454" i="76"/>
  <c r="Q454" i="76"/>
  <c r="L454" i="76"/>
  <c r="G454" i="76"/>
  <c r="AO454" i="76"/>
  <c r="AJ454" i="76"/>
  <c r="AP454" i="76"/>
  <c r="AK454" i="76"/>
  <c r="AF454" i="76"/>
  <c r="AL454" i="76"/>
  <c r="AG454" i="76"/>
  <c r="AM454" i="76"/>
  <c r="AH454" i="76"/>
  <c r="AN454" i="76"/>
  <c r="AI454" i="76"/>
  <c r="F456" i="76" l="1"/>
  <c r="R456" i="76"/>
  <c r="D456" i="76"/>
  <c r="AR457" i="76"/>
  <c r="B456" i="76"/>
  <c r="C456" i="76"/>
  <c r="A456" i="76"/>
  <c r="AE456" i="76"/>
  <c r="AD456" i="76"/>
  <c r="E456" i="76"/>
  <c r="AC455" i="76"/>
  <c r="Y455" i="76"/>
  <c r="T455" i="76"/>
  <c r="Z455" i="76"/>
  <c r="X455" i="76"/>
  <c r="S455" i="76"/>
  <c r="V455" i="76"/>
  <c r="AB455" i="76"/>
  <c r="U455" i="76"/>
  <c r="AA455" i="76"/>
  <c r="W455" i="76"/>
  <c r="K455" i="76"/>
  <c r="J455" i="76"/>
  <c r="P455" i="76"/>
  <c r="G455" i="76"/>
  <c r="I455" i="76"/>
  <c r="N455" i="76"/>
  <c r="H455" i="76"/>
  <c r="M455" i="76"/>
  <c r="O455" i="76"/>
  <c r="Q455" i="76"/>
  <c r="L455" i="76"/>
  <c r="AH455" i="76"/>
  <c r="AN455" i="76"/>
  <c r="AI455" i="76"/>
  <c r="AO455" i="76"/>
  <c r="AJ455" i="76"/>
  <c r="AP455" i="76"/>
  <c r="AK455" i="76"/>
  <c r="AL455" i="76"/>
  <c r="AG455" i="76"/>
  <c r="AM455" i="76"/>
  <c r="AF455" i="76"/>
  <c r="F457" i="76" l="1"/>
  <c r="R457" i="76"/>
  <c r="AL456" i="76"/>
  <c r="AG456" i="76"/>
  <c r="AM456" i="76"/>
  <c r="AH456" i="76"/>
  <c r="AN456" i="76"/>
  <c r="AI456" i="76"/>
  <c r="AO456" i="76"/>
  <c r="AP456" i="76"/>
  <c r="AK456" i="76"/>
  <c r="AF456" i="76"/>
  <c r="AJ456" i="76"/>
  <c r="E457" i="76"/>
  <c r="AR458" i="76"/>
  <c r="D457" i="76"/>
  <c r="AE457" i="76"/>
  <c r="C457" i="76"/>
  <c r="B457" i="76"/>
  <c r="A457" i="76"/>
  <c r="AD457" i="76"/>
  <c r="W456" i="76"/>
  <c r="AC456" i="76"/>
  <c r="X456" i="76"/>
  <c r="V456" i="76"/>
  <c r="T456" i="76"/>
  <c r="Y456" i="76"/>
  <c r="Z456" i="76"/>
  <c r="U456" i="76"/>
  <c r="AB456" i="76"/>
  <c r="S456" i="76"/>
  <c r="AA456" i="76"/>
  <c r="G456" i="76"/>
  <c r="M456" i="76"/>
  <c r="H456" i="76"/>
  <c r="N456" i="76"/>
  <c r="I456" i="76"/>
  <c r="O456" i="76"/>
  <c r="P456" i="76"/>
  <c r="K456" i="76"/>
  <c r="Q456" i="76"/>
  <c r="J456" i="76"/>
  <c r="L456" i="76"/>
  <c r="F458" i="76" l="1"/>
  <c r="R458" i="76"/>
  <c r="AH457" i="76"/>
  <c r="AN457" i="76"/>
  <c r="AI457" i="76"/>
  <c r="AO457" i="76"/>
  <c r="AJ457" i="76"/>
  <c r="AP457" i="76"/>
  <c r="AK457" i="76"/>
  <c r="AF457" i="76"/>
  <c r="AL457" i="76"/>
  <c r="AG457" i="76"/>
  <c r="AM457" i="76"/>
  <c r="AR459" i="76"/>
  <c r="E458" i="76"/>
  <c r="D458" i="76"/>
  <c r="C458" i="76"/>
  <c r="B458" i="76"/>
  <c r="AE458" i="76"/>
  <c r="A458" i="76"/>
  <c r="AD458" i="76"/>
  <c r="AA457" i="76"/>
  <c r="AB457" i="76"/>
  <c r="X457" i="76"/>
  <c r="S457" i="76"/>
  <c r="Y457" i="76"/>
  <c r="T457" i="76"/>
  <c r="Z457" i="76"/>
  <c r="U457" i="76"/>
  <c r="V457" i="76"/>
  <c r="W457" i="76"/>
  <c r="AC457" i="76"/>
  <c r="L457" i="76"/>
  <c r="G457" i="76"/>
  <c r="M457" i="76"/>
  <c r="H457" i="76"/>
  <c r="N457" i="76"/>
  <c r="O457" i="76"/>
  <c r="J457" i="76"/>
  <c r="P457" i="76"/>
  <c r="K457" i="76"/>
  <c r="Q457" i="76"/>
  <c r="I457" i="76"/>
  <c r="F459" i="76" l="1"/>
  <c r="R459" i="76"/>
  <c r="G458" i="76"/>
  <c r="M458" i="76"/>
  <c r="H458" i="76"/>
  <c r="N458" i="76"/>
  <c r="I458" i="76"/>
  <c r="O458" i="76"/>
  <c r="J458" i="76"/>
  <c r="P458" i="76"/>
  <c r="K458" i="76"/>
  <c r="Q458" i="76"/>
  <c r="L458" i="76"/>
  <c r="W458" i="76"/>
  <c r="Y458" i="76"/>
  <c r="U458" i="76"/>
  <c r="S458" i="76"/>
  <c r="AB458" i="76"/>
  <c r="X458" i="76"/>
  <c r="Z458" i="76"/>
  <c r="T458" i="76"/>
  <c r="AA458" i="76"/>
  <c r="V458" i="76"/>
  <c r="AC458" i="76"/>
  <c r="D459" i="76"/>
  <c r="AR460" i="76"/>
  <c r="E459" i="76"/>
  <c r="AE459" i="76"/>
  <c r="C459" i="76"/>
  <c r="B459" i="76"/>
  <c r="A459" i="76"/>
  <c r="AD459" i="76"/>
  <c r="AL458" i="76"/>
  <c r="AG458" i="76"/>
  <c r="AM458" i="76"/>
  <c r="AK458" i="76"/>
  <c r="AP458" i="76"/>
  <c r="AI458" i="76"/>
  <c r="AO458" i="76"/>
  <c r="AJ458" i="76"/>
  <c r="AH458" i="76"/>
  <c r="AF458" i="76"/>
  <c r="AN458" i="76"/>
  <c r="F460" i="76" l="1"/>
  <c r="R460" i="76"/>
  <c r="I459" i="76"/>
  <c r="K459" i="76"/>
  <c r="N459" i="76"/>
  <c r="O459" i="76"/>
  <c r="M459" i="76"/>
  <c r="H459" i="76"/>
  <c r="Q459" i="76"/>
  <c r="G459" i="76"/>
  <c r="J459" i="76"/>
  <c r="P459" i="76"/>
  <c r="L459" i="76"/>
  <c r="AP459" i="76"/>
  <c r="AK459" i="76"/>
  <c r="AF459" i="76"/>
  <c r="AL459" i="76"/>
  <c r="AJ459" i="76"/>
  <c r="AO459" i="76"/>
  <c r="AH459" i="76"/>
  <c r="AN459" i="76"/>
  <c r="AI459" i="76"/>
  <c r="AG459" i="76"/>
  <c r="AM459" i="76"/>
  <c r="A460" i="76"/>
  <c r="E460" i="76"/>
  <c r="C460" i="76"/>
  <c r="AE460" i="76"/>
  <c r="D460" i="76"/>
  <c r="B460" i="76"/>
  <c r="AR461" i="76"/>
  <c r="AD460" i="76"/>
  <c r="X459" i="76"/>
  <c r="AB459" i="76"/>
  <c r="AC459" i="76"/>
  <c r="AA459" i="76"/>
  <c r="V459" i="76"/>
  <c r="T459" i="76"/>
  <c r="Z459" i="76"/>
  <c r="U459" i="76"/>
  <c r="S459" i="76"/>
  <c r="W459" i="76"/>
  <c r="Y459" i="76"/>
  <c r="F461" i="76" l="1"/>
  <c r="R461" i="76"/>
  <c r="N460" i="76"/>
  <c r="I460" i="76"/>
  <c r="O460" i="76"/>
  <c r="M460" i="76"/>
  <c r="H460" i="76"/>
  <c r="Q460" i="76"/>
  <c r="L460" i="76"/>
  <c r="G460" i="76"/>
  <c r="P460" i="76"/>
  <c r="J460" i="76"/>
  <c r="K460" i="76"/>
  <c r="AM460" i="76"/>
  <c r="AH460" i="76"/>
  <c r="AN460" i="76"/>
  <c r="AI460" i="76"/>
  <c r="AO460" i="76"/>
  <c r="AJ460" i="76"/>
  <c r="AP460" i="76"/>
  <c r="AK460" i="76"/>
  <c r="AF460" i="76"/>
  <c r="AL460" i="76"/>
  <c r="AG460" i="76"/>
  <c r="E461" i="76"/>
  <c r="D461" i="76"/>
  <c r="C461" i="76"/>
  <c r="AD461" i="76"/>
  <c r="AR462" i="76"/>
  <c r="B461" i="76"/>
  <c r="AE461" i="76"/>
  <c r="A461" i="76"/>
  <c r="AB460" i="76"/>
  <c r="W460" i="76"/>
  <c r="AC460" i="76"/>
  <c r="X460" i="76"/>
  <c r="S460" i="76"/>
  <c r="Y460" i="76"/>
  <c r="T460" i="76"/>
  <c r="Z460" i="76"/>
  <c r="U460" i="76"/>
  <c r="AA460" i="76"/>
  <c r="V460" i="76"/>
  <c r="F462" i="76" l="1"/>
  <c r="R462" i="76"/>
  <c r="P461" i="76"/>
  <c r="Q461" i="76"/>
  <c r="L461" i="76"/>
  <c r="G461" i="76"/>
  <c r="M461" i="76"/>
  <c r="K461" i="76"/>
  <c r="N461" i="76"/>
  <c r="I461" i="76"/>
  <c r="O461" i="76"/>
  <c r="J461" i="76"/>
  <c r="H461" i="76"/>
  <c r="AF461" i="76"/>
  <c r="AL461" i="76"/>
  <c r="AG461" i="76"/>
  <c r="AM461" i="76"/>
  <c r="AH461" i="76"/>
  <c r="AN461" i="76"/>
  <c r="AI461" i="76"/>
  <c r="AO461" i="76"/>
  <c r="AJ461" i="76"/>
  <c r="AP461" i="76"/>
  <c r="AK461" i="76"/>
  <c r="E462" i="76"/>
  <c r="A462" i="76"/>
  <c r="AD462" i="76"/>
  <c r="D462" i="76"/>
  <c r="C462" i="76"/>
  <c r="AE462" i="76"/>
  <c r="AR463" i="76"/>
  <c r="B462" i="76"/>
  <c r="V461" i="76"/>
  <c r="AB461" i="76"/>
  <c r="W461" i="76"/>
  <c r="AC461" i="76"/>
  <c r="AA461" i="76"/>
  <c r="X461" i="76"/>
  <c r="Y461" i="76"/>
  <c r="T461" i="76"/>
  <c r="Z461" i="76"/>
  <c r="U461" i="76"/>
  <c r="S461" i="76"/>
  <c r="F463" i="76" l="1"/>
  <c r="R463" i="76"/>
  <c r="AO462" i="76"/>
  <c r="AJ462" i="76"/>
  <c r="AP462" i="76"/>
  <c r="AK462" i="76"/>
  <c r="AI462" i="76"/>
  <c r="AF462" i="76"/>
  <c r="AG462" i="76"/>
  <c r="AM462" i="76"/>
  <c r="AH462" i="76"/>
  <c r="AN462" i="76"/>
  <c r="AL462" i="76"/>
  <c r="D463" i="76"/>
  <c r="AR464" i="76"/>
  <c r="A463" i="76"/>
  <c r="AD463" i="76"/>
  <c r="B463" i="76"/>
  <c r="E463" i="76"/>
  <c r="AE463" i="76"/>
  <c r="C463" i="76"/>
  <c r="AC462" i="76"/>
  <c r="X462" i="76"/>
  <c r="V462" i="76"/>
  <c r="Y462" i="76"/>
  <c r="T462" i="76"/>
  <c r="W462" i="76"/>
  <c r="U462" i="76"/>
  <c r="AA462" i="76"/>
  <c r="Z462" i="76"/>
  <c r="AB462" i="76"/>
  <c r="S462" i="76"/>
  <c r="P462" i="76"/>
  <c r="K462" i="76"/>
  <c r="Q462" i="76"/>
  <c r="L462" i="76"/>
  <c r="G462" i="76"/>
  <c r="M462" i="76"/>
  <c r="H462" i="76"/>
  <c r="N462" i="76"/>
  <c r="I462" i="76"/>
  <c r="O462" i="76"/>
  <c r="J462" i="76"/>
  <c r="F464" i="76" l="1"/>
  <c r="R464" i="76"/>
  <c r="AR465" i="76"/>
  <c r="E464" i="76"/>
  <c r="AD464" i="76"/>
  <c r="D464" i="76"/>
  <c r="B464" i="76"/>
  <c r="C464" i="76"/>
  <c r="A464" i="76"/>
  <c r="AE464" i="76"/>
  <c r="AA463" i="76"/>
  <c r="V463" i="76"/>
  <c r="AB463" i="76"/>
  <c r="W463" i="76"/>
  <c r="AC463" i="76"/>
  <c r="X463" i="76"/>
  <c r="S463" i="76"/>
  <c r="Y463" i="76"/>
  <c r="T463" i="76"/>
  <c r="Z463" i="76"/>
  <c r="U463" i="76"/>
  <c r="AP463" i="76"/>
  <c r="AK463" i="76"/>
  <c r="AF463" i="76"/>
  <c r="AL463" i="76"/>
  <c r="AG463" i="76"/>
  <c r="AM463" i="76"/>
  <c r="AH463" i="76"/>
  <c r="AN463" i="76"/>
  <c r="AI463" i="76"/>
  <c r="AO463" i="76"/>
  <c r="AJ463" i="76"/>
  <c r="P463" i="76"/>
  <c r="K463" i="76"/>
  <c r="M463" i="76"/>
  <c r="L463" i="76"/>
  <c r="G463" i="76"/>
  <c r="I463" i="76"/>
  <c r="H463" i="76"/>
  <c r="N463" i="76"/>
  <c r="Q463" i="76"/>
  <c r="O463" i="76"/>
  <c r="J463" i="76"/>
  <c r="F465" i="76" l="1"/>
  <c r="R465" i="76"/>
  <c r="AN464" i="76"/>
  <c r="AI464" i="76"/>
  <c r="AO464" i="76"/>
  <c r="AJ464" i="76"/>
  <c r="AP464" i="76"/>
  <c r="AK464" i="76"/>
  <c r="AF464" i="76"/>
  <c r="AL464" i="76"/>
  <c r="AG464" i="76"/>
  <c r="AM464" i="76"/>
  <c r="AH464" i="76"/>
  <c r="Z464" i="76"/>
  <c r="U464" i="76"/>
  <c r="AA464" i="76"/>
  <c r="V464" i="76"/>
  <c r="AB464" i="76"/>
  <c r="W464" i="76"/>
  <c r="AC464" i="76"/>
  <c r="X464" i="76"/>
  <c r="S464" i="76"/>
  <c r="Y464" i="76"/>
  <c r="T464" i="76"/>
  <c r="O464" i="76"/>
  <c r="J464" i="76"/>
  <c r="P464" i="76"/>
  <c r="K464" i="76"/>
  <c r="Q464" i="76"/>
  <c r="L464" i="76"/>
  <c r="G464" i="76"/>
  <c r="M464" i="76"/>
  <c r="H464" i="76"/>
  <c r="N464" i="76"/>
  <c r="I464" i="76"/>
  <c r="AR466" i="76"/>
  <c r="B465" i="76"/>
  <c r="AD465" i="76"/>
  <c r="D465" i="76"/>
  <c r="C465" i="76"/>
  <c r="E465" i="76"/>
  <c r="A465" i="76"/>
  <c r="AE465" i="76"/>
  <c r="F466" i="76" l="1"/>
  <c r="R466" i="76"/>
  <c r="J465" i="76"/>
  <c r="P465" i="76"/>
  <c r="K465" i="76"/>
  <c r="Q465" i="76"/>
  <c r="L465" i="76"/>
  <c r="G465" i="76"/>
  <c r="M465" i="76"/>
  <c r="H465" i="76"/>
  <c r="N465" i="76"/>
  <c r="I465" i="76"/>
  <c r="O465" i="76"/>
  <c r="AE466" i="76"/>
  <c r="A466" i="76"/>
  <c r="AD466" i="76"/>
  <c r="C466" i="76"/>
  <c r="B466" i="76"/>
  <c r="D466" i="76"/>
  <c r="AR467" i="76"/>
  <c r="E466" i="76"/>
  <c r="AP465" i="76"/>
  <c r="AK465" i="76"/>
  <c r="AF465" i="76"/>
  <c r="AL465" i="76"/>
  <c r="AG465" i="76"/>
  <c r="AM465" i="76"/>
  <c r="AH465" i="76"/>
  <c r="AN465" i="76"/>
  <c r="AI465" i="76"/>
  <c r="AO465" i="76"/>
  <c r="AJ465" i="76"/>
  <c r="AA465" i="76"/>
  <c r="V465" i="76"/>
  <c r="AB465" i="76"/>
  <c r="W465" i="76"/>
  <c r="AC465" i="76"/>
  <c r="X465" i="76"/>
  <c r="S465" i="76"/>
  <c r="Y465" i="76"/>
  <c r="T465" i="76"/>
  <c r="Z465" i="76"/>
  <c r="U465" i="76"/>
  <c r="F467" i="76" l="1"/>
  <c r="R467" i="76"/>
  <c r="N466" i="76"/>
  <c r="I466" i="76"/>
  <c r="O466" i="76"/>
  <c r="J466" i="76"/>
  <c r="P466" i="76"/>
  <c r="K466" i="76"/>
  <c r="Q466" i="76"/>
  <c r="L466" i="76"/>
  <c r="G466" i="76"/>
  <c r="M466" i="76"/>
  <c r="H466" i="76"/>
  <c r="AM466" i="76"/>
  <c r="AH466" i="76"/>
  <c r="AN466" i="76"/>
  <c r="AI466" i="76"/>
  <c r="AO466" i="76"/>
  <c r="AJ466" i="76"/>
  <c r="AP466" i="76"/>
  <c r="AK466" i="76"/>
  <c r="AF466" i="76"/>
  <c r="AL466" i="76"/>
  <c r="AG466" i="76"/>
  <c r="W466" i="76"/>
  <c r="AC466" i="76"/>
  <c r="AB466" i="76"/>
  <c r="S466" i="76"/>
  <c r="U466" i="76"/>
  <c r="T466" i="76"/>
  <c r="Z466" i="76"/>
  <c r="X466" i="76"/>
  <c r="AA466" i="76"/>
  <c r="V466" i="76"/>
  <c r="Y466" i="76"/>
  <c r="E467" i="76"/>
  <c r="AD467" i="76"/>
  <c r="C467" i="76"/>
  <c r="AR468" i="76"/>
  <c r="A467" i="76"/>
  <c r="D467" i="76"/>
  <c r="B467" i="76"/>
  <c r="AE467" i="76"/>
  <c r="F468" i="76" l="1"/>
  <c r="R468" i="76"/>
  <c r="AP467" i="76"/>
  <c r="AL467" i="76"/>
  <c r="AG467" i="76"/>
  <c r="AM467" i="76"/>
  <c r="AH467" i="76"/>
  <c r="AN467" i="76"/>
  <c r="AI467" i="76"/>
  <c r="AO467" i="76"/>
  <c r="AJ467" i="76"/>
  <c r="AK467" i="76"/>
  <c r="AF467" i="76"/>
  <c r="V467" i="76"/>
  <c r="AC467" i="76"/>
  <c r="X467" i="76"/>
  <c r="S467" i="76"/>
  <c r="Y467" i="76"/>
  <c r="T467" i="76"/>
  <c r="Z467" i="76"/>
  <c r="U467" i="76"/>
  <c r="AA467" i="76"/>
  <c r="AB467" i="76"/>
  <c r="W467" i="76"/>
  <c r="AE468" i="76"/>
  <c r="A468" i="76"/>
  <c r="D468" i="76"/>
  <c r="AD468" i="76"/>
  <c r="AR469" i="76"/>
  <c r="C468" i="76"/>
  <c r="E468" i="76"/>
  <c r="B468" i="76"/>
  <c r="O467" i="76"/>
  <c r="P467" i="76"/>
  <c r="K467" i="76"/>
  <c r="Q467" i="76"/>
  <c r="L467" i="76"/>
  <c r="G467" i="76"/>
  <c r="M467" i="76"/>
  <c r="H467" i="76"/>
  <c r="N467" i="76"/>
  <c r="I467" i="76"/>
  <c r="J467" i="76"/>
  <c r="F469" i="76" l="1"/>
  <c r="R469" i="76"/>
  <c r="T468" i="76"/>
  <c r="V468" i="76"/>
  <c r="AB468" i="76"/>
  <c r="W468" i="76"/>
  <c r="AC468" i="76"/>
  <c r="X468" i="76"/>
  <c r="S468" i="76"/>
  <c r="Y468" i="76"/>
  <c r="Z468" i="76"/>
  <c r="U468" i="76"/>
  <c r="AA468" i="76"/>
  <c r="D469" i="76"/>
  <c r="B469" i="76"/>
  <c r="E469" i="76"/>
  <c r="AR470" i="76"/>
  <c r="A469" i="76"/>
  <c r="AD469" i="76"/>
  <c r="AE469" i="76"/>
  <c r="C469" i="76"/>
  <c r="J468" i="76"/>
  <c r="K468" i="76"/>
  <c r="Q468" i="76"/>
  <c r="L468" i="76"/>
  <c r="G468" i="76"/>
  <c r="M468" i="76"/>
  <c r="H468" i="76"/>
  <c r="N468" i="76"/>
  <c r="I468" i="76"/>
  <c r="O468" i="76"/>
  <c r="P468" i="76"/>
  <c r="AO468" i="76"/>
  <c r="AJ468" i="76"/>
  <c r="AP468" i="76"/>
  <c r="AK468" i="76"/>
  <c r="AF468" i="76"/>
  <c r="AL468" i="76"/>
  <c r="AG468" i="76"/>
  <c r="AM468" i="76"/>
  <c r="AH468" i="76"/>
  <c r="AN468" i="76"/>
  <c r="AI468" i="76"/>
  <c r="F470" i="76" l="1"/>
  <c r="R470" i="76"/>
  <c r="AC469" i="76"/>
  <c r="S469" i="76"/>
  <c r="Z469" i="76"/>
  <c r="U469" i="76"/>
  <c r="AA469" i="76"/>
  <c r="V469" i="76"/>
  <c r="AB469" i="76"/>
  <c r="W469" i="76"/>
  <c r="X469" i="76"/>
  <c r="Y469" i="76"/>
  <c r="T469" i="76"/>
  <c r="H469" i="76"/>
  <c r="J469" i="76"/>
  <c r="P469" i="76"/>
  <c r="K469" i="76"/>
  <c r="Q469" i="76"/>
  <c r="L469" i="76"/>
  <c r="G469" i="76"/>
  <c r="M469" i="76"/>
  <c r="N469" i="76"/>
  <c r="I469" i="76"/>
  <c r="O469" i="76"/>
  <c r="AK469" i="76"/>
  <c r="AM469" i="76"/>
  <c r="AH469" i="76"/>
  <c r="AN469" i="76"/>
  <c r="AI469" i="76"/>
  <c r="AO469" i="76"/>
  <c r="AJ469" i="76"/>
  <c r="AP469" i="76"/>
  <c r="AF469" i="76"/>
  <c r="AL469" i="76"/>
  <c r="AG469" i="76"/>
  <c r="AD470" i="76"/>
  <c r="AE470" i="76"/>
  <c r="C470" i="76"/>
  <c r="B470" i="76"/>
  <c r="AR471" i="76"/>
  <c r="D470" i="76"/>
  <c r="E470" i="76"/>
  <c r="A470" i="76"/>
  <c r="F471" i="76" l="1"/>
  <c r="R471" i="76"/>
  <c r="M470" i="76"/>
  <c r="H470" i="76"/>
  <c r="N470" i="76"/>
  <c r="L470" i="76"/>
  <c r="J470" i="76"/>
  <c r="O470" i="76"/>
  <c r="P470" i="76"/>
  <c r="K470" i="76"/>
  <c r="I470" i="76"/>
  <c r="G470" i="76"/>
  <c r="Q470" i="76"/>
  <c r="Y470" i="76"/>
  <c r="T470" i="76"/>
  <c r="S470" i="76"/>
  <c r="U470" i="76"/>
  <c r="W470" i="76"/>
  <c r="V470" i="76"/>
  <c r="AB470" i="76"/>
  <c r="Z470" i="76"/>
  <c r="AC470" i="76"/>
  <c r="X470" i="76"/>
  <c r="AA470" i="76"/>
  <c r="AR472" i="76"/>
  <c r="E471" i="76"/>
  <c r="B471" i="76"/>
  <c r="D471" i="76"/>
  <c r="AD471" i="76"/>
  <c r="C471" i="76"/>
  <c r="AE471" i="76"/>
  <c r="A471" i="76"/>
  <c r="AG470" i="76"/>
  <c r="AL470" i="76"/>
  <c r="AJ470" i="76"/>
  <c r="AF470" i="76"/>
  <c r="AM470" i="76"/>
  <c r="AO470" i="76"/>
  <c r="AI470" i="76"/>
  <c r="AN470" i="76"/>
  <c r="AP470" i="76"/>
  <c r="AK470" i="76"/>
  <c r="AH470" i="76"/>
  <c r="F472" i="76" l="1"/>
  <c r="R472" i="76"/>
  <c r="V471" i="76"/>
  <c r="AB471" i="76"/>
  <c r="W471" i="76"/>
  <c r="AC471" i="76"/>
  <c r="X471" i="76"/>
  <c r="S471" i="76"/>
  <c r="Y471" i="76"/>
  <c r="T471" i="76"/>
  <c r="Z471" i="76"/>
  <c r="U471" i="76"/>
  <c r="AA471" i="76"/>
  <c r="AO471" i="76"/>
  <c r="AJ471" i="76"/>
  <c r="AP471" i="76"/>
  <c r="AK471" i="76"/>
  <c r="AF471" i="76"/>
  <c r="AL471" i="76"/>
  <c r="AG471" i="76"/>
  <c r="AM471" i="76"/>
  <c r="AH471" i="76"/>
  <c r="AN471" i="76"/>
  <c r="AI471" i="76"/>
  <c r="P471" i="76"/>
  <c r="Q471" i="76"/>
  <c r="H471" i="76"/>
  <c r="G471" i="76"/>
  <c r="M471" i="76"/>
  <c r="O471" i="76"/>
  <c r="N471" i="76"/>
  <c r="I471" i="76"/>
  <c r="K471" i="76"/>
  <c r="J471" i="76"/>
  <c r="L471" i="76"/>
  <c r="AR473" i="76"/>
  <c r="E472" i="76"/>
  <c r="AD472" i="76"/>
  <c r="D472" i="76"/>
  <c r="C472" i="76"/>
  <c r="B472" i="76"/>
  <c r="A472" i="76"/>
  <c r="AE472" i="76"/>
  <c r="F473" i="76" l="1"/>
  <c r="R473" i="76"/>
  <c r="C473" i="76"/>
  <c r="B473" i="76"/>
  <c r="A473" i="76"/>
  <c r="AD473" i="76"/>
  <c r="D473" i="76"/>
  <c r="AE473" i="76"/>
  <c r="E473" i="76"/>
  <c r="AR474" i="76"/>
  <c r="AN472" i="76"/>
  <c r="AL472" i="76"/>
  <c r="AG472" i="76"/>
  <c r="AM472" i="76"/>
  <c r="AK472" i="76"/>
  <c r="AH472" i="76"/>
  <c r="AI472" i="76"/>
  <c r="AO472" i="76"/>
  <c r="AJ472" i="76"/>
  <c r="AP472" i="76"/>
  <c r="AF472" i="76"/>
  <c r="N472" i="76"/>
  <c r="O472" i="76"/>
  <c r="J472" i="76"/>
  <c r="P472" i="76"/>
  <c r="K472" i="76"/>
  <c r="I472" i="76"/>
  <c r="L472" i="76"/>
  <c r="G472" i="76"/>
  <c r="M472" i="76"/>
  <c r="H472" i="76"/>
  <c r="Q472" i="76"/>
  <c r="AC472" i="76"/>
  <c r="AA472" i="76"/>
  <c r="V472" i="76"/>
  <c r="AB472" i="76"/>
  <c r="Z472" i="76"/>
  <c r="W472" i="76"/>
  <c r="X472" i="76"/>
  <c r="S472" i="76"/>
  <c r="Y472" i="76"/>
  <c r="T472" i="76"/>
  <c r="U472" i="76"/>
  <c r="F474" i="76" l="1"/>
  <c r="R474" i="76"/>
  <c r="Y473" i="76"/>
  <c r="S473" i="76"/>
  <c r="Z473" i="76"/>
  <c r="U473" i="76"/>
  <c r="AB473" i="76"/>
  <c r="W473" i="76"/>
  <c r="V473" i="76"/>
  <c r="X473" i="76"/>
  <c r="T473" i="76"/>
  <c r="AC473" i="76"/>
  <c r="AA473" i="76"/>
  <c r="P473" i="76"/>
  <c r="K473" i="76"/>
  <c r="Q473" i="76"/>
  <c r="L473" i="76"/>
  <c r="G473" i="76"/>
  <c r="M473" i="76"/>
  <c r="N473" i="76"/>
  <c r="I473" i="76"/>
  <c r="J473" i="76"/>
  <c r="H473" i="76"/>
  <c r="O473" i="76"/>
  <c r="AH473" i="76"/>
  <c r="AN473" i="76"/>
  <c r="AI473" i="76"/>
  <c r="AO473" i="76"/>
  <c r="AJ473" i="76"/>
  <c r="AP473" i="76"/>
  <c r="AF473" i="76"/>
  <c r="AL473" i="76"/>
  <c r="AM473" i="76"/>
  <c r="AK473" i="76"/>
  <c r="AG473" i="76"/>
  <c r="AR475" i="76"/>
  <c r="E474" i="76"/>
  <c r="D474" i="76"/>
  <c r="B474" i="76"/>
  <c r="AE474" i="76"/>
  <c r="AD474" i="76"/>
  <c r="C474" i="76"/>
  <c r="A474" i="76"/>
  <c r="F475" i="76" l="1"/>
  <c r="R475" i="76"/>
  <c r="AG474" i="76"/>
  <c r="AI474" i="76"/>
  <c r="AH474" i="76"/>
  <c r="AN474" i="76"/>
  <c r="AL474" i="76"/>
  <c r="AP474" i="76"/>
  <c r="AO474" i="76"/>
  <c r="AJ474" i="76"/>
  <c r="AM474" i="76"/>
  <c r="AK474" i="76"/>
  <c r="AF474" i="76"/>
  <c r="Z474" i="76"/>
  <c r="T474" i="76"/>
  <c r="AA474" i="76"/>
  <c r="V474" i="76"/>
  <c r="AC474" i="76"/>
  <c r="W474" i="76"/>
  <c r="Y474" i="76"/>
  <c r="U474" i="76"/>
  <c r="S474" i="76"/>
  <c r="AB474" i="76"/>
  <c r="X474" i="76"/>
  <c r="K474" i="76"/>
  <c r="I474" i="76"/>
  <c r="G474" i="76"/>
  <c r="M474" i="76"/>
  <c r="H474" i="76"/>
  <c r="L474" i="76"/>
  <c r="N474" i="76"/>
  <c r="O474" i="76"/>
  <c r="J474" i="76"/>
  <c r="P474" i="76"/>
  <c r="Q474" i="76"/>
  <c r="AD475" i="76"/>
  <c r="C475" i="76"/>
  <c r="A475" i="76"/>
  <c r="B475" i="76"/>
  <c r="D475" i="76"/>
  <c r="AR476" i="76"/>
  <c r="AE475" i="76"/>
  <c r="E475" i="76"/>
  <c r="F476" i="76" l="1"/>
  <c r="R476" i="76"/>
  <c r="AO475" i="76"/>
  <c r="AJ475" i="76"/>
  <c r="AP475" i="76"/>
  <c r="AK475" i="76"/>
  <c r="AF475" i="76"/>
  <c r="AL475" i="76"/>
  <c r="AG475" i="76"/>
  <c r="AM475" i="76"/>
  <c r="AH475" i="76"/>
  <c r="AN475" i="76"/>
  <c r="AI475" i="76"/>
  <c r="D476" i="76"/>
  <c r="B476" i="76"/>
  <c r="AD476" i="76"/>
  <c r="C476" i="76"/>
  <c r="A476" i="76"/>
  <c r="E476" i="76"/>
  <c r="AR477" i="76"/>
  <c r="AE476" i="76"/>
  <c r="J475" i="76"/>
  <c r="K475" i="76"/>
  <c r="N475" i="76"/>
  <c r="M475" i="76"/>
  <c r="H475" i="76"/>
  <c r="Q475" i="76"/>
  <c r="O475" i="76"/>
  <c r="I475" i="76"/>
  <c r="P475" i="76"/>
  <c r="L475" i="76"/>
  <c r="G475" i="76"/>
  <c r="Z475" i="76"/>
  <c r="AB475" i="76"/>
  <c r="W475" i="76"/>
  <c r="AC475" i="76"/>
  <c r="Y475" i="76"/>
  <c r="AA475" i="76"/>
  <c r="V475" i="76"/>
  <c r="T475" i="76"/>
  <c r="U475" i="76"/>
  <c r="X475" i="76"/>
  <c r="S475" i="76"/>
  <c r="F477" i="76" l="1"/>
  <c r="R477" i="76"/>
  <c r="A477" i="76"/>
  <c r="E477" i="76"/>
  <c r="AE477" i="76"/>
  <c r="AR478" i="76"/>
  <c r="D477" i="76"/>
  <c r="C477" i="76"/>
  <c r="AD477" i="76"/>
  <c r="B477" i="76"/>
  <c r="AB476" i="76"/>
  <c r="W476" i="76"/>
  <c r="AC476" i="76"/>
  <c r="X476" i="76"/>
  <c r="S476" i="76"/>
  <c r="T476" i="76"/>
  <c r="Z476" i="76"/>
  <c r="U476" i="76"/>
  <c r="AA476" i="76"/>
  <c r="V476" i="76"/>
  <c r="Y476" i="76"/>
  <c r="AL476" i="76"/>
  <c r="AG476" i="76"/>
  <c r="AM476" i="76"/>
  <c r="AH476" i="76"/>
  <c r="AN476" i="76"/>
  <c r="AI476" i="76"/>
  <c r="AO476" i="76"/>
  <c r="AJ476" i="76"/>
  <c r="AP476" i="76"/>
  <c r="AK476" i="76"/>
  <c r="AF476" i="76"/>
  <c r="O476" i="76"/>
  <c r="J476" i="76"/>
  <c r="P476" i="76"/>
  <c r="K476" i="76"/>
  <c r="Q476" i="76"/>
  <c r="L476" i="76"/>
  <c r="G476" i="76"/>
  <c r="M476" i="76"/>
  <c r="H476" i="76"/>
  <c r="N476" i="76"/>
  <c r="I476" i="76"/>
  <c r="F478" i="76" l="1"/>
  <c r="R478" i="76"/>
  <c r="AE478" i="76"/>
  <c r="A478" i="76"/>
  <c r="AR479" i="76"/>
  <c r="E478" i="76"/>
  <c r="AD478" i="76"/>
  <c r="D478" i="76"/>
  <c r="C478" i="76"/>
  <c r="B478" i="76"/>
  <c r="AN477" i="76"/>
  <c r="AI477" i="76"/>
  <c r="AO477" i="76"/>
  <c r="AJ477" i="76"/>
  <c r="AP477" i="76"/>
  <c r="AK477" i="76"/>
  <c r="AF477" i="76"/>
  <c r="AL477" i="76"/>
  <c r="AG477" i="76"/>
  <c r="AM477" i="76"/>
  <c r="AH477" i="76"/>
  <c r="K477" i="76"/>
  <c r="Q477" i="76"/>
  <c r="L477" i="76"/>
  <c r="G477" i="76"/>
  <c r="M477" i="76"/>
  <c r="H477" i="76"/>
  <c r="N477" i="76"/>
  <c r="I477" i="76"/>
  <c r="O477" i="76"/>
  <c r="J477" i="76"/>
  <c r="P477" i="76"/>
  <c r="X477" i="76"/>
  <c r="S477" i="76"/>
  <c r="AC477" i="76"/>
  <c r="T477" i="76"/>
  <c r="V477" i="76"/>
  <c r="U477" i="76"/>
  <c r="AA477" i="76"/>
  <c r="Y477" i="76"/>
  <c r="AB477" i="76"/>
  <c r="W477" i="76"/>
  <c r="Z477" i="76"/>
  <c r="F479" i="76" l="1"/>
  <c r="R479" i="76"/>
  <c r="M478" i="76"/>
  <c r="H478" i="76"/>
  <c r="N478" i="76"/>
  <c r="I478" i="76"/>
  <c r="O478" i="76"/>
  <c r="J478" i="76"/>
  <c r="P478" i="76"/>
  <c r="K478" i="76"/>
  <c r="Q478" i="76"/>
  <c r="L478" i="76"/>
  <c r="G478" i="76"/>
  <c r="AR480" i="76"/>
  <c r="A479" i="76"/>
  <c r="AD479" i="76"/>
  <c r="D479" i="76"/>
  <c r="C479" i="76"/>
  <c r="B479" i="76"/>
  <c r="E479" i="76"/>
  <c r="AE479" i="76"/>
  <c r="AI478" i="76"/>
  <c r="AO478" i="76"/>
  <c r="AN478" i="76"/>
  <c r="AP478" i="76"/>
  <c r="AG478" i="76"/>
  <c r="AK478" i="76"/>
  <c r="AL478" i="76"/>
  <c r="AJ478" i="76"/>
  <c r="AM478" i="76"/>
  <c r="AH478" i="76"/>
  <c r="AF478" i="76"/>
  <c r="U478" i="76"/>
  <c r="AA478" i="76"/>
  <c r="Z478" i="76"/>
  <c r="AB478" i="76"/>
  <c r="S478" i="76"/>
  <c r="AC478" i="76"/>
  <c r="X478" i="76"/>
  <c r="V478" i="76"/>
  <c r="Y478" i="76"/>
  <c r="T478" i="76"/>
  <c r="W478" i="76"/>
  <c r="F480" i="76" l="1"/>
  <c r="R480" i="76"/>
  <c r="AA479" i="76"/>
  <c r="V479" i="76"/>
  <c r="AB479" i="76"/>
  <c r="W479" i="76"/>
  <c r="AC479" i="76"/>
  <c r="X479" i="76"/>
  <c r="S479" i="76"/>
  <c r="Y479" i="76"/>
  <c r="T479" i="76"/>
  <c r="Z479" i="76"/>
  <c r="U479" i="76"/>
  <c r="P479" i="76"/>
  <c r="K479" i="76"/>
  <c r="M479" i="76"/>
  <c r="L479" i="76"/>
  <c r="Q479" i="76"/>
  <c r="G479" i="76"/>
  <c r="H479" i="76"/>
  <c r="J479" i="76"/>
  <c r="N479" i="76"/>
  <c r="O479" i="76"/>
  <c r="I479" i="76"/>
  <c r="C480" i="76"/>
  <c r="B480" i="76"/>
  <c r="AR481" i="76"/>
  <c r="A480" i="76"/>
  <c r="AE480" i="76"/>
  <c r="E480" i="76"/>
  <c r="AD480" i="76"/>
  <c r="D480" i="76"/>
  <c r="AP479" i="76"/>
  <c r="AK479" i="76"/>
  <c r="AF479" i="76"/>
  <c r="AO479" i="76"/>
  <c r="AJ479" i="76"/>
  <c r="AM479" i="76"/>
  <c r="AH479" i="76"/>
  <c r="AN479" i="76"/>
  <c r="AI479" i="76"/>
  <c r="AG479" i="76"/>
  <c r="AL479" i="76"/>
  <c r="F481" i="76" l="1"/>
  <c r="R481" i="76"/>
  <c r="G480" i="76"/>
  <c r="M480" i="76"/>
  <c r="H480" i="76"/>
  <c r="N480" i="76"/>
  <c r="I480" i="76"/>
  <c r="O480" i="76"/>
  <c r="J480" i="76"/>
  <c r="P480" i="76"/>
  <c r="K480" i="76"/>
  <c r="Q480" i="76"/>
  <c r="L480" i="76"/>
  <c r="AA480" i="76"/>
  <c r="V480" i="76"/>
  <c r="AB480" i="76"/>
  <c r="W480" i="76"/>
  <c r="AC480" i="76"/>
  <c r="X480" i="76"/>
  <c r="S480" i="76"/>
  <c r="Y480" i="76"/>
  <c r="T480" i="76"/>
  <c r="Z480" i="76"/>
  <c r="U480" i="76"/>
  <c r="AK480" i="76"/>
  <c r="AF480" i="76"/>
  <c r="AL480" i="76"/>
  <c r="AG480" i="76"/>
  <c r="AM480" i="76"/>
  <c r="AH480" i="76"/>
  <c r="AN480" i="76"/>
  <c r="AI480" i="76"/>
  <c r="AO480" i="76"/>
  <c r="AJ480" i="76"/>
  <c r="AP480" i="76"/>
  <c r="E481" i="76"/>
  <c r="A481" i="76"/>
  <c r="AE481" i="76"/>
  <c r="AR482" i="76"/>
  <c r="B481" i="76"/>
  <c r="AD481" i="76"/>
  <c r="D481" i="76"/>
  <c r="C481" i="76"/>
  <c r="F482" i="76" l="1"/>
  <c r="R482" i="76"/>
  <c r="AH481" i="76"/>
  <c r="AN481" i="76"/>
  <c r="AI481" i="76"/>
  <c r="AO481" i="76"/>
  <c r="AJ481" i="76"/>
  <c r="AP481" i="76"/>
  <c r="AK481" i="76"/>
  <c r="AF481" i="76"/>
  <c r="AL481" i="76"/>
  <c r="AG481" i="76"/>
  <c r="AM481" i="76"/>
  <c r="V481" i="76"/>
  <c r="AB481" i="76"/>
  <c r="AA481" i="76"/>
  <c r="AC481" i="76"/>
  <c r="T481" i="76"/>
  <c r="S481" i="76"/>
  <c r="Y481" i="76"/>
  <c r="W481" i="76"/>
  <c r="Z481" i="76"/>
  <c r="U481" i="76"/>
  <c r="X481" i="76"/>
  <c r="C482" i="76"/>
  <c r="B482" i="76"/>
  <c r="AE482" i="76"/>
  <c r="A482" i="76"/>
  <c r="AD482" i="76"/>
  <c r="AR483" i="76"/>
  <c r="E482" i="76"/>
  <c r="D482" i="76"/>
  <c r="M481" i="76"/>
  <c r="H481" i="76"/>
  <c r="N481" i="76"/>
  <c r="I481" i="76"/>
  <c r="O481" i="76"/>
  <c r="L481" i="76"/>
  <c r="J481" i="76"/>
  <c r="P481" i="76"/>
  <c r="K481" i="76"/>
  <c r="Q481" i="76"/>
  <c r="G481" i="76"/>
  <c r="F483" i="76" l="1"/>
  <c r="R483" i="76"/>
  <c r="AN482" i="76"/>
  <c r="AP482" i="76"/>
  <c r="AO482" i="76"/>
  <c r="AJ482" i="76"/>
  <c r="AH482" i="76"/>
  <c r="AK482" i="76"/>
  <c r="AF482" i="76"/>
  <c r="AI482" i="76"/>
  <c r="AG482" i="76"/>
  <c r="AM482" i="76"/>
  <c r="AL482" i="76"/>
  <c r="AA482" i="76"/>
  <c r="V482" i="76"/>
  <c r="Y482" i="76"/>
  <c r="W482" i="76"/>
  <c r="AC482" i="76"/>
  <c r="AB482" i="76"/>
  <c r="U482" i="76"/>
  <c r="Z482" i="76"/>
  <c r="S482" i="76"/>
  <c r="T482" i="76"/>
  <c r="X482" i="76"/>
  <c r="N482" i="76"/>
  <c r="I482" i="76"/>
  <c r="O482" i="76"/>
  <c r="J482" i="76"/>
  <c r="P482" i="76"/>
  <c r="K482" i="76"/>
  <c r="L482" i="76"/>
  <c r="G482" i="76"/>
  <c r="H482" i="76"/>
  <c r="Q482" i="76"/>
  <c r="M482" i="76"/>
  <c r="AR484" i="76"/>
  <c r="B483" i="76"/>
  <c r="AD483" i="76"/>
  <c r="A483" i="76"/>
  <c r="E483" i="76"/>
  <c r="D483" i="76"/>
  <c r="C483" i="76"/>
  <c r="AE483" i="76"/>
  <c r="F484" i="76" l="1"/>
  <c r="R484" i="76"/>
  <c r="E484" i="76"/>
  <c r="D484" i="76"/>
  <c r="A484" i="76"/>
  <c r="AE484" i="76"/>
  <c r="B484" i="76"/>
  <c r="AD484" i="76"/>
  <c r="AR485" i="76"/>
  <c r="C484" i="76"/>
  <c r="T483" i="76"/>
  <c r="AA483" i="76"/>
  <c r="V483" i="76"/>
  <c r="AB483" i="76"/>
  <c r="W483" i="76"/>
  <c r="AC483" i="76"/>
  <c r="X483" i="76"/>
  <c r="S483" i="76"/>
  <c r="Y483" i="76"/>
  <c r="Z483" i="76"/>
  <c r="U483" i="76"/>
  <c r="O483" i="76"/>
  <c r="J483" i="76"/>
  <c r="P483" i="76"/>
  <c r="N483" i="76"/>
  <c r="H483" i="76"/>
  <c r="L483" i="76"/>
  <c r="G483" i="76"/>
  <c r="M483" i="76"/>
  <c r="K483" i="76"/>
  <c r="Q483" i="76"/>
  <c r="I483" i="76"/>
  <c r="AP483" i="76"/>
  <c r="AK483" i="76"/>
  <c r="AF483" i="76"/>
  <c r="AL483" i="76"/>
  <c r="AJ483" i="76"/>
  <c r="AG483" i="76"/>
  <c r="AH483" i="76"/>
  <c r="AN483" i="76"/>
  <c r="AI483" i="76"/>
  <c r="AO483" i="76"/>
  <c r="AM483" i="76"/>
  <c r="F485" i="76" l="1"/>
  <c r="R485" i="76"/>
  <c r="U484" i="76"/>
  <c r="AA484" i="76"/>
  <c r="V484" i="76"/>
  <c r="AB484" i="76"/>
  <c r="W484" i="76"/>
  <c r="AC484" i="76"/>
  <c r="X484" i="76"/>
  <c r="S484" i="76"/>
  <c r="T484" i="76"/>
  <c r="Z484" i="76"/>
  <c r="Y484" i="76"/>
  <c r="E485" i="76"/>
  <c r="A485" i="76"/>
  <c r="AE485" i="76"/>
  <c r="AR486" i="76"/>
  <c r="AD485" i="76"/>
  <c r="D485" i="76"/>
  <c r="B485" i="76"/>
  <c r="C485" i="76"/>
  <c r="AN484" i="76"/>
  <c r="AI484" i="76"/>
  <c r="AO484" i="76"/>
  <c r="AJ484" i="76"/>
  <c r="AP484" i="76"/>
  <c r="AH484" i="76"/>
  <c r="AK484" i="76"/>
  <c r="AF484" i="76"/>
  <c r="AL484" i="76"/>
  <c r="AG484" i="76"/>
  <c r="AM484" i="76"/>
  <c r="O484" i="76"/>
  <c r="J484" i="76"/>
  <c r="P484" i="76"/>
  <c r="K484" i="76"/>
  <c r="Q484" i="76"/>
  <c r="L484" i="76"/>
  <c r="M484" i="76"/>
  <c r="H484" i="76"/>
  <c r="N484" i="76"/>
  <c r="G484" i="76"/>
  <c r="I484" i="76"/>
  <c r="F486" i="76" l="1"/>
  <c r="R486" i="76"/>
  <c r="AM485" i="76"/>
  <c r="AH485" i="76"/>
  <c r="AN485" i="76"/>
  <c r="AI485" i="76"/>
  <c r="AO485" i="76"/>
  <c r="AL485" i="76"/>
  <c r="AJ485" i="76"/>
  <c r="AP485" i="76"/>
  <c r="AK485" i="76"/>
  <c r="AF485" i="76"/>
  <c r="AG485" i="76"/>
  <c r="AB485" i="76"/>
  <c r="W485" i="76"/>
  <c r="U485" i="76"/>
  <c r="X485" i="76"/>
  <c r="S485" i="76"/>
  <c r="V485" i="76"/>
  <c r="T485" i="76"/>
  <c r="Y485" i="76"/>
  <c r="AA485" i="76"/>
  <c r="Z485" i="76"/>
  <c r="AC485" i="76"/>
  <c r="AD486" i="76"/>
  <c r="E486" i="76"/>
  <c r="AE486" i="76"/>
  <c r="A486" i="76"/>
  <c r="C486" i="76"/>
  <c r="AR487" i="76"/>
  <c r="D486" i="76"/>
  <c r="B486" i="76"/>
  <c r="H485" i="76"/>
  <c r="N485" i="76"/>
  <c r="I485" i="76"/>
  <c r="O485" i="76"/>
  <c r="J485" i="76"/>
  <c r="P485" i="76"/>
  <c r="K485" i="76"/>
  <c r="L485" i="76"/>
  <c r="G485" i="76"/>
  <c r="Q485" i="76"/>
  <c r="M485" i="76"/>
  <c r="F487" i="76" l="1"/>
  <c r="R487" i="76"/>
  <c r="AB486" i="76"/>
  <c r="Z486" i="76"/>
  <c r="AC486" i="76"/>
  <c r="X486" i="76"/>
  <c r="AA486" i="76"/>
  <c r="Y486" i="76"/>
  <c r="T486" i="76"/>
  <c r="S486" i="76"/>
  <c r="U486" i="76"/>
  <c r="W486" i="76"/>
  <c r="V486" i="76"/>
  <c r="AM486" i="76"/>
  <c r="AH486" i="76"/>
  <c r="AO486" i="76"/>
  <c r="AI486" i="76"/>
  <c r="AK486" i="76"/>
  <c r="AG486" i="76"/>
  <c r="AP486" i="76"/>
  <c r="AN486" i="76"/>
  <c r="AJ486" i="76"/>
  <c r="AL486" i="76"/>
  <c r="AF486" i="76"/>
  <c r="AR488" i="76"/>
  <c r="D487" i="76"/>
  <c r="AE487" i="76"/>
  <c r="B487" i="76"/>
  <c r="C487" i="76"/>
  <c r="A487" i="76"/>
  <c r="AD487" i="76"/>
  <c r="E487" i="76"/>
  <c r="P486" i="76"/>
  <c r="K486" i="76"/>
  <c r="I486" i="76"/>
  <c r="O486" i="76"/>
  <c r="J486" i="76"/>
  <c r="M486" i="76"/>
  <c r="H486" i="76"/>
  <c r="N486" i="76"/>
  <c r="L486" i="76"/>
  <c r="G486" i="76"/>
  <c r="Q486" i="76"/>
  <c r="F488" i="76" l="1"/>
  <c r="R488" i="76"/>
  <c r="N487" i="76"/>
  <c r="I487" i="76"/>
  <c r="G487" i="76"/>
  <c r="M487" i="76"/>
  <c r="K487" i="76"/>
  <c r="P487" i="76"/>
  <c r="Q487" i="76"/>
  <c r="H487" i="76"/>
  <c r="O487" i="76"/>
  <c r="L487" i="76"/>
  <c r="J487" i="76"/>
  <c r="V487" i="76"/>
  <c r="AB487" i="76"/>
  <c r="W487" i="76"/>
  <c r="U487" i="76"/>
  <c r="S487" i="76"/>
  <c r="AA487" i="76"/>
  <c r="Y487" i="76"/>
  <c r="T487" i="76"/>
  <c r="AC487" i="76"/>
  <c r="X487" i="76"/>
  <c r="Z487" i="76"/>
  <c r="AL487" i="76"/>
  <c r="AG487" i="76"/>
  <c r="AM487" i="76"/>
  <c r="AH487" i="76"/>
  <c r="AN487" i="76"/>
  <c r="AI487" i="76"/>
  <c r="AO487" i="76"/>
  <c r="AJ487" i="76"/>
  <c r="AP487" i="76"/>
  <c r="AK487" i="76"/>
  <c r="AF487" i="76"/>
  <c r="C488" i="76"/>
  <c r="B488" i="76"/>
  <c r="D488" i="76"/>
  <c r="AE488" i="76"/>
  <c r="E488" i="76"/>
  <c r="AD488" i="76"/>
  <c r="A488" i="76"/>
  <c r="AR489" i="76"/>
  <c r="F489" i="76" l="1"/>
  <c r="R489" i="76"/>
  <c r="K488" i="76"/>
  <c r="Q488" i="76"/>
  <c r="L488" i="76"/>
  <c r="G488" i="76"/>
  <c r="M488" i="76"/>
  <c r="H488" i="76"/>
  <c r="N488" i="76"/>
  <c r="I488" i="76"/>
  <c r="O488" i="76"/>
  <c r="J488" i="76"/>
  <c r="P488" i="76"/>
  <c r="C489" i="76"/>
  <c r="B489" i="76"/>
  <c r="A489" i="76"/>
  <c r="AD489" i="76"/>
  <c r="AR490" i="76"/>
  <c r="E489" i="76"/>
  <c r="AE489" i="76"/>
  <c r="D489" i="76"/>
  <c r="Z488" i="76"/>
  <c r="U488" i="76"/>
  <c r="AA488" i="76"/>
  <c r="V488" i="76"/>
  <c r="AB488" i="76"/>
  <c r="W488" i="76"/>
  <c r="AC488" i="76"/>
  <c r="X488" i="76"/>
  <c r="S488" i="76"/>
  <c r="Y488" i="76"/>
  <c r="T488" i="76"/>
  <c r="AP488" i="76"/>
  <c r="AK488" i="76"/>
  <c r="AF488" i="76"/>
  <c r="AL488" i="76"/>
  <c r="AG488" i="76"/>
  <c r="AM488" i="76"/>
  <c r="AH488" i="76"/>
  <c r="AN488" i="76"/>
  <c r="AI488" i="76"/>
  <c r="AO488" i="76"/>
  <c r="AJ488" i="76"/>
  <c r="F490" i="76" l="1"/>
  <c r="R490" i="76"/>
  <c r="L489" i="76"/>
  <c r="G489" i="76"/>
  <c r="M489" i="76"/>
  <c r="K489" i="76"/>
  <c r="I489" i="76"/>
  <c r="Q489" i="76"/>
  <c r="O489" i="76"/>
  <c r="J489" i="76"/>
  <c r="P489" i="76"/>
  <c r="N489" i="76"/>
  <c r="H489" i="76"/>
  <c r="AO489" i="76"/>
  <c r="AJ489" i="76"/>
  <c r="AP489" i="76"/>
  <c r="AK489" i="76"/>
  <c r="AI489" i="76"/>
  <c r="AL489" i="76"/>
  <c r="AG489" i="76"/>
  <c r="AM489" i="76"/>
  <c r="AH489" i="76"/>
  <c r="AF489" i="76"/>
  <c r="AN489" i="76"/>
  <c r="AE490" i="76"/>
  <c r="A490" i="76"/>
  <c r="AD490" i="76"/>
  <c r="E490" i="76"/>
  <c r="C490" i="76"/>
  <c r="D490" i="76"/>
  <c r="AR491" i="76"/>
  <c r="B490" i="76"/>
  <c r="AC489" i="76"/>
  <c r="AA489" i="76"/>
  <c r="W489" i="76"/>
  <c r="Y489" i="76"/>
  <c r="T489" i="76"/>
  <c r="Z489" i="76"/>
  <c r="U489" i="76"/>
  <c r="AB489" i="76"/>
  <c r="V489" i="76"/>
  <c r="S489" i="76"/>
  <c r="X489" i="76"/>
  <c r="F491" i="76" l="1"/>
  <c r="R491" i="76"/>
  <c r="AE491" i="76"/>
  <c r="A491" i="76"/>
  <c r="E491" i="76"/>
  <c r="C491" i="76"/>
  <c r="B491" i="76"/>
  <c r="AR492" i="76"/>
  <c r="D491" i="76"/>
  <c r="AD491" i="76"/>
  <c r="O490" i="76"/>
  <c r="J490" i="76"/>
  <c r="P490" i="76"/>
  <c r="K490" i="76"/>
  <c r="Q490" i="76"/>
  <c r="L490" i="76"/>
  <c r="G490" i="76"/>
  <c r="M490" i="76"/>
  <c r="H490" i="76"/>
  <c r="N490" i="76"/>
  <c r="I490" i="76"/>
  <c r="S490" i="76"/>
  <c r="X490" i="76"/>
  <c r="AA490" i="76"/>
  <c r="V490" i="76"/>
  <c r="AC490" i="76"/>
  <c r="W490" i="76"/>
  <c r="Y490" i="76"/>
  <c r="U490" i="76"/>
  <c r="AB490" i="76"/>
  <c r="Z490" i="76"/>
  <c r="T490" i="76"/>
  <c r="AL490" i="76"/>
  <c r="AK490" i="76"/>
  <c r="AF490" i="76"/>
  <c r="AP490" i="76"/>
  <c r="AG490" i="76"/>
  <c r="AI490" i="76"/>
  <c r="AM490" i="76"/>
  <c r="AN490" i="76"/>
  <c r="AO490" i="76"/>
  <c r="AJ490" i="76"/>
  <c r="AH490" i="76"/>
  <c r="F492" i="76" l="1"/>
  <c r="R492" i="76"/>
  <c r="J491" i="76"/>
  <c r="Q491" i="76"/>
  <c r="L491" i="76"/>
  <c r="G491" i="76"/>
  <c r="P491" i="76"/>
  <c r="K491" i="76"/>
  <c r="N491" i="76"/>
  <c r="I491" i="76"/>
  <c r="O491" i="76"/>
  <c r="M491" i="76"/>
  <c r="H491" i="76"/>
  <c r="AR493" i="76"/>
  <c r="C492" i="76"/>
  <c r="AE492" i="76"/>
  <c r="E492" i="76"/>
  <c r="AD492" i="76"/>
  <c r="D492" i="76"/>
  <c r="A492" i="76"/>
  <c r="B492" i="76"/>
  <c r="T491" i="76"/>
  <c r="Z491" i="76"/>
  <c r="U491" i="76"/>
  <c r="AA491" i="76"/>
  <c r="V491" i="76"/>
  <c r="AB491" i="76"/>
  <c r="AC491" i="76"/>
  <c r="X491" i="76"/>
  <c r="Y491" i="76"/>
  <c r="W491" i="76"/>
  <c r="S491" i="76"/>
  <c r="AO491" i="76"/>
  <c r="AJ491" i="76"/>
  <c r="AP491" i="76"/>
  <c r="AK491" i="76"/>
  <c r="AF491" i="76"/>
  <c r="AL491" i="76"/>
  <c r="AG491" i="76"/>
  <c r="AM491" i="76"/>
  <c r="AH491" i="76"/>
  <c r="AN491" i="76"/>
  <c r="AI491" i="76"/>
  <c r="F493" i="76" l="1"/>
  <c r="R493" i="76"/>
  <c r="N492" i="76"/>
  <c r="I492" i="76"/>
  <c r="O492" i="76"/>
  <c r="J492" i="76"/>
  <c r="P492" i="76"/>
  <c r="Q492" i="76"/>
  <c r="L492" i="76"/>
  <c r="M492" i="76"/>
  <c r="H492" i="76"/>
  <c r="K492" i="76"/>
  <c r="G492" i="76"/>
  <c r="AC492" i="76"/>
  <c r="X492" i="76"/>
  <c r="S492" i="76"/>
  <c r="Y492" i="76"/>
  <c r="W492" i="76"/>
  <c r="T492" i="76"/>
  <c r="AA492" i="76"/>
  <c r="AB492" i="76"/>
  <c r="Z492" i="76"/>
  <c r="U492" i="76"/>
  <c r="V492" i="76"/>
  <c r="AL492" i="76"/>
  <c r="AG492" i="76"/>
  <c r="AM492" i="76"/>
  <c r="AH492" i="76"/>
  <c r="AN492" i="76"/>
  <c r="AI492" i="76"/>
  <c r="AO492" i="76"/>
  <c r="AJ492" i="76"/>
  <c r="AP492" i="76"/>
  <c r="AK492" i="76"/>
  <c r="AF492" i="76"/>
  <c r="AR494" i="76"/>
  <c r="B493" i="76"/>
  <c r="AE493" i="76"/>
  <c r="A493" i="76"/>
  <c r="AD493" i="76"/>
  <c r="E493" i="76"/>
  <c r="D493" i="76"/>
  <c r="C493" i="76"/>
  <c r="F494" i="76" l="1"/>
  <c r="R494" i="76"/>
  <c r="AJ493" i="76"/>
  <c r="AP493" i="76"/>
  <c r="AK493" i="76"/>
  <c r="AF493" i="76"/>
  <c r="AL493" i="76"/>
  <c r="AG493" i="76"/>
  <c r="AM493" i="76"/>
  <c r="AH493" i="76"/>
  <c r="AN493" i="76"/>
  <c r="AI493" i="76"/>
  <c r="AO493" i="76"/>
  <c r="C494" i="76"/>
  <c r="B494" i="76"/>
  <c r="AD494" i="76"/>
  <c r="A494" i="76"/>
  <c r="D494" i="76"/>
  <c r="AR495" i="76"/>
  <c r="E494" i="76"/>
  <c r="AE494" i="76"/>
  <c r="U493" i="76"/>
  <c r="AB493" i="76"/>
  <c r="W493" i="76"/>
  <c r="Z493" i="76"/>
  <c r="X493" i="76"/>
  <c r="S493" i="76"/>
  <c r="AC493" i="76"/>
  <c r="T493" i="76"/>
  <c r="V493" i="76"/>
  <c r="AA493" i="76"/>
  <c r="Y493" i="76"/>
  <c r="M493" i="76"/>
  <c r="H493" i="76"/>
  <c r="N493" i="76"/>
  <c r="I493" i="76"/>
  <c r="G493" i="76"/>
  <c r="J493" i="76"/>
  <c r="P493" i="76"/>
  <c r="K493" i="76"/>
  <c r="Q493" i="76"/>
  <c r="L493" i="76"/>
  <c r="O493" i="76"/>
  <c r="F495" i="76" l="1"/>
  <c r="R495" i="76"/>
  <c r="P494" i="76"/>
  <c r="K494" i="76"/>
  <c r="Q494" i="76"/>
  <c r="L494" i="76"/>
  <c r="G494" i="76"/>
  <c r="M494" i="76"/>
  <c r="N494" i="76"/>
  <c r="I494" i="76"/>
  <c r="J494" i="76"/>
  <c r="H494" i="76"/>
  <c r="O494" i="76"/>
  <c r="AR496" i="76"/>
  <c r="E495" i="76"/>
  <c r="AD495" i="76"/>
  <c r="D495" i="76"/>
  <c r="B495" i="76"/>
  <c r="AE495" i="76"/>
  <c r="C495" i="76"/>
  <c r="A495" i="76"/>
  <c r="U494" i="76"/>
  <c r="AA494" i="76"/>
  <c r="Z494" i="76"/>
  <c r="AB494" i="76"/>
  <c r="S494" i="76"/>
  <c r="AC494" i="76"/>
  <c r="X494" i="76"/>
  <c r="V494" i="76"/>
  <c r="Y494" i="76"/>
  <c r="T494" i="76"/>
  <c r="W494" i="76"/>
  <c r="AI494" i="76"/>
  <c r="AO494" i="76"/>
  <c r="AN494" i="76"/>
  <c r="AP494" i="76"/>
  <c r="AG494" i="76"/>
  <c r="AF494" i="76"/>
  <c r="AH494" i="76"/>
  <c r="AL494" i="76"/>
  <c r="AJ494" i="76"/>
  <c r="AM494" i="76"/>
  <c r="AK494" i="76"/>
  <c r="F496" i="76" l="1"/>
  <c r="R496" i="76"/>
  <c r="H495" i="76"/>
  <c r="N495" i="76"/>
  <c r="L495" i="76"/>
  <c r="Q495" i="76"/>
  <c r="O495" i="76"/>
  <c r="P495" i="76"/>
  <c r="K495" i="76"/>
  <c r="M495" i="76"/>
  <c r="G495" i="76"/>
  <c r="J495" i="76"/>
  <c r="I495" i="76"/>
  <c r="E496" i="76"/>
  <c r="AD496" i="76"/>
  <c r="D496" i="76"/>
  <c r="B496" i="76"/>
  <c r="A496" i="76"/>
  <c r="AE496" i="76"/>
  <c r="C496" i="76"/>
  <c r="AR497" i="76"/>
  <c r="AP495" i="76"/>
  <c r="AK495" i="76"/>
  <c r="AF495" i="76"/>
  <c r="AG495" i="76"/>
  <c r="AL495" i="76"/>
  <c r="AJ495" i="76"/>
  <c r="AN495" i="76"/>
  <c r="AI495" i="76"/>
  <c r="AO495" i="76"/>
  <c r="AH495" i="76"/>
  <c r="AM495" i="76"/>
  <c r="AA495" i="76"/>
  <c r="V495" i="76"/>
  <c r="AB495" i="76"/>
  <c r="W495" i="76"/>
  <c r="AC495" i="76"/>
  <c r="X495" i="76"/>
  <c r="Y495" i="76"/>
  <c r="T495" i="76"/>
  <c r="U495" i="76"/>
  <c r="S495" i="76"/>
  <c r="Z495" i="76"/>
  <c r="F497" i="76" l="1"/>
  <c r="R497" i="76"/>
  <c r="K496" i="76"/>
  <c r="Q496" i="76"/>
  <c r="L496" i="76"/>
  <c r="M496" i="76"/>
  <c r="O496" i="76"/>
  <c r="P496" i="76"/>
  <c r="N496" i="76"/>
  <c r="I496" i="76"/>
  <c r="G496" i="76"/>
  <c r="H496" i="76"/>
  <c r="J496" i="76"/>
  <c r="Z496" i="76"/>
  <c r="U496" i="76"/>
  <c r="AA496" i="76"/>
  <c r="V496" i="76"/>
  <c r="AB496" i="76"/>
  <c r="W496" i="76"/>
  <c r="AC496" i="76"/>
  <c r="X496" i="76"/>
  <c r="S496" i="76"/>
  <c r="Y496" i="76"/>
  <c r="T496" i="76"/>
  <c r="B497" i="76"/>
  <c r="A497" i="76"/>
  <c r="AR498" i="76"/>
  <c r="AD497" i="76"/>
  <c r="D497" i="76"/>
  <c r="AE497" i="76"/>
  <c r="E497" i="76"/>
  <c r="C497" i="76"/>
  <c r="AO496" i="76"/>
  <c r="AJ496" i="76"/>
  <c r="AP496" i="76"/>
  <c r="AK496" i="76"/>
  <c r="AF496" i="76"/>
  <c r="AL496" i="76"/>
  <c r="AG496" i="76"/>
  <c r="AM496" i="76"/>
  <c r="AH496" i="76"/>
  <c r="AN496" i="76"/>
  <c r="AI496" i="76"/>
  <c r="F498" i="76" l="1"/>
  <c r="R498" i="76"/>
  <c r="AP497" i="76"/>
  <c r="AK497" i="76"/>
  <c r="AF497" i="76"/>
  <c r="AL497" i="76"/>
  <c r="AG497" i="76"/>
  <c r="AM497" i="76"/>
  <c r="AI497" i="76"/>
  <c r="AJ497" i="76"/>
  <c r="AH497" i="76"/>
  <c r="AN497" i="76"/>
  <c r="AO497" i="76"/>
  <c r="Y497" i="76"/>
  <c r="W497" i="76"/>
  <c r="Z497" i="76"/>
  <c r="U497" i="76"/>
  <c r="X497" i="76"/>
  <c r="AB497" i="76"/>
  <c r="AC497" i="76"/>
  <c r="S497" i="76"/>
  <c r="V497" i="76"/>
  <c r="AA497" i="76"/>
  <c r="T497" i="76"/>
  <c r="M497" i="76"/>
  <c r="H497" i="76"/>
  <c r="N497" i="76"/>
  <c r="I497" i="76"/>
  <c r="O497" i="76"/>
  <c r="J497" i="76"/>
  <c r="P497" i="76"/>
  <c r="K497" i="76"/>
  <c r="Q497" i="76"/>
  <c r="L497" i="76"/>
  <c r="G497" i="76"/>
  <c r="AR499" i="76"/>
  <c r="E498" i="76"/>
  <c r="D498" i="76"/>
  <c r="B498" i="76"/>
  <c r="AE498" i="76"/>
  <c r="AD498" i="76"/>
  <c r="C498" i="76"/>
  <c r="A498" i="76"/>
  <c r="F499" i="76" l="1"/>
  <c r="R499" i="76"/>
  <c r="E499" i="76"/>
  <c r="D499" i="76"/>
  <c r="C499" i="76"/>
  <c r="AE499" i="76"/>
  <c r="AR500" i="76"/>
  <c r="B499" i="76"/>
  <c r="AD499" i="76"/>
  <c r="A499" i="76"/>
  <c r="AN498" i="76"/>
  <c r="AF498" i="76"/>
  <c r="AO498" i="76"/>
  <c r="AM498" i="76"/>
  <c r="AH498" i="76"/>
  <c r="AK498" i="76"/>
  <c r="AP498" i="76"/>
  <c r="AL498" i="76"/>
  <c r="AG498" i="76"/>
  <c r="AI498" i="76"/>
  <c r="AJ498" i="76"/>
  <c r="S498" i="76"/>
  <c r="U498" i="76"/>
  <c r="T498" i="76"/>
  <c r="Z498" i="76"/>
  <c r="X498" i="76"/>
  <c r="AA498" i="76"/>
  <c r="V498" i="76"/>
  <c r="Y498" i="76"/>
  <c r="W498" i="76"/>
  <c r="AC498" i="76"/>
  <c r="AB498" i="76"/>
  <c r="K498" i="76"/>
  <c r="Q498" i="76"/>
  <c r="L498" i="76"/>
  <c r="G498" i="76"/>
  <c r="M498" i="76"/>
  <c r="H498" i="76"/>
  <c r="N498" i="76"/>
  <c r="I498" i="76"/>
  <c r="O498" i="76"/>
  <c r="J498" i="76"/>
  <c r="P498" i="76"/>
  <c r="F500" i="76" l="1"/>
  <c r="R500" i="76"/>
  <c r="J499" i="76"/>
  <c r="P499" i="76"/>
  <c r="K499" i="76"/>
  <c r="Q499" i="76"/>
  <c r="L499" i="76"/>
  <c r="G499" i="76"/>
  <c r="M499" i="76"/>
  <c r="H499" i="76"/>
  <c r="N499" i="76"/>
  <c r="I499" i="76"/>
  <c r="O499" i="76"/>
  <c r="C500" i="76"/>
  <c r="D500" i="76"/>
  <c r="A500" i="76"/>
  <c r="B500" i="76"/>
  <c r="AD500" i="76"/>
  <c r="AR501" i="76"/>
  <c r="AE500" i="76"/>
  <c r="E500" i="76"/>
  <c r="W499" i="76"/>
  <c r="AC499" i="76"/>
  <c r="X499" i="76"/>
  <c r="S499" i="76"/>
  <c r="Y499" i="76"/>
  <c r="T499" i="76"/>
  <c r="Z499" i="76"/>
  <c r="U499" i="76"/>
  <c r="AA499" i="76"/>
  <c r="V499" i="76"/>
  <c r="AB499" i="76"/>
  <c r="AF499" i="76"/>
  <c r="AL499" i="76"/>
  <c r="AG499" i="76"/>
  <c r="AM499" i="76"/>
  <c r="AH499" i="76"/>
  <c r="AN499" i="76"/>
  <c r="AI499" i="76"/>
  <c r="AO499" i="76"/>
  <c r="AJ499" i="76"/>
  <c r="AP499" i="76"/>
  <c r="AK499" i="76"/>
  <c r="F501" i="76" l="1"/>
  <c r="R501" i="76"/>
  <c r="AN500" i="76"/>
  <c r="AI500" i="76"/>
  <c r="AO500" i="76"/>
  <c r="AJ500" i="76"/>
  <c r="AP500" i="76"/>
  <c r="AK500" i="76"/>
  <c r="AF500" i="76"/>
  <c r="AL500" i="76"/>
  <c r="AG500" i="76"/>
  <c r="AM500" i="76"/>
  <c r="AH500" i="76"/>
  <c r="AC500" i="76"/>
  <c r="X500" i="76"/>
  <c r="S500" i="76"/>
  <c r="Y500" i="76"/>
  <c r="T500" i="76"/>
  <c r="Z500" i="76"/>
  <c r="AA500" i="76"/>
  <c r="V500" i="76"/>
  <c r="AB500" i="76"/>
  <c r="W500" i="76"/>
  <c r="U500" i="76"/>
  <c r="AR502" i="76"/>
  <c r="B501" i="76"/>
  <c r="AD501" i="76"/>
  <c r="D501" i="76"/>
  <c r="C501" i="76"/>
  <c r="A501" i="76"/>
  <c r="AE501" i="76"/>
  <c r="E501" i="76"/>
  <c r="G500" i="76"/>
  <c r="M500" i="76"/>
  <c r="H500" i="76"/>
  <c r="N500" i="76"/>
  <c r="I500" i="76"/>
  <c r="J500" i="76"/>
  <c r="P500" i="76"/>
  <c r="K500" i="76"/>
  <c r="L500" i="76"/>
  <c r="O500" i="76"/>
  <c r="Q500" i="76"/>
  <c r="F502" i="76" l="1"/>
  <c r="R502" i="76"/>
  <c r="O501" i="76"/>
  <c r="J501" i="76"/>
  <c r="K501" i="76"/>
  <c r="P501" i="76"/>
  <c r="N501" i="76"/>
  <c r="L501" i="76"/>
  <c r="G501" i="76"/>
  <c r="M501" i="76"/>
  <c r="Q501" i="76"/>
  <c r="H501" i="76"/>
  <c r="I501" i="76"/>
  <c r="AF501" i="76"/>
  <c r="AL501" i="76"/>
  <c r="AG501" i="76"/>
  <c r="AP501" i="76"/>
  <c r="AM501" i="76"/>
  <c r="AN501" i="76"/>
  <c r="AI501" i="76"/>
  <c r="AO501" i="76"/>
  <c r="AJ501" i="76"/>
  <c r="AH501" i="76"/>
  <c r="AK501" i="76"/>
  <c r="X501" i="76"/>
  <c r="S501" i="76"/>
  <c r="Y501" i="76"/>
  <c r="T501" i="76"/>
  <c r="AC501" i="76"/>
  <c r="U501" i="76"/>
  <c r="AA501" i="76"/>
  <c r="V501" i="76"/>
  <c r="AB501" i="76"/>
  <c r="Z501" i="76"/>
  <c r="W501" i="76"/>
  <c r="AE502" i="76"/>
  <c r="A502" i="76"/>
  <c r="AD502" i="76"/>
  <c r="B502" i="76"/>
  <c r="AR503" i="76"/>
  <c r="D502" i="76"/>
  <c r="E502" i="76"/>
  <c r="C502" i="76"/>
  <c r="F503" i="76" l="1"/>
  <c r="R503" i="76"/>
  <c r="AB502" i="76"/>
  <c r="Z502" i="76"/>
  <c r="AC502" i="76"/>
  <c r="X502" i="76"/>
  <c r="AA502" i="76"/>
  <c r="Y502" i="76"/>
  <c r="T502" i="76"/>
  <c r="S502" i="76"/>
  <c r="U502" i="76"/>
  <c r="W502" i="76"/>
  <c r="V502" i="76"/>
  <c r="P502" i="76"/>
  <c r="K502" i="76"/>
  <c r="Q502" i="76"/>
  <c r="O502" i="76"/>
  <c r="I502" i="76"/>
  <c r="M502" i="76"/>
  <c r="H502" i="76"/>
  <c r="N502" i="76"/>
  <c r="L502" i="76"/>
  <c r="G502" i="76"/>
  <c r="J502" i="76"/>
  <c r="AM502" i="76"/>
  <c r="AH502" i="76"/>
  <c r="AN502" i="76"/>
  <c r="AI502" i="76"/>
  <c r="AG502" i="76"/>
  <c r="AO502" i="76"/>
  <c r="AP502" i="76"/>
  <c r="AK502" i="76"/>
  <c r="AF502" i="76"/>
  <c r="AL502" i="76"/>
  <c r="AJ502" i="76"/>
  <c r="AR504" i="76"/>
  <c r="D503" i="76"/>
  <c r="AE503" i="76"/>
  <c r="B503" i="76"/>
  <c r="AD503" i="76"/>
  <c r="C503" i="76"/>
  <c r="A503" i="76"/>
  <c r="E503" i="76"/>
  <c r="F504" i="76" l="1"/>
  <c r="R504" i="76"/>
  <c r="AO503" i="76"/>
  <c r="AJ503" i="76"/>
  <c r="AP503" i="76"/>
  <c r="AK503" i="76"/>
  <c r="AF503" i="76"/>
  <c r="AL503" i="76"/>
  <c r="AG503" i="76"/>
  <c r="AM503" i="76"/>
  <c r="AH503" i="76"/>
  <c r="AN503" i="76"/>
  <c r="AI503" i="76"/>
  <c r="E504" i="76"/>
  <c r="AD504" i="76"/>
  <c r="D504" i="76"/>
  <c r="C504" i="76"/>
  <c r="B504" i="76"/>
  <c r="AR505" i="76"/>
  <c r="AE504" i="76"/>
  <c r="A504" i="76"/>
  <c r="L503" i="76"/>
  <c r="Q503" i="76"/>
  <c r="H503" i="76"/>
  <c r="K503" i="76"/>
  <c r="M503" i="76"/>
  <c r="O503" i="76"/>
  <c r="I503" i="76"/>
  <c r="G503" i="76"/>
  <c r="P503" i="76"/>
  <c r="N503" i="76"/>
  <c r="J503" i="76"/>
  <c r="Y503" i="76"/>
  <c r="T503" i="76"/>
  <c r="Z503" i="76"/>
  <c r="U503" i="76"/>
  <c r="AA503" i="76"/>
  <c r="V503" i="76"/>
  <c r="W503" i="76"/>
  <c r="AC503" i="76"/>
  <c r="S503" i="76"/>
  <c r="AB503" i="76"/>
  <c r="X503" i="76"/>
  <c r="F505" i="76" l="1"/>
  <c r="R505" i="76"/>
  <c r="AP504" i="76"/>
  <c r="AK504" i="76"/>
  <c r="AF504" i="76"/>
  <c r="AL504" i="76"/>
  <c r="AG504" i="76"/>
  <c r="AO504" i="76"/>
  <c r="AM504" i="76"/>
  <c r="AH504" i="76"/>
  <c r="AN504" i="76"/>
  <c r="AI504" i="76"/>
  <c r="AJ504" i="76"/>
  <c r="N504" i="76"/>
  <c r="I504" i="76"/>
  <c r="O504" i="76"/>
  <c r="J504" i="76"/>
  <c r="H504" i="76"/>
  <c r="K504" i="76"/>
  <c r="Q504" i="76"/>
  <c r="L504" i="76"/>
  <c r="G504" i="76"/>
  <c r="M504" i="76"/>
  <c r="P504" i="76"/>
  <c r="W504" i="76"/>
  <c r="AC504" i="76"/>
  <c r="X504" i="76"/>
  <c r="V504" i="76"/>
  <c r="AB504" i="76"/>
  <c r="T504" i="76"/>
  <c r="Z504" i="76"/>
  <c r="U504" i="76"/>
  <c r="AA504" i="76"/>
  <c r="Y504" i="76"/>
  <c r="S504" i="76"/>
  <c r="AR506" i="76"/>
  <c r="E505" i="76"/>
  <c r="AE505" i="76"/>
  <c r="A505" i="76"/>
  <c r="AD505" i="76"/>
  <c r="C505" i="76"/>
  <c r="B505" i="76"/>
  <c r="D505" i="76"/>
  <c r="F506" i="76" l="1"/>
  <c r="R506" i="76"/>
  <c r="AO505" i="76"/>
  <c r="AJ505" i="76"/>
  <c r="AP505" i="76"/>
  <c r="AK505" i="76"/>
  <c r="AF505" i="76"/>
  <c r="AM505" i="76"/>
  <c r="AI505" i="76"/>
  <c r="AL505" i="76"/>
  <c r="AG505" i="76"/>
  <c r="AH505" i="76"/>
  <c r="AN505" i="76"/>
  <c r="AE506" i="76"/>
  <c r="AD506" i="76"/>
  <c r="C506" i="76"/>
  <c r="B506" i="76"/>
  <c r="D506" i="76"/>
  <c r="AR507" i="76"/>
  <c r="E506" i="76"/>
  <c r="A506" i="76"/>
  <c r="AC505" i="76"/>
  <c r="X505" i="76"/>
  <c r="S505" i="76"/>
  <c r="Y505" i="76"/>
  <c r="T505" i="76"/>
  <c r="Z505" i="76"/>
  <c r="AA505" i="76"/>
  <c r="V505" i="76"/>
  <c r="W505" i="76"/>
  <c r="U505" i="76"/>
  <c r="AB505" i="76"/>
  <c r="O505" i="76"/>
  <c r="P505" i="76"/>
  <c r="K505" i="76"/>
  <c r="Q505" i="76"/>
  <c r="L505" i="76"/>
  <c r="J505" i="76"/>
  <c r="H505" i="76"/>
  <c r="N505" i="76"/>
  <c r="G505" i="76"/>
  <c r="M505" i="76"/>
  <c r="I505" i="76"/>
  <c r="F507" i="76" l="1"/>
  <c r="R507" i="76"/>
  <c r="AG506" i="76"/>
  <c r="AM506" i="76"/>
  <c r="AH506" i="76"/>
  <c r="AN506" i="76"/>
  <c r="AI506" i="76"/>
  <c r="AO506" i="76"/>
  <c r="AJ506" i="76"/>
  <c r="AP506" i="76"/>
  <c r="AK506" i="76"/>
  <c r="AF506" i="76"/>
  <c r="AL506" i="76"/>
  <c r="N506" i="76"/>
  <c r="I506" i="76"/>
  <c r="P506" i="76"/>
  <c r="G506" i="76"/>
  <c r="M506" i="76"/>
  <c r="K506" i="76"/>
  <c r="Q506" i="76"/>
  <c r="L506" i="76"/>
  <c r="O506" i="76"/>
  <c r="J506" i="76"/>
  <c r="H506" i="76"/>
  <c r="W506" i="76"/>
  <c r="Y506" i="76"/>
  <c r="U506" i="76"/>
  <c r="S506" i="76"/>
  <c r="AB506" i="76"/>
  <c r="X506" i="76"/>
  <c r="Z506" i="76"/>
  <c r="T506" i="76"/>
  <c r="AA506" i="76"/>
  <c r="V506" i="76"/>
  <c r="AC506" i="76"/>
  <c r="A507" i="76"/>
  <c r="AD507" i="76"/>
  <c r="E507" i="76"/>
  <c r="AR508" i="76"/>
  <c r="AE507" i="76"/>
  <c r="D507" i="76"/>
  <c r="B507" i="76"/>
  <c r="C507" i="76"/>
  <c r="F508" i="76" l="1"/>
  <c r="R508" i="76"/>
  <c r="AL507" i="76"/>
  <c r="AM507" i="76"/>
  <c r="AH507" i="76"/>
  <c r="AN507" i="76"/>
  <c r="AI507" i="76"/>
  <c r="AJ507" i="76"/>
  <c r="AG507" i="76"/>
  <c r="AP507" i="76"/>
  <c r="AK507" i="76"/>
  <c r="AF507" i="76"/>
  <c r="AO507" i="76"/>
  <c r="T507" i="76"/>
  <c r="X507" i="76"/>
  <c r="AB507" i="76"/>
  <c r="W507" i="76"/>
  <c r="AC507" i="76"/>
  <c r="AA507" i="76"/>
  <c r="Y507" i="76"/>
  <c r="V507" i="76"/>
  <c r="Z507" i="76"/>
  <c r="U507" i="76"/>
  <c r="S507" i="76"/>
  <c r="AR509" i="76"/>
  <c r="C508" i="76"/>
  <c r="AE508" i="76"/>
  <c r="B508" i="76"/>
  <c r="AD508" i="76"/>
  <c r="E508" i="76"/>
  <c r="A508" i="76"/>
  <c r="D508" i="76"/>
  <c r="O507" i="76"/>
  <c r="M507" i="76"/>
  <c r="H507" i="76"/>
  <c r="N507" i="76"/>
  <c r="L507" i="76"/>
  <c r="Q507" i="76"/>
  <c r="J507" i="76"/>
  <c r="P507" i="76"/>
  <c r="K507" i="76"/>
  <c r="I507" i="76"/>
  <c r="G507" i="76"/>
  <c r="F509" i="76" l="1"/>
  <c r="R509" i="76"/>
  <c r="AI508" i="76"/>
  <c r="AO508" i="76"/>
  <c r="AJ508" i="76"/>
  <c r="AP508" i="76"/>
  <c r="AK508" i="76"/>
  <c r="AF508" i="76"/>
  <c r="AL508" i="76"/>
  <c r="AG508" i="76"/>
  <c r="AM508" i="76"/>
  <c r="AH508" i="76"/>
  <c r="AN508" i="76"/>
  <c r="E509" i="76"/>
  <c r="D509" i="76"/>
  <c r="C509" i="76"/>
  <c r="AD509" i="76"/>
  <c r="AR510" i="76"/>
  <c r="B509" i="76"/>
  <c r="AE509" i="76"/>
  <c r="A509" i="76"/>
  <c r="O508" i="76"/>
  <c r="J508" i="76"/>
  <c r="P508" i="76"/>
  <c r="K508" i="76"/>
  <c r="Q508" i="76"/>
  <c r="L508" i="76"/>
  <c r="G508" i="76"/>
  <c r="M508" i="76"/>
  <c r="H508" i="76"/>
  <c r="N508" i="76"/>
  <c r="I508" i="76"/>
  <c r="U508" i="76"/>
  <c r="AA508" i="76"/>
  <c r="V508" i="76"/>
  <c r="AB508" i="76"/>
  <c r="W508" i="76"/>
  <c r="AC508" i="76"/>
  <c r="X508" i="76"/>
  <c r="S508" i="76"/>
  <c r="Y508" i="76"/>
  <c r="T508" i="76"/>
  <c r="Z508" i="76"/>
  <c r="G221" i="4"/>
  <c r="F510" i="76" l="1"/>
  <c r="R510" i="76"/>
  <c r="M509" i="76"/>
  <c r="H509" i="76"/>
  <c r="N509" i="76"/>
  <c r="I509" i="76"/>
  <c r="O509" i="76"/>
  <c r="J509" i="76"/>
  <c r="P509" i="76"/>
  <c r="K509" i="76"/>
  <c r="Q509" i="76"/>
  <c r="L509" i="76"/>
  <c r="G509" i="76"/>
  <c r="AF509" i="76"/>
  <c r="AJ509" i="76"/>
  <c r="AP509" i="76"/>
  <c r="AK509" i="76"/>
  <c r="AI509" i="76"/>
  <c r="AG509" i="76"/>
  <c r="AO509" i="76"/>
  <c r="AM509" i="76"/>
  <c r="AH509" i="76"/>
  <c r="AN509" i="76"/>
  <c r="AL509" i="76"/>
  <c r="C510" i="76"/>
  <c r="B510" i="76"/>
  <c r="A510" i="76"/>
  <c r="AE510" i="76"/>
  <c r="AR511" i="76"/>
  <c r="E510" i="76"/>
  <c r="D510" i="76"/>
  <c r="AD510" i="76"/>
  <c r="T509" i="76"/>
  <c r="AA509" i="76"/>
  <c r="AB509" i="76"/>
  <c r="W509" i="76"/>
  <c r="AC509" i="76"/>
  <c r="X509" i="76"/>
  <c r="V509" i="76"/>
  <c r="Y509" i="76"/>
  <c r="Z509" i="76"/>
  <c r="U509" i="76"/>
  <c r="S509" i="76"/>
  <c r="G1" i="4"/>
  <c r="G2" i="4" s="1"/>
  <c r="F3" i="4" s="1"/>
  <c r="H18" i="68"/>
  <c r="H28" i="68" s="1"/>
  <c r="H36" i="68" s="1"/>
  <c r="F511" i="76" l="1"/>
  <c r="R511" i="76"/>
  <c r="Q510" i="76"/>
  <c r="G510" i="76"/>
  <c r="H510" i="76"/>
  <c r="I510" i="76"/>
  <c r="O510" i="76"/>
  <c r="J510" i="76"/>
  <c r="P510" i="76"/>
  <c r="K510" i="76"/>
  <c r="L510" i="76"/>
  <c r="M510" i="76"/>
  <c r="N510" i="76"/>
  <c r="D511" i="76"/>
  <c r="E511" i="76"/>
  <c r="B511" i="76"/>
  <c r="A511" i="76"/>
  <c r="AE511" i="76"/>
  <c r="C511" i="76"/>
  <c r="AR512" i="76"/>
  <c r="AD511" i="76"/>
  <c r="AG510" i="76"/>
  <c r="AH510" i="76"/>
  <c r="AI510" i="76"/>
  <c r="AO510" i="76"/>
  <c r="AJ510" i="76"/>
  <c r="AP510" i="76"/>
  <c r="AK510" i="76"/>
  <c r="AF510" i="76"/>
  <c r="AL510" i="76"/>
  <c r="AM510" i="76"/>
  <c r="AN510" i="76"/>
  <c r="U510" i="76"/>
  <c r="AA510" i="76"/>
  <c r="Z510" i="76"/>
  <c r="AB510" i="76"/>
  <c r="S510" i="76"/>
  <c r="AC510" i="76"/>
  <c r="X510" i="76"/>
  <c r="V510" i="76"/>
  <c r="Y510" i="76"/>
  <c r="T510" i="76"/>
  <c r="W510" i="76"/>
  <c r="D411" i="72"/>
  <c r="I221" i="72"/>
  <c r="F512" i="76" l="1"/>
  <c r="R512" i="76"/>
  <c r="C512" i="76"/>
  <c r="B512" i="76"/>
  <c r="AR513" i="76"/>
  <c r="AE512" i="76"/>
  <c r="E512" i="76"/>
  <c r="AD512" i="76"/>
  <c r="A512" i="76"/>
  <c r="D512" i="76"/>
  <c r="X511" i="76"/>
  <c r="S511" i="76"/>
  <c r="Y511" i="76"/>
  <c r="W511" i="76"/>
  <c r="AC511" i="76"/>
  <c r="U511" i="76"/>
  <c r="AA511" i="76"/>
  <c r="V511" i="76"/>
  <c r="AB511" i="76"/>
  <c r="Z511" i="76"/>
  <c r="T511" i="76"/>
  <c r="AH511" i="76"/>
  <c r="AN511" i="76"/>
  <c r="AI511" i="76"/>
  <c r="AG511" i="76"/>
  <c r="AO511" i="76"/>
  <c r="AP511" i="76"/>
  <c r="AF511" i="76"/>
  <c r="AJ511" i="76"/>
  <c r="AK511" i="76"/>
  <c r="AL511" i="76"/>
  <c r="AM511" i="76"/>
  <c r="I511" i="76"/>
  <c r="O511" i="76"/>
  <c r="N511" i="76"/>
  <c r="H511" i="76"/>
  <c r="P511" i="76"/>
  <c r="J511" i="76"/>
  <c r="L511" i="76"/>
  <c r="G511" i="76"/>
  <c r="Q511" i="76"/>
  <c r="K511" i="76"/>
  <c r="M511" i="76"/>
  <c r="I411" i="72"/>
  <c r="G15" i="68"/>
  <c r="F513" i="76" l="1"/>
  <c r="R513" i="76"/>
  <c r="S512" i="76"/>
  <c r="Y512" i="76"/>
  <c r="T512" i="76"/>
  <c r="Z512" i="76"/>
  <c r="U512" i="76"/>
  <c r="AA512" i="76"/>
  <c r="V512" i="76"/>
  <c r="AB512" i="76"/>
  <c r="W512" i="76"/>
  <c r="AC512" i="76"/>
  <c r="X512" i="76"/>
  <c r="O512" i="76"/>
  <c r="J512" i="76"/>
  <c r="P512" i="76"/>
  <c r="K512" i="76"/>
  <c r="Q512" i="76"/>
  <c r="L512" i="76"/>
  <c r="G512" i="76"/>
  <c r="M512" i="76"/>
  <c r="H512" i="76"/>
  <c r="N512" i="76"/>
  <c r="I512" i="76"/>
  <c r="AN512" i="76"/>
  <c r="AI512" i="76"/>
  <c r="AO512" i="76"/>
  <c r="AJ512" i="76"/>
  <c r="AP512" i="76"/>
  <c r="AK512" i="76"/>
  <c r="AF512" i="76"/>
  <c r="AL512" i="76"/>
  <c r="AG512" i="76"/>
  <c r="AM512" i="76"/>
  <c r="AH512" i="76"/>
  <c r="AR514" i="76"/>
  <c r="E513" i="76"/>
  <c r="AD513" i="76"/>
  <c r="D513" i="76"/>
  <c r="AE513" i="76"/>
  <c r="C513" i="76"/>
  <c r="B513" i="76"/>
  <c r="A513" i="76"/>
  <c r="G27" i="68"/>
  <c r="G35" i="68"/>
  <c r="C35" i="68"/>
  <c r="G18" i="68"/>
  <c r="C18" i="68"/>
  <c r="F514" i="76" l="1"/>
  <c r="R514" i="76"/>
  <c r="AH513" i="76"/>
  <c r="AN513" i="76"/>
  <c r="AI513" i="76"/>
  <c r="AO513" i="76"/>
  <c r="AM513" i="76"/>
  <c r="AP513" i="76"/>
  <c r="AK513" i="76"/>
  <c r="AF513" i="76"/>
  <c r="AL513" i="76"/>
  <c r="AJ513" i="76"/>
  <c r="AG513" i="76"/>
  <c r="AR515" i="76"/>
  <c r="E514" i="76"/>
  <c r="D514" i="76"/>
  <c r="AD514" i="76"/>
  <c r="C514" i="76"/>
  <c r="B514" i="76"/>
  <c r="AE514" i="76"/>
  <c r="A514" i="76"/>
  <c r="J513" i="76"/>
  <c r="P513" i="76"/>
  <c r="K513" i="76"/>
  <c r="Q513" i="76"/>
  <c r="L513" i="76"/>
  <c r="G513" i="76"/>
  <c r="I513" i="76"/>
  <c r="M513" i="76"/>
  <c r="H513" i="76"/>
  <c r="N513" i="76"/>
  <c r="O513" i="76"/>
  <c r="Y513" i="76"/>
  <c r="T513" i="76"/>
  <c r="Z513" i="76"/>
  <c r="U513" i="76"/>
  <c r="AA513" i="76"/>
  <c r="V513" i="76"/>
  <c r="W513" i="76"/>
  <c r="AC513" i="76"/>
  <c r="S513" i="76"/>
  <c r="AB513" i="76"/>
  <c r="X513" i="76"/>
  <c r="G28" i="68"/>
  <c r="G36" i="68" s="1"/>
  <c r="C36" i="68"/>
  <c r="F515" i="76" l="1"/>
  <c r="R515" i="76"/>
  <c r="I514" i="76"/>
  <c r="G514" i="76"/>
  <c r="M514" i="76"/>
  <c r="H514" i="76"/>
  <c r="N514" i="76"/>
  <c r="L514" i="76"/>
  <c r="O514" i="76"/>
  <c r="J514" i="76"/>
  <c r="P514" i="76"/>
  <c r="K514" i="76"/>
  <c r="Q514" i="76"/>
  <c r="A515" i="76"/>
  <c r="AR516" i="76"/>
  <c r="B515" i="76"/>
  <c r="AD515" i="76"/>
  <c r="D515" i="76"/>
  <c r="C515" i="76"/>
  <c r="AE515" i="76"/>
  <c r="E515" i="76"/>
  <c r="S514" i="76"/>
  <c r="U514" i="76"/>
  <c r="T514" i="76"/>
  <c r="Z514" i="76"/>
  <c r="X514" i="76"/>
  <c r="AA514" i="76"/>
  <c r="V514" i="76"/>
  <c r="Y514" i="76"/>
  <c r="W514" i="76"/>
  <c r="AC514" i="76"/>
  <c r="AB514" i="76"/>
  <c r="AK514" i="76"/>
  <c r="AF514" i="76"/>
  <c r="AL514" i="76"/>
  <c r="AG514" i="76"/>
  <c r="AM514" i="76"/>
  <c r="AH514" i="76"/>
  <c r="AN514" i="76"/>
  <c r="AI514" i="76"/>
  <c r="AO514" i="76"/>
  <c r="AJ514" i="76"/>
  <c r="AP514" i="76"/>
  <c r="G3" i="68"/>
  <c r="F516" i="76" l="1"/>
  <c r="R516" i="76"/>
  <c r="AR517" i="76"/>
  <c r="C516" i="76"/>
  <c r="AE516" i="76"/>
  <c r="E516" i="76"/>
  <c r="D516" i="76"/>
  <c r="A516" i="76"/>
  <c r="B516" i="76"/>
  <c r="AD516" i="76"/>
  <c r="Z515" i="76"/>
  <c r="U515" i="76"/>
  <c r="AA515" i="76"/>
  <c r="V515" i="76"/>
  <c r="AB515" i="76"/>
  <c r="W515" i="76"/>
  <c r="AC515" i="76"/>
  <c r="X515" i="76"/>
  <c r="S515" i="76"/>
  <c r="Y515" i="76"/>
  <c r="T515" i="76"/>
  <c r="AO515" i="76"/>
  <c r="AJ515" i="76"/>
  <c r="AP515" i="76"/>
  <c r="AK515" i="76"/>
  <c r="AF515" i="76"/>
  <c r="AL515" i="76"/>
  <c r="AG515" i="76"/>
  <c r="AM515" i="76"/>
  <c r="AH515" i="76"/>
  <c r="AN515" i="76"/>
  <c r="AI515" i="76"/>
  <c r="P515" i="76"/>
  <c r="K515" i="76"/>
  <c r="Q515" i="76"/>
  <c r="L515" i="76"/>
  <c r="G515" i="76"/>
  <c r="M515" i="76"/>
  <c r="H515" i="76"/>
  <c r="N515" i="76"/>
  <c r="I515" i="76"/>
  <c r="O515" i="76"/>
  <c r="J515" i="76"/>
  <c r="F517" i="76" l="1"/>
  <c r="R517" i="76"/>
  <c r="AC516" i="76"/>
  <c r="X516" i="76"/>
  <c r="S516" i="76"/>
  <c r="Y516" i="76"/>
  <c r="T516" i="76"/>
  <c r="Z516" i="76"/>
  <c r="U516" i="76"/>
  <c r="AA516" i="76"/>
  <c r="V516" i="76"/>
  <c r="AB516" i="76"/>
  <c r="W516" i="76"/>
  <c r="G516" i="76"/>
  <c r="M516" i="76"/>
  <c r="H516" i="76"/>
  <c r="N516" i="76"/>
  <c r="I516" i="76"/>
  <c r="O516" i="76"/>
  <c r="J516" i="76"/>
  <c r="P516" i="76"/>
  <c r="K516" i="76"/>
  <c r="Q516" i="76"/>
  <c r="L516" i="76"/>
  <c r="AK516" i="76"/>
  <c r="AF516" i="76"/>
  <c r="AL516" i="76"/>
  <c r="AG516" i="76"/>
  <c r="AM516" i="76"/>
  <c r="AH516" i="76"/>
  <c r="AN516" i="76"/>
  <c r="AI516" i="76"/>
  <c r="AO516" i="76"/>
  <c r="AJ516" i="76"/>
  <c r="AP516" i="76"/>
  <c r="E517" i="76"/>
  <c r="A517" i="76"/>
  <c r="AE517" i="76"/>
  <c r="AR518" i="76"/>
  <c r="B517" i="76"/>
  <c r="AD517" i="76"/>
  <c r="D517" i="76"/>
  <c r="C517" i="76"/>
  <c r="F518" i="76" l="1"/>
  <c r="R518" i="76"/>
  <c r="AF517" i="76"/>
  <c r="AL517" i="76"/>
  <c r="AG517" i="76"/>
  <c r="AP517" i="76"/>
  <c r="AJ517" i="76"/>
  <c r="AN517" i="76"/>
  <c r="AI517" i="76"/>
  <c r="AO517" i="76"/>
  <c r="AM517" i="76"/>
  <c r="AK517" i="76"/>
  <c r="AH517" i="76"/>
  <c r="X517" i="76"/>
  <c r="S517" i="76"/>
  <c r="Y517" i="76"/>
  <c r="W517" i="76"/>
  <c r="AC517" i="76"/>
  <c r="U517" i="76"/>
  <c r="AA517" i="76"/>
  <c r="V517" i="76"/>
  <c r="AB517" i="76"/>
  <c r="Z517" i="76"/>
  <c r="T517" i="76"/>
  <c r="AE518" i="76"/>
  <c r="A518" i="76"/>
  <c r="AD518" i="76"/>
  <c r="B518" i="76"/>
  <c r="AR519" i="76"/>
  <c r="D518" i="76"/>
  <c r="E518" i="76"/>
  <c r="C518" i="76"/>
  <c r="O517" i="76"/>
  <c r="J517" i="76"/>
  <c r="K517" i="76"/>
  <c r="P517" i="76"/>
  <c r="N517" i="76"/>
  <c r="L517" i="76"/>
  <c r="G517" i="76"/>
  <c r="M517" i="76"/>
  <c r="I517" i="76"/>
  <c r="Q517" i="76"/>
  <c r="H517" i="76"/>
  <c r="F519" i="76" l="1"/>
  <c r="R519" i="76"/>
  <c r="AB518" i="76"/>
  <c r="Z518" i="76"/>
  <c r="AC518" i="76"/>
  <c r="X518" i="76"/>
  <c r="AA518" i="76"/>
  <c r="Y518" i="76"/>
  <c r="S518" i="76"/>
  <c r="U518" i="76"/>
  <c r="W518" i="76"/>
  <c r="T518" i="76"/>
  <c r="V518" i="76"/>
  <c r="AR520" i="76"/>
  <c r="D519" i="76"/>
  <c r="AE519" i="76"/>
  <c r="C519" i="76"/>
  <c r="B519" i="76"/>
  <c r="AD519" i="76"/>
  <c r="E519" i="76"/>
  <c r="A519" i="76"/>
  <c r="P518" i="76"/>
  <c r="K518" i="76"/>
  <c r="Q518" i="76"/>
  <c r="O518" i="76"/>
  <c r="I518" i="76"/>
  <c r="L518" i="76"/>
  <c r="G518" i="76"/>
  <c r="M518" i="76"/>
  <c r="H518" i="76"/>
  <c r="N518" i="76"/>
  <c r="J518" i="76"/>
  <c r="AM518" i="76"/>
  <c r="AH518" i="76"/>
  <c r="AN518" i="76"/>
  <c r="AO518" i="76"/>
  <c r="AI518" i="76"/>
  <c r="AG518" i="76"/>
  <c r="AP518" i="76"/>
  <c r="AK518" i="76"/>
  <c r="AJ518" i="76"/>
  <c r="AL518" i="76"/>
  <c r="AF518" i="76"/>
  <c r="F520" i="76" l="1"/>
  <c r="R520" i="76"/>
  <c r="Y519" i="76"/>
  <c r="Z519" i="76"/>
  <c r="U519" i="76"/>
  <c r="AA519" i="76"/>
  <c r="V519" i="76"/>
  <c r="T519" i="76"/>
  <c r="W519" i="76"/>
  <c r="AC519" i="76"/>
  <c r="X519" i="76"/>
  <c r="S519" i="76"/>
  <c r="AB519" i="76"/>
  <c r="AJ519" i="76"/>
  <c r="AH519" i="76"/>
  <c r="AN519" i="76"/>
  <c r="AI519" i="76"/>
  <c r="AO519" i="76"/>
  <c r="AM519" i="76"/>
  <c r="AP519" i="76"/>
  <c r="AK519" i="76"/>
  <c r="AF519" i="76"/>
  <c r="AL519" i="76"/>
  <c r="AG519" i="76"/>
  <c r="AR521" i="76"/>
  <c r="A520" i="76"/>
  <c r="AE520" i="76"/>
  <c r="C520" i="76"/>
  <c r="AD520" i="76"/>
  <c r="E520" i="76"/>
  <c r="D520" i="76"/>
  <c r="B520" i="76"/>
  <c r="L519" i="76"/>
  <c r="K519" i="76"/>
  <c r="Q519" i="76"/>
  <c r="P519" i="76"/>
  <c r="J519" i="76"/>
  <c r="O519" i="76"/>
  <c r="H519" i="76"/>
  <c r="N519" i="76"/>
  <c r="I519" i="76"/>
  <c r="G519" i="76"/>
  <c r="M519" i="76"/>
  <c r="F521" i="76" l="1"/>
  <c r="R521" i="76"/>
  <c r="G520" i="76"/>
  <c r="M520" i="76"/>
  <c r="H520" i="76"/>
  <c r="N520" i="76"/>
  <c r="I520" i="76"/>
  <c r="O520" i="76"/>
  <c r="J520" i="76"/>
  <c r="P520" i="76"/>
  <c r="K520" i="76"/>
  <c r="Q520" i="76"/>
  <c r="L520" i="76"/>
  <c r="AA520" i="76"/>
  <c r="V520" i="76"/>
  <c r="AB520" i="76"/>
  <c r="W520" i="76"/>
  <c r="AC520" i="76"/>
  <c r="X520" i="76"/>
  <c r="S520" i="76"/>
  <c r="Y520" i="76"/>
  <c r="T520" i="76"/>
  <c r="Z520" i="76"/>
  <c r="U520" i="76"/>
  <c r="AL520" i="76"/>
  <c r="AG520" i="76"/>
  <c r="AM520" i="76"/>
  <c r="AH520" i="76"/>
  <c r="AN520" i="76"/>
  <c r="AI520" i="76"/>
  <c r="AO520" i="76"/>
  <c r="AJ520" i="76"/>
  <c r="AP520" i="76"/>
  <c r="AK520" i="76"/>
  <c r="AF520" i="76"/>
  <c r="B521" i="76"/>
  <c r="A521" i="76"/>
  <c r="AD521" i="76"/>
  <c r="C521" i="76"/>
  <c r="D521" i="76"/>
  <c r="E521" i="76"/>
  <c r="AE521" i="76"/>
  <c r="AR522" i="76"/>
  <c r="F522" i="76" l="1"/>
  <c r="R522" i="76"/>
  <c r="D522" i="76"/>
  <c r="C522" i="76"/>
  <c r="B522" i="76"/>
  <c r="AR523" i="76"/>
  <c r="AE522" i="76"/>
  <c r="A522" i="76"/>
  <c r="AD522" i="76"/>
  <c r="E522" i="76"/>
  <c r="AH521" i="76"/>
  <c r="AN521" i="76"/>
  <c r="AI521" i="76"/>
  <c r="AO521" i="76"/>
  <c r="AJ521" i="76"/>
  <c r="AP521" i="76"/>
  <c r="AK521" i="76"/>
  <c r="AF521" i="76"/>
  <c r="AL521" i="76"/>
  <c r="AG521" i="76"/>
  <c r="AM521" i="76"/>
  <c r="O521" i="76"/>
  <c r="J521" i="76"/>
  <c r="P521" i="76"/>
  <c r="N521" i="76"/>
  <c r="I521" i="76"/>
  <c r="L521" i="76"/>
  <c r="G521" i="76"/>
  <c r="M521" i="76"/>
  <c r="H521" i="76"/>
  <c r="Q521" i="76"/>
  <c r="K521" i="76"/>
  <c r="V521" i="76"/>
  <c r="AB521" i="76"/>
  <c r="W521" i="76"/>
  <c r="AC521" i="76"/>
  <c r="X521" i="76"/>
  <c r="S521" i="76"/>
  <c r="Y521" i="76"/>
  <c r="T521" i="76"/>
  <c r="Z521" i="76"/>
  <c r="U521" i="76"/>
  <c r="AA521" i="76"/>
  <c r="F523" i="76" l="1"/>
  <c r="R523" i="76"/>
  <c r="K522" i="76"/>
  <c r="J522" i="76"/>
  <c r="P522" i="76"/>
  <c r="N522" i="76"/>
  <c r="I522" i="76"/>
  <c r="G522" i="76"/>
  <c r="M522" i="76"/>
  <c r="O522" i="76"/>
  <c r="Q522" i="76"/>
  <c r="L522" i="76"/>
  <c r="H522" i="76"/>
  <c r="AM522" i="76"/>
  <c r="AK522" i="76"/>
  <c r="AO522" i="76"/>
  <c r="AJ522" i="76"/>
  <c r="AP522" i="76"/>
  <c r="AN522" i="76"/>
  <c r="AL522" i="76"/>
  <c r="AF522" i="76"/>
  <c r="AG522" i="76"/>
  <c r="AH522" i="76"/>
  <c r="AI522" i="76"/>
  <c r="Z522" i="76"/>
  <c r="AA522" i="76"/>
  <c r="W522" i="76"/>
  <c r="Y522" i="76"/>
  <c r="U522" i="76"/>
  <c r="S522" i="76"/>
  <c r="AB522" i="76"/>
  <c r="X522" i="76"/>
  <c r="T522" i="76"/>
  <c r="V522" i="76"/>
  <c r="AC522" i="76"/>
  <c r="D523" i="76"/>
  <c r="B523" i="76"/>
  <c r="AR524" i="76"/>
  <c r="AE523" i="76"/>
  <c r="C523" i="76"/>
  <c r="A523" i="76"/>
  <c r="AD523" i="76"/>
  <c r="E523" i="76"/>
  <c r="F524" i="76" l="1"/>
  <c r="R524" i="76"/>
  <c r="B524" i="76"/>
  <c r="AD524" i="76"/>
  <c r="C524" i="76"/>
  <c r="AR525" i="76"/>
  <c r="E524" i="76"/>
  <c r="D524" i="76"/>
  <c r="A524" i="76"/>
  <c r="AE524" i="76"/>
  <c r="O523" i="76"/>
  <c r="M523" i="76"/>
  <c r="H523" i="76"/>
  <c r="I523" i="76"/>
  <c r="N523" i="76"/>
  <c r="L523" i="76"/>
  <c r="J523" i="76"/>
  <c r="P523" i="76"/>
  <c r="K523" i="76"/>
  <c r="Q523" i="76"/>
  <c r="G523" i="76"/>
  <c r="T523" i="76"/>
  <c r="S523" i="76"/>
  <c r="AB523" i="76"/>
  <c r="W523" i="76"/>
  <c r="AC523" i="76"/>
  <c r="X523" i="76"/>
  <c r="V523" i="76"/>
  <c r="Y523" i="76"/>
  <c r="Z523" i="76"/>
  <c r="U523" i="76"/>
  <c r="AA523" i="76"/>
  <c r="AO523" i="76"/>
  <c r="AJ523" i="76"/>
  <c r="AP523" i="76"/>
  <c r="AN523" i="76"/>
  <c r="AH523" i="76"/>
  <c r="AL523" i="76"/>
  <c r="AG523" i="76"/>
  <c r="AM523" i="76"/>
  <c r="AK523" i="76"/>
  <c r="AI523" i="76"/>
  <c r="AF523" i="76"/>
  <c r="F525" i="76" l="1"/>
  <c r="R525" i="76"/>
  <c r="AI524" i="76"/>
  <c r="AO524" i="76"/>
  <c r="AJ524" i="76"/>
  <c r="AP524" i="76"/>
  <c r="AF524" i="76"/>
  <c r="AL524" i="76"/>
  <c r="AG524" i="76"/>
  <c r="AM524" i="76"/>
  <c r="AH524" i="76"/>
  <c r="AN524" i="76"/>
  <c r="AK524" i="76"/>
  <c r="M524" i="76"/>
  <c r="O524" i="76"/>
  <c r="J524" i="76"/>
  <c r="P524" i="76"/>
  <c r="K524" i="76"/>
  <c r="Q524" i="76"/>
  <c r="L524" i="76"/>
  <c r="G524" i="76"/>
  <c r="H524" i="76"/>
  <c r="N524" i="76"/>
  <c r="I524" i="76"/>
  <c r="E525" i="76"/>
  <c r="D525" i="76"/>
  <c r="AD525" i="76"/>
  <c r="AR526" i="76"/>
  <c r="B525" i="76"/>
  <c r="AE525" i="76"/>
  <c r="C525" i="76"/>
  <c r="A525" i="76"/>
  <c r="AB524" i="76"/>
  <c r="W524" i="76"/>
  <c r="S524" i="76"/>
  <c r="U524" i="76"/>
  <c r="AA524" i="76"/>
  <c r="Y524" i="76"/>
  <c r="T524" i="76"/>
  <c r="Z524" i="76"/>
  <c r="AC524" i="76"/>
  <c r="X524" i="76"/>
  <c r="V524" i="76"/>
  <c r="F526" i="76" l="1"/>
  <c r="R526" i="76"/>
  <c r="AM525" i="76"/>
  <c r="AH525" i="76"/>
  <c r="AI525" i="76"/>
  <c r="AN525" i="76"/>
  <c r="AL525" i="76"/>
  <c r="AJ525" i="76"/>
  <c r="AP525" i="76"/>
  <c r="AK525" i="76"/>
  <c r="AG525" i="76"/>
  <c r="AF525" i="76"/>
  <c r="AO525" i="76"/>
  <c r="AR527" i="76"/>
  <c r="E526" i="76"/>
  <c r="D526" i="76"/>
  <c r="AE526" i="76"/>
  <c r="C526" i="76"/>
  <c r="B526" i="76"/>
  <c r="AD526" i="76"/>
  <c r="A526" i="76"/>
  <c r="M525" i="76"/>
  <c r="H525" i="76"/>
  <c r="N525" i="76"/>
  <c r="L525" i="76"/>
  <c r="G525" i="76"/>
  <c r="J525" i="76"/>
  <c r="P525" i="76"/>
  <c r="K525" i="76"/>
  <c r="Q525" i="76"/>
  <c r="O525" i="76"/>
  <c r="I525" i="76"/>
  <c r="AB525" i="76"/>
  <c r="W525" i="76"/>
  <c r="AC525" i="76"/>
  <c r="X525" i="76"/>
  <c r="V525" i="76"/>
  <c r="AA525" i="76"/>
  <c r="T525" i="76"/>
  <c r="Z525" i="76"/>
  <c r="U525" i="76"/>
  <c r="S525" i="76"/>
  <c r="Y525" i="76"/>
  <c r="F527" i="76" l="1"/>
  <c r="R527" i="76"/>
  <c r="AP526" i="76"/>
  <c r="AK526" i="76"/>
  <c r="AF526" i="76"/>
  <c r="AL526" i="76"/>
  <c r="AG526" i="76"/>
  <c r="AM526" i="76"/>
  <c r="AH526" i="76"/>
  <c r="AN526" i="76"/>
  <c r="AI526" i="76"/>
  <c r="AO526" i="76"/>
  <c r="AJ526" i="76"/>
  <c r="M526" i="76"/>
  <c r="H526" i="76"/>
  <c r="N526" i="76"/>
  <c r="I526" i="76"/>
  <c r="O526" i="76"/>
  <c r="J526" i="76"/>
  <c r="P526" i="76"/>
  <c r="Q526" i="76"/>
  <c r="L526" i="76"/>
  <c r="K526" i="76"/>
  <c r="G526" i="76"/>
  <c r="E527" i="76"/>
  <c r="B527" i="76"/>
  <c r="A527" i="76"/>
  <c r="AE527" i="76"/>
  <c r="AR528" i="76"/>
  <c r="AD527" i="76"/>
  <c r="D527" i="76"/>
  <c r="C527" i="76"/>
  <c r="AB526" i="76"/>
  <c r="S526" i="76"/>
  <c r="AC526" i="76"/>
  <c r="X526" i="76"/>
  <c r="V526" i="76"/>
  <c r="Y526" i="76"/>
  <c r="T526" i="76"/>
  <c r="U526" i="76"/>
  <c r="AA526" i="76"/>
  <c r="W526" i="76"/>
  <c r="Z526" i="76"/>
  <c r="F528" i="76" l="1"/>
  <c r="R528" i="76"/>
  <c r="AR529" i="76"/>
  <c r="A528" i="76"/>
  <c r="AE528" i="76"/>
  <c r="C528" i="76"/>
  <c r="B528" i="76"/>
  <c r="D528" i="76"/>
  <c r="E528" i="76"/>
  <c r="AD528" i="76"/>
  <c r="AL527" i="76"/>
  <c r="AG527" i="76"/>
  <c r="AM527" i="76"/>
  <c r="AH527" i="76"/>
  <c r="AN527" i="76"/>
  <c r="AI527" i="76"/>
  <c r="AO527" i="76"/>
  <c r="AJ527" i="76"/>
  <c r="AP527" i="76"/>
  <c r="AK527" i="76"/>
  <c r="AF527" i="76"/>
  <c r="Q527" i="76"/>
  <c r="L527" i="76"/>
  <c r="G527" i="76"/>
  <c r="M527" i="76"/>
  <c r="H527" i="76"/>
  <c r="N527" i="76"/>
  <c r="I527" i="76"/>
  <c r="O527" i="76"/>
  <c r="J527" i="76"/>
  <c r="P527" i="76"/>
  <c r="K527" i="76"/>
  <c r="T527" i="76"/>
  <c r="Z527" i="76"/>
  <c r="U527" i="76"/>
  <c r="AA527" i="76"/>
  <c r="V527" i="76"/>
  <c r="AB527" i="76"/>
  <c r="W527" i="76"/>
  <c r="AC527" i="76"/>
  <c r="X527" i="76"/>
  <c r="S527" i="76"/>
  <c r="Y527" i="76"/>
  <c r="F529" i="76" l="1"/>
  <c r="R529" i="76"/>
  <c r="N528" i="76"/>
  <c r="I528" i="76"/>
  <c r="O528" i="76"/>
  <c r="M528" i="76"/>
  <c r="G528" i="76"/>
  <c r="K528" i="76"/>
  <c r="Q528" i="76"/>
  <c r="L528" i="76"/>
  <c r="J528" i="76"/>
  <c r="H528" i="76"/>
  <c r="P528" i="76"/>
  <c r="W528" i="76"/>
  <c r="AC528" i="76"/>
  <c r="X528" i="76"/>
  <c r="T528" i="76"/>
  <c r="S528" i="76"/>
  <c r="AB528" i="76"/>
  <c r="Z528" i="76"/>
  <c r="U528" i="76"/>
  <c r="Y528" i="76"/>
  <c r="AA528" i="76"/>
  <c r="V528" i="76"/>
  <c r="AG528" i="76"/>
  <c r="AM528" i="76"/>
  <c r="AH528" i="76"/>
  <c r="AF528" i="76"/>
  <c r="AK528" i="76"/>
  <c r="AO528" i="76"/>
  <c r="AJ528" i="76"/>
  <c r="AP528" i="76"/>
  <c r="AN528" i="76"/>
  <c r="AL528" i="76"/>
  <c r="AI528" i="76"/>
  <c r="B529" i="76"/>
  <c r="A529" i="76"/>
  <c r="AR530" i="76"/>
  <c r="AD529" i="76"/>
  <c r="D529" i="76"/>
  <c r="AE529" i="76"/>
  <c r="E529" i="76"/>
  <c r="C529" i="76"/>
  <c r="F530" i="76" l="1"/>
  <c r="R530" i="76"/>
  <c r="AL529" i="76"/>
  <c r="AG529" i="76"/>
  <c r="AM529" i="76"/>
  <c r="AH529" i="76"/>
  <c r="AN529" i="76"/>
  <c r="AI529" i="76"/>
  <c r="AO529" i="76"/>
  <c r="AJ529" i="76"/>
  <c r="AP529" i="76"/>
  <c r="AK529" i="76"/>
  <c r="AF529" i="76"/>
  <c r="AC529" i="76"/>
  <c r="X529" i="76"/>
  <c r="S529" i="76"/>
  <c r="Y529" i="76"/>
  <c r="T529" i="76"/>
  <c r="Z529" i="76"/>
  <c r="U529" i="76"/>
  <c r="AA529" i="76"/>
  <c r="V529" i="76"/>
  <c r="AB529" i="76"/>
  <c r="W529" i="76"/>
  <c r="M529" i="76"/>
  <c r="J529" i="76"/>
  <c r="P529" i="76"/>
  <c r="K529" i="76"/>
  <c r="Q529" i="76"/>
  <c r="L529" i="76"/>
  <c r="G529" i="76"/>
  <c r="H529" i="76"/>
  <c r="N529" i="76"/>
  <c r="I529" i="76"/>
  <c r="O529" i="76"/>
  <c r="D530" i="76"/>
  <c r="C530" i="76"/>
  <c r="B530" i="76"/>
  <c r="AE530" i="76"/>
  <c r="A530" i="76"/>
  <c r="AD530" i="76"/>
  <c r="AR531" i="76"/>
  <c r="E530" i="76"/>
  <c r="F531" i="76" l="1"/>
  <c r="R531" i="76"/>
  <c r="N530" i="76"/>
  <c r="I530" i="76"/>
  <c r="O530" i="76"/>
  <c r="J530" i="76"/>
  <c r="P530" i="76"/>
  <c r="K530" i="76"/>
  <c r="Q530" i="76"/>
  <c r="L530" i="76"/>
  <c r="G530" i="76"/>
  <c r="M530" i="76"/>
  <c r="H530" i="76"/>
  <c r="AR532" i="76"/>
  <c r="B531" i="76"/>
  <c r="AD531" i="76"/>
  <c r="A531" i="76"/>
  <c r="E531" i="76"/>
  <c r="D531" i="76"/>
  <c r="C531" i="76"/>
  <c r="AE531" i="76"/>
  <c r="AA530" i="76"/>
  <c r="V530" i="76"/>
  <c r="Y530" i="76"/>
  <c r="Z530" i="76"/>
  <c r="W530" i="76"/>
  <c r="AB530" i="76"/>
  <c r="S530" i="76"/>
  <c r="U530" i="76"/>
  <c r="T530" i="76"/>
  <c r="X530" i="76"/>
  <c r="AC530" i="76"/>
  <c r="AK530" i="76"/>
  <c r="AF530" i="76"/>
  <c r="AL530" i="76"/>
  <c r="AG530" i="76"/>
  <c r="AP530" i="76"/>
  <c r="AJ530" i="76"/>
  <c r="AN530" i="76"/>
  <c r="AI530" i="76"/>
  <c r="AO530" i="76"/>
  <c r="AM530" i="76"/>
  <c r="AH530" i="76"/>
  <c r="F532" i="76" l="1"/>
  <c r="R532" i="76"/>
  <c r="V531" i="76"/>
  <c r="AB531" i="76"/>
  <c r="W531" i="76"/>
  <c r="AC531" i="76"/>
  <c r="X531" i="76"/>
  <c r="S531" i="76"/>
  <c r="Y531" i="76"/>
  <c r="T531" i="76"/>
  <c r="Z531" i="76"/>
  <c r="U531" i="76"/>
  <c r="AA531" i="76"/>
  <c r="O531" i="76"/>
  <c r="J531" i="76"/>
  <c r="P531" i="76"/>
  <c r="K531" i="76"/>
  <c r="Q531" i="76"/>
  <c r="L531" i="76"/>
  <c r="G531" i="76"/>
  <c r="M531" i="76"/>
  <c r="H531" i="76"/>
  <c r="N531" i="76"/>
  <c r="I531" i="76"/>
  <c r="B532" i="76"/>
  <c r="AD532" i="76"/>
  <c r="A532" i="76"/>
  <c r="E532" i="76"/>
  <c r="D532" i="76"/>
  <c r="AR533" i="76"/>
  <c r="AE532" i="76"/>
  <c r="C532" i="76"/>
  <c r="AH531" i="76"/>
  <c r="AN531" i="76"/>
  <c r="AI531" i="76"/>
  <c r="AO531" i="76"/>
  <c r="AJ531" i="76"/>
  <c r="AP531" i="76"/>
  <c r="AK531" i="76"/>
  <c r="AF531" i="76"/>
  <c r="AL531" i="76"/>
  <c r="AM531" i="76"/>
  <c r="AG531" i="76"/>
  <c r="F533" i="76" l="1"/>
  <c r="R533" i="76"/>
  <c r="D533" i="76"/>
  <c r="AR534" i="76"/>
  <c r="B533" i="76"/>
  <c r="AD533" i="76"/>
  <c r="A533" i="76"/>
  <c r="E533" i="76"/>
  <c r="AE533" i="76"/>
  <c r="C533" i="76"/>
  <c r="AG532" i="76"/>
  <c r="AM532" i="76"/>
  <c r="AK532" i="76"/>
  <c r="AF532" i="76"/>
  <c r="AL532" i="76"/>
  <c r="AO532" i="76"/>
  <c r="AJ532" i="76"/>
  <c r="AP532" i="76"/>
  <c r="AN532" i="76"/>
  <c r="AI532" i="76"/>
  <c r="AH532" i="76"/>
  <c r="K532" i="76"/>
  <c r="L532" i="76"/>
  <c r="G532" i="76"/>
  <c r="M532" i="76"/>
  <c r="H532" i="76"/>
  <c r="I532" i="76"/>
  <c r="O532" i="76"/>
  <c r="J532" i="76"/>
  <c r="N532" i="76"/>
  <c r="Q532" i="76"/>
  <c r="P532" i="76"/>
  <c r="AB532" i="76"/>
  <c r="W532" i="76"/>
  <c r="AC532" i="76"/>
  <c r="X532" i="76"/>
  <c r="S532" i="76"/>
  <c r="Y532" i="76"/>
  <c r="Z532" i="76"/>
  <c r="U532" i="76"/>
  <c r="AA532" i="76"/>
  <c r="V532" i="76"/>
  <c r="T532" i="76"/>
  <c r="F534" i="76" l="1"/>
  <c r="R534" i="76"/>
  <c r="X533" i="76"/>
  <c r="S533" i="76"/>
  <c r="Y533" i="76"/>
  <c r="AB533" i="76"/>
  <c r="W533" i="76"/>
  <c r="AC533" i="76"/>
  <c r="AA533" i="76"/>
  <c r="V533" i="76"/>
  <c r="U533" i="76"/>
  <c r="T533" i="76"/>
  <c r="Z533" i="76"/>
  <c r="AR535" i="76"/>
  <c r="D534" i="76"/>
  <c r="E534" i="76"/>
  <c r="AD534" i="76"/>
  <c r="AE534" i="76"/>
  <c r="A534" i="76"/>
  <c r="C534" i="76"/>
  <c r="B534" i="76"/>
  <c r="AM533" i="76"/>
  <c r="AN533" i="76"/>
  <c r="AI533" i="76"/>
  <c r="AO533" i="76"/>
  <c r="AJ533" i="76"/>
  <c r="AP533" i="76"/>
  <c r="AK533" i="76"/>
  <c r="AF533" i="76"/>
  <c r="AL533" i="76"/>
  <c r="AG533" i="76"/>
  <c r="AH533" i="76"/>
  <c r="O533" i="76"/>
  <c r="J533" i="76"/>
  <c r="P533" i="76"/>
  <c r="K533" i="76"/>
  <c r="Q533" i="76"/>
  <c r="L533" i="76"/>
  <c r="G533" i="76"/>
  <c r="M533" i="76"/>
  <c r="H533" i="76"/>
  <c r="N533" i="76"/>
  <c r="I533" i="76"/>
  <c r="F535" i="76" l="1"/>
  <c r="R535" i="76"/>
  <c r="M534" i="76"/>
  <c r="H534" i="76"/>
  <c r="N534" i="76"/>
  <c r="I534" i="76"/>
  <c r="O534" i="76"/>
  <c r="J534" i="76"/>
  <c r="P534" i="76"/>
  <c r="K534" i="76"/>
  <c r="Q534" i="76"/>
  <c r="L534" i="76"/>
  <c r="G534" i="76"/>
  <c r="Y534" i="76"/>
  <c r="T534" i="76"/>
  <c r="S534" i="76"/>
  <c r="U534" i="76"/>
  <c r="W534" i="76"/>
  <c r="V534" i="76"/>
  <c r="AB534" i="76"/>
  <c r="Z534" i="76"/>
  <c r="AC534" i="76"/>
  <c r="X534" i="76"/>
  <c r="AA534" i="76"/>
  <c r="D535" i="76"/>
  <c r="C535" i="76"/>
  <c r="A535" i="76"/>
  <c r="AD535" i="76"/>
  <c r="AR536" i="76"/>
  <c r="AE535" i="76"/>
  <c r="B535" i="76"/>
  <c r="E535" i="76"/>
  <c r="AP534" i="76"/>
  <c r="AK534" i="76"/>
  <c r="AF534" i="76"/>
  <c r="AL534" i="76"/>
  <c r="AG534" i="76"/>
  <c r="AM534" i="76"/>
  <c r="AH534" i="76"/>
  <c r="AN534" i="76"/>
  <c r="AI534" i="76"/>
  <c r="AO534" i="76"/>
  <c r="AJ534" i="76"/>
  <c r="F536" i="76" l="1"/>
  <c r="R536" i="76"/>
  <c r="P535" i="76"/>
  <c r="K535" i="76"/>
  <c r="Q535" i="76"/>
  <c r="M535" i="76"/>
  <c r="H535" i="76"/>
  <c r="N535" i="76"/>
  <c r="I535" i="76"/>
  <c r="G535" i="76"/>
  <c r="L535" i="76"/>
  <c r="O535" i="76"/>
  <c r="J535" i="76"/>
  <c r="AO535" i="76"/>
  <c r="AJ535" i="76"/>
  <c r="AP535" i="76"/>
  <c r="AK535" i="76"/>
  <c r="AF535" i="76"/>
  <c r="AL535" i="76"/>
  <c r="AG535" i="76"/>
  <c r="AM535" i="76"/>
  <c r="AH535" i="76"/>
  <c r="AN535" i="76"/>
  <c r="AI535" i="76"/>
  <c r="Y535" i="76"/>
  <c r="X535" i="76"/>
  <c r="V535" i="76"/>
  <c r="AB535" i="76"/>
  <c r="W535" i="76"/>
  <c r="U535" i="76"/>
  <c r="AA535" i="76"/>
  <c r="S535" i="76"/>
  <c r="T535" i="76"/>
  <c r="Z535" i="76"/>
  <c r="AC535" i="76"/>
  <c r="E536" i="76"/>
  <c r="AD536" i="76"/>
  <c r="A536" i="76"/>
  <c r="AR537" i="76"/>
  <c r="C536" i="76"/>
  <c r="B536" i="76"/>
  <c r="D536" i="76"/>
  <c r="AE536" i="76"/>
  <c r="F537" i="76" l="1"/>
  <c r="R537" i="76"/>
  <c r="AI536" i="76"/>
  <c r="AO536" i="76"/>
  <c r="AJ536" i="76"/>
  <c r="AP536" i="76"/>
  <c r="AK536" i="76"/>
  <c r="AF536" i="76"/>
  <c r="AL536" i="76"/>
  <c r="AG536" i="76"/>
  <c r="AM536" i="76"/>
  <c r="AH536" i="76"/>
  <c r="AN536" i="76"/>
  <c r="B537" i="76"/>
  <c r="A537" i="76"/>
  <c r="AD537" i="76"/>
  <c r="C537" i="76"/>
  <c r="D537" i="76"/>
  <c r="AR538" i="76"/>
  <c r="E537" i="76"/>
  <c r="AE537" i="76"/>
  <c r="AA536" i="76"/>
  <c r="V536" i="76"/>
  <c r="AB536" i="76"/>
  <c r="W536" i="76"/>
  <c r="AC536" i="76"/>
  <c r="X536" i="76"/>
  <c r="S536" i="76"/>
  <c r="Y536" i="76"/>
  <c r="T536" i="76"/>
  <c r="Z536" i="76"/>
  <c r="U536" i="76"/>
  <c r="G536" i="76"/>
  <c r="M536" i="76"/>
  <c r="H536" i="76"/>
  <c r="N536" i="76"/>
  <c r="I536" i="76"/>
  <c r="O536" i="76"/>
  <c r="J536" i="76"/>
  <c r="P536" i="76"/>
  <c r="K536" i="76"/>
  <c r="Q536" i="76"/>
  <c r="L536" i="76"/>
  <c r="F538" i="76" l="1"/>
  <c r="R538" i="76"/>
  <c r="P537" i="76"/>
  <c r="K537" i="76"/>
  <c r="L537" i="76"/>
  <c r="G537" i="76"/>
  <c r="H537" i="76"/>
  <c r="N537" i="76"/>
  <c r="I537" i="76"/>
  <c r="O537" i="76"/>
  <c r="J537" i="76"/>
  <c r="Q537" i="76"/>
  <c r="M537" i="76"/>
  <c r="Y537" i="76"/>
  <c r="U537" i="76"/>
  <c r="V537" i="76"/>
  <c r="AB537" i="76"/>
  <c r="W537" i="76"/>
  <c r="AC537" i="76"/>
  <c r="X537" i="76"/>
  <c r="S537" i="76"/>
  <c r="T537" i="76"/>
  <c r="Z537" i="76"/>
  <c r="AA537" i="76"/>
  <c r="AH537" i="76"/>
  <c r="AN537" i="76"/>
  <c r="AI537" i="76"/>
  <c r="AO537" i="76"/>
  <c r="AJ537" i="76"/>
  <c r="AP537" i="76"/>
  <c r="AK537" i="76"/>
  <c r="AF537" i="76"/>
  <c r="AL537" i="76"/>
  <c r="AG537" i="76"/>
  <c r="AM537" i="76"/>
  <c r="AR539" i="76"/>
  <c r="E538" i="76"/>
  <c r="D538" i="76"/>
  <c r="C538" i="76"/>
  <c r="B538" i="76"/>
  <c r="AE538" i="76"/>
  <c r="A538" i="76"/>
  <c r="AD538" i="76"/>
  <c r="F539" i="76" l="1"/>
  <c r="R539" i="76"/>
  <c r="Z538" i="76"/>
  <c r="T538" i="76"/>
  <c r="AA538" i="76"/>
  <c r="V538" i="76"/>
  <c r="AC538" i="76"/>
  <c r="W538" i="76"/>
  <c r="Y538" i="76"/>
  <c r="U538" i="76"/>
  <c r="S538" i="76"/>
  <c r="AB538" i="76"/>
  <c r="X538" i="76"/>
  <c r="K538" i="76"/>
  <c r="O538" i="76"/>
  <c r="J538" i="76"/>
  <c r="P538" i="76"/>
  <c r="N538" i="76"/>
  <c r="L538" i="76"/>
  <c r="I538" i="76"/>
  <c r="G538" i="76"/>
  <c r="M538" i="76"/>
  <c r="H538" i="76"/>
  <c r="Q538" i="76"/>
  <c r="AD539" i="76"/>
  <c r="E539" i="76"/>
  <c r="C539" i="76"/>
  <c r="B539" i="76"/>
  <c r="AR540" i="76"/>
  <c r="AE539" i="76"/>
  <c r="A539" i="76"/>
  <c r="D539" i="76"/>
  <c r="AM538" i="76"/>
  <c r="AN538" i="76"/>
  <c r="AI538" i="76"/>
  <c r="AG538" i="76"/>
  <c r="AP538" i="76"/>
  <c r="AK538" i="76"/>
  <c r="AF538" i="76"/>
  <c r="AL538" i="76"/>
  <c r="AJ538" i="76"/>
  <c r="AO538" i="76"/>
  <c r="AH538" i="76"/>
  <c r="F540" i="76" l="1"/>
  <c r="R540" i="76"/>
  <c r="AH539" i="76"/>
  <c r="AN539" i="76"/>
  <c r="AI539" i="76"/>
  <c r="AO539" i="76"/>
  <c r="AJ539" i="76"/>
  <c r="AP539" i="76"/>
  <c r="AK539" i="76"/>
  <c r="AF539" i="76"/>
  <c r="AL539" i="76"/>
  <c r="AG539" i="76"/>
  <c r="AM539" i="76"/>
  <c r="E540" i="76"/>
  <c r="D540" i="76"/>
  <c r="A540" i="76"/>
  <c r="AE540" i="76"/>
  <c r="B540" i="76"/>
  <c r="AD540" i="76"/>
  <c r="C540" i="76"/>
  <c r="AR541" i="76"/>
  <c r="X539" i="76"/>
  <c r="S539" i="76"/>
  <c r="Y539" i="76"/>
  <c r="T539" i="76"/>
  <c r="Z539" i="76"/>
  <c r="U539" i="76"/>
  <c r="AA539" i="76"/>
  <c r="V539" i="76"/>
  <c r="AB539" i="76"/>
  <c r="W539" i="76"/>
  <c r="AC539" i="76"/>
  <c r="J539" i="76"/>
  <c r="P539" i="76"/>
  <c r="K539" i="76"/>
  <c r="Q539" i="76"/>
  <c r="L539" i="76"/>
  <c r="G539" i="76"/>
  <c r="M539" i="76"/>
  <c r="H539" i="76"/>
  <c r="N539" i="76"/>
  <c r="I539" i="76"/>
  <c r="O539" i="76"/>
  <c r="F541" i="76" l="1"/>
  <c r="R541" i="76"/>
  <c r="AI540" i="76"/>
  <c r="AP540" i="76"/>
  <c r="AK540" i="76"/>
  <c r="AF540" i="76"/>
  <c r="AL540" i="76"/>
  <c r="AG540" i="76"/>
  <c r="AM540" i="76"/>
  <c r="AH540" i="76"/>
  <c r="AN540" i="76"/>
  <c r="AO540" i="76"/>
  <c r="AJ540" i="76"/>
  <c r="D541" i="76"/>
  <c r="AD541" i="76"/>
  <c r="AE541" i="76"/>
  <c r="A541" i="76"/>
  <c r="AR542" i="76"/>
  <c r="B541" i="76"/>
  <c r="C541" i="76"/>
  <c r="E541" i="76"/>
  <c r="AB540" i="76"/>
  <c r="AC540" i="76"/>
  <c r="X540" i="76"/>
  <c r="S540" i="76"/>
  <c r="Y540" i="76"/>
  <c r="T540" i="76"/>
  <c r="Z540" i="76"/>
  <c r="U540" i="76"/>
  <c r="AA540" i="76"/>
  <c r="V540" i="76"/>
  <c r="W540" i="76"/>
  <c r="I540" i="76"/>
  <c r="P540" i="76"/>
  <c r="K540" i="76"/>
  <c r="Q540" i="76"/>
  <c r="L540" i="76"/>
  <c r="G540" i="76"/>
  <c r="M540" i="76"/>
  <c r="H540" i="76"/>
  <c r="N540" i="76"/>
  <c r="O540" i="76"/>
  <c r="J540" i="76"/>
  <c r="F542" i="76" l="1"/>
  <c r="R542" i="76"/>
  <c r="AR543" i="76"/>
  <c r="E542" i="76"/>
  <c r="D542" i="76"/>
  <c r="AD542" i="76"/>
  <c r="C542" i="76"/>
  <c r="B542" i="76"/>
  <c r="AE542" i="76"/>
  <c r="A542" i="76"/>
  <c r="T541" i="76"/>
  <c r="Z541" i="76"/>
  <c r="U541" i="76"/>
  <c r="V541" i="76"/>
  <c r="X541" i="76"/>
  <c r="AB541" i="76"/>
  <c r="W541" i="76"/>
  <c r="AC541" i="76"/>
  <c r="AA541" i="76"/>
  <c r="Y541" i="76"/>
  <c r="S541" i="76"/>
  <c r="J541" i="76"/>
  <c r="P541" i="76"/>
  <c r="K541" i="76"/>
  <c r="I541" i="76"/>
  <c r="G541" i="76"/>
  <c r="O541" i="76"/>
  <c r="M541" i="76"/>
  <c r="H541" i="76"/>
  <c r="N541" i="76"/>
  <c r="L541" i="76"/>
  <c r="Q541" i="76"/>
  <c r="AM541" i="76"/>
  <c r="AH541" i="76"/>
  <c r="AN541" i="76"/>
  <c r="AI541" i="76"/>
  <c r="AO541" i="76"/>
  <c r="AP541" i="76"/>
  <c r="AF541" i="76"/>
  <c r="AL541" i="76"/>
  <c r="AJ541" i="76"/>
  <c r="AK541" i="76"/>
  <c r="AG541" i="76"/>
  <c r="F543" i="76" l="1"/>
  <c r="R543" i="76"/>
  <c r="AL542" i="76"/>
  <c r="AG542" i="76"/>
  <c r="AM542" i="76"/>
  <c r="AK542" i="76"/>
  <c r="AP542" i="76"/>
  <c r="AI542" i="76"/>
  <c r="AO542" i="76"/>
  <c r="AH542" i="76"/>
  <c r="AN542" i="76"/>
  <c r="AJ542" i="76"/>
  <c r="AF542" i="76"/>
  <c r="AC542" i="76"/>
  <c r="X542" i="76"/>
  <c r="V542" i="76"/>
  <c r="Y542" i="76"/>
  <c r="T542" i="76"/>
  <c r="S542" i="76"/>
  <c r="U542" i="76"/>
  <c r="Z542" i="76"/>
  <c r="AB542" i="76"/>
  <c r="AA542" i="76"/>
  <c r="W542" i="76"/>
  <c r="P542" i="76"/>
  <c r="K542" i="76"/>
  <c r="I542" i="76"/>
  <c r="G542" i="76"/>
  <c r="L542" i="76"/>
  <c r="M542" i="76"/>
  <c r="H542" i="76"/>
  <c r="N542" i="76"/>
  <c r="O542" i="76"/>
  <c r="Q542" i="76"/>
  <c r="J542" i="76"/>
  <c r="AR544" i="76"/>
  <c r="E543" i="76"/>
  <c r="AD543" i="76"/>
  <c r="A543" i="76"/>
  <c r="D543" i="76"/>
  <c r="C543" i="76"/>
  <c r="B543" i="76"/>
  <c r="AE543" i="76"/>
  <c r="F544" i="76" l="1"/>
  <c r="R544" i="76"/>
  <c r="J543" i="76"/>
  <c r="P543" i="76"/>
  <c r="K543" i="76"/>
  <c r="Q543" i="76"/>
  <c r="L543" i="76"/>
  <c r="G543" i="76"/>
  <c r="H543" i="76"/>
  <c r="I543" i="76"/>
  <c r="M543" i="76"/>
  <c r="N543" i="76"/>
  <c r="O543" i="76"/>
  <c r="C544" i="76"/>
  <c r="B544" i="76"/>
  <c r="AR545" i="76"/>
  <c r="A544" i="76"/>
  <c r="AE544" i="76"/>
  <c r="E544" i="76"/>
  <c r="AD544" i="76"/>
  <c r="D544" i="76"/>
  <c r="AH543" i="76"/>
  <c r="AN543" i="76"/>
  <c r="AI543" i="76"/>
  <c r="AO543" i="76"/>
  <c r="AJ543" i="76"/>
  <c r="AM543" i="76"/>
  <c r="AP543" i="76"/>
  <c r="AK543" i="76"/>
  <c r="AF543" i="76"/>
  <c r="AL543" i="76"/>
  <c r="AG543" i="76"/>
  <c r="AA543" i="76"/>
  <c r="V543" i="76"/>
  <c r="AB543" i="76"/>
  <c r="W543" i="76"/>
  <c r="AC543" i="76"/>
  <c r="X543" i="76"/>
  <c r="Y543" i="76"/>
  <c r="T543" i="76"/>
  <c r="U543" i="76"/>
  <c r="S543" i="76"/>
  <c r="Z543" i="76"/>
  <c r="F545" i="76" l="1"/>
  <c r="R545" i="76"/>
  <c r="AO544" i="76"/>
  <c r="AJ544" i="76"/>
  <c r="AP544" i="76"/>
  <c r="AN544" i="76"/>
  <c r="AI544" i="76"/>
  <c r="AK544" i="76"/>
  <c r="AG544" i="76"/>
  <c r="AM544" i="76"/>
  <c r="AH544" i="76"/>
  <c r="AF544" i="76"/>
  <c r="AL544" i="76"/>
  <c r="B545" i="76"/>
  <c r="C545" i="76"/>
  <c r="D545" i="76"/>
  <c r="AE545" i="76"/>
  <c r="AR546" i="76"/>
  <c r="E545" i="76"/>
  <c r="AD545" i="76"/>
  <c r="A545" i="76"/>
  <c r="N544" i="76"/>
  <c r="I544" i="76"/>
  <c r="O544" i="76"/>
  <c r="M544" i="76"/>
  <c r="G544" i="76"/>
  <c r="K544" i="76"/>
  <c r="Q544" i="76"/>
  <c r="L544" i="76"/>
  <c r="J544" i="76"/>
  <c r="H544" i="76"/>
  <c r="P544" i="76"/>
  <c r="U544" i="76"/>
  <c r="W544" i="76"/>
  <c r="AC544" i="76"/>
  <c r="X544" i="76"/>
  <c r="V544" i="76"/>
  <c r="AB544" i="76"/>
  <c r="AA544" i="76"/>
  <c r="Z544" i="76"/>
  <c r="S544" i="76"/>
  <c r="Y544" i="76"/>
  <c r="T544" i="76"/>
  <c r="F546" i="76" l="1"/>
  <c r="R546" i="76"/>
  <c r="D546" i="76"/>
  <c r="AR547" i="76"/>
  <c r="E546" i="76"/>
  <c r="AE546" i="76"/>
  <c r="A546" i="76"/>
  <c r="AD546" i="76"/>
  <c r="C546" i="76"/>
  <c r="B546" i="76"/>
  <c r="Q545" i="76"/>
  <c r="L545" i="76"/>
  <c r="G545" i="76"/>
  <c r="M545" i="76"/>
  <c r="H545" i="76"/>
  <c r="N545" i="76"/>
  <c r="I545" i="76"/>
  <c r="O545" i="76"/>
  <c r="J545" i="76"/>
  <c r="P545" i="76"/>
  <c r="K545" i="76"/>
  <c r="AO545" i="76"/>
  <c r="AJ545" i="76"/>
  <c r="AP545" i="76"/>
  <c r="AK545" i="76"/>
  <c r="AF545" i="76"/>
  <c r="AL545" i="76"/>
  <c r="AG545" i="76"/>
  <c r="AM545" i="76"/>
  <c r="AH545" i="76"/>
  <c r="AN545" i="76"/>
  <c r="AI545" i="76"/>
  <c r="Z545" i="76"/>
  <c r="U545" i="76"/>
  <c r="AA545" i="76"/>
  <c r="V545" i="76"/>
  <c r="AB545" i="76"/>
  <c r="W545" i="76"/>
  <c r="AC545" i="76"/>
  <c r="X545" i="76"/>
  <c r="S545" i="76"/>
  <c r="Y545" i="76"/>
  <c r="T545" i="76"/>
  <c r="F547" i="76" l="1"/>
  <c r="R547" i="76"/>
  <c r="AG546" i="76"/>
  <c r="AM546" i="76"/>
  <c r="AH546" i="76"/>
  <c r="AN546" i="76"/>
  <c r="AI546" i="76"/>
  <c r="AO546" i="76"/>
  <c r="AJ546" i="76"/>
  <c r="AP546" i="76"/>
  <c r="AK546" i="76"/>
  <c r="AF546" i="76"/>
  <c r="AL546" i="76"/>
  <c r="W546" i="76"/>
  <c r="AC546" i="76"/>
  <c r="AB546" i="76"/>
  <c r="S546" i="76"/>
  <c r="U546" i="76"/>
  <c r="T546" i="76"/>
  <c r="Z546" i="76"/>
  <c r="X546" i="76"/>
  <c r="AA546" i="76"/>
  <c r="V546" i="76"/>
  <c r="Y546" i="76"/>
  <c r="G546" i="76"/>
  <c r="M546" i="76"/>
  <c r="H546" i="76"/>
  <c r="N546" i="76"/>
  <c r="I546" i="76"/>
  <c r="O546" i="76"/>
  <c r="J546" i="76"/>
  <c r="P546" i="76"/>
  <c r="K546" i="76"/>
  <c r="Q546" i="76"/>
  <c r="L546" i="76"/>
  <c r="D547" i="76"/>
  <c r="C547" i="76"/>
  <c r="AE547" i="76"/>
  <c r="E547" i="76"/>
  <c r="A547" i="76"/>
  <c r="AR548" i="76"/>
  <c r="B547" i="76"/>
  <c r="AD547" i="76"/>
  <c r="F548" i="76" l="1"/>
  <c r="R548" i="76"/>
  <c r="O547" i="76"/>
  <c r="J547" i="76"/>
  <c r="H547" i="76"/>
  <c r="Q547" i="76"/>
  <c r="N547" i="76"/>
  <c r="G547" i="76"/>
  <c r="K547" i="76"/>
  <c r="I547" i="76"/>
  <c r="L547" i="76"/>
  <c r="M547" i="76"/>
  <c r="P547" i="76"/>
  <c r="Y547" i="76"/>
  <c r="T547" i="76"/>
  <c r="Z547" i="76"/>
  <c r="U547" i="76"/>
  <c r="AA547" i="76"/>
  <c r="V547" i="76"/>
  <c r="AB547" i="76"/>
  <c r="W547" i="76"/>
  <c r="AC547" i="76"/>
  <c r="X547" i="76"/>
  <c r="S547" i="76"/>
  <c r="AP547" i="76"/>
  <c r="AK547" i="76"/>
  <c r="AF547" i="76"/>
  <c r="AL547" i="76"/>
  <c r="AJ547" i="76"/>
  <c r="AO547" i="76"/>
  <c r="AH547" i="76"/>
  <c r="AN547" i="76"/>
  <c r="AI547" i="76"/>
  <c r="AG547" i="76"/>
  <c r="AM547" i="76"/>
  <c r="E548" i="76"/>
  <c r="D548" i="76"/>
  <c r="A548" i="76"/>
  <c r="AE548" i="76"/>
  <c r="C548" i="76"/>
  <c r="AR549" i="76"/>
  <c r="B548" i="76"/>
  <c r="AD548" i="76"/>
  <c r="F549" i="76" l="1"/>
  <c r="R549" i="76"/>
  <c r="A549" i="76"/>
  <c r="AE549" i="76"/>
  <c r="E549" i="76"/>
  <c r="D549" i="76"/>
  <c r="C549" i="76"/>
  <c r="AR550" i="76"/>
  <c r="B549" i="76"/>
  <c r="AD549" i="76"/>
  <c r="K548" i="76"/>
  <c r="Q548" i="76"/>
  <c r="L548" i="76"/>
  <c r="G548" i="76"/>
  <c r="M548" i="76"/>
  <c r="H548" i="76"/>
  <c r="N548" i="76"/>
  <c r="I548" i="76"/>
  <c r="O548" i="76"/>
  <c r="J548" i="76"/>
  <c r="P548" i="76"/>
  <c r="Y548" i="76"/>
  <c r="T548" i="76"/>
  <c r="Z548" i="76"/>
  <c r="U548" i="76"/>
  <c r="AA548" i="76"/>
  <c r="V548" i="76"/>
  <c r="AB548" i="76"/>
  <c r="W548" i="76"/>
  <c r="AC548" i="76"/>
  <c r="X548" i="76"/>
  <c r="S548" i="76"/>
  <c r="AG548" i="76"/>
  <c r="AM548" i="76"/>
  <c r="AH548" i="76"/>
  <c r="AN548" i="76"/>
  <c r="AI548" i="76"/>
  <c r="AO548" i="76"/>
  <c r="AJ548" i="76"/>
  <c r="AP548" i="76"/>
  <c r="AK548" i="76"/>
  <c r="AF548" i="76"/>
  <c r="AL548" i="76"/>
  <c r="F550" i="76" l="1"/>
  <c r="R550" i="76"/>
  <c r="AE550" i="76"/>
  <c r="A550" i="76"/>
  <c r="B550" i="76"/>
  <c r="AR551" i="76"/>
  <c r="D550" i="76"/>
  <c r="E550" i="76"/>
  <c r="C550" i="76"/>
  <c r="AD550" i="76"/>
  <c r="O549" i="76"/>
  <c r="I549" i="76"/>
  <c r="L549" i="76"/>
  <c r="G549" i="76"/>
  <c r="M549" i="76"/>
  <c r="N549" i="76"/>
  <c r="P549" i="76"/>
  <c r="Q549" i="76"/>
  <c r="J549" i="76"/>
  <c r="H549" i="76"/>
  <c r="K549" i="76"/>
  <c r="AP549" i="76"/>
  <c r="AG549" i="76"/>
  <c r="AM549" i="76"/>
  <c r="AH549" i="76"/>
  <c r="AN549" i="76"/>
  <c r="AI549" i="76"/>
  <c r="AO549" i="76"/>
  <c r="AJ549" i="76"/>
  <c r="AK549" i="76"/>
  <c r="AF549" i="76"/>
  <c r="AL549" i="76"/>
  <c r="U549" i="76"/>
  <c r="S549" i="76"/>
  <c r="AB549" i="76"/>
  <c r="W549" i="76"/>
  <c r="AC549" i="76"/>
  <c r="Y549" i="76"/>
  <c r="AA549" i="76"/>
  <c r="V549" i="76"/>
  <c r="T549" i="76"/>
  <c r="Z549" i="76"/>
  <c r="X549" i="76"/>
  <c r="F551" i="76" l="1"/>
  <c r="R551" i="76"/>
  <c r="Q550" i="76"/>
  <c r="L550" i="76"/>
  <c r="G550" i="76"/>
  <c r="M550" i="76"/>
  <c r="H550" i="76"/>
  <c r="N550" i="76"/>
  <c r="I550" i="76"/>
  <c r="O550" i="76"/>
  <c r="J550" i="76"/>
  <c r="P550" i="76"/>
  <c r="K550" i="76"/>
  <c r="AC550" i="76"/>
  <c r="X550" i="76"/>
  <c r="AA550" i="76"/>
  <c r="Y550" i="76"/>
  <c r="T550" i="76"/>
  <c r="S550" i="76"/>
  <c r="U550" i="76"/>
  <c r="W550" i="76"/>
  <c r="V550" i="76"/>
  <c r="AB550" i="76"/>
  <c r="Z550" i="76"/>
  <c r="B551" i="76"/>
  <c r="E551" i="76"/>
  <c r="AR552" i="76"/>
  <c r="D551" i="76"/>
  <c r="AE551" i="76"/>
  <c r="AD551" i="76"/>
  <c r="C551" i="76"/>
  <c r="A551" i="76"/>
  <c r="AL550" i="76"/>
  <c r="AG550" i="76"/>
  <c r="AM550" i="76"/>
  <c r="AH550" i="76"/>
  <c r="AN550" i="76"/>
  <c r="AI550" i="76"/>
  <c r="AO550" i="76"/>
  <c r="AJ550" i="76"/>
  <c r="AP550" i="76"/>
  <c r="AK550" i="76"/>
  <c r="AF550" i="76"/>
  <c r="F552" i="76" l="1"/>
  <c r="R552" i="76"/>
  <c r="AC551" i="76"/>
  <c r="X551" i="76"/>
  <c r="S551" i="76"/>
  <c r="Y551" i="76"/>
  <c r="T551" i="76"/>
  <c r="Z551" i="76"/>
  <c r="AA551" i="76"/>
  <c r="AB551" i="76"/>
  <c r="U551" i="76"/>
  <c r="V551" i="76"/>
  <c r="W551" i="76"/>
  <c r="L551" i="76"/>
  <c r="G551" i="76"/>
  <c r="M551" i="76"/>
  <c r="H551" i="76"/>
  <c r="N551" i="76"/>
  <c r="I551" i="76"/>
  <c r="O551" i="76"/>
  <c r="J551" i="76"/>
  <c r="P551" i="76"/>
  <c r="K551" i="76"/>
  <c r="Q551" i="76"/>
  <c r="AH551" i="76"/>
  <c r="AN551" i="76"/>
  <c r="AI551" i="76"/>
  <c r="AO551" i="76"/>
  <c r="AJ551" i="76"/>
  <c r="AP551" i="76"/>
  <c r="AK551" i="76"/>
  <c r="AF551" i="76"/>
  <c r="AL551" i="76"/>
  <c r="AG551" i="76"/>
  <c r="AM551" i="76"/>
  <c r="AR553" i="76"/>
  <c r="A552" i="76"/>
  <c r="AE552" i="76"/>
  <c r="C552" i="76"/>
  <c r="B552" i="76"/>
  <c r="D552" i="76"/>
  <c r="E552" i="76"/>
  <c r="AD552" i="76"/>
  <c r="F553" i="76" l="1"/>
  <c r="R553" i="76"/>
  <c r="W552" i="76"/>
  <c r="X552" i="76"/>
  <c r="T552" i="76"/>
  <c r="Z552" i="76"/>
  <c r="U552" i="76"/>
  <c r="AA552" i="76"/>
  <c r="V552" i="76"/>
  <c r="AB552" i="76"/>
  <c r="AC552" i="76"/>
  <c r="S552" i="76"/>
  <c r="Y552" i="76"/>
  <c r="AP552" i="76"/>
  <c r="AK552" i="76"/>
  <c r="AF552" i="76"/>
  <c r="AL552" i="76"/>
  <c r="AG552" i="76"/>
  <c r="AM552" i="76"/>
  <c r="AH552" i="76"/>
  <c r="AN552" i="76"/>
  <c r="AI552" i="76"/>
  <c r="AO552" i="76"/>
  <c r="AJ552" i="76"/>
  <c r="AR554" i="76"/>
  <c r="B553" i="76"/>
  <c r="AD553" i="76"/>
  <c r="D553" i="76"/>
  <c r="C553" i="76"/>
  <c r="AE553" i="76"/>
  <c r="A553" i="76"/>
  <c r="E553" i="76"/>
  <c r="O552" i="76"/>
  <c r="K552" i="76"/>
  <c r="Q552" i="76"/>
  <c r="L552" i="76"/>
  <c r="G552" i="76"/>
  <c r="M552" i="76"/>
  <c r="H552" i="76"/>
  <c r="N552" i="76"/>
  <c r="I552" i="76"/>
  <c r="J552" i="76"/>
  <c r="P552" i="76"/>
  <c r="F554" i="76" l="1"/>
  <c r="R554" i="76"/>
  <c r="D554" i="76"/>
  <c r="AR555" i="76"/>
  <c r="E554" i="76"/>
  <c r="AE554" i="76"/>
  <c r="A554" i="76"/>
  <c r="AD554" i="76"/>
  <c r="C554" i="76"/>
  <c r="B554" i="76"/>
  <c r="AO553" i="76"/>
  <c r="AJ553" i="76"/>
  <c r="AP553" i="76"/>
  <c r="AK553" i="76"/>
  <c r="AF553" i="76"/>
  <c r="AL553" i="76"/>
  <c r="AG553" i="76"/>
  <c r="AM553" i="76"/>
  <c r="AH553" i="76"/>
  <c r="AN553" i="76"/>
  <c r="AI553" i="76"/>
  <c r="L553" i="76"/>
  <c r="M553" i="76"/>
  <c r="I553" i="76"/>
  <c r="O553" i="76"/>
  <c r="J553" i="76"/>
  <c r="P553" i="76"/>
  <c r="K553" i="76"/>
  <c r="Q553" i="76"/>
  <c r="G553" i="76"/>
  <c r="H553" i="76"/>
  <c r="N553" i="76"/>
  <c r="X553" i="76"/>
  <c r="T553" i="76"/>
  <c r="Z553" i="76"/>
  <c r="U553" i="76"/>
  <c r="AA553" i="76"/>
  <c r="V553" i="76"/>
  <c r="AB553" i="76"/>
  <c r="W553" i="76"/>
  <c r="AC553" i="76"/>
  <c r="S553" i="76"/>
  <c r="Y553" i="76"/>
  <c r="F555" i="76" l="1"/>
  <c r="R555" i="76"/>
  <c r="D555" i="76"/>
  <c r="B555" i="76"/>
  <c r="AR556" i="76"/>
  <c r="AE555" i="76"/>
  <c r="A555" i="76"/>
  <c r="AD555" i="76"/>
  <c r="E555" i="76"/>
  <c r="C555" i="76"/>
  <c r="AO554" i="76"/>
  <c r="AJ554" i="76"/>
  <c r="AP554" i="76"/>
  <c r="AK554" i="76"/>
  <c r="AF554" i="76"/>
  <c r="AL554" i="76"/>
  <c r="AG554" i="76"/>
  <c r="AM554" i="76"/>
  <c r="AH554" i="76"/>
  <c r="AN554" i="76"/>
  <c r="AI554" i="76"/>
  <c r="Z554" i="76"/>
  <c r="T554" i="76"/>
  <c r="AA554" i="76"/>
  <c r="V554" i="76"/>
  <c r="AC554" i="76"/>
  <c r="W554" i="76"/>
  <c r="Y554" i="76"/>
  <c r="U554" i="76"/>
  <c r="S554" i="76"/>
  <c r="AB554" i="76"/>
  <c r="X554" i="76"/>
  <c r="K554" i="76"/>
  <c r="Q554" i="76"/>
  <c r="L554" i="76"/>
  <c r="G554" i="76"/>
  <c r="M554" i="76"/>
  <c r="H554" i="76"/>
  <c r="N554" i="76"/>
  <c r="I554" i="76"/>
  <c r="O554" i="76"/>
  <c r="J554" i="76"/>
  <c r="P554" i="76"/>
  <c r="F556" i="76" l="1"/>
  <c r="R556" i="76"/>
  <c r="X555" i="76"/>
  <c r="S555" i="76"/>
  <c r="Y555" i="76"/>
  <c r="T555" i="76"/>
  <c r="Z555" i="76"/>
  <c r="U555" i="76"/>
  <c r="AA555" i="76"/>
  <c r="V555" i="76"/>
  <c r="AB555" i="76"/>
  <c r="W555" i="76"/>
  <c r="AC555" i="76"/>
  <c r="J555" i="76"/>
  <c r="P555" i="76"/>
  <c r="K555" i="76"/>
  <c r="Q555" i="76"/>
  <c r="L555" i="76"/>
  <c r="G555" i="76"/>
  <c r="M555" i="76"/>
  <c r="H555" i="76"/>
  <c r="N555" i="76"/>
  <c r="I555" i="76"/>
  <c r="O555" i="76"/>
  <c r="AH555" i="76"/>
  <c r="AN555" i="76"/>
  <c r="AI555" i="76"/>
  <c r="AO555" i="76"/>
  <c r="AJ555" i="76"/>
  <c r="AP555" i="76"/>
  <c r="AK555" i="76"/>
  <c r="AF555" i="76"/>
  <c r="AL555" i="76"/>
  <c r="AG555" i="76"/>
  <c r="AM555" i="76"/>
  <c r="E556" i="76"/>
  <c r="D556" i="76"/>
  <c r="AR557" i="76"/>
  <c r="C556" i="76"/>
  <c r="AE556" i="76"/>
  <c r="B556" i="76"/>
  <c r="AD556" i="76"/>
  <c r="A556" i="76"/>
  <c r="F557" i="76" l="1"/>
  <c r="R557" i="76"/>
  <c r="AL556" i="76"/>
  <c r="AG556" i="76"/>
  <c r="AM556" i="76"/>
  <c r="AH556" i="76"/>
  <c r="AN556" i="76"/>
  <c r="AI556" i="76"/>
  <c r="AO556" i="76"/>
  <c r="AJ556" i="76"/>
  <c r="AP556" i="76"/>
  <c r="AK556" i="76"/>
  <c r="AF556" i="76"/>
  <c r="AR558" i="76"/>
  <c r="AE557" i="76"/>
  <c r="E557" i="76"/>
  <c r="D557" i="76"/>
  <c r="C557" i="76"/>
  <c r="B557" i="76"/>
  <c r="A557" i="76"/>
  <c r="AD557" i="76"/>
  <c r="O556" i="76"/>
  <c r="J556" i="76"/>
  <c r="P556" i="76"/>
  <c r="K556" i="76"/>
  <c r="Q556" i="76"/>
  <c r="L556" i="76"/>
  <c r="G556" i="76"/>
  <c r="M556" i="76"/>
  <c r="H556" i="76"/>
  <c r="N556" i="76"/>
  <c r="I556" i="76"/>
  <c r="AB556" i="76"/>
  <c r="W556" i="76"/>
  <c r="AC556" i="76"/>
  <c r="X556" i="76"/>
  <c r="S556" i="76"/>
  <c r="Y556" i="76"/>
  <c r="T556" i="76"/>
  <c r="Z556" i="76"/>
  <c r="U556" i="76"/>
  <c r="AA556" i="76"/>
  <c r="V556" i="76"/>
  <c r="F558" i="76" l="1"/>
  <c r="R558" i="76"/>
  <c r="K557" i="76"/>
  <c r="G557" i="76"/>
  <c r="N557" i="76"/>
  <c r="I557" i="76"/>
  <c r="O557" i="76"/>
  <c r="J557" i="76"/>
  <c r="P557" i="76"/>
  <c r="Q557" i="76"/>
  <c r="L557" i="76"/>
  <c r="M557" i="76"/>
  <c r="H557" i="76"/>
  <c r="AR559" i="76"/>
  <c r="D558" i="76"/>
  <c r="AE558" i="76"/>
  <c r="A558" i="76"/>
  <c r="C558" i="76"/>
  <c r="B558" i="76"/>
  <c r="AD558" i="76"/>
  <c r="E558" i="76"/>
  <c r="X557" i="76"/>
  <c r="AC557" i="76"/>
  <c r="T557" i="76"/>
  <c r="AA557" i="76"/>
  <c r="V557" i="76"/>
  <c r="AB557" i="76"/>
  <c r="Z557" i="76"/>
  <c r="U557" i="76"/>
  <c r="S557" i="76"/>
  <c r="Y557" i="76"/>
  <c r="W557" i="76"/>
  <c r="AM557" i="76"/>
  <c r="AH557" i="76"/>
  <c r="AF557" i="76"/>
  <c r="AL557" i="76"/>
  <c r="AG557" i="76"/>
  <c r="AJ557" i="76"/>
  <c r="AP557" i="76"/>
  <c r="AN557" i="76"/>
  <c r="AI557" i="76"/>
  <c r="AO557" i="76"/>
  <c r="AK557" i="76"/>
  <c r="F559" i="76" l="1"/>
  <c r="R559" i="76"/>
  <c r="U558" i="76"/>
  <c r="AA558" i="76"/>
  <c r="Z558" i="76"/>
  <c r="T558" i="76"/>
  <c r="AB558" i="76"/>
  <c r="AC558" i="76"/>
  <c r="X558" i="76"/>
  <c r="V558" i="76"/>
  <c r="Y558" i="76"/>
  <c r="S558" i="76"/>
  <c r="W558" i="76"/>
  <c r="P558" i="76"/>
  <c r="K558" i="76"/>
  <c r="I558" i="76"/>
  <c r="G558" i="76"/>
  <c r="Q558" i="76"/>
  <c r="M558" i="76"/>
  <c r="H558" i="76"/>
  <c r="N558" i="76"/>
  <c r="L558" i="76"/>
  <c r="J558" i="76"/>
  <c r="O558" i="76"/>
  <c r="AR560" i="76"/>
  <c r="E559" i="76"/>
  <c r="AD559" i="76"/>
  <c r="A559" i="76"/>
  <c r="D559" i="76"/>
  <c r="C559" i="76"/>
  <c r="B559" i="76"/>
  <c r="AE559" i="76"/>
  <c r="AI558" i="76"/>
  <c r="AO558" i="76"/>
  <c r="AJ558" i="76"/>
  <c r="AP558" i="76"/>
  <c r="AN558" i="76"/>
  <c r="AF558" i="76"/>
  <c r="AL558" i="76"/>
  <c r="AG558" i="76"/>
  <c r="AM558" i="76"/>
  <c r="AK558" i="76"/>
  <c r="AH558" i="76"/>
  <c r="F560" i="76" l="1"/>
  <c r="R560" i="76"/>
  <c r="N559" i="76"/>
  <c r="I559" i="76"/>
  <c r="O559" i="76"/>
  <c r="J559" i="76"/>
  <c r="P559" i="76"/>
  <c r="K559" i="76"/>
  <c r="Q559" i="76"/>
  <c r="L559" i="76"/>
  <c r="G559" i="76"/>
  <c r="M559" i="76"/>
  <c r="H559" i="76"/>
  <c r="T559" i="76"/>
  <c r="Z559" i="76"/>
  <c r="U559" i="76"/>
  <c r="AA559" i="76"/>
  <c r="V559" i="76"/>
  <c r="AB559" i="76"/>
  <c r="W559" i="76"/>
  <c r="AC559" i="76"/>
  <c r="X559" i="76"/>
  <c r="S559" i="76"/>
  <c r="Y559" i="76"/>
  <c r="AO559" i="76"/>
  <c r="AJ559" i="76"/>
  <c r="AP559" i="76"/>
  <c r="AK559" i="76"/>
  <c r="AF559" i="76"/>
  <c r="AL559" i="76"/>
  <c r="AG559" i="76"/>
  <c r="AM559" i="76"/>
  <c r="AH559" i="76"/>
  <c r="AN559" i="76"/>
  <c r="AI559" i="76"/>
  <c r="D560" i="76"/>
  <c r="E560" i="76"/>
  <c r="AD560" i="76"/>
  <c r="AR561" i="76"/>
  <c r="A560" i="76"/>
  <c r="AE560" i="76"/>
  <c r="C560" i="76"/>
  <c r="B560" i="76"/>
  <c r="F561" i="76" l="1"/>
  <c r="R561" i="76"/>
  <c r="AG560" i="76"/>
  <c r="AM560" i="76"/>
  <c r="AH560" i="76"/>
  <c r="AN560" i="76"/>
  <c r="AI560" i="76"/>
  <c r="AO560" i="76"/>
  <c r="AJ560" i="76"/>
  <c r="AP560" i="76"/>
  <c r="AK560" i="76"/>
  <c r="AF560" i="76"/>
  <c r="AL560" i="76"/>
  <c r="D561" i="76"/>
  <c r="AE561" i="76"/>
  <c r="E561" i="76"/>
  <c r="AR562" i="76"/>
  <c r="B561" i="76"/>
  <c r="A561" i="76"/>
  <c r="C561" i="76"/>
  <c r="AD561" i="76"/>
  <c r="K560" i="76"/>
  <c r="Q560" i="76"/>
  <c r="L560" i="76"/>
  <c r="M560" i="76"/>
  <c r="O560" i="76"/>
  <c r="P560" i="76"/>
  <c r="N560" i="76"/>
  <c r="I560" i="76"/>
  <c r="G560" i="76"/>
  <c r="H560" i="76"/>
  <c r="J560" i="76"/>
  <c r="Z560" i="76"/>
  <c r="U560" i="76"/>
  <c r="AA560" i="76"/>
  <c r="V560" i="76"/>
  <c r="AB560" i="76"/>
  <c r="W560" i="76"/>
  <c r="AC560" i="76"/>
  <c r="X560" i="76"/>
  <c r="S560" i="76"/>
  <c r="Y560" i="76"/>
  <c r="T560" i="76"/>
  <c r="F562" i="76" l="1"/>
  <c r="R562" i="76"/>
  <c r="Q561" i="76"/>
  <c r="L561" i="76"/>
  <c r="G561" i="76"/>
  <c r="M561" i="76"/>
  <c r="H561" i="76"/>
  <c r="N561" i="76"/>
  <c r="I561" i="76"/>
  <c r="J561" i="76"/>
  <c r="P561" i="76"/>
  <c r="K561" i="76"/>
  <c r="O561" i="76"/>
  <c r="AE562" i="76"/>
  <c r="A562" i="76"/>
  <c r="AD562" i="76"/>
  <c r="C562" i="76"/>
  <c r="E562" i="76"/>
  <c r="B562" i="76"/>
  <c r="D562" i="76"/>
  <c r="AR563" i="76"/>
  <c r="AO561" i="76"/>
  <c r="AJ561" i="76"/>
  <c r="AP561" i="76"/>
  <c r="AK561" i="76"/>
  <c r="AF561" i="76"/>
  <c r="AL561" i="76"/>
  <c r="AM561" i="76"/>
  <c r="AH561" i="76"/>
  <c r="AN561" i="76"/>
  <c r="AG561" i="76"/>
  <c r="AI561" i="76"/>
  <c r="Z561" i="76"/>
  <c r="U561" i="76"/>
  <c r="AA561" i="76"/>
  <c r="V561" i="76"/>
  <c r="AB561" i="76"/>
  <c r="W561" i="76"/>
  <c r="AC561" i="76"/>
  <c r="X561" i="76"/>
  <c r="S561" i="76"/>
  <c r="T561" i="76"/>
  <c r="Y561" i="76"/>
  <c r="F563" i="76" l="1"/>
  <c r="R563" i="76"/>
  <c r="Z562" i="76"/>
  <c r="X562" i="76"/>
  <c r="AA562" i="76"/>
  <c r="V562" i="76"/>
  <c r="Y562" i="76"/>
  <c r="W562" i="76"/>
  <c r="AC562" i="76"/>
  <c r="AB562" i="76"/>
  <c r="S562" i="76"/>
  <c r="U562" i="76"/>
  <c r="T562" i="76"/>
  <c r="G562" i="76"/>
  <c r="M562" i="76"/>
  <c r="H562" i="76"/>
  <c r="N562" i="76"/>
  <c r="I562" i="76"/>
  <c r="O562" i="76"/>
  <c r="J562" i="76"/>
  <c r="P562" i="76"/>
  <c r="K562" i="76"/>
  <c r="Q562" i="76"/>
  <c r="L562" i="76"/>
  <c r="AO562" i="76"/>
  <c r="AJ562" i="76"/>
  <c r="AP562" i="76"/>
  <c r="AK562" i="76"/>
  <c r="AF562" i="76"/>
  <c r="AL562" i="76"/>
  <c r="AG562" i="76"/>
  <c r="AM562" i="76"/>
  <c r="AH562" i="76"/>
  <c r="AN562" i="76"/>
  <c r="AI562" i="76"/>
  <c r="A563" i="76"/>
  <c r="AR564" i="76"/>
  <c r="B563" i="76"/>
  <c r="AD563" i="76"/>
  <c r="D563" i="76"/>
  <c r="C563" i="76"/>
  <c r="AE563" i="76"/>
  <c r="E563" i="76"/>
  <c r="F564" i="76" l="1"/>
  <c r="R564" i="76"/>
  <c r="E564" i="76"/>
  <c r="D564" i="76"/>
  <c r="AR565" i="76"/>
  <c r="C564" i="76"/>
  <c r="AE564" i="76"/>
  <c r="B564" i="76"/>
  <c r="AD564" i="76"/>
  <c r="A564" i="76"/>
  <c r="V563" i="76"/>
  <c r="AB563" i="76"/>
  <c r="W563" i="76"/>
  <c r="AC563" i="76"/>
  <c r="X563" i="76"/>
  <c r="S563" i="76"/>
  <c r="Y563" i="76"/>
  <c r="T563" i="76"/>
  <c r="Z563" i="76"/>
  <c r="U563" i="76"/>
  <c r="AA563" i="76"/>
  <c r="AH563" i="76"/>
  <c r="AN563" i="76"/>
  <c r="AI563" i="76"/>
  <c r="AO563" i="76"/>
  <c r="AJ563" i="76"/>
  <c r="AP563" i="76"/>
  <c r="AF563" i="76"/>
  <c r="AL563" i="76"/>
  <c r="AG563" i="76"/>
  <c r="AM563" i="76"/>
  <c r="AK563" i="76"/>
  <c r="O563" i="76"/>
  <c r="J563" i="76"/>
  <c r="P563" i="76"/>
  <c r="K563" i="76"/>
  <c r="Q563" i="76"/>
  <c r="L563" i="76"/>
  <c r="G563" i="76"/>
  <c r="M563" i="76"/>
  <c r="H563" i="76"/>
  <c r="N563" i="76"/>
  <c r="I563" i="76"/>
  <c r="F565" i="76" l="1"/>
  <c r="R565" i="76"/>
  <c r="O564" i="76"/>
  <c r="J564" i="76"/>
  <c r="P564" i="76"/>
  <c r="K564" i="76"/>
  <c r="Q564" i="76"/>
  <c r="L564" i="76"/>
  <c r="G564" i="76"/>
  <c r="M564" i="76"/>
  <c r="H564" i="76"/>
  <c r="N564" i="76"/>
  <c r="I564" i="76"/>
  <c r="U564" i="76"/>
  <c r="AA564" i="76"/>
  <c r="V564" i="76"/>
  <c r="AB564" i="76"/>
  <c r="W564" i="76"/>
  <c r="AC564" i="76"/>
  <c r="X564" i="76"/>
  <c r="S564" i="76"/>
  <c r="Y564" i="76"/>
  <c r="T564" i="76"/>
  <c r="Z564" i="76"/>
  <c r="AN564" i="76"/>
  <c r="AI564" i="76"/>
  <c r="AO564" i="76"/>
  <c r="AJ564" i="76"/>
  <c r="AP564" i="76"/>
  <c r="AK564" i="76"/>
  <c r="AF564" i="76"/>
  <c r="AL564" i="76"/>
  <c r="AG564" i="76"/>
  <c r="AM564" i="76"/>
  <c r="AH564" i="76"/>
  <c r="AR566" i="76"/>
  <c r="B565" i="76"/>
  <c r="AD565" i="76"/>
  <c r="D565" i="76"/>
  <c r="C565" i="76"/>
  <c r="E565" i="76"/>
  <c r="A565" i="76"/>
  <c r="AE565" i="76"/>
  <c r="F566" i="76" l="1"/>
  <c r="R566" i="76"/>
  <c r="O565" i="76"/>
  <c r="J565" i="76"/>
  <c r="K565" i="76"/>
  <c r="I565" i="76"/>
  <c r="H565" i="76"/>
  <c r="L565" i="76"/>
  <c r="G565" i="76"/>
  <c r="M565" i="76"/>
  <c r="Q565" i="76"/>
  <c r="P565" i="76"/>
  <c r="N565" i="76"/>
  <c r="AE566" i="76"/>
  <c r="A566" i="76"/>
  <c r="AD566" i="76"/>
  <c r="B566" i="76"/>
  <c r="AR567" i="76"/>
  <c r="D566" i="76"/>
  <c r="E566" i="76"/>
  <c r="C566" i="76"/>
  <c r="AF565" i="76"/>
  <c r="AL565" i="76"/>
  <c r="AG565" i="76"/>
  <c r="AP565" i="76"/>
  <c r="AJ565" i="76"/>
  <c r="AN565" i="76"/>
  <c r="AI565" i="76"/>
  <c r="AO565" i="76"/>
  <c r="AM565" i="76"/>
  <c r="AH565" i="76"/>
  <c r="AK565" i="76"/>
  <c r="X565" i="76"/>
  <c r="S565" i="76"/>
  <c r="Y565" i="76"/>
  <c r="T565" i="76"/>
  <c r="Z565" i="76"/>
  <c r="AC565" i="76"/>
  <c r="AA565" i="76"/>
  <c r="V565" i="76"/>
  <c r="AB565" i="76"/>
  <c r="W565" i="76"/>
  <c r="U565" i="76"/>
  <c r="F567" i="76" l="1"/>
  <c r="R567" i="76"/>
  <c r="P566" i="76"/>
  <c r="K566" i="76"/>
  <c r="I566" i="76"/>
  <c r="G566" i="76"/>
  <c r="Q566" i="76"/>
  <c r="M566" i="76"/>
  <c r="H566" i="76"/>
  <c r="N566" i="76"/>
  <c r="L566" i="76"/>
  <c r="J566" i="76"/>
  <c r="O566" i="76"/>
  <c r="AI566" i="76"/>
  <c r="AO566" i="76"/>
  <c r="AJ566" i="76"/>
  <c r="AF566" i="76"/>
  <c r="AP566" i="76"/>
  <c r="AN566" i="76"/>
  <c r="AL566" i="76"/>
  <c r="AG566" i="76"/>
  <c r="AH566" i="76"/>
  <c r="AM566" i="76"/>
  <c r="AK566" i="76"/>
  <c r="U566" i="76"/>
  <c r="W566" i="76"/>
  <c r="V566" i="76"/>
  <c r="T566" i="76"/>
  <c r="S566" i="76"/>
  <c r="AC566" i="76"/>
  <c r="X566" i="76"/>
  <c r="AA566" i="76"/>
  <c r="Y566" i="76"/>
  <c r="Z566" i="76"/>
  <c r="AB566" i="76"/>
  <c r="AD567" i="76"/>
  <c r="D567" i="76"/>
  <c r="C567" i="76"/>
  <c r="B567" i="76"/>
  <c r="E567" i="76"/>
  <c r="AR568" i="76"/>
  <c r="A567" i="76"/>
  <c r="AE567" i="76"/>
  <c r="F568" i="76" l="1"/>
  <c r="R568" i="76"/>
  <c r="Z567" i="76"/>
  <c r="U567" i="76"/>
  <c r="AA567" i="76"/>
  <c r="V567" i="76"/>
  <c r="AB567" i="76"/>
  <c r="W567" i="76"/>
  <c r="AC567" i="76"/>
  <c r="X567" i="76"/>
  <c r="S567" i="76"/>
  <c r="Y567" i="76"/>
  <c r="T567" i="76"/>
  <c r="AO567" i="76"/>
  <c r="AJ567" i="76"/>
  <c r="AP567" i="76"/>
  <c r="AK567" i="76"/>
  <c r="AF567" i="76"/>
  <c r="AL567" i="76"/>
  <c r="AG567" i="76"/>
  <c r="AM567" i="76"/>
  <c r="AH567" i="76"/>
  <c r="AN567" i="76"/>
  <c r="AI567" i="76"/>
  <c r="E568" i="76"/>
  <c r="AD568" i="76"/>
  <c r="D568" i="76"/>
  <c r="AE568" i="76"/>
  <c r="C568" i="76"/>
  <c r="B568" i="76"/>
  <c r="AR569" i="76"/>
  <c r="A568" i="76"/>
  <c r="O567" i="76"/>
  <c r="J567" i="76"/>
  <c r="P567" i="76"/>
  <c r="K567" i="76"/>
  <c r="Q567" i="76"/>
  <c r="L567" i="76"/>
  <c r="G567" i="76"/>
  <c r="M567" i="76"/>
  <c r="H567" i="76"/>
  <c r="N567" i="76"/>
  <c r="I567" i="76"/>
  <c r="F569" i="76" l="1"/>
  <c r="R569" i="76"/>
  <c r="G568" i="76"/>
  <c r="M568" i="76"/>
  <c r="H568" i="76"/>
  <c r="N568" i="76"/>
  <c r="I568" i="76"/>
  <c r="O568" i="76"/>
  <c r="J568" i="76"/>
  <c r="P568" i="76"/>
  <c r="K568" i="76"/>
  <c r="Q568" i="76"/>
  <c r="L568" i="76"/>
  <c r="B569" i="76"/>
  <c r="A569" i="76"/>
  <c r="AE569" i="76"/>
  <c r="E569" i="76"/>
  <c r="AD569" i="76"/>
  <c r="D569" i="76"/>
  <c r="AR570" i="76"/>
  <c r="C569" i="76"/>
  <c r="AL568" i="76"/>
  <c r="AG568" i="76"/>
  <c r="AM568" i="76"/>
  <c r="AH568" i="76"/>
  <c r="AN568" i="76"/>
  <c r="AI568" i="76"/>
  <c r="AO568" i="76"/>
  <c r="AJ568" i="76"/>
  <c r="AP568" i="76"/>
  <c r="AK568" i="76"/>
  <c r="AF568" i="76"/>
  <c r="W568" i="76"/>
  <c r="AC568" i="76"/>
  <c r="X568" i="76"/>
  <c r="S568" i="76"/>
  <c r="Y568" i="76"/>
  <c r="T568" i="76"/>
  <c r="Z568" i="76"/>
  <c r="U568" i="76"/>
  <c r="AA568" i="76"/>
  <c r="V568" i="76"/>
  <c r="AB568" i="76"/>
  <c r="F570" i="76" l="1"/>
  <c r="R570" i="76"/>
  <c r="L569" i="76"/>
  <c r="G569" i="76"/>
  <c r="Q569" i="76"/>
  <c r="H569" i="76"/>
  <c r="N569" i="76"/>
  <c r="J569" i="76"/>
  <c r="O569" i="76"/>
  <c r="M569" i="76"/>
  <c r="P569" i="76"/>
  <c r="K569" i="76"/>
  <c r="I569" i="76"/>
  <c r="AE570" i="76"/>
  <c r="C570" i="76"/>
  <c r="A570" i="76"/>
  <c r="E570" i="76"/>
  <c r="AR571" i="76"/>
  <c r="AD570" i="76"/>
  <c r="D570" i="76"/>
  <c r="B570" i="76"/>
  <c r="AP569" i="76"/>
  <c r="AK569" i="76"/>
  <c r="AF569" i="76"/>
  <c r="AH569" i="76"/>
  <c r="AG569" i="76"/>
  <c r="AM569" i="76"/>
  <c r="AJ569" i="76"/>
  <c r="AL569" i="76"/>
  <c r="AI569" i="76"/>
  <c r="AO569" i="76"/>
  <c r="AN569" i="76"/>
  <c r="AA569" i="76"/>
  <c r="U569" i="76"/>
  <c r="AB569" i="76"/>
  <c r="X569" i="76"/>
  <c r="AC569" i="76"/>
  <c r="W569" i="76"/>
  <c r="T569" i="76"/>
  <c r="Z569" i="76"/>
  <c r="S569" i="76"/>
  <c r="Y569" i="76"/>
  <c r="V569" i="76"/>
  <c r="F571" i="76" l="1"/>
  <c r="R571" i="76"/>
  <c r="AB570" i="76"/>
  <c r="AA570" i="76"/>
  <c r="AC570" i="76"/>
  <c r="X570" i="76"/>
  <c r="S570" i="76"/>
  <c r="U570" i="76"/>
  <c r="T570" i="76"/>
  <c r="Z570" i="76"/>
  <c r="W570" i="76"/>
  <c r="Y570" i="76"/>
  <c r="V570" i="76"/>
  <c r="I570" i="76"/>
  <c r="H570" i="76"/>
  <c r="N570" i="76"/>
  <c r="K570" i="76"/>
  <c r="M570" i="76"/>
  <c r="J570" i="76"/>
  <c r="P570" i="76"/>
  <c r="O570" i="76"/>
  <c r="Q570" i="76"/>
  <c r="L570" i="76"/>
  <c r="G570" i="76"/>
  <c r="AO570" i="76"/>
  <c r="AJ570" i="76"/>
  <c r="AP570" i="76"/>
  <c r="AG570" i="76"/>
  <c r="AF570" i="76"/>
  <c r="AL570" i="76"/>
  <c r="AI570" i="76"/>
  <c r="AK570" i="76"/>
  <c r="AH570" i="76"/>
  <c r="AN570" i="76"/>
  <c r="AM570" i="76"/>
  <c r="AR572" i="76"/>
  <c r="B571" i="76"/>
  <c r="AE571" i="76"/>
  <c r="A571" i="76"/>
  <c r="E571" i="76"/>
  <c r="D571" i="76"/>
  <c r="C571" i="76"/>
  <c r="AD571" i="76"/>
  <c r="F572" i="76" l="1"/>
  <c r="R572" i="76"/>
  <c r="X571" i="76"/>
  <c r="U571" i="76"/>
  <c r="AA571" i="76"/>
  <c r="Z571" i="76"/>
  <c r="AB571" i="76"/>
  <c r="AC571" i="76"/>
  <c r="T571" i="76"/>
  <c r="S571" i="76"/>
  <c r="V571" i="76"/>
  <c r="W571" i="76"/>
  <c r="Y571" i="76"/>
  <c r="Q571" i="76"/>
  <c r="H571" i="76"/>
  <c r="G571" i="76"/>
  <c r="M571" i="76"/>
  <c r="J571" i="76"/>
  <c r="I571" i="76"/>
  <c r="N571" i="76"/>
  <c r="P571" i="76"/>
  <c r="L571" i="76"/>
  <c r="O571" i="76"/>
  <c r="K571" i="76"/>
  <c r="AM571" i="76"/>
  <c r="AL571" i="76"/>
  <c r="AJ571" i="76"/>
  <c r="AI571" i="76"/>
  <c r="AO571" i="76"/>
  <c r="AP571" i="76"/>
  <c r="AN571" i="76"/>
  <c r="AK571" i="76"/>
  <c r="AF571" i="76"/>
  <c r="AG571" i="76"/>
  <c r="AH571" i="76"/>
  <c r="AR573" i="76"/>
  <c r="A572" i="76"/>
  <c r="AE572" i="76"/>
  <c r="B572" i="76"/>
  <c r="AD572" i="76"/>
  <c r="E572" i="76"/>
  <c r="C572" i="76"/>
  <c r="D572" i="76"/>
  <c r="F573" i="76" l="1"/>
  <c r="R573" i="76"/>
  <c r="J572" i="76"/>
  <c r="P572" i="76"/>
  <c r="Q572" i="76"/>
  <c r="O572" i="76"/>
  <c r="L572" i="76"/>
  <c r="K572" i="76"/>
  <c r="G572" i="76"/>
  <c r="H572" i="76"/>
  <c r="N572" i="76"/>
  <c r="M572" i="76"/>
  <c r="I572" i="76"/>
  <c r="S572" i="76"/>
  <c r="T572" i="76"/>
  <c r="Z572" i="76"/>
  <c r="X572" i="76"/>
  <c r="Y572" i="76"/>
  <c r="V572" i="76"/>
  <c r="AB572" i="76"/>
  <c r="AC572" i="76"/>
  <c r="AA572" i="76"/>
  <c r="W572" i="76"/>
  <c r="U572" i="76"/>
  <c r="AH572" i="76"/>
  <c r="AN572" i="76"/>
  <c r="AK572" i="76"/>
  <c r="AM572" i="76"/>
  <c r="AJ572" i="76"/>
  <c r="AP572" i="76"/>
  <c r="AO572" i="76"/>
  <c r="AF572" i="76"/>
  <c r="AL572" i="76"/>
  <c r="AG572" i="76"/>
  <c r="AI572" i="76"/>
  <c r="C573" i="76"/>
  <c r="D573" i="76"/>
  <c r="B573" i="76"/>
  <c r="AE573" i="76"/>
  <c r="E573" i="76"/>
  <c r="AR574" i="76"/>
  <c r="AD573" i="76"/>
  <c r="A573" i="76"/>
  <c r="F574" i="76" l="1"/>
  <c r="R574" i="76"/>
  <c r="D574" i="76"/>
  <c r="C574" i="76"/>
  <c r="B574" i="76"/>
  <c r="AD574" i="76"/>
  <c r="AR575" i="76"/>
  <c r="A574" i="76"/>
  <c r="AE574" i="76"/>
  <c r="E574" i="76"/>
  <c r="N573" i="76"/>
  <c r="K573" i="76"/>
  <c r="Q573" i="76"/>
  <c r="P573" i="76"/>
  <c r="G573" i="76"/>
  <c r="M573" i="76"/>
  <c r="H573" i="76"/>
  <c r="J573" i="76"/>
  <c r="I573" i="76"/>
  <c r="O573" i="76"/>
  <c r="L573" i="76"/>
  <c r="Y573" i="76"/>
  <c r="T573" i="76"/>
  <c r="S573" i="76"/>
  <c r="U573" i="76"/>
  <c r="W573" i="76"/>
  <c r="X573" i="76"/>
  <c r="Z573" i="76"/>
  <c r="V573" i="76"/>
  <c r="AC573" i="76"/>
  <c r="AB573" i="76"/>
  <c r="AA573" i="76"/>
  <c r="AP573" i="76"/>
  <c r="AK573" i="76"/>
  <c r="AF573" i="76"/>
  <c r="AH573" i="76"/>
  <c r="AG573" i="76"/>
  <c r="AM573" i="76"/>
  <c r="AJ573" i="76"/>
  <c r="AL573" i="76"/>
  <c r="AI573" i="76"/>
  <c r="AO573" i="76"/>
  <c r="AN573" i="76"/>
  <c r="F575" i="76" l="1"/>
  <c r="R575" i="76"/>
  <c r="L574" i="76"/>
  <c r="G574" i="76"/>
  <c r="I574" i="76"/>
  <c r="H574" i="76"/>
  <c r="N574" i="76"/>
  <c r="K574" i="76"/>
  <c r="M574" i="76"/>
  <c r="J574" i="76"/>
  <c r="P574" i="76"/>
  <c r="O574" i="76"/>
  <c r="Q574" i="76"/>
  <c r="AO574" i="76"/>
  <c r="AF574" i="76"/>
  <c r="AP574" i="76"/>
  <c r="AG574" i="76"/>
  <c r="AM574" i="76"/>
  <c r="AL574" i="76"/>
  <c r="AI574" i="76"/>
  <c r="AJ574" i="76"/>
  <c r="AH574" i="76"/>
  <c r="AN574" i="76"/>
  <c r="AK574" i="76"/>
  <c r="AR576" i="76"/>
  <c r="AE575" i="76"/>
  <c r="C575" i="76"/>
  <c r="AD575" i="76"/>
  <c r="D575" i="76"/>
  <c r="E575" i="76"/>
  <c r="B575" i="76"/>
  <c r="A575" i="76"/>
  <c r="T574" i="76"/>
  <c r="Z574" i="76"/>
  <c r="W574" i="76"/>
  <c r="Y574" i="76"/>
  <c r="V574" i="76"/>
  <c r="AB574" i="76"/>
  <c r="AA574" i="76"/>
  <c r="AC574" i="76"/>
  <c r="X574" i="76"/>
  <c r="S574" i="76"/>
  <c r="U574" i="76"/>
  <c r="F576" i="76" l="1"/>
  <c r="R576" i="76"/>
  <c r="S575" i="76"/>
  <c r="Y575" i="76"/>
  <c r="V575" i="76"/>
  <c r="X575" i="76"/>
  <c r="U575" i="76"/>
  <c r="AA575" i="76"/>
  <c r="Z575" i="76"/>
  <c r="AB575" i="76"/>
  <c r="W575" i="76"/>
  <c r="AC575" i="76"/>
  <c r="T575" i="76"/>
  <c r="AJ575" i="76"/>
  <c r="AI575" i="76"/>
  <c r="AO575" i="76"/>
  <c r="AP575" i="76"/>
  <c r="AN575" i="76"/>
  <c r="AK575" i="76"/>
  <c r="AH575" i="76"/>
  <c r="AF575" i="76"/>
  <c r="AG575" i="76"/>
  <c r="AM575" i="76"/>
  <c r="AL575" i="76"/>
  <c r="M575" i="76"/>
  <c r="J575" i="76"/>
  <c r="L575" i="76"/>
  <c r="I575" i="76"/>
  <c r="O575" i="76"/>
  <c r="N575" i="76"/>
  <c r="P575" i="76"/>
  <c r="K575" i="76"/>
  <c r="Q575" i="76"/>
  <c r="H575" i="76"/>
  <c r="G575" i="76"/>
  <c r="B576" i="76"/>
  <c r="AR577" i="76"/>
  <c r="C576" i="76"/>
  <c r="AE576" i="76"/>
  <c r="E576" i="76"/>
  <c r="D576" i="76"/>
  <c r="AD576" i="76"/>
  <c r="A576" i="76"/>
  <c r="F577" i="76" l="1"/>
  <c r="R577" i="76"/>
  <c r="AF576" i="76"/>
  <c r="AL576" i="76"/>
  <c r="AG576" i="76"/>
  <c r="AI576" i="76"/>
  <c r="AH576" i="76"/>
  <c r="AN576" i="76"/>
  <c r="AK576" i="76"/>
  <c r="AM576" i="76"/>
  <c r="AJ576" i="76"/>
  <c r="AP576" i="76"/>
  <c r="AO576" i="76"/>
  <c r="A577" i="76"/>
  <c r="AE577" i="76"/>
  <c r="E577" i="76"/>
  <c r="D577" i="76"/>
  <c r="C577" i="76"/>
  <c r="AR578" i="76"/>
  <c r="B577" i="76"/>
  <c r="AD577" i="76"/>
  <c r="S576" i="76"/>
  <c r="T576" i="76"/>
  <c r="Z576" i="76"/>
  <c r="Y576" i="76"/>
  <c r="W576" i="76"/>
  <c r="V576" i="76"/>
  <c r="AB576" i="76"/>
  <c r="AC576" i="76"/>
  <c r="AA576" i="76"/>
  <c r="X576" i="76"/>
  <c r="U576" i="76"/>
  <c r="L576" i="76"/>
  <c r="I576" i="76"/>
  <c r="O576" i="76"/>
  <c r="H576" i="76"/>
  <c r="J576" i="76"/>
  <c r="M576" i="76"/>
  <c r="K576" i="76"/>
  <c r="G576" i="76"/>
  <c r="P576" i="76"/>
  <c r="Q576" i="76"/>
  <c r="N576" i="76"/>
  <c r="F578" i="76" l="1"/>
  <c r="R578" i="76"/>
  <c r="O577" i="76"/>
  <c r="L577" i="76"/>
  <c r="M577" i="76"/>
  <c r="K577" i="76"/>
  <c r="Q577" i="76"/>
  <c r="N577" i="76"/>
  <c r="G577" i="76"/>
  <c r="I577" i="76"/>
  <c r="H577" i="76"/>
  <c r="J577" i="76"/>
  <c r="P577" i="76"/>
  <c r="AL577" i="76"/>
  <c r="AI577" i="76"/>
  <c r="AO577" i="76"/>
  <c r="AN577" i="76"/>
  <c r="AP577" i="76"/>
  <c r="AK577" i="76"/>
  <c r="AF577" i="76"/>
  <c r="AH577" i="76"/>
  <c r="AG577" i="76"/>
  <c r="AM577" i="76"/>
  <c r="AJ577" i="76"/>
  <c r="AC577" i="76"/>
  <c r="AB577" i="76"/>
  <c r="S577" i="76"/>
  <c r="Y577" i="76"/>
  <c r="T577" i="76"/>
  <c r="V577" i="76"/>
  <c r="U577" i="76"/>
  <c r="AA577" i="76"/>
  <c r="X577" i="76"/>
  <c r="Z577" i="76"/>
  <c r="W577" i="76"/>
  <c r="D578" i="76"/>
  <c r="B578" i="76"/>
  <c r="AD578" i="76"/>
  <c r="AR579" i="76"/>
  <c r="E578" i="76"/>
  <c r="AE578" i="76"/>
  <c r="C578" i="76"/>
  <c r="A578" i="76"/>
  <c r="F579" i="76" l="1"/>
  <c r="R579" i="76"/>
  <c r="AP578" i="76"/>
  <c r="AK578" i="76"/>
  <c r="AF578" i="76"/>
  <c r="AL578" i="76"/>
  <c r="AG578" i="76"/>
  <c r="AM578" i="76"/>
  <c r="AH578" i="76"/>
  <c r="AN578" i="76"/>
  <c r="AI578" i="76"/>
  <c r="AO578" i="76"/>
  <c r="AJ578" i="76"/>
  <c r="B579" i="76"/>
  <c r="A579" i="76"/>
  <c r="AR580" i="76"/>
  <c r="D579" i="76"/>
  <c r="C579" i="76"/>
  <c r="AD579" i="76"/>
  <c r="E579" i="76"/>
  <c r="AE579" i="76"/>
  <c r="O578" i="76"/>
  <c r="J578" i="76"/>
  <c r="P578" i="76"/>
  <c r="K578" i="76"/>
  <c r="Q578" i="76"/>
  <c r="L578" i="76"/>
  <c r="G578" i="76"/>
  <c r="M578" i="76"/>
  <c r="H578" i="76"/>
  <c r="N578" i="76"/>
  <c r="I578" i="76"/>
  <c r="Z578" i="76"/>
  <c r="U578" i="76"/>
  <c r="AA578" i="76"/>
  <c r="V578" i="76"/>
  <c r="AB578" i="76"/>
  <c r="W578" i="76"/>
  <c r="AC578" i="76"/>
  <c r="X578" i="76"/>
  <c r="S578" i="76"/>
  <c r="Y578" i="76"/>
  <c r="T578" i="76"/>
  <c r="F580" i="76" l="1"/>
  <c r="R580" i="76"/>
  <c r="AB579" i="76"/>
  <c r="W579" i="76"/>
  <c r="AC579" i="76"/>
  <c r="X579" i="76"/>
  <c r="S579" i="76"/>
  <c r="Y579" i="76"/>
  <c r="T579" i="76"/>
  <c r="Z579" i="76"/>
  <c r="U579" i="76"/>
  <c r="AA579" i="76"/>
  <c r="V579" i="76"/>
  <c r="M579" i="76"/>
  <c r="K579" i="76"/>
  <c r="N579" i="76"/>
  <c r="I579" i="76"/>
  <c r="L579" i="76"/>
  <c r="J579" i="76"/>
  <c r="P579" i="76"/>
  <c r="O579" i="76"/>
  <c r="Q579" i="76"/>
  <c r="H579" i="76"/>
  <c r="G579" i="76"/>
  <c r="AM579" i="76"/>
  <c r="AG579" i="76"/>
  <c r="AN579" i="76"/>
  <c r="AI579" i="76"/>
  <c r="AP579" i="76"/>
  <c r="AJ579" i="76"/>
  <c r="AL579" i="76"/>
  <c r="AH579" i="76"/>
  <c r="AF579" i="76"/>
  <c r="AO579" i="76"/>
  <c r="AK579" i="76"/>
  <c r="E580" i="76"/>
  <c r="AR581" i="76"/>
  <c r="A580" i="76"/>
  <c r="AD580" i="76"/>
  <c r="C580" i="76"/>
  <c r="B580" i="76"/>
  <c r="AE580" i="76"/>
  <c r="D580" i="76"/>
  <c r="F581" i="76" l="1"/>
  <c r="R581" i="76"/>
  <c r="E581" i="76"/>
  <c r="C581" i="76"/>
  <c r="A581" i="76"/>
  <c r="AR582" i="76"/>
  <c r="AD581" i="76"/>
  <c r="AE581" i="76"/>
  <c r="D581" i="76"/>
  <c r="B581" i="76"/>
  <c r="U580" i="76"/>
  <c r="AA580" i="76"/>
  <c r="V580" i="76"/>
  <c r="AB580" i="76"/>
  <c r="W580" i="76"/>
  <c r="AC580" i="76"/>
  <c r="X580" i="76"/>
  <c r="S580" i="76"/>
  <c r="Y580" i="76"/>
  <c r="T580" i="76"/>
  <c r="Z580" i="76"/>
  <c r="AO580" i="76"/>
  <c r="AJ580" i="76"/>
  <c r="AP580" i="76"/>
  <c r="AK580" i="76"/>
  <c r="AF580" i="76"/>
  <c r="AL580" i="76"/>
  <c r="AG580" i="76"/>
  <c r="AM580" i="76"/>
  <c r="AH580" i="76"/>
  <c r="AN580" i="76"/>
  <c r="AI580" i="76"/>
  <c r="N580" i="76"/>
  <c r="L580" i="76"/>
  <c r="O580" i="76"/>
  <c r="J580" i="76"/>
  <c r="M580" i="76"/>
  <c r="K580" i="76"/>
  <c r="Q580" i="76"/>
  <c r="P580" i="76"/>
  <c r="G580" i="76"/>
  <c r="I580" i="76"/>
  <c r="H580" i="76"/>
  <c r="F582" i="76" l="1"/>
  <c r="R582" i="76"/>
  <c r="AF581" i="76"/>
  <c r="AL581" i="76"/>
  <c r="AG581" i="76"/>
  <c r="AM581" i="76"/>
  <c r="AH581" i="76"/>
  <c r="AN581" i="76"/>
  <c r="AI581" i="76"/>
  <c r="AO581" i="76"/>
  <c r="AJ581" i="76"/>
  <c r="AP581" i="76"/>
  <c r="AK581" i="76"/>
  <c r="AR583" i="76"/>
  <c r="B582" i="76"/>
  <c r="AE582" i="76"/>
  <c r="AD582" i="76"/>
  <c r="E582" i="76"/>
  <c r="C582" i="76"/>
  <c r="A582" i="76"/>
  <c r="D582" i="76"/>
  <c r="N581" i="76"/>
  <c r="I581" i="76"/>
  <c r="O581" i="76"/>
  <c r="J581" i="76"/>
  <c r="P581" i="76"/>
  <c r="K581" i="76"/>
  <c r="Q581" i="76"/>
  <c r="L581" i="76"/>
  <c r="G581" i="76"/>
  <c r="M581" i="76"/>
  <c r="H581" i="76"/>
  <c r="AA581" i="76"/>
  <c r="V581" i="76"/>
  <c r="AB581" i="76"/>
  <c r="W581" i="76"/>
  <c r="AC581" i="76"/>
  <c r="X581" i="76"/>
  <c r="S581" i="76"/>
  <c r="Y581" i="76"/>
  <c r="T581" i="76"/>
  <c r="Z581" i="76"/>
  <c r="U581" i="76"/>
  <c r="F583" i="76" l="1"/>
  <c r="R583" i="76"/>
  <c r="M582" i="76"/>
  <c r="H582" i="76"/>
  <c r="N582" i="76"/>
  <c r="I582" i="76"/>
  <c r="O582" i="76"/>
  <c r="J582" i="76"/>
  <c r="P582" i="76"/>
  <c r="K582" i="76"/>
  <c r="Q582" i="76"/>
  <c r="L582" i="76"/>
  <c r="G582" i="76"/>
  <c r="AN582" i="76"/>
  <c r="AL582" i="76"/>
  <c r="AO582" i="76"/>
  <c r="AI582" i="76"/>
  <c r="AH582" i="76"/>
  <c r="AK582" i="76"/>
  <c r="AF582" i="76"/>
  <c r="AP582" i="76"/>
  <c r="AJ582" i="76"/>
  <c r="AM582" i="76"/>
  <c r="AG582" i="76"/>
  <c r="AE583" i="76"/>
  <c r="D583" i="76"/>
  <c r="AD583" i="76"/>
  <c r="B583" i="76"/>
  <c r="E583" i="76"/>
  <c r="C583" i="76"/>
  <c r="A583" i="76"/>
  <c r="AR584" i="76"/>
  <c r="U582" i="76"/>
  <c r="AA582" i="76"/>
  <c r="V582" i="76"/>
  <c r="AB582" i="76"/>
  <c r="W582" i="76"/>
  <c r="AC582" i="76"/>
  <c r="X582" i="76"/>
  <c r="S582" i="76"/>
  <c r="Y582" i="76"/>
  <c r="T582" i="76"/>
  <c r="Z582" i="76"/>
  <c r="F584" i="76" l="1"/>
  <c r="R584" i="76"/>
  <c r="AD584" i="76"/>
  <c r="B584" i="76"/>
  <c r="A584" i="76"/>
  <c r="E584" i="76"/>
  <c r="D584" i="76"/>
  <c r="AR585" i="76"/>
  <c r="C584" i="76"/>
  <c r="AE584" i="76"/>
  <c r="Q583" i="76"/>
  <c r="L583" i="76"/>
  <c r="G583" i="76"/>
  <c r="M583" i="76"/>
  <c r="H583" i="76"/>
  <c r="N583" i="76"/>
  <c r="I583" i="76"/>
  <c r="O583" i="76"/>
  <c r="J583" i="76"/>
  <c r="P583" i="76"/>
  <c r="K583" i="76"/>
  <c r="AL583" i="76"/>
  <c r="AG583" i="76"/>
  <c r="AJ583" i="76"/>
  <c r="AH583" i="76"/>
  <c r="AN583" i="76"/>
  <c r="AM583" i="76"/>
  <c r="AO583" i="76"/>
  <c r="AF583" i="76"/>
  <c r="AP583" i="76"/>
  <c r="AK583" i="76"/>
  <c r="AI583" i="76"/>
  <c r="V583" i="76"/>
  <c r="AB583" i="76"/>
  <c r="W583" i="76"/>
  <c r="AC583" i="76"/>
  <c r="X583" i="76"/>
  <c r="S583" i="76"/>
  <c r="Y583" i="76"/>
  <c r="T583" i="76"/>
  <c r="Z583" i="76"/>
  <c r="U583" i="76"/>
  <c r="AA583" i="76"/>
  <c r="F585" i="76" l="1"/>
  <c r="R585" i="76"/>
  <c r="AG584" i="76"/>
  <c r="AM584" i="76"/>
  <c r="AH584" i="76"/>
  <c r="AN584" i="76"/>
  <c r="AI584" i="76"/>
  <c r="AO584" i="76"/>
  <c r="AJ584" i="76"/>
  <c r="AP584" i="76"/>
  <c r="AK584" i="76"/>
  <c r="AF584" i="76"/>
  <c r="AL584" i="76"/>
  <c r="A585" i="76"/>
  <c r="AD585" i="76"/>
  <c r="E585" i="76"/>
  <c r="D585" i="76"/>
  <c r="C585" i="76"/>
  <c r="AR586" i="76"/>
  <c r="B585" i="76"/>
  <c r="AE585" i="76"/>
  <c r="Z584" i="76"/>
  <c r="U584" i="76"/>
  <c r="AA584" i="76"/>
  <c r="V584" i="76"/>
  <c r="AB584" i="76"/>
  <c r="W584" i="76"/>
  <c r="AC584" i="76"/>
  <c r="X584" i="76"/>
  <c r="S584" i="76"/>
  <c r="Y584" i="76"/>
  <c r="T584" i="76"/>
  <c r="K584" i="76"/>
  <c r="Q584" i="76"/>
  <c r="P584" i="76"/>
  <c r="G584" i="76"/>
  <c r="I584" i="76"/>
  <c r="H584" i="76"/>
  <c r="N584" i="76"/>
  <c r="L584" i="76"/>
  <c r="O584" i="76"/>
  <c r="J584" i="76"/>
  <c r="M584" i="76"/>
  <c r="F586" i="76" l="1"/>
  <c r="R586" i="76"/>
  <c r="N585" i="76"/>
  <c r="I585" i="76"/>
  <c r="O585" i="76"/>
  <c r="J585" i="76"/>
  <c r="P585" i="76"/>
  <c r="K585" i="76"/>
  <c r="Q585" i="76"/>
  <c r="L585" i="76"/>
  <c r="G585" i="76"/>
  <c r="M585" i="76"/>
  <c r="H585" i="76"/>
  <c r="AC585" i="76"/>
  <c r="AA585" i="76"/>
  <c r="W585" i="76"/>
  <c r="Y585" i="76"/>
  <c r="S585" i="76"/>
  <c r="Z585" i="76"/>
  <c r="U585" i="76"/>
  <c r="AB585" i="76"/>
  <c r="V585" i="76"/>
  <c r="X585" i="76"/>
  <c r="T585" i="76"/>
  <c r="AO585" i="76"/>
  <c r="AJ585" i="76"/>
  <c r="AP585" i="76"/>
  <c r="AK585" i="76"/>
  <c r="AF585" i="76"/>
  <c r="AL585" i="76"/>
  <c r="AG585" i="76"/>
  <c r="AM585" i="76"/>
  <c r="AH585" i="76"/>
  <c r="AN585" i="76"/>
  <c r="AI585" i="76"/>
  <c r="AR587" i="76"/>
  <c r="AE586" i="76"/>
  <c r="AD586" i="76"/>
  <c r="E586" i="76"/>
  <c r="C586" i="76"/>
  <c r="A586" i="76"/>
  <c r="D586" i="76"/>
  <c r="B586" i="76"/>
  <c r="F587" i="76" l="1"/>
  <c r="R587" i="76"/>
  <c r="AK586" i="76"/>
  <c r="AF586" i="76"/>
  <c r="AL586" i="76"/>
  <c r="AG586" i="76"/>
  <c r="AM586" i="76"/>
  <c r="AH586" i="76"/>
  <c r="AN586" i="76"/>
  <c r="AI586" i="76"/>
  <c r="AO586" i="76"/>
  <c r="AJ586" i="76"/>
  <c r="AP586" i="76"/>
  <c r="AR588" i="76"/>
  <c r="D587" i="76"/>
  <c r="AD587" i="76"/>
  <c r="B587" i="76"/>
  <c r="E587" i="76"/>
  <c r="C587" i="76"/>
  <c r="A587" i="76"/>
  <c r="AE587" i="76"/>
  <c r="S586" i="76"/>
  <c r="Y586" i="76"/>
  <c r="T586" i="76"/>
  <c r="Z586" i="76"/>
  <c r="U586" i="76"/>
  <c r="AA586" i="76"/>
  <c r="V586" i="76"/>
  <c r="AB586" i="76"/>
  <c r="W586" i="76"/>
  <c r="AC586" i="76"/>
  <c r="X586" i="76"/>
  <c r="G586" i="76"/>
  <c r="M586" i="76"/>
  <c r="H586" i="76"/>
  <c r="N586" i="76"/>
  <c r="I586" i="76"/>
  <c r="O586" i="76"/>
  <c r="J586" i="76"/>
  <c r="P586" i="76"/>
  <c r="K586" i="76"/>
  <c r="Q586" i="76"/>
  <c r="L586" i="76"/>
  <c r="F588" i="76" l="1"/>
  <c r="R588" i="76"/>
  <c r="P587" i="76"/>
  <c r="L587" i="76"/>
  <c r="G587" i="76"/>
  <c r="J587" i="76"/>
  <c r="K587" i="76"/>
  <c r="M587" i="76"/>
  <c r="I587" i="76"/>
  <c r="O587" i="76"/>
  <c r="Q587" i="76"/>
  <c r="H587" i="76"/>
  <c r="N587" i="76"/>
  <c r="D588" i="76"/>
  <c r="C588" i="76"/>
  <c r="B588" i="76"/>
  <c r="AE588" i="76"/>
  <c r="A588" i="76"/>
  <c r="AD588" i="76"/>
  <c r="E588" i="76"/>
  <c r="AR589" i="76"/>
  <c r="AN587" i="76"/>
  <c r="AI587" i="76"/>
  <c r="AL587" i="76"/>
  <c r="AJ587" i="76"/>
  <c r="AK587" i="76"/>
  <c r="AM587" i="76"/>
  <c r="AF587" i="76"/>
  <c r="AH587" i="76"/>
  <c r="AG587" i="76"/>
  <c r="AP587" i="76"/>
  <c r="AO587" i="76"/>
  <c r="Y587" i="76"/>
  <c r="T587" i="76"/>
  <c r="Z587" i="76"/>
  <c r="U587" i="76"/>
  <c r="S587" i="76"/>
  <c r="AA587" i="76"/>
  <c r="AB587" i="76"/>
  <c r="W587" i="76"/>
  <c r="AC587" i="76"/>
  <c r="X587" i="76"/>
  <c r="V587" i="76"/>
  <c r="F589" i="76" l="1"/>
  <c r="R589" i="76"/>
  <c r="AR590" i="76"/>
  <c r="AD589" i="76"/>
  <c r="A589" i="76"/>
  <c r="E589" i="76"/>
  <c r="C589" i="76"/>
  <c r="D589" i="76"/>
  <c r="B589" i="76"/>
  <c r="AE589" i="76"/>
  <c r="AB588" i="76"/>
  <c r="W588" i="76"/>
  <c r="AC588" i="76"/>
  <c r="X588" i="76"/>
  <c r="S588" i="76"/>
  <c r="Y588" i="76"/>
  <c r="T588" i="76"/>
  <c r="Z588" i="76"/>
  <c r="U588" i="76"/>
  <c r="AA588" i="76"/>
  <c r="V588" i="76"/>
  <c r="K588" i="76"/>
  <c r="Q588" i="76"/>
  <c r="P588" i="76"/>
  <c r="J588" i="76"/>
  <c r="M588" i="76"/>
  <c r="O588" i="76"/>
  <c r="N588" i="76"/>
  <c r="L588" i="76"/>
  <c r="G588" i="76"/>
  <c r="I588" i="76"/>
  <c r="H588" i="76"/>
  <c r="AG588" i="76"/>
  <c r="AM588" i="76"/>
  <c r="AH588" i="76"/>
  <c r="AN588" i="76"/>
  <c r="AI588" i="76"/>
  <c r="AO588" i="76"/>
  <c r="AJ588" i="76"/>
  <c r="AP588" i="76"/>
  <c r="AK588" i="76"/>
  <c r="AF588" i="76"/>
  <c r="AL588" i="76"/>
  <c r="F590" i="76" l="1"/>
  <c r="R590" i="76"/>
  <c r="AF589" i="76"/>
  <c r="AL589" i="76"/>
  <c r="AG589" i="76"/>
  <c r="AM589" i="76"/>
  <c r="AH589" i="76"/>
  <c r="AN589" i="76"/>
  <c r="AI589" i="76"/>
  <c r="AO589" i="76"/>
  <c r="AJ589" i="76"/>
  <c r="AP589" i="76"/>
  <c r="AK589" i="76"/>
  <c r="Y589" i="76"/>
  <c r="T589" i="76"/>
  <c r="Z589" i="76"/>
  <c r="U589" i="76"/>
  <c r="AA589" i="76"/>
  <c r="V589" i="76"/>
  <c r="AB589" i="76"/>
  <c r="W589" i="76"/>
  <c r="AC589" i="76"/>
  <c r="X589" i="76"/>
  <c r="S589" i="76"/>
  <c r="J589" i="76"/>
  <c r="P589" i="76"/>
  <c r="K589" i="76"/>
  <c r="Q589" i="76"/>
  <c r="L589" i="76"/>
  <c r="G589" i="76"/>
  <c r="M589" i="76"/>
  <c r="H589" i="76"/>
  <c r="N589" i="76"/>
  <c r="I589" i="76"/>
  <c r="O589" i="76"/>
  <c r="E590" i="76"/>
  <c r="C590" i="76"/>
  <c r="AR591" i="76"/>
  <c r="AE590" i="76"/>
  <c r="B590" i="76"/>
  <c r="AD590" i="76"/>
  <c r="A590" i="76"/>
  <c r="D590" i="76"/>
  <c r="F591" i="76" l="1"/>
  <c r="R591" i="76"/>
  <c r="AI590" i="76"/>
  <c r="AO590" i="76"/>
  <c r="AN590" i="76"/>
  <c r="AP590" i="76"/>
  <c r="AG590" i="76"/>
  <c r="AF590" i="76"/>
  <c r="AL590" i="76"/>
  <c r="AJ590" i="76"/>
  <c r="AM590" i="76"/>
  <c r="AH590" i="76"/>
  <c r="AK590" i="76"/>
  <c r="AE591" i="76"/>
  <c r="D591" i="76"/>
  <c r="E591" i="76"/>
  <c r="C591" i="76"/>
  <c r="B591" i="76"/>
  <c r="AR592" i="76"/>
  <c r="AD591" i="76"/>
  <c r="A591" i="76"/>
  <c r="X590" i="76"/>
  <c r="T590" i="76"/>
  <c r="Z590" i="76"/>
  <c r="U590" i="76"/>
  <c r="AA590" i="76"/>
  <c r="V590" i="76"/>
  <c r="AB590" i="76"/>
  <c r="W590" i="76"/>
  <c r="AC590" i="76"/>
  <c r="S590" i="76"/>
  <c r="Y590" i="76"/>
  <c r="O590" i="76"/>
  <c r="Q590" i="76"/>
  <c r="L590" i="76"/>
  <c r="G590" i="76"/>
  <c r="M590" i="76"/>
  <c r="K590" i="76"/>
  <c r="P590" i="76"/>
  <c r="I590" i="76"/>
  <c r="J590" i="76"/>
  <c r="H590" i="76"/>
  <c r="N590" i="76"/>
  <c r="F592" i="76" l="1"/>
  <c r="R592" i="76"/>
  <c r="L591" i="76"/>
  <c r="G591" i="76"/>
  <c r="M591" i="76"/>
  <c r="H591" i="76"/>
  <c r="N591" i="76"/>
  <c r="I591" i="76"/>
  <c r="O591" i="76"/>
  <c r="J591" i="76"/>
  <c r="P591" i="76"/>
  <c r="K591" i="76"/>
  <c r="Q591" i="76"/>
  <c r="E592" i="76"/>
  <c r="D592" i="76"/>
  <c r="AD592" i="76"/>
  <c r="C592" i="76"/>
  <c r="AE592" i="76"/>
  <c r="AR593" i="76"/>
  <c r="B592" i="76"/>
  <c r="A592" i="76"/>
  <c r="AC591" i="76"/>
  <c r="X591" i="76"/>
  <c r="S591" i="76"/>
  <c r="Y591" i="76"/>
  <c r="T591" i="76"/>
  <c r="Z591" i="76"/>
  <c r="U591" i="76"/>
  <c r="AA591" i="76"/>
  <c r="V591" i="76"/>
  <c r="AB591" i="76"/>
  <c r="W591" i="76"/>
  <c r="AO591" i="76"/>
  <c r="AM591" i="76"/>
  <c r="AP591" i="76"/>
  <c r="AK591" i="76"/>
  <c r="AN591" i="76"/>
  <c r="AL591" i="76"/>
  <c r="AG591" i="76"/>
  <c r="AF591" i="76"/>
  <c r="AH591" i="76"/>
  <c r="AJ591" i="76"/>
  <c r="AI591" i="76"/>
  <c r="F593" i="76" l="1"/>
  <c r="R593" i="76"/>
  <c r="AK592" i="76"/>
  <c r="AF592" i="76"/>
  <c r="AL592" i="76"/>
  <c r="AJ592" i="76"/>
  <c r="AP592" i="76"/>
  <c r="AG592" i="76"/>
  <c r="AN592" i="76"/>
  <c r="AI592" i="76"/>
  <c r="AO592" i="76"/>
  <c r="AM592" i="76"/>
  <c r="AH592" i="76"/>
  <c r="W592" i="76"/>
  <c r="AA592" i="76"/>
  <c r="V592" i="76"/>
  <c r="AB592" i="76"/>
  <c r="Z592" i="76"/>
  <c r="X592" i="76"/>
  <c r="U592" i="76"/>
  <c r="S592" i="76"/>
  <c r="Y592" i="76"/>
  <c r="T592" i="76"/>
  <c r="AC592" i="76"/>
  <c r="G592" i="76"/>
  <c r="I592" i="76"/>
  <c r="H592" i="76"/>
  <c r="N592" i="76"/>
  <c r="L592" i="76"/>
  <c r="O592" i="76"/>
  <c r="J592" i="76"/>
  <c r="M592" i="76"/>
  <c r="K592" i="76"/>
  <c r="Q592" i="76"/>
  <c r="P592" i="76"/>
  <c r="D593" i="76"/>
  <c r="C593" i="76"/>
  <c r="AR594" i="76"/>
  <c r="E593" i="76"/>
  <c r="AD593" i="76"/>
  <c r="B593" i="76"/>
  <c r="AE593" i="76"/>
  <c r="A593" i="76"/>
  <c r="F594" i="76" l="1"/>
  <c r="R594" i="76"/>
  <c r="J593" i="76"/>
  <c r="P593" i="76"/>
  <c r="K593" i="76"/>
  <c r="Q593" i="76"/>
  <c r="L593" i="76"/>
  <c r="G593" i="76"/>
  <c r="M593" i="76"/>
  <c r="H593" i="76"/>
  <c r="N593" i="76"/>
  <c r="I593" i="76"/>
  <c r="O593" i="76"/>
  <c r="T593" i="76"/>
  <c r="V593" i="76"/>
  <c r="U593" i="76"/>
  <c r="AA593" i="76"/>
  <c r="Y593" i="76"/>
  <c r="AB593" i="76"/>
  <c r="W593" i="76"/>
  <c r="Z593" i="76"/>
  <c r="X593" i="76"/>
  <c r="S593" i="76"/>
  <c r="AC593" i="76"/>
  <c r="AO593" i="76"/>
  <c r="AJ593" i="76"/>
  <c r="AP593" i="76"/>
  <c r="AK593" i="76"/>
  <c r="AF593" i="76"/>
  <c r="AL593" i="76"/>
  <c r="AG593" i="76"/>
  <c r="AM593" i="76"/>
  <c r="AH593" i="76"/>
  <c r="AN593" i="76"/>
  <c r="AI593" i="76"/>
  <c r="AD594" i="76"/>
  <c r="AR595" i="76"/>
  <c r="E594" i="76"/>
  <c r="C594" i="76"/>
  <c r="A594" i="76"/>
  <c r="AE594" i="76"/>
  <c r="D594" i="76"/>
  <c r="B594" i="76"/>
  <c r="F595" i="76" l="1"/>
  <c r="R595" i="76"/>
  <c r="AC594" i="76"/>
  <c r="S594" i="76"/>
  <c r="Y594" i="76"/>
  <c r="T594" i="76"/>
  <c r="Z594" i="76"/>
  <c r="X594" i="76"/>
  <c r="AA594" i="76"/>
  <c r="V594" i="76"/>
  <c r="AB594" i="76"/>
  <c r="W594" i="76"/>
  <c r="U594" i="76"/>
  <c r="AL594" i="76"/>
  <c r="AG594" i="76"/>
  <c r="AM594" i="76"/>
  <c r="AH594" i="76"/>
  <c r="AN594" i="76"/>
  <c r="AI594" i="76"/>
  <c r="AO594" i="76"/>
  <c r="AJ594" i="76"/>
  <c r="AP594" i="76"/>
  <c r="AK594" i="76"/>
  <c r="AF594" i="76"/>
  <c r="AE595" i="76"/>
  <c r="D595" i="76"/>
  <c r="AR596" i="76"/>
  <c r="C595" i="76"/>
  <c r="B595" i="76"/>
  <c r="A595" i="76"/>
  <c r="AD595" i="76"/>
  <c r="E595" i="76"/>
  <c r="J594" i="76"/>
  <c r="K594" i="76"/>
  <c r="Q594" i="76"/>
  <c r="L594" i="76"/>
  <c r="M594" i="76"/>
  <c r="O594" i="76"/>
  <c r="H594" i="76"/>
  <c r="N594" i="76"/>
  <c r="I594" i="76"/>
  <c r="G594" i="76"/>
  <c r="P594" i="76"/>
  <c r="F596" i="76" l="1"/>
  <c r="R596" i="76"/>
  <c r="C596" i="76"/>
  <c r="B596" i="76"/>
  <c r="AD596" i="76"/>
  <c r="D596" i="76"/>
  <c r="E596" i="76"/>
  <c r="AR597" i="76"/>
  <c r="A596" i="76"/>
  <c r="AE596" i="76"/>
  <c r="T595" i="76"/>
  <c r="Z595" i="76"/>
  <c r="U595" i="76"/>
  <c r="AA595" i="76"/>
  <c r="V595" i="76"/>
  <c r="AB595" i="76"/>
  <c r="W595" i="76"/>
  <c r="AC595" i="76"/>
  <c r="X595" i="76"/>
  <c r="S595" i="76"/>
  <c r="Y595" i="76"/>
  <c r="J595" i="76"/>
  <c r="L595" i="76"/>
  <c r="H595" i="76"/>
  <c r="Q595" i="76"/>
  <c r="O595" i="76"/>
  <c r="K595" i="76"/>
  <c r="M595" i="76"/>
  <c r="G595" i="76"/>
  <c r="N595" i="76"/>
  <c r="I595" i="76"/>
  <c r="P595" i="76"/>
  <c r="AM595" i="76"/>
  <c r="AG595" i="76"/>
  <c r="AN595" i="76"/>
  <c r="AI595" i="76"/>
  <c r="AP595" i="76"/>
  <c r="AJ595" i="76"/>
  <c r="AL595" i="76"/>
  <c r="AH595" i="76"/>
  <c r="AF595" i="76"/>
  <c r="AO595" i="76"/>
  <c r="AK595" i="76"/>
  <c r="F597" i="76" l="1"/>
  <c r="R597" i="76"/>
  <c r="AO596" i="76"/>
  <c r="AJ596" i="76"/>
  <c r="AP596" i="76"/>
  <c r="AK596" i="76"/>
  <c r="AF596" i="76"/>
  <c r="AL596" i="76"/>
  <c r="AG596" i="76"/>
  <c r="AM596" i="76"/>
  <c r="AH596" i="76"/>
  <c r="AN596" i="76"/>
  <c r="AI596" i="76"/>
  <c r="AD597" i="76"/>
  <c r="E597" i="76"/>
  <c r="AR598" i="76"/>
  <c r="D597" i="76"/>
  <c r="AE597" i="76"/>
  <c r="C597" i="76"/>
  <c r="B597" i="76"/>
  <c r="A597" i="76"/>
  <c r="N596" i="76"/>
  <c r="L596" i="76"/>
  <c r="O596" i="76"/>
  <c r="J596" i="76"/>
  <c r="M596" i="76"/>
  <c r="K596" i="76"/>
  <c r="Q596" i="76"/>
  <c r="P596" i="76"/>
  <c r="G596" i="76"/>
  <c r="I596" i="76"/>
  <c r="H596" i="76"/>
  <c r="AB596" i="76"/>
  <c r="W596" i="76"/>
  <c r="AC596" i="76"/>
  <c r="X596" i="76"/>
  <c r="S596" i="76"/>
  <c r="Y596" i="76"/>
  <c r="T596" i="76"/>
  <c r="Z596" i="76"/>
  <c r="U596" i="76"/>
  <c r="AA596" i="76"/>
  <c r="V596" i="76"/>
  <c r="F598" i="76" l="1"/>
  <c r="R598" i="76"/>
  <c r="AM597" i="76"/>
  <c r="AH597" i="76"/>
  <c r="AN597" i="76"/>
  <c r="AI597" i="76"/>
  <c r="AO597" i="76"/>
  <c r="AJ597" i="76"/>
  <c r="AP597" i="76"/>
  <c r="AK597" i="76"/>
  <c r="AF597" i="76"/>
  <c r="AL597" i="76"/>
  <c r="AG597" i="76"/>
  <c r="A598" i="76"/>
  <c r="D598" i="76"/>
  <c r="E598" i="76"/>
  <c r="C598" i="76"/>
  <c r="AD598" i="76"/>
  <c r="AR599" i="76"/>
  <c r="B598" i="76"/>
  <c r="AE598" i="76"/>
  <c r="J597" i="76"/>
  <c r="P597" i="76"/>
  <c r="K597" i="76"/>
  <c r="Q597" i="76"/>
  <c r="L597" i="76"/>
  <c r="G597" i="76"/>
  <c r="M597" i="76"/>
  <c r="H597" i="76"/>
  <c r="N597" i="76"/>
  <c r="I597" i="76"/>
  <c r="O597" i="76"/>
  <c r="T597" i="76"/>
  <c r="Z597" i="76"/>
  <c r="U597" i="76"/>
  <c r="AA597" i="76"/>
  <c r="V597" i="76"/>
  <c r="AB597" i="76"/>
  <c r="W597" i="76"/>
  <c r="AC597" i="76"/>
  <c r="X597" i="76"/>
  <c r="S597" i="76"/>
  <c r="Y597" i="76"/>
  <c r="F599" i="76" l="1"/>
  <c r="R599" i="76"/>
  <c r="P598" i="76"/>
  <c r="K598" i="76"/>
  <c r="Q598" i="76"/>
  <c r="L598" i="76"/>
  <c r="G598" i="76"/>
  <c r="M598" i="76"/>
  <c r="H598" i="76"/>
  <c r="N598" i="76"/>
  <c r="I598" i="76"/>
  <c r="O598" i="76"/>
  <c r="J598" i="76"/>
  <c r="U598" i="76"/>
  <c r="AA598" i="76"/>
  <c r="V598" i="76"/>
  <c r="AB598" i="76"/>
  <c r="W598" i="76"/>
  <c r="AC598" i="76"/>
  <c r="X598" i="76"/>
  <c r="S598" i="76"/>
  <c r="Y598" i="76"/>
  <c r="T598" i="76"/>
  <c r="Z598" i="76"/>
  <c r="AK598" i="76"/>
  <c r="AF598" i="76"/>
  <c r="AI598" i="76"/>
  <c r="AG598" i="76"/>
  <c r="AM598" i="76"/>
  <c r="AL598" i="76"/>
  <c r="AN598" i="76"/>
  <c r="AP598" i="76"/>
  <c r="AO598" i="76"/>
  <c r="AJ598" i="76"/>
  <c r="AH598" i="76"/>
  <c r="D599" i="76"/>
  <c r="B599" i="76"/>
  <c r="AR600" i="76"/>
  <c r="AD599" i="76"/>
  <c r="A599" i="76"/>
  <c r="AE599" i="76"/>
  <c r="E599" i="76"/>
  <c r="C599" i="76"/>
  <c r="F600" i="76" l="1"/>
  <c r="R600" i="76"/>
  <c r="AD600" i="76"/>
  <c r="B600" i="76"/>
  <c r="A600" i="76"/>
  <c r="E600" i="76"/>
  <c r="D600" i="76"/>
  <c r="AR601" i="76"/>
  <c r="C600" i="76"/>
  <c r="AE600" i="76"/>
  <c r="AL599" i="76"/>
  <c r="AG599" i="76"/>
  <c r="AJ599" i="76"/>
  <c r="AH599" i="76"/>
  <c r="AN599" i="76"/>
  <c r="AM599" i="76"/>
  <c r="AO599" i="76"/>
  <c r="AF599" i="76"/>
  <c r="AP599" i="76"/>
  <c r="AK599" i="76"/>
  <c r="AI599" i="76"/>
  <c r="AC599" i="76"/>
  <c r="X599" i="76"/>
  <c r="S599" i="76"/>
  <c r="Y599" i="76"/>
  <c r="T599" i="76"/>
  <c r="Z599" i="76"/>
  <c r="U599" i="76"/>
  <c r="AA599" i="76"/>
  <c r="V599" i="76"/>
  <c r="AB599" i="76"/>
  <c r="W599" i="76"/>
  <c r="M599" i="76"/>
  <c r="H599" i="76"/>
  <c r="N599" i="76"/>
  <c r="I599" i="76"/>
  <c r="O599" i="76"/>
  <c r="J599" i="76"/>
  <c r="P599" i="76"/>
  <c r="K599" i="76"/>
  <c r="Q599" i="76"/>
  <c r="L599" i="76"/>
  <c r="G599" i="76"/>
  <c r="F601" i="76" l="1"/>
  <c r="R601" i="76"/>
  <c r="AG600" i="76"/>
  <c r="AM600" i="76"/>
  <c r="AH600" i="76"/>
  <c r="AN600" i="76"/>
  <c r="AI600" i="76"/>
  <c r="AO600" i="76"/>
  <c r="AJ600" i="76"/>
  <c r="AP600" i="76"/>
  <c r="AK600" i="76"/>
  <c r="AF600" i="76"/>
  <c r="AL600" i="76"/>
  <c r="AR602" i="76"/>
  <c r="E601" i="76"/>
  <c r="AE601" i="76"/>
  <c r="B601" i="76"/>
  <c r="A601" i="76"/>
  <c r="C601" i="76"/>
  <c r="D601" i="76"/>
  <c r="AD601" i="76"/>
  <c r="Z600" i="76"/>
  <c r="U600" i="76"/>
  <c r="AA600" i="76"/>
  <c r="V600" i="76"/>
  <c r="AB600" i="76"/>
  <c r="W600" i="76"/>
  <c r="AC600" i="76"/>
  <c r="X600" i="76"/>
  <c r="S600" i="76"/>
  <c r="Y600" i="76"/>
  <c r="T600" i="76"/>
  <c r="O600" i="76"/>
  <c r="J600" i="76"/>
  <c r="M600" i="76"/>
  <c r="K600" i="76"/>
  <c r="Q600" i="76"/>
  <c r="P600" i="76"/>
  <c r="G600" i="76"/>
  <c r="I600" i="76"/>
  <c r="H600" i="76"/>
  <c r="N600" i="76"/>
  <c r="L600" i="76"/>
  <c r="F602" i="76" l="1"/>
  <c r="R602" i="76"/>
  <c r="Y601" i="76"/>
  <c r="W601" i="76"/>
  <c r="Z601" i="76"/>
  <c r="U601" i="76"/>
  <c r="X601" i="76"/>
  <c r="V601" i="76"/>
  <c r="AB601" i="76"/>
  <c r="AA601" i="76"/>
  <c r="AC601" i="76"/>
  <c r="T601" i="76"/>
  <c r="S601" i="76"/>
  <c r="N601" i="76"/>
  <c r="I601" i="76"/>
  <c r="O601" i="76"/>
  <c r="J601" i="76"/>
  <c r="P601" i="76"/>
  <c r="K601" i="76"/>
  <c r="Q601" i="76"/>
  <c r="L601" i="76"/>
  <c r="G601" i="76"/>
  <c r="M601" i="76"/>
  <c r="H601" i="76"/>
  <c r="AL601" i="76"/>
  <c r="AG601" i="76"/>
  <c r="AM601" i="76"/>
  <c r="AH601" i="76"/>
  <c r="AN601" i="76"/>
  <c r="AI601" i="76"/>
  <c r="AO601" i="76"/>
  <c r="AJ601" i="76"/>
  <c r="AP601" i="76"/>
  <c r="AK601" i="76"/>
  <c r="AF601" i="76"/>
  <c r="AD602" i="76"/>
  <c r="E602" i="76"/>
  <c r="AR603" i="76"/>
  <c r="AE602" i="76"/>
  <c r="D602" i="76"/>
  <c r="B602" i="76"/>
  <c r="C602" i="76"/>
  <c r="A602" i="76"/>
  <c r="F603" i="76" l="1"/>
  <c r="R603" i="76"/>
  <c r="K602" i="76"/>
  <c r="Q602" i="76"/>
  <c r="L602" i="76"/>
  <c r="G602" i="76"/>
  <c r="M602" i="76"/>
  <c r="H602" i="76"/>
  <c r="N602" i="76"/>
  <c r="I602" i="76"/>
  <c r="O602" i="76"/>
  <c r="J602" i="76"/>
  <c r="P602" i="76"/>
  <c r="AG602" i="76"/>
  <c r="AM602" i="76"/>
  <c r="AH602" i="76"/>
  <c r="AN602" i="76"/>
  <c r="AI602" i="76"/>
  <c r="AO602" i="76"/>
  <c r="AJ602" i="76"/>
  <c r="AP602" i="76"/>
  <c r="AK602" i="76"/>
  <c r="AF602" i="76"/>
  <c r="AL602" i="76"/>
  <c r="D603" i="76"/>
  <c r="B603" i="76"/>
  <c r="AR604" i="76"/>
  <c r="C603" i="76"/>
  <c r="A603" i="76"/>
  <c r="AE603" i="76"/>
  <c r="E603" i="76"/>
  <c r="AD603" i="76"/>
  <c r="W602" i="76"/>
  <c r="AC602" i="76"/>
  <c r="X602" i="76"/>
  <c r="S602" i="76"/>
  <c r="Y602" i="76"/>
  <c r="T602" i="76"/>
  <c r="Z602" i="76"/>
  <c r="U602" i="76"/>
  <c r="AA602" i="76"/>
  <c r="V602" i="76"/>
  <c r="AB602" i="76"/>
  <c r="F604" i="76" l="1"/>
  <c r="R604" i="76"/>
  <c r="AF603" i="76"/>
  <c r="AH603" i="76"/>
  <c r="AG603" i="76"/>
  <c r="AM603" i="76"/>
  <c r="AK603" i="76"/>
  <c r="AN603" i="76"/>
  <c r="AI603" i="76"/>
  <c r="AL603" i="76"/>
  <c r="AJ603" i="76"/>
  <c r="AP603" i="76"/>
  <c r="AO603" i="76"/>
  <c r="X603" i="76"/>
  <c r="S603" i="76"/>
  <c r="Y603" i="76"/>
  <c r="T603" i="76"/>
  <c r="Z603" i="76"/>
  <c r="U603" i="76"/>
  <c r="AA603" i="76"/>
  <c r="V603" i="76"/>
  <c r="AB603" i="76"/>
  <c r="W603" i="76"/>
  <c r="AC603" i="76"/>
  <c r="O603" i="76"/>
  <c r="M603" i="76"/>
  <c r="P603" i="76"/>
  <c r="K603" i="76"/>
  <c r="N603" i="76"/>
  <c r="L603" i="76"/>
  <c r="G603" i="76"/>
  <c r="Q603" i="76"/>
  <c r="H603" i="76"/>
  <c r="J603" i="76"/>
  <c r="I603" i="76"/>
  <c r="AR605" i="76"/>
  <c r="A604" i="76"/>
  <c r="AE604" i="76"/>
  <c r="E604" i="76"/>
  <c r="D604" i="76"/>
  <c r="C604" i="76"/>
  <c r="B604" i="76"/>
  <c r="AD604" i="76"/>
  <c r="F605" i="76" l="1"/>
  <c r="R605" i="76"/>
  <c r="AB604" i="76"/>
  <c r="W604" i="76"/>
  <c r="AC604" i="76"/>
  <c r="X604" i="76"/>
  <c r="S604" i="76"/>
  <c r="T604" i="76"/>
  <c r="Z604" i="76"/>
  <c r="U604" i="76"/>
  <c r="AA604" i="76"/>
  <c r="V604" i="76"/>
  <c r="Y604" i="76"/>
  <c r="G604" i="76"/>
  <c r="I604" i="76"/>
  <c r="H604" i="76"/>
  <c r="N604" i="76"/>
  <c r="L604" i="76"/>
  <c r="O604" i="76"/>
  <c r="J604" i="76"/>
  <c r="M604" i="76"/>
  <c r="K604" i="76"/>
  <c r="Q604" i="76"/>
  <c r="P604" i="76"/>
  <c r="AO604" i="76"/>
  <c r="AJ604" i="76"/>
  <c r="AP604" i="76"/>
  <c r="AK604" i="76"/>
  <c r="AF604" i="76"/>
  <c r="AL604" i="76"/>
  <c r="AG604" i="76"/>
  <c r="AM604" i="76"/>
  <c r="AH604" i="76"/>
  <c r="AN604" i="76"/>
  <c r="AI604" i="76"/>
  <c r="B605" i="76"/>
  <c r="A605" i="76"/>
  <c r="AD605" i="76"/>
  <c r="E605" i="76"/>
  <c r="AE605" i="76"/>
  <c r="AR606" i="76"/>
  <c r="D605" i="76"/>
  <c r="C605" i="76"/>
  <c r="F606" i="76" l="1"/>
  <c r="R606" i="76"/>
  <c r="AM605" i="76"/>
  <c r="AH605" i="76"/>
  <c r="AN605" i="76"/>
  <c r="AI605" i="76"/>
  <c r="AO605" i="76"/>
  <c r="AJ605" i="76"/>
  <c r="AP605" i="76"/>
  <c r="AK605" i="76"/>
  <c r="AF605" i="76"/>
  <c r="AL605" i="76"/>
  <c r="AG605" i="76"/>
  <c r="AC605" i="76"/>
  <c r="X605" i="76"/>
  <c r="S605" i="76"/>
  <c r="AB605" i="76"/>
  <c r="W605" i="76"/>
  <c r="Z605" i="76"/>
  <c r="U605" i="76"/>
  <c r="AA605" i="76"/>
  <c r="Y605" i="76"/>
  <c r="T605" i="76"/>
  <c r="V605" i="76"/>
  <c r="J605" i="76"/>
  <c r="P605" i="76"/>
  <c r="K605" i="76"/>
  <c r="Q605" i="76"/>
  <c r="O605" i="76"/>
  <c r="I605" i="76"/>
  <c r="M605" i="76"/>
  <c r="H605" i="76"/>
  <c r="N605" i="76"/>
  <c r="L605" i="76"/>
  <c r="G605" i="76"/>
  <c r="B606" i="76"/>
  <c r="AD606" i="76"/>
  <c r="A606" i="76"/>
  <c r="E606" i="76"/>
  <c r="C606" i="76"/>
  <c r="AR607" i="76"/>
  <c r="AE606" i="76"/>
  <c r="D606" i="76"/>
  <c r="F607" i="76" l="1"/>
  <c r="R607" i="76"/>
  <c r="AL606" i="76"/>
  <c r="AF606" i="76"/>
  <c r="AM606" i="76"/>
  <c r="AH606" i="76"/>
  <c r="AO606" i="76"/>
  <c r="AI606" i="76"/>
  <c r="AK606" i="76"/>
  <c r="AG606" i="76"/>
  <c r="AP606" i="76"/>
  <c r="AN606" i="76"/>
  <c r="AJ606" i="76"/>
  <c r="AB606" i="76"/>
  <c r="W606" i="76"/>
  <c r="AC606" i="76"/>
  <c r="X606" i="76"/>
  <c r="S606" i="76"/>
  <c r="Y606" i="76"/>
  <c r="T606" i="76"/>
  <c r="Z606" i="76"/>
  <c r="U606" i="76"/>
  <c r="AA606" i="76"/>
  <c r="V606" i="76"/>
  <c r="AE607" i="76"/>
  <c r="C607" i="76"/>
  <c r="A607" i="76"/>
  <c r="B607" i="76"/>
  <c r="E607" i="76"/>
  <c r="AR608" i="76"/>
  <c r="D607" i="76"/>
  <c r="AD607" i="76"/>
  <c r="Q606" i="76"/>
  <c r="L606" i="76"/>
  <c r="G606" i="76"/>
  <c r="M606" i="76"/>
  <c r="H606" i="76"/>
  <c r="N606" i="76"/>
  <c r="I606" i="76"/>
  <c r="O606" i="76"/>
  <c r="J606" i="76"/>
  <c r="P606" i="76"/>
  <c r="K606" i="76"/>
  <c r="F608" i="76" l="1"/>
  <c r="R608" i="76"/>
  <c r="E608" i="76"/>
  <c r="D608" i="76"/>
  <c r="AD608" i="76"/>
  <c r="C608" i="76"/>
  <c r="AE608" i="76"/>
  <c r="AR609" i="76"/>
  <c r="B608" i="76"/>
  <c r="A608" i="76"/>
  <c r="H607" i="76"/>
  <c r="N607" i="76"/>
  <c r="I607" i="76"/>
  <c r="O607" i="76"/>
  <c r="J607" i="76"/>
  <c r="P607" i="76"/>
  <c r="K607" i="76"/>
  <c r="Q607" i="76"/>
  <c r="L607" i="76"/>
  <c r="G607" i="76"/>
  <c r="M607" i="76"/>
  <c r="AL607" i="76"/>
  <c r="AG607" i="76"/>
  <c r="AF607" i="76"/>
  <c r="AH607" i="76"/>
  <c r="AJ607" i="76"/>
  <c r="AI607" i="76"/>
  <c r="AO607" i="76"/>
  <c r="AM607" i="76"/>
  <c r="AP607" i="76"/>
  <c r="AK607" i="76"/>
  <c r="AN607" i="76"/>
  <c r="V607" i="76"/>
  <c r="AB607" i="76"/>
  <c r="W607" i="76"/>
  <c r="AC607" i="76"/>
  <c r="X607" i="76"/>
  <c r="S607" i="76"/>
  <c r="Y607" i="76"/>
  <c r="T607" i="76"/>
  <c r="Z607" i="76"/>
  <c r="U607" i="76"/>
  <c r="AA607" i="76"/>
  <c r="F609" i="76" l="1"/>
  <c r="R609" i="76"/>
  <c r="Z608" i="76"/>
  <c r="U608" i="76"/>
  <c r="AA608" i="76"/>
  <c r="Y608" i="76"/>
  <c r="T608" i="76"/>
  <c r="W608" i="76"/>
  <c r="AC608" i="76"/>
  <c r="X608" i="76"/>
  <c r="S608" i="76"/>
  <c r="AB608" i="76"/>
  <c r="V608" i="76"/>
  <c r="K608" i="76"/>
  <c r="Q608" i="76"/>
  <c r="P608" i="76"/>
  <c r="H608" i="76"/>
  <c r="G608" i="76"/>
  <c r="M608" i="76"/>
  <c r="N608" i="76"/>
  <c r="L608" i="76"/>
  <c r="J608" i="76"/>
  <c r="O608" i="76"/>
  <c r="I608" i="76"/>
  <c r="D609" i="76"/>
  <c r="C609" i="76"/>
  <c r="E609" i="76"/>
  <c r="AD609" i="76"/>
  <c r="A609" i="76"/>
  <c r="AE609" i="76"/>
  <c r="B609" i="76"/>
  <c r="AR610" i="76"/>
  <c r="AO608" i="76"/>
  <c r="AJ608" i="76"/>
  <c r="AP608" i="76"/>
  <c r="AK608" i="76"/>
  <c r="AF608" i="76"/>
  <c r="AI608" i="76"/>
  <c r="AG608" i="76"/>
  <c r="AM608" i="76"/>
  <c r="AH608" i="76"/>
  <c r="AN608" i="76"/>
  <c r="AL608" i="76"/>
  <c r="F610" i="76" l="1"/>
  <c r="R610" i="76"/>
  <c r="AR611" i="76"/>
  <c r="E610" i="76"/>
  <c r="AE610" i="76"/>
  <c r="C610" i="76"/>
  <c r="A610" i="76"/>
  <c r="D610" i="76"/>
  <c r="B610" i="76"/>
  <c r="AD610" i="76"/>
  <c r="AP609" i="76"/>
  <c r="AK609" i="76"/>
  <c r="AF609" i="76"/>
  <c r="AL609" i="76"/>
  <c r="AG609" i="76"/>
  <c r="AM609" i="76"/>
  <c r="AH609" i="76"/>
  <c r="AN609" i="76"/>
  <c r="AI609" i="76"/>
  <c r="AO609" i="76"/>
  <c r="AJ609" i="76"/>
  <c r="AA609" i="76"/>
  <c r="AC609" i="76"/>
  <c r="AB609" i="76"/>
  <c r="W609" i="76"/>
  <c r="U609" i="76"/>
  <c r="X609" i="76"/>
  <c r="S609" i="76"/>
  <c r="V609" i="76"/>
  <c r="T609" i="76"/>
  <c r="Z609" i="76"/>
  <c r="Y609" i="76"/>
  <c r="N609" i="76"/>
  <c r="I609" i="76"/>
  <c r="O609" i="76"/>
  <c r="J609" i="76"/>
  <c r="P609" i="76"/>
  <c r="K609" i="76"/>
  <c r="Q609" i="76"/>
  <c r="L609" i="76"/>
  <c r="G609" i="76"/>
  <c r="M609" i="76"/>
  <c r="H609" i="76"/>
  <c r="F611" i="76" l="1"/>
  <c r="R611" i="76"/>
  <c r="G610" i="76"/>
  <c r="M610" i="76"/>
  <c r="H610" i="76"/>
  <c r="N610" i="76"/>
  <c r="I610" i="76"/>
  <c r="O610" i="76"/>
  <c r="J610" i="76"/>
  <c r="P610" i="76"/>
  <c r="K610" i="76"/>
  <c r="Q610" i="76"/>
  <c r="L610" i="76"/>
  <c r="AP610" i="76"/>
  <c r="AK610" i="76"/>
  <c r="AF610" i="76"/>
  <c r="AL610" i="76"/>
  <c r="AG610" i="76"/>
  <c r="AM610" i="76"/>
  <c r="AH610" i="76"/>
  <c r="AN610" i="76"/>
  <c r="AI610" i="76"/>
  <c r="AO610" i="76"/>
  <c r="AJ610" i="76"/>
  <c r="D611" i="76"/>
  <c r="C611" i="76"/>
  <c r="E611" i="76"/>
  <c r="A611" i="76"/>
  <c r="AR612" i="76"/>
  <c r="B611" i="76"/>
  <c r="AE611" i="76"/>
  <c r="AD611" i="76"/>
  <c r="W610" i="76"/>
  <c r="AC610" i="76"/>
  <c r="X610" i="76"/>
  <c r="S610" i="76"/>
  <c r="Y610" i="76"/>
  <c r="T610" i="76"/>
  <c r="Z610" i="76"/>
  <c r="U610" i="76"/>
  <c r="AA610" i="76"/>
  <c r="V610" i="76"/>
  <c r="AB610" i="76"/>
  <c r="F612" i="76" l="1"/>
  <c r="R612" i="76"/>
  <c r="AA611" i="76"/>
  <c r="V611" i="76"/>
  <c r="AB611" i="76"/>
  <c r="W611" i="76"/>
  <c r="AC611" i="76"/>
  <c r="X611" i="76"/>
  <c r="S611" i="76"/>
  <c r="Y611" i="76"/>
  <c r="T611" i="76"/>
  <c r="U611" i="76"/>
  <c r="Z611" i="76"/>
  <c r="AF611" i="76"/>
  <c r="AO611" i="76"/>
  <c r="AK611" i="76"/>
  <c r="AM611" i="76"/>
  <c r="AG611" i="76"/>
  <c r="AN611" i="76"/>
  <c r="AI611" i="76"/>
  <c r="AP611" i="76"/>
  <c r="AJ611" i="76"/>
  <c r="AL611" i="76"/>
  <c r="AH611" i="76"/>
  <c r="C612" i="76"/>
  <c r="B612" i="76"/>
  <c r="AE612" i="76"/>
  <c r="D612" i="76"/>
  <c r="E612" i="76"/>
  <c r="AR613" i="76"/>
  <c r="AD612" i="76"/>
  <c r="A612" i="76"/>
  <c r="N611" i="76"/>
  <c r="I611" i="76"/>
  <c r="L611" i="76"/>
  <c r="J611" i="76"/>
  <c r="P611" i="76"/>
  <c r="O611" i="76"/>
  <c r="Q611" i="76"/>
  <c r="G611" i="76"/>
  <c r="M611" i="76"/>
  <c r="K611" i="76"/>
  <c r="H611" i="76"/>
  <c r="F613" i="76" l="1"/>
  <c r="R613" i="76"/>
  <c r="G612" i="76"/>
  <c r="I612" i="76"/>
  <c r="H612" i="76"/>
  <c r="N612" i="76"/>
  <c r="L612" i="76"/>
  <c r="O612" i="76"/>
  <c r="J612" i="76"/>
  <c r="M612" i="76"/>
  <c r="K612" i="76"/>
  <c r="Q612" i="76"/>
  <c r="P612" i="76"/>
  <c r="E613" i="76"/>
  <c r="C613" i="76"/>
  <c r="A613" i="76"/>
  <c r="AR614" i="76"/>
  <c r="AD613" i="76"/>
  <c r="AE613" i="76"/>
  <c r="D613" i="76"/>
  <c r="B613" i="76"/>
  <c r="AC612" i="76"/>
  <c r="X612" i="76"/>
  <c r="Y612" i="76"/>
  <c r="Z612" i="76"/>
  <c r="U612" i="76"/>
  <c r="AA612" i="76"/>
  <c r="V612" i="76"/>
  <c r="AB612" i="76"/>
  <c r="W612" i="76"/>
  <c r="S612" i="76"/>
  <c r="T612" i="76"/>
  <c r="AI612" i="76"/>
  <c r="AJ612" i="76"/>
  <c r="AK612" i="76"/>
  <c r="AF612" i="76"/>
  <c r="AL612" i="76"/>
  <c r="AG612" i="76"/>
  <c r="AM612" i="76"/>
  <c r="AH612" i="76"/>
  <c r="AN612" i="76"/>
  <c r="AO612" i="76"/>
  <c r="AP612" i="76"/>
  <c r="F614" i="76" l="1"/>
  <c r="R614" i="76"/>
  <c r="Q613" i="76"/>
  <c r="L613" i="76"/>
  <c r="G613" i="76"/>
  <c r="M613" i="76"/>
  <c r="H613" i="76"/>
  <c r="N613" i="76"/>
  <c r="I613" i="76"/>
  <c r="O613" i="76"/>
  <c r="J613" i="76"/>
  <c r="P613" i="76"/>
  <c r="K613" i="76"/>
  <c r="X613" i="76"/>
  <c r="S613" i="76"/>
  <c r="Y613" i="76"/>
  <c r="T613" i="76"/>
  <c r="Z613" i="76"/>
  <c r="U613" i="76"/>
  <c r="AA613" i="76"/>
  <c r="V613" i="76"/>
  <c r="AB613" i="76"/>
  <c r="W613" i="76"/>
  <c r="AC613" i="76"/>
  <c r="AF613" i="76"/>
  <c r="AL613" i="76"/>
  <c r="AG613" i="76"/>
  <c r="AM613" i="76"/>
  <c r="AH613" i="76"/>
  <c r="AN613" i="76"/>
  <c r="AI613" i="76"/>
  <c r="AO613" i="76"/>
  <c r="AJ613" i="76"/>
  <c r="AP613" i="76"/>
  <c r="AK613" i="76"/>
  <c r="AR615" i="76"/>
  <c r="B614" i="76"/>
  <c r="AE614" i="76"/>
  <c r="AD614" i="76"/>
  <c r="C614" i="76"/>
  <c r="D614" i="76"/>
  <c r="E614" i="76"/>
  <c r="A614" i="76"/>
  <c r="F615" i="76" l="1"/>
  <c r="R615" i="76"/>
  <c r="AB614" i="76"/>
  <c r="W614" i="76"/>
  <c r="AC614" i="76"/>
  <c r="X614" i="76"/>
  <c r="S614" i="76"/>
  <c r="Y614" i="76"/>
  <c r="T614" i="76"/>
  <c r="Z614" i="76"/>
  <c r="U614" i="76"/>
  <c r="AA614" i="76"/>
  <c r="V614" i="76"/>
  <c r="Q614" i="76"/>
  <c r="L614" i="76"/>
  <c r="G614" i="76"/>
  <c r="M614" i="76"/>
  <c r="H614" i="76"/>
  <c r="N614" i="76"/>
  <c r="I614" i="76"/>
  <c r="O614" i="76"/>
  <c r="J614" i="76"/>
  <c r="P614" i="76"/>
  <c r="K614" i="76"/>
  <c r="AG614" i="76"/>
  <c r="AI614" i="76"/>
  <c r="AH614" i="76"/>
  <c r="AN614" i="76"/>
  <c r="AL614" i="76"/>
  <c r="AO614" i="76"/>
  <c r="AJ614" i="76"/>
  <c r="AM614" i="76"/>
  <c r="AK614" i="76"/>
  <c r="AF614" i="76"/>
  <c r="AP614" i="76"/>
  <c r="AR616" i="76"/>
  <c r="D615" i="76"/>
  <c r="AD615" i="76"/>
  <c r="B615" i="76"/>
  <c r="E615" i="76"/>
  <c r="AE615" i="76"/>
  <c r="C615" i="76"/>
  <c r="A615" i="76"/>
  <c r="F616" i="76" l="1"/>
  <c r="R616" i="76"/>
  <c r="AH615" i="76"/>
  <c r="AN615" i="76"/>
  <c r="AM615" i="76"/>
  <c r="AO615" i="76"/>
  <c r="AF615" i="76"/>
  <c r="AP615" i="76"/>
  <c r="AK615" i="76"/>
  <c r="AI615" i="76"/>
  <c r="AL615" i="76"/>
  <c r="AG615" i="76"/>
  <c r="AJ615" i="76"/>
  <c r="A616" i="76"/>
  <c r="AD616" i="76"/>
  <c r="B616" i="76"/>
  <c r="AR617" i="76"/>
  <c r="C616" i="76"/>
  <c r="AE616" i="76"/>
  <c r="E616" i="76"/>
  <c r="D616" i="76"/>
  <c r="J615" i="76"/>
  <c r="P615" i="76"/>
  <c r="K615" i="76"/>
  <c r="Q615" i="76"/>
  <c r="L615" i="76"/>
  <c r="G615" i="76"/>
  <c r="M615" i="76"/>
  <c r="H615" i="76"/>
  <c r="N615" i="76"/>
  <c r="I615" i="76"/>
  <c r="O615" i="76"/>
  <c r="AC615" i="76"/>
  <c r="X615" i="76"/>
  <c r="S615" i="76"/>
  <c r="Y615" i="76"/>
  <c r="T615" i="76"/>
  <c r="Z615" i="76"/>
  <c r="U615" i="76"/>
  <c r="AA615" i="76"/>
  <c r="V615" i="76"/>
  <c r="AB615" i="76"/>
  <c r="W615" i="76"/>
  <c r="F617" i="76" l="1"/>
  <c r="R617" i="76"/>
  <c r="O616" i="76"/>
  <c r="J616" i="76"/>
  <c r="M616" i="76"/>
  <c r="K616" i="76"/>
  <c r="Q616" i="76"/>
  <c r="P616" i="76"/>
  <c r="G616" i="76"/>
  <c r="H616" i="76"/>
  <c r="N616" i="76"/>
  <c r="L616" i="76"/>
  <c r="I616" i="76"/>
  <c r="AN616" i="76"/>
  <c r="AI616" i="76"/>
  <c r="AO616" i="76"/>
  <c r="AJ616" i="76"/>
  <c r="AP616" i="76"/>
  <c r="AL616" i="76"/>
  <c r="AM616" i="76"/>
  <c r="AK616" i="76"/>
  <c r="AF616" i="76"/>
  <c r="AG616" i="76"/>
  <c r="AH616" i="76"/>
  <c r="AR618" i="76"/>
  <c r="B617" i="76"/>
  <c r="AE617" i="76"/>
  <c r="D617" i="76"/>
  <c r="C617" i="76"/>
  <c r="E617" i="76"/>
  <c r="A617" i="76"/>
  <c r="AD617" i="76"/>
  <c r="S616" i="76"/>
  <c r="Y616" i="76"/>
  <c r="T616" i="76"/>
  <c r="Z616" i="76"/>
  <c r="U616" i="76"/>
  <c r="V616" i="76"/>
  <c r="AB616" i="76"/>
  <c r="W616" i="76"/>
  <c r="X616" i="76"/>
  <c r="AA616" i="76"/>
  <c r="AC616" i="76"/>
  <c r="F618" i="76" l="1"/>
  <c r="R618" i="76"/>
  <c r="Q617" i="76"/>
  <c r="L617" i="76"/>
  <c r="G617" i="76"/>
  <c r="M617" i="76"/>
  <c r="H617" i="76"/>
  <c r="N617" i="76"/>
  <c r="I617" i="76"/>
  <c r="O617" i="76"/>
  <c r="J617" i="76"/>
  <c r="P617" i="76"/>
  <c r="K617" i="76"/>
  <c r="Z617" i="76"/>
  <c r="U617" i="76"/>
  <c r="AB617" i="76"/>
  <c r="V617" i="76"/>
  <c r="X617" i="76"/>
  <c r="T617" i="76"/>
  <c r="AC617" i="76"/>
  <c r="AA617" i="76"/>
  <c r="W617" i="76"/>
  <c r="Y617" i="76"/>
  <c r="S617" i="76"/>
  <c r="AL617" i="76"/>
  <c r="AG617" i="76"/>
  <c r="AM617" i="76"/>
  <c r="AH617" i="76"/>
  <c r="AN617" i="76"/>
  <c r="AI617" i="76"/>
  <c r="AO617" i="76"/>
  <c r="AJ617" i="76"/>
  <c r="AP617" i="76"/>
  <c r="AK617" i="76"/>
  <c r="AF617" i="76"/>
  <c r="C618" i="76"/>
  <c r="A618" i="76"/>
  <c r="D618" i="76"/>
  <c r="B618" i="76"/>
  <c r="AR619" i="76"/>
  <c r="AE618" i="76"/>
  <c r="AD618" i="76"/>
  <c r="E618" i="76"/>
  <c r="F619" i="76" l="1"/>
  <c r="R619" i="76"/>
  <c r="M618" i="76"/>
  <c r="O618" i="76"/>
  <c r="J618" i="76"/>
  <c r="P618" i="76"/>
  <c r="K618" i="76"/>
  <c r="Q618" i="76"/>
  <c r="L618" i="76"/>
  <c r="G618" i="76"/>
  <c r="H618" i="76"/>
  <c r="N618" i="76"/>
  <c r="I618" i="76"/>
  <c r="S618" i="76"/>
  <c r="T618" i="76"/>
  <c r="U618" i="76"/>
  <c r="AA618" i="76"/>
  <c r="V618" i="76"/>
  <c r="AB618" i="76"/>
  <c r="W618" i="76"/>
  <c r="AC618" i="76"/>
  <c r="X618" i="76"/>
  <c r="Y618" i="76"/>
  <c r="Z618" i="76"/>
  <c r="AF618" i="76"/>
  <c r="AH618" i="76"/>
  <c r="AN618" i="76"/>
  <c r="AI618" i="76"/>
  <c r="AO618" i="76"/>
  <c r="AJ618" i="76"/>
  <c r="AP618" i="76"/>
  <c r="AK618" i="76"/>
  <c r="AL618" i="76"/>
  <c r="AG618" i="76"/>
  <c r="AM618" i="76"/>
  <c r="AR620" i="76"/>
  <c r="E619" i="76"/>
  <c r="C619" i="76"/>
  <c r="A619" i="76"/>
  <c r="AE619" i="76"/>
  <c r="D619" i="76"/>
  <c r="AD619" i="76"/>
  <c r="B619" i="76"/>
  <c r="F620" i="76" l="1"/>
  <c r="R620" i="76"/>
  <c r="G619" i="76"/>
  <c r="H619" i="76"/>
  <c r="N619" i="76"/>
  <c r="M619" i="76"/>
  <c r="O619" i="76"/>
  <c r="Q619" i="76"/>
  <c r="P619" i="76"/>
  <c r="K619" i="76"/>
  <c r="I619" i="76"/>
  <c r="L619" i="76"/>
  <c r="J619" i="76"/>
  <c r="AJ619" i="76"/>
  <c r="AP619" i="76"/>
  <c r="AO619" i="76"/>
  <c r="AF619" i="76"/>
  <c r="AH619" i="76"/>
  <c r="AG619" i="76"/>
  <c r="AM619" i="76"/>
  <c r="AK619" i="76"/>
  <c r="AN619" i="76"/>
  <c r="AI619" i="76"/>
  <c r="AL619" i="76"/>
  <c r="X619" i="76"/>
  <c r="S619" i="76"/>
  <c r="Y619" i="76"/>
  <c r="T619" i="76"/>
  <c r="Z619" i="76"/>
  <c r="U619" i="76"/>
  <c r="AA619" i="76"/>
  <c r="V619" i="76"/>
  <c r="AB619" i="76"/>
  <c r="W619" i="76"/>
  <c r="AC619" i="76"/>
  <c r="AD620" i="76"/>
  <c r="D620" i="76"/>
  <c r="C620" i="76"/>
  <c r="B620" i="76"/>
  <c r="AE620" i="76"/>
  <c r="AR621" i="76"/>
  <c r="A620" i="76"/>
  <c r="E620" i="76"/>
  <c r="F621" i="76" l="1"/>
  <c r="R621" i="76"/>
  <c r="M620" i="76"/>
  <c r="K620" i="76"/>
  <c r="Q620" i="76"/>
  <c r="P620" i="76"/>
  <c r="G620" i="76"/>
  <c r="I620" i="76"/>
  <c r="H620" i="76"/>
  <c r="N620" i="76"/>
  <c r="L620" i="76"/>
  <c r="O620" i="76"/>
  <c r="J620" i="76"/>
  <c r="AO620" i="76"/>
  <c r="AJ620" i="76"/>
  <c r="AP620" i="76"/>
  <c r="AK620" i="76"/>
  <c r="AF620" i="76"/>
  <c r="AL620" i="76"/>
  <c r="AG620" i="76"/>
  <c r="AM620" i="76"/>
  <c r="AH620" i="76"/>
  <c r="AN620" i="76"/>
  <c r="AI620" i="76"/>
  <c r="E621" i="76"/>
  <c r="C621" i="76"/>
  <c r="D621" i="76"/>
  <c r="B621" i="76"/>
  <c r="AE621" i="76"/>
  <c r="AR622" i="76"/>
  <c r="AD621" i="76"/>
  <c r="A621" i="76"/>
  <c r="T620" i="76"/>
  <c r="AB620" i="76"/>
  <c r="W620" i="76"/>
  <c r="AC620" i="76"/>
  <c r="X620" i="76"/>
  <c r="S620" i="76"/>
  <c r="Y620" i="76"/>
  <c r="Z620" i="76"/>
  <c r="U620" i="76"/>
  <c r="AA620" i="76"/>
  <c r="V620" i="76"/>
  <c r="F622" i="76" l="1"/>
  <c r="R622" i="76"/>
  <c r="V621" i="76"/>
  <c r="AB621" i="76"/>
  <c r="W621" i="76"/>
  <c r="AC621" i="76"/>
  <c r="X621" i="76"/>
  <c r="S621" i="76"/>
  <c r="Y621" i="76"/>
  <c r="T621" i="76"/>
  <c r="Z621" i="76"/>
  <c r="U621" i="76"/>
  <c r="AA621" i="76"/>
  <c r="AF621" i="76"/>
  <c r="AL621" i="76"/>
  <c r="AG621" i="76"/>
  <c r="AM621" i="76"/>
  <c r="AH621" i="76"/>
  <c r="AN621" i="76"/>
  <c r="AI621" i="76"/>
  <c r="AO621" i="76"/>
  <c r="AJ621" i="76"/>
  <c r="AP621" i="76"/>
  <c r="AK621" i="76"/>
  <c r="B622" i="76"/>
  <c r="AD622" i="76"/>
  <c r="A622" i="76"/>
  <c r="D622" i="76"/>
  <c r="E622" i="76"/>
  <c r="C622" i="76"/>
  <c r="AR623" i="76"/>
  <c r="AE622" i="76"/>
  <c r="M621" i="76"/>
  <c r="H621" i="76"/>
  <c r="N621" i="76"/>
  <c r="I621" i="76"/>
  <c r="O621" i="76"/>
  <c r="J621" i="76"/>
  <c r="P621" i="76"/>
  <c r="K621" i="76"/>
  <c r="Q621" i="76"/>
  <c r="L621" i="76"/>
  <c r="G621" i="76"/>
  <c r="F623" i="76" l="1"/>
  <c r="R623" i="76"/>
  <c r="AH622" i="76"/>
  <c r="AI622" i="76"/>
  <c r="AN622" i="76"/>
  <c r="AP622" i="76"/>
  <c r="AG622" i="76"/>
  <c r="AF622" i="76"/>
  <c r="AL622" i="76"/>
  <c r="AJ622" i="76"/>
  <c r="AM622" i="76"/>
  <c r="AK622" i="76"/>
  <c r="AO622" i="76"/>
  <c r="D623" i="76"/>
  <c r="B623" i="76"/>
  <c r="AR624" i="76"/>
  <c r="A623" i="76"/>
  <c r="AE623" i="76"/>
  <c r="E623" i="76"/>
  <c r="C623" i="76"/>
  <c r="AD623" i="76"/>
  <c r="K622" i="76"/>
  <c r="G622" i="76"/>
  <c r="M622" i="76"/>
  <c r="H622" i="76"/>
  <c r="N622" i="76"/>
  <c r="I622" i="76"/>
  <c r="O622" i="76"/>
  <c r="J622" i="76"/>
  <c r="P622" i="76"/>
  <c r="Q622" i="76"/>
  <c r="L622" i="76"/>
  <c r="AB622" i="76"/>
  <c r="X622" i="76"/>
  <c r="Y622" i="76"/>
  <c r="T622" i="76"/>
  <c r="Z622" i="76"/>
  <c r="U622" i="76"/>
  <c r="AA622" i="76"/>
  <c r="V622" i="76"/>
  <c r="W622" i="76"/>
  <c r="AC622" i="76"/>
  <c r="S622" i="76"/>
  <c r="F624" i="76" l="1"/>
  <c r="R624" i="76"/>
  <c r="AF623" i="76"/>
  <c r="AO623" i="76"/>
  <c r="AM623" i="76"/>
  <c r="AP623" i="76"/>
  <c r="AK623" i="76"/>
  <c r="AN623" i="76"/>
  <c r="AL623" i="76"/>
  <c r="AG623" i="76"/>
  <c r="AH623" i="76"/>
  <c r="AJ623" i="76"/>
  <c r="AI623" i="76"/>
  <c r="S623" i="76"/>
  <c r="Z623" i="76"/>
  <c r="U623" i="76"/>
  <c r="AA623" i="76"/>
  <c r="V623" i="76"/>
  <c r="AB623" i="76"/>
  <c r="W623" i="76"/>
  <c r="AC623" i="76"/>
  <c r="X623" i="76"/>
  <c r="Y623" i="76"/>
  <c r="T623" i="76"/>
  <c r="E624" i="76"/>
  <c r="C624" i="76"/>
  <c r="B624" i="76"/>
  <c r="AE624" i="76"/>
  <c r="A624" i="76"/>
  <c r="AD624" i="76"/>
  <c r="AR625" i="76"/>
  <c r="D624" i="76"/>
  <c r="L623" i="76"/>
  <c r="G623" i="76"/>
  <c r="M623" i="76"/>
  <c r="H623" i="76"/>
  <c r="N623" i="76"/>
  <c r="I623" i="76"/>
  <c r="O623" i="76"/>
  <c r="J623" i="76"/>
  <c r="P623" i="76"/>
  <c r="K623" i="76"/>
  <c r="Q623" i="76"/>
  <c r="F625" i="76" l="1"/>
  <c r="R625" i="76"/>
  <c r="S624" i="76"/>
  <c r="Y624" i="76"/>
  <c r="T624" i="76"/>
  <c r="Z624" i="76"/>
  <c r="U624" i="76"/>
  <c r="V624" i="76"/>
  <c r="W624" i="76"/>
  <c r="AC624" i="76"/>
  <c r="AA624" i="76"/>
  <c r="AB624" i="76"/>
  <c r="X624" i="76"/>
  <c r="K624" i="76"/>
  <c r="Q624" i="76"/>
  <c r="P624" i="76"/>
  <c r="G624" i="76"/>
  <c r="I624" i="76"/>
  <c r="H624" i="76"/>
  <c r="N624" i="76"/>
  <c r="O624" i="76"/>
  <c r="J624" i="76"/>
  <c r="L624" i="76"/>
  <c r="M624" i="76"/>
  <c r="AN624" i="76"/>
  <c r="AI624" i="76"/>
  <c r="AO624" i="76"/>
  <c r="AJ624" i="76"/>
  <c r="AP624" i="76"/>
  <c r="AK624" i="76"/>
  <c r="AL624" i="76"/>
  <c r="AG624" i="76"/>
  <c r="AH624" i="76"/>
  <c r="AF624" i="76"/>
  <c r="AM624" i="76"/>
  <c r="C625" i="76"/>
  <c r="B625" i="76"/>
  <c r="A625" i="76"/>
  <c r="AD625" i="76"/>
  <c r="AR626" i="76"/>
  <c r="AE625" i="76"/>
  <c r="E625" i="76"/>
  <c r="D625" i="76"/>
  <c r="F626" i="76" l="1"/>
  <c r="R626" i="76"/>
  <c r="AL625" i="76"/>
  <c r="AG625" i="76"/>
  <c r="AM625" i="76"/>
  <c r="AH625" i="76"/>
  <c r="AI625" i="76"/>
  <c r="AO625" i="76"/>
  <c r="AJ625" i="76"/>
  <c r="AP625" i="76"/>
  <c r="AK625" i="76"/>
  <c r="AF625" i="76"/>
  <c r="AN625" i="76"/>
  <c r="M625" i="76"/>
  <c r="H625" i="76"/>
  <c r="N625" i="76"/>
  <c r="I625" i="76"/>
  <c r="O625" i="76"/>
  <c r="J625" i="76"/>
  <c r="P625" i="76"/>
  <c r="K625" i="76"/>
  <c r="Q625" i="76"/>
  <c r="L625" i="76"/>
  <c r="G625" i="76"/>
  <c r="E626" i="76"/>
  <c r="C626" i="76"/>
  <c r="D626" i="76"/>
  <c r="B626" i="76"/>
  <c r="AD626" i="76"/>
  <c r="AR627" i="76"/>
  <c r="AE626" i="76"/>
  <c r="A626" i="76"/>
  <c r="V625" i="76"/>
  <c r="Y625" i="76"/>
  <c r="AB625" i="76"/>
  <c r="W625" i="76"/>
  <c r="Z625" i="76"/>
  <c r="X625" i="76"/>
  <c r="S625" i="76"/>
  <c r="AC625" i="76"/>
  <c r="T625" i="76"/>
  <c r="U625" i="76"/>
  <c r="AA625" i="76"/>
  <c r="F627" i="76" l="1"/>
  <c r="R627" i="76"/>
  <c r="B627" i="76"/>
  <c r="E627" i="76"/>
  <c r="AR628" i="76"/>
  <c r="D627" i="76"/>
  <c r="AD627" i="76"/>
  <c r="AE627" i="76"/>
  <c r="C627" i="76"/>
  <c r="A627" i="76"/>
  <c r="O626" i="76"/>
  <c r="J626" i="76"/>
  <c r="P626" i="76"/>
  <c r="K626" i="76"/>
  <c r="Q626" i="76"/>
  <c r="L626" i="76"/>
  <c r="G626" i="76"/>
  <c r="M626" i="76"/>
  <c r="H626" i="76"/>
  <c r="N626" i="76"/>
  <c r="I626" i="76"/>
  <c r="AI626" i="76"/>
  <c r="AO626" i="76"/>
  <c r="AJ626" i="76"/>
  <c r="AP626" i="76"/>
  <c r="AK626" i="76"/>
  <c r="AF626" i="76"/>
  <c r="AL626" i="76"/>
  <c r="AG626" i="76"/>
  <c r="AM626" i="76"/>
  <c r="AH626" i="76"/>
  <c r="AN626" i="76"/>
  <c r="Z626" i="76"/>
  <c r="U626" i="76"/>
  <c r="AA626" i="76"/>
  <c r="V626" i="76"/>
  <c r="AB626" i="76"/>
  <c r="W626" i="76"/>
  <c r="AC626" i="76"/>
  <c r="X626" i="76"/>
  <c r="S626" i="76"/>
  <c r="Y626" i="76"/>
  <c r="T626" i="76"/>
  <c r="F628" i="76" l="1"/>
  <c r="R628" i="76"/>
  <c r="AM627" i="76"/>
  <c r="AG627" i="76"/>
  <c r="AN627" i="76"/>
  <c r="AI627" i="76"/>
  <c r="AP627" i="76"/>
  <c r="AJ627" i="76"/>
  <c r="AL627" i="76"/>
  <c r="AH627" i="76"/>
  <c r="AF627" i="76"/>
  <c r="AO627" i="76"/>
  <c r="AK627" i="76"/>
  <c r="AA627" i="76"/>
  <c r="V627" i="76"/>
  <c r="AB627" i="76"/>
  <c r="W627" i="76"/>
  <c r="AC627" i="76"/>
  <c r="X627" i="76"/>
  <c r="S627" i="76"/>
  <c r="Y627" i="76"/>
  <c r="T627" i="76"/>
  <c r="Z627" i="76"/>
  <c r="U627" i="76"/>
  <c r="N627" i="76"/>
  <c r="I627" i="76"/>
  <c r="P627" i="76"/>
  <c r="J627" i="76"/>
  <c r="L627" i="76"/>
  <c r="H627" i="76"/>
  <c r="Q627" i="76"/>
  <c r="O627" i="76"/>
  <c r="K627" i="76"/>
  <c r="M627" i="76"/>
  <c r="G627" i="76"/>
  <c r="AR629" i="76"/>
  <c r="C628" i="76"/>
  <c r="AD628" i="76"/>
  <c r="B628" i="76"/>
  <c r="A628" i="76"/>
  <c r="E628" i="76"/>
  <c r="D628" i="76"/>
  <c r="AE628" i="76"/>
  <c r="F629" i="76" l="1"/>
  <c r="R629" i="76"/>
  <c r="AO628" i="76"/>
  <c r="AJ628" i="76"/>
  <c r="AP628" i="76"/>
  <c r="AK628" i="76"/>
  <c r="AF628" i="76"/>
  <c r="AL628" i="76"/>
  <c r="AG628" i="76"/>
  <c r="AM628" i="76"/>
  <c r="AH628" i="76"/>
  <c r="AN628" i="76"/>
  <c r="AI628" i="76"/>
  <c r="AB628" i="76"/>
  <c r="W628" i="76"/>
  <c r="AC628" i="76"/>
  <c r="X628" i="76"/>
  <c r="S628" i="76"/>
  <c r="Y628" i="76"/>
  <c r="T628" i="76"/>
  <c r="Z628" i="76"/>
  <c r="U628" i="76"/>
  <c r="AA628" i="76"/>
  <c r="V628" i="76"/>
  <c r="N628" i="76"/>
  <c r="L628" i="76"/>
  <c r="O628" i="76"/>
  <c r="J628" i="76"/>
  <c r="M628" i="76"/>
  <c r="K628" i="76"/>
  <c r="Q628" i="76"/>
  <c r="P628" i="76"/>
  <c r="G628" i="76"/>
  <c r="I628" i="76"/>
  <c r="H628" i="76"/>
  <c r="AR630" i="76"/>
  <c r="D629" i="76"/>
  <c r="C629" i="76"/>
  <c r="B629" i="76"/>
  <c r="A629" i="76"/>
  <c r="AD629" i="76"/>
  <c r="E629" i="76"/>
  <c r="AE629" i="76"/>
  <c r="F630" i="76" l="1"/>
  <c r="R630" i="76"/>
  <c r="AA629" i="76"/>
  <c r="V629" i="76"/>
  <c r="AB629" i="76"/>
  <c r="W629" i="76"/>
  <c r="AC629" i="76"/>
  <c r="X629" i="76"/>
  <c r="S629" i="76"/>
  <c r="Y629" i="76"/>
  <c r="T629" i="76"/>
  <c r="Z629" i="76"/>
  <c r="U629" i="76"/>
  <c r="J629" i="76"/>
  <c r="P629" i="76"/>
  <c r="K629" i="76"/>
  <c r="Q629" i="76"/>
  <c r="L629" i="76"/>
  <c r="G629" i="76"/>
  <c r="M629" i="76"/>
  <c r="H629" i="76"/>
  <c r="N629" i="76"/>
  <c r="I629" i="76"/>
  <c r="O629" i="76"/>
  <c r="AD630" i="76"/>
  <c r="E630" i="76"/>
  <c r="AR631" i="76"/>
  <c r="AE630" i="76"/>
  <c r="D630" i="76"/>
  <c r="B630" i="76"/>
  <c r="C630" i="76"/>
  <c r="A630" i="76"/>
  <c r="AF629" i="76"/>
  <c r="AL629" i="76"/>
  <c r="AG629" i="76"/>
  <c r="AM629" i="76"/>
  <c r="AH629" i="76"/>
  <c r="AN629" i="76"/>
  <c r="AI629" i="76"/>
  <c r="AO629" i="76"/>
  <c r="AJ629" i="76"/>
  <c r="AP629" i="76"/>
  <c r="AK629" i="76"/>
  <c r="F631" i="76" l="1"/>
  <c r="R631" i="76"/>
  <c r="U630" i="76"/>
  <c r="AA630" i="76"/>
  <c r="V630" i="76"/>
  <c r="AB630" i="76"/>
  <c r="W630" i="76"/>
  <c r="AC630" i="76"/>
  <c r="X630" i="76"/>
  <c r="S630" i="76"/>
  <c r="Y630" i="76"/>
  <c r="T630" i="76"/>
  <c r="Z630" i="76"/>
  <c r="K630" i="76"/>
  <c r="I630" i="76"/>
  <c r="O630" i="76"/>
  <c r="J630" i="76"/>
  <c r="P630" i="76"/>
  <c r="N630" i="76"/>
  <c r="Q630" i="76"/>
  <c r="L630" i="76"/>
  <c r="G630" i="76"/>
  <c r="M630" i="76"/>
  <c r="H630" i="76"/>
  <c r="AK630" i="76"/>
  <c r="AF630" i="76"/>
  <c r="AI630" i="76"/>
  <c r="AG630" i="76"/>
  <c r="AH630" i="76"/>
  <c r="AM630" i="76"/>
  <c r="AN630" i="76"/>
  <c r="AP630" i="76"/>
  <c r="AO630" i="76"/>
  <c r="AJ630" i="76"/>
  <c r="AL630" i="76"/>
  <c r="AR632" i="76"/>
  <c r="AD631" i="76"/>
  <c r="D631" i="76"/>
  <c r="AE631" i="76"/>
  <c r="A631" i="76"/>
  <c r="E631" i="76"/>
  <c r="C631" i="76"/>
  <c r="B631" i="76"/>
  <c r="F632" i="76" l="1"/>
  <c r="R632" i="76"/>
  <c r="Y631" i="76"/>
  <c r="T631" i="76"/>
  <c r="Z631" i="76"/>
  <c r="U631" i="76"/>
  <c r="AA631" i="76"/>
  <c r="V631" i="76"/>
  <c r="AB631" i="76"/>
  <c r="W631" i="76"/>
  <c r="AC631" i="76"/>
  <c r="X631" i="76"/>
  <c r="S631" i="76"/>
  <c r="AH631" i="76"/>
  <c r="AN631" i="76"/>
  <c r="AM631" i="76"/>
  <c r="AO631" i="76"/>
  <c r="AF631" i="76"/>
  <c r="AP631" i="76"/>
  <c r="AK631" i="76"/>
  <c r="AI631" i="76"/>
  <c r="AL631" i="76"/>
  <c r="AG631" i="76"/>
  <c r="AJ631" i="76"/>
  <c r="D632" i="76"/>
  <c r="C632" i="76"/>
  <c r="B632" i="76"/>
  <c r="AD632" i="76"/>
  <c r="AR633" i="76"/>
  <c r="A632" i="76"/>
  <c r="AE632" i="76"/>
  <c r="E632" i="76"/>
  <c r="J631" i="76"/>
  <c r="P631" i="76"/>
  <c r="K631" i="76"/>
  <c r="Q631" i="76"/>
  <c r="L631" i="76"/>
  <c r="G631" i="76"/>
  <c r="M631" i="76"/>
  <c r="H631" i="76"/>
  <c r="N631" i="76"/>
  <c r="I631" i="76"/>
  <c r="O631" i="76"/>
  <c r="F633" i="76" l="1"/>
  <c r="R633" i="76"/>
  <c r="O632" i="76"/>
  <c r="J632" i="76"/>
  <c r="M632" i="76"/>
  <c r="K632" i="76"/>
  <c r="Q632" i="76"/>
  <c r="P632" i="76"/>
  <c r="G632" i="76"/>
  <c r="I632" i="76"/>
  <c r="H632" i="76"/>
  <c r="N632" i="76"/>
  <c r="L632" i="76"/>
  <c r="AG632" i="76"/>
  <c r="AM632" i="76"/>
  <c r="AH632" i="76"/>
  <c r="AN632" i="76"/>
  <c r="AI632" i="76"/>
  <c r="AO632" i="76"/>
  <c r="AJ632" i="76"/>
  <c r="AP632" i="76"/>
  <c r="AK632" i="76"/>
  <c r="AF632" i="76"/>
  <c r="AL632" i="76"/>
  <c r="AR634" i="76"/>
  <c r="B633" i="76"/>
  <c r="AD633" i="76"/>
  <c r="A633" i="76"/>
  <c r="E633" i="76"/>
  <c r="D633" i="76"/>
  <c r="C633" i="76"/>
  <c r="AE633" i="76"/>
  <c r="Z632" i="76"/>
  <c r="U632" i="76"/>
  <c r="AA632" i="76"/>
  <c r="V632" i="76"/>
  <c r="AB632" i="76"/>
  <c r="W632" i="76"/>
  <c r="AC632" i="76"/>
  <c r="X632" i="76"/>
  <c r="S632" i="76"/>
  <c r="Y632" i="76"/>
  <c r="T632" i="76"/>
  <c r="F634" i="76" l="1"/>
  <c r="R634" i="76"/>
  <c r="AP633" i="76"/>
  <c r="AO633" i="76"/>
  <c r="AJ633" i="76"/>
  <c r="AH633" i="76"/>
  <c r="AN633" i="76"/>
  <c r="AI633" i="76"/>
  <c r="AL633" i="76"/>
  <c r="AG633" i="76"/>
  <c r="AM633" i="76"/>
  <c r="AK633" i="76"/>
  <c r="AF633" i="76"/>
  <c r="AC633" i="76"/>
  <c r="T633" i="76"/>
  <c r="S633" i="76"/>
  <c r="Y633" i="76"/>
  <c r="W633" i="76"/>
  <c r="Z633" i="76"/>
  <c r="U633" i="76"/>
  <c r="X633" i="76"/>
  <c r="V633" i="76"/>
  <c r="AB633" i="76"/>
  <c r="AA633" i="76"/>
  <c r="N633" i="76"/>
  <c r="I633" i="76"/>
  <c r="O633" i="76"/>
  <c r="J633" i="76"/>
  <c r="P633" i="76"/>
  <c r="H633" i="76"/>
  <c r="Q633" i="76"/>
  <c r="L633" i="76"/>
  <c r="G633" i="76"/>
  <c r="M633" i="76"/>
  <c r="K633" i="76"/>
  <c r="B634" i="76"/>
  <c r="A634" i="76"/>
  <c r="D634" i="76"/>
  <c r="C634" i="76"/>
  <c r="AR635" i="76"/>
  <c r="AE634" i="76"/>
  <c r="E634" i="76"/>
  <c r="AD634" i="76"/>
  <c r="F635" i="76" l="1"/>
  <c r="R635" i="76"/>
  <c r="G634" i="76"/>
  <c r="M634" i="76"/>
  <c r="H634" i="76"/>
  <c r="N634" i="76"/>
  <c r="I634" i="76"/>
  <c r="O634" i="76"/>
  <c r="J634" i="76"/>
  <c r="P634" i="76"/>
  <c r="K634" i="76"/>
  <c r="Q634" i="76"/>
  <c r="L634" i="76"/>
  <c r="AK634" i="76"/>
  <c r="AF634" i="76"/>
  <c r="AL634" i="76"/>
  <c r="AG634" i="76"/>
  <c r="AM634" i="76"/>
  <c r="AH634" i="76"/>
  <c r="AN634" i="76"/>
  <c r="AI634" i="76"/>
  <c r="AO634" i="76"/>
  <c r="AJ634" i="76"/>
  <c r="AP634" i="76"/>
  <c r="AE635" i="76"/>
  <c r="C635" i="76"/>
  <c r="A635" i="76"/>
  <c r="B635" i="76"/>
  <c r="E635" i="76"/>
  <c r="AR636" i="76"/>
  <c r="D635" i="76"/>
  <c r="AD635" i="76"/>
  <c r="Z634" i="76"/>
  <c r="U634" i="76"/>
  <c r="AA634" i="76"/>
  <c r="V634" i="76"/>
  <c r="AB634" i="76"/>
  <c r="W634" i="76"/>
  <c r="AC634" i="76"/>
  <c r="X634" i="76"/>
  <c r="S634" i="76"/>
  <c r="Y634" i="76"/>
  <c r="T634" i="76"/>
  <c r="F636" i="76" l="1"/>
  <c r="R636" i="76"/>
  <c r="E636" i="76"/>
  <c r="A636" i="76"/>
  <c r="AR637" i="76"/>
  <c r="D636" i="76"/>
  <c r="AD636" i="76"/>
  <c r="C636" i="76"/>
  <c r="AE636" i="76"/>
  <c r="B636" i="76"/>
  <c r="P635" i="76"/>
  <c r="K635" i="76"/>
  <c r="N635" i="76"/>
  <c r="L635" i="76"/>
  <c r="G635" i="76"/>
  <c r="Q635" i="76"/>
  <c r="H635" i="76"/>
  <c r="J635" i="76"/>
  <c r="I635" i="76"/>
  <c r="O635" i="76"/>
  <c r="M635" i="76"/>
  <c r="AM635" i="76"/>
  <c r="AK635" i="76"/>
  <c r="AN635" i="76"/>
  <c r="AI635" i="76"/>
  <c r="AL635" i="76"/>
  <c r="AJ635" i="76"/>
  <c r="AP635" i="76"/>
  <c r="AO635" i="76"/>
  <c r="AF635" i="76"/>
  <c r="AH635" i="76"/>
  <c r="AG635" i="76"/>
  <c r="AA635" i="76"/>
  <c r="Y635" i="76"/>
  <c r="T635" i="76"/>
  <c r="Z635" i="76"/>
  <c r="U635" i="76"/>
  <c r="X635" i="76"/>
  <c r="V635" i="76"/>
  <c r="AB635" i="76"/>
  <c r="W635" i="76"/>
  <c r="AC635" i="76"/>
  <c r="S635" i="76"/>
  <c r="F637" i="76" l="1"/>
  <c r="R637" i="76"/>
  <c r="K636" i="76"/>
  <c r="Q636" i="76"/>
  <c r="P636" i="76"/>
  <c r="G636" i="76"/>
  <c r="I636" i="76"/>
  <c r="H636" i="76"/>
  <c r="N636" i="76"/>
  <c r="L636" i="76"/>
  <c r="O636" i="76"/>
  <c r="J636" i="76"/>
  <c r="M636" i="76"/>
  <c r="AG636" i="76"/>
  <c r="AM636" i="76"/>
  <c r="AH636" i="76"/>
  <c r="AN636" i="76"/>
  <c r="AI636" i="76"/>
  <c r="AO636" i="76"/>
  <c r="AJ636" i="76"/>
  <c r="AP636" i="76"/>
  <c r="AK636" i="76"/>
  <c r="AF636" i="76"/>
  <c r="AL636" i="76"/>
  <c r="AD637" i="76"/>
  <c r="E637" i="76"/>
  <c r="AR638" i="76"/>
  <c r="D637" i="76"/>
  <c r="AE637" i="76"/>
  <c r="C637" i="76"/>
  <c r="B637" i="76"/>
  <c r="A637" i="76"/>
  <c r="U636" i="76"/>
  <c r="AA636" i="76"/>
  <c r="V636" i="76"/>
  <c r="AB636" i="76"/>
  <c r="W636" i="76"/>
  <c r="AC636" i="76"/>
  <c r="X636" i="76"/>
  <c r="S636" i="76"/>
  <c r="Y636" i="76"/>
  <c r="T636" i="76"/>
  <c r="Z636" i="76"/>
  <c r="F638" i="76" l="1"/>
  <c r="R638" i="76"/>
  <c r="AM637" i="76"/>
  <c r="AH637" i="76"/>
  <c r="AN637" i="76"/>
  <c r="AO637" i="76"/>
  <c r="AJ637" i="76"/>
  <c r="AP637" i="76"/>
  <c r="AK637" i="76"/>
  <c r="AF637" i="76"/>
  <c r="AL637" i="76"/>
  <c r="AG637" i="76"/>
  <c r="AI637" i="76"/>
  <c r="B638" i="76"/>
  <c r="C638" i="76"/>
  <c r="A638" i="76"/>
  <c r="AR639" i="76"/>
  <c r="E638" i="76"/>
  <c r="AE638" i="76"/>
  <c r="AD638" i="76"/>
  <c r="D638" i="76"/>
  <c r="J637" i="76"/>
  <c r="Q637" i="76"/>
  <c r="L637" i="76"/>
  <c r="G637" i="76"/>
  <c r="M637" i="76"/>
  <c r="H637" i="76"/>
  <c r="N637" i="76"/>
  <c r="I637" i="76"/>
  <c r="O637" i="76"/>
  <c r="P637" i="76"/>
  <c r="K637" i="76"/>
  <c r="AA637" i="76"/>
  <c r="V637" i="76"/>
  <c r="AB637" i="76"/>
  <c r="W637" i="76"/>
  <c r="AC637" i="76"/>
  <c r="X637" i="76"/>
  <c r="S637" i="76"/>
  <c r="Y637" i="76"/>
  <c r="T637" i="76"/>
  <c r="Z637" i="76"/>
  <c r="U637" i="76"/>
  <c r="F639" i="76" l="1"/>
  <c r="R639" i="76"/>
  <c r="AP638" i="76"/>
  <c r="AN638" i="76"/>
  <c r="AJ638" i="76"/>
  <c r="AL638" i="76"/>
  <c r="AF638" i="76"/>
  <c r="AM638" i="76"/>
  <c r="AH638" i="76"/>
  <c r="AO638" i="76"/>
  <c r="AI638" i="76"/>
  <c r="AK638" i="76"/>
  <c r="AG638" i="76"/>
  <c r="B639" i="76"/>
  <c r="A639" i="76"/>
  <c r="AD639" i="76"/>
  <c r="C639" i="76"/>
  <c r="D639" i="76"/>
  <c r="AR640" i="76"/>
  <c r="E639" i="76"/>
  <c r="AE639" i="76"/>
  <c r="AB638" i="76"/>
  <c r="W638" i="76"/>
  <c r="AC638" i="76"/>
  <c r="X638" i="76"/>
  <c r="S638" i="76"/>
  <c r="Y638" i="76"/>
  <c r="T638" i="76"/>
  <c r="Z638" i="76"/>
  <c r="U638" i="76"/>
  <c r="AA638" i="76"/>
  <c r="V638" i="76"/>
  <c r="Q638" i="76"/>
  <c r="L638" i="76"/>
  <c r="G638" i="76"/>
  <c r="M638" i="76"/>
  <c r="H638" i="76"/>
  <c r="N638" i="76"/>
  <c r="I638" i="76"/>
  <c r="O638" i="76"/>
  <c r="J638" i="76"/>
  <c r="P638" i="76"/>
  <c r="K638" i="76"/>
  <c r="F640" i="76" l="1"/>
  <c r="R640" i="76"/>
  <c r="O639" i="76"/>
  <c r="J639" i="76"/>
  <c r="P639" i="76"/>
  <c r="K639" i="76"/>
  <c r="Q639" i="76"/>
  <c r="L639" i="76"/>
  <c r="G639" i="76"/>
  <c r="M639" i="76"/>
  <c r="H639" i="76"/>
  <c r="N639" i="76"/>
  <c r="I639" i="76"/>
  <c r="Z639" i="76"/>
  <c r="U639" i="76"/>
  <c r="AA639" i="76"/>
  <c r="V639" i="76"/>
  <c r="AB639" i="76"/>
  <c r="W639" i="76"/>
  <c r="AC639" i="76"/>
  <c r="X639" i="76"/>
  <c r="S639" i="76"/>
  <c r="Y639" i="76"/>
  <c r="T639" i="76"/>
  <c r="AO639" i="76"/>
  <c r="AM639" i="76"/>
  <c r="AP639" i="76"/>
  <c r="AK639" i="76"/>
  <c r="AN639" i="76"/>
  <c r="AL639" i="76"/>
  <c r="AG639" i="76"/>
  <c r="AF639" i="76"/>
  <c r="AH639" i="76"/>
  <c r="AJ639" i="76"/>
  <c r="AI639" i="76"/>
  <c r="E640" i="76"/>
  <c r="AR641" i="76"/>
  <c r="A640" i="76"/>
  <c r="AD640" i="76"/>
  <c r="C640" i="76"/>
  <c r="B640" i="76"/>
  <c r="AE640" i="76"/>
  <c r="D640" i="76"/>
  <c r="F641" i="76" l="1"/>
  <c r="R641" i="76"/>
  <c r="C641" i="76"/>
  <c r="E641" i="76"/>
  <c r="AE641" i="76"/>
  <c r="D641" i="76"/>
  <c r="AR642" i="76"/>
  <c r="B641" i="76"/>
  <c r="AD641" i="76"/>
  <c r="A641" i="76"/>
  <c r="W640" i="76"/>
  <c r="AC640" i="76"/>
  <c r="X640" i="76"/>
  <c r="S640" i="76"/>
  <c r="Y640" i="76"/>
  <c r="T640" i="76"/>
  <c r="Z640" i="76"/>
  <c r="U640" i="76"/>
  <c r="AA640" i="76"/>
  <c r="V640" i="76"/>
  <c r="AB640" i="76"/>
  <c r="AN640" i="76"/>
  <c r="AI640" i="76"/>
  <c r="AO640" i="76"/>
  <c r="AJ640" i="76"/>
  <c r="AP640" i="76"/>
  <c r="AK640" i="76"/>
  <c r="AF640" i="76"/>
  <c r="AL640" i="76"/>
  <c r="AG640" i="76"/>
  <c r="AM640" i="76"/>
  <c r="AH640" i="76"/>
  <c r="G640" i="76"/>
  <c r="I640" i="76"/>
  <c r="H640" i="76"/>
  <c r="N640" i="76"/>
  <c r="L640" i="76"/>
  <c r="O640" i="76"/>
  <c r="J640" i="76"/>
  <c r="M640" i="76"/>
  <c r="K640" i="76"/>
  <c r="Q640" i="76"/>
  <c r="P640" i="76"/>
  <c r="F642" i="76" l="1"/>
  <c r="R642" i="76"/>
  <c r="X641" i="76"/>
  <c r="S641" i="76"/>
  <c r="V641" i="76"/>
  <c r="T641" i="76"/>
  <c r="Z641" i="76"/>
  <c r="Y641" i="76"/>
  <c r="AA641" i="76"/>
  <c r="AC641" i="76"/>
  <c r="AB641" i="76"/>
  <c r="W641" i="76"/>
  <c r="U641" i="76"/>
  <c r="B642" i="76"/>
  <c r="AD642" i="76"/>
  <c r="A642" i="76"/>
  <c r="D642" i="76"/>
  <c r="E642" i="76"/>
  <c r="C642" i="76"/>
  <c r="AR643" i="76"/>
  <c r="AE642" i="76"/>
  <c r="AH641" i="76"/>
  <c r="AN641" i="76"/>
  <c r="AI641" i="76"/>
  <c r="AO641" i="76"/>
  <c r="AJ641" i="76"/>
  <c r="AP641" i="76"/>
  <c r="AK641" i="76"/>
  <c r="AF641" i="76"/>
  <c r="AL641" i="76"/>
  <c r="AG641" i="76"/>
  <c r="AM641" i="76"/>
  <c r="Q641" i="76"/>
  <c r="L641" i="76"/>
  <c r="G641" i="76"/>
  <c r="M641" i="76"/>
  <c r="H641" i="76"/>
  <c r="N641" i="76"/>
  <c r="I641" i="76"/>
  <c r="O641" i="76"/>
  <c r="J641" i="76"/>
  <c r="P641" i="76"/>
  <c r="K641" i="76"/>
  <c r="F643" i="76" l="1"/>
  <c r="R643" i="76"/>
  <c r="P642" i="76"/>
  <c r="N642" i="76"/>
  <c r="I642" i="76"/>
  <c r="G642" i="76"/>
  <c r="M642" i="76"/>
  <c r="O642" i="76"/>
  <c r="K642" i="76"/>
  <c r="Q642" i="76"/>
  <c r="L642" i="76"/>
  <c r="J642" i="76"/>
  <c r="H642" i="76"/>
  <c r="AA642" i="76"/>
  <c r="V642" i="76"/>
  <c r="AB642" i="76"/>
  <c r="W642" i="76"/>
  <c r="U642" i="76"/>
  <c r="AC642" i="76"/>
  <c r="S642" i="76"/>
  <c r="Y642" i="76"/>
  <c r="T642" i="76"/>
  <c r="Z642" i="76"/>
  <c r="X642" i="76"/>
  <c r="AI642" i="76"/>
  <c r="AM642" i="76"/>
  <c r="AH642" i="76"/>
  <c r="AN642" i="76"/>
  <c r="AL642" i="76"/>
  <c r="AJ642" i="76"/>
  <c r="AO642" i="76"/>
  <c r="AP642" i="76"/>
  <c r="AK642" i="76"/>
  <c r="AF642" i="76"/>
  <c r="AG642" i="76"/>
  <c r="A643" i="76"/>
  <c r="AR644" i="76"/>
  <c r="B643" i="76"/>
  <c r="AE643" i="76"/>
  <c r="C643" i="76"/>
  <c r="AD643" i="76"/>
  <c r="E643" i="76"/>
  <c r="D643" i="76"/>
  <c r="F644" i="76" l="1"/>
  <c r="R644" i="76"/>
  <c r="J643" i="76"/>
  <c r="P643" i="76"/>
  <c r="N643" i="76"/>
  <c r="I643" i="76"/>
  <c r="L643" i="76"/>
  <c r="K643" i="76"/>
  <c r="M643" i="76"/>
  <c r="O643" i="76"/>
  <c r="Q643" i="76"/>
  <c r="H643" i="76"/>
  <c r="G643" i="76"/>
  <c r="Y643" i="76"/>
  <c r="T643" i="76"/>
  <c r="Z643" i="76"/>
  <c r="U643" i="76"/>
  <c r="S643" i="76"/>
  <c r="X643" i="76"/>
  <c r="AB643" i="76"/>
  <c r="W643" i="76"/>
  <c r="AC643" i="76"/>
  <c r="AA643" i="76"/>
  <c r="V643" i="76"/>
  <c r="AJ643" i="76"/>
  <c r="AL643" i="76"/>
  <c r="AH643" i="76"/>
  <c r="AI643" i="76"/>
  <c r="AP643" i="76"/>
  <c r="AF643" i="76"/>
  <c r="AM643" i="76"/>
  <c r="AG643" i="76"/>
  <c r="AN643" i="76"/>
  <c r="AO643" i="76"/>
  <c r="AK643" i="76"/>
  <c r="A644" i="76"/>
  <c r="B644" i="76"/>
  <c r="AR645" i="76"/>
  <c r="E644" i="76"/>
  <c r="D644" i="76"/>
  <c r="AE644" i="76"/>
  <c r="C644" i="76"/>
  <c r="AD644" i="76"/>
  <c r="F645" i="76" l="1"/>
  <c r="R645" i="76"/>
  <c r="U644" i="76"/>
  <c r="AA644" i="76"/>
  <c r="V644" i="76"/>
  <c r="AB644" i="76"/>
  <c r="W644" i="76"/>
  <c r="AC644" i="76"/>
  <c r="X644" i="76"/>
  <c r="S644" i="76"/>
  <c r="Y644" i="76"/>
  <c r="T644" i="76"/>
  <c r="Z644" i="76"/>
  <c r="O644" i="76"/>
  <c r="J644" i="76"/>
  <c r="M644" i="76"/>
  <c r="K644" i="76"/>
  <c r="Q644" i="76"/>
  <c r="P644" i="76"/>
  <c r="G644" i="76"/>
  <c r="I644" i="76"/>
  <c r="H644" i="76"/>
  <c r="N644" i="76"/>
  <c r="L644" i="76"/>
  <c r="AN644" i="76"/>
  <c r="AI644" i="76"/>
  <c r="AO644" i="76"/>
  <c r="AJ644" i="76"/>
  <c r="AP644" i="76"/>
  <c r="AK644" i="76"/>
  <c r="AF644" i="76"/>
  <c r="AL644" i="76"/>
  <c r="AG644" i="76"/>
  <c r="AM644" i="76"/>
  <c r="AH644" i="76"/>
  <c r="A645" i="76"/>
  <c r="E645" i="76"/>
  <c r="C645" i="76"/>
  <c r="D645" i="76"/>
  <c r="B645" i="76"/>
  <c r="AR646" i="76"/>
  <c r="AD645" i="76"/>
  <c r="AE645" i="76"/>
  <c r="F646" i="76" l="1"/>
  <c r="R646" i="76"/>
  <c r="M645" i="76"/>
  <c r="H645" i="76"/>
  <c r="N645" i="76"/>
  <c r="I645" i="76"/>
  <c r="O645" i="76"/>
  <c r="J645" i="76"/>
  <c r="P645" i="76"/>
  <c r="K645" i="76"/>
  <c r="Q645" i="76"/>
  <c r="L645" i="76"/>
  <c r="G645" i="76"/>
  <c r="AB645" i="76"/>
  <c r="W645" i="76"/>
  <c r="AC645" i="76"/>
  <c r="X645" i="76"/>
  <c r="S645" i="76"/>
  <c r="Y645" i="76"/>
  <c r="T645" i="76"/>
  <c r="Z645" i="76"/>
  <c r="U645" i="76"/>
  <c r="AA645" i="76"/>
  <c r="V645" i="76"/>
  <c r="AF645" i="76"/>
  <c r="AL645" i="76"/>
  <c r="AG645" i="76"/>
  <c r="AM645" i="76"/>
  <c r="AH645" i="76"/>
  <c r="AN645" i="76"/>
  <c r="AI645" i="76"/>
  <c r="AO645" i="76"/>
  <c r="AJ645" i="76"/>
  <c r="AP645" i="76"/>
  <c r="AK645" i="76"/>
  <c r="AR647" i="76"/>
  <c r="E646" i="76"/>
  <c r="AE646" i="76"/>
  <c r="C646" i="76"/>
  <c r="A646" i="76"/>
  <c r="D646" i="76"/>
  <c r="B646" i="76"/>
  <c r="AD646" i="76"/>
  <c r="F647" i="76" l="1"/>
  <c r="R647" i="76"/>
  <c r="Q646" i="76"/>
  <c r="L646" i="76"/>
  <c r="G646" i="76"/>
  <c r="M646" i="76"/>
  <c r="H646" i="76"/>
  <c r="I646" i="76"/>
  <c r="O646" i="76"/>
  <c r="J646" i="76"/>
  <c r="P646" i="76"/>
  <c r="K646" i="76"/>
  <c r="N646" i="76"/>
  <c r="AG646" i="76"/>
  <c r="AI646" i="76"/>
  <c r="AH646" i="76"/>
  <c r="AN646" i="76"/>
  <c r="AL646" i="76"/>
  <c r="AO646" i="76"/>
  <c r="AJ646" i="76"/>
  <c r="AM646" i="76"/>
  <c r="AK646" i="76"/>
  <c r="AF646" i="76"/>
  <c r="AP646" i="76"/>
  <c r="B647" i="76"/>
  <c r="A647" i="76"/>
  <c r="AD647" i="76"/>
  <c r="C647" i="76"/>
  <c r="D647" i="76"/>
  <c r="AR648" i="76"/>
  <c r="E647" i="76"/>
  <c r="AE647" i="76"/>
  <c r="AB646" i="76"/>
  <c r="AC646" i="76"/>
  <c r="S646" i="76"/>
  <c r="Y646" i="76"/>
  <c r="T646" i="76"/>
  <c r="Z646" i="76"/>
  <c r="U646" i="76"/>
  <c r="AA646" i="76"/>
  <c r="V646" i="76"/>
  <c r="W646" i="76"/>
  <c r="X646" i="76"/>
  <c r="F648" i="76" l="1"/>
  <c r="R648" i="76"/>
  <c r="AP647" i="76"/>
  <c r="AK647" i="76"/>
  <c r="AI647" i="76"/>
  <c r="AL647" i="76"/>
  <c r="AG647" i="76"/>
  <c r="AJ647" i="76"/>
  <c r="AH647" i="76"/>
  <c r="AN647" i="76"/>
  <c r="AM647" i="76"/>
  <c r="AO647" i="76"/>
  <c r="AF647" i="76"/>
  <c r="A648" i="76"/>
  <c r="D648" i="76"/>
  <c r="E648" i="76"/>
  <c r="C648" i="76"/>
  <c r="AD648" i="76"/>
  <c r="AE648" i="76"/>
  <c r="B648" i="76"/>
  <c r="AR649" i="76"/>
  <c r="Q647" i="76"/>
  <c r="L647" i="76"/>
  <c r="G647" i="76"/>
  <c r="M647" i="76"/>
  <c r="H647" i="76"/>
  <c r="O647" i="76"/>
  <c r="J647" i="76"/>
  <c r="K647" i="76"/>
  <c r="N647" i="76"/>
  <c r="I647" i="76"/>
  <c r="P647" i="76"/>
  <c r="Y647" i="76"/>
  <c r="T647" i="76"/>
  <c r="Z647" i="76"/>
  <c r="U647" i="76"/>
  <c r="AA647" i="76"/>
  <c r="V647" i="76"/>
  <c r="AB647" i="76"/>
  <c r="W647" i="76"/>
  <c r="AC647" i="76"/>
  <c r="X647" i="76"/>
  <c r="S647" i="76"/>
  <c r="F649" i="76" l="1"/>
  <c r="R649" i="76"/>
  <c r="AR650" i="76"/>
  <c r="E649" i="76"/>
  <c r="AE649" i="76"/>
  <c r="B649" i="76"/>
  <c r="A649" i="76"/>
  <c r="C649" i="76"/>
  <c r="D649" i="76"/>
  <c r="AD649" i="76"/>
  <c r="K648" i="76"/>
  <c r="Q648" i="76"/>
  <c r="P648" i="76"/>
  <c r="G648" i="76"/>
  <c r="I648" i="76"/>
  <c r="H648" i="76"/>
  <c r="N648" i="76"/>
  <c r="L648" i="76"/>
  <c r="O648" i="76"/>
  <c r="J648" i="76"/>
  <c r="M648" i="76"/>
  <c r="S648" i="76"/>
  <c r="Y648" i="76"/>
  <c r="T648" i="76"/>
  <c r="Z648" i="76"/>
  <c r="U648" i="76"/>
  <c r="AA648" i="76"/>
  <c r="V648" i="76"/>
  <c r="AB648" i="76"/>
  <c r="W648" i="76"/>
  <c r="AC648" i="76"/>
  <c r="X648" i="76"/>
  <c r="AG648" i="76"/>
  <c r="AM648" i="76"/>
  <c r="AH648" i="76"/>
  <c r="AN648" i="76"/>
  <c r="AI648" i="76"/>
  <c r="AO648" i="76"/>
  <c r="AJ648" i="76"/>
  <c r="AP648" i="76"/>
  <c r="AK648" i="76"/>
  <c r="AF648" i="76"/>
  <c r="AL648" i="76"/>
  <c r="F650" i="76" l="1"/>
  <c r="R650" i="76"/>
  <c r="Z649" i="76"/>
  <c r="U649" i="76"/>
  <c r="AB649" i="76"/>
  <c r="V649" i="76"/>
  <c r="X649" i="76"/>
  <c r="T649" i="76"/>
  <c r="AC649" i="76"/>
  <c r="AA649" i="76"/>
  <c r="W649" i="76"/>
  <c r="Y649" i="76"/>
  <c r="S649" i="76"/>
  <c r="Q649" i="76"/>
  <c r="L649" i="76"/>
  <c r="G649" i="76"/>
  <c r="M649" i="76"/>
  <c r="H649" i="76"/>
  <c r="N649" i="76"/>
  <c r="I649" i="76"/>
  <c r="O649" i="76"/>
  <c r="J649" i="76"/>
  <c r="P649" i="76"/>
  <c r="K649" i="76"/>
  <c r="AL649" i="76"/>
  <c r="AG649" i="76"/>
  <c r="AM649" i="76"/>
  <c r="AH649" i="76"/>
  <c r="AN649" i="76"/>
  <c r="AI649" i="76"/>
  <c r="AO649" i="76"/>
  <c r="AJ649" i="76"/>
  <c r="AP649" i="76"/>
  <c r="AK649" i="76"/>
  <c r="AF649" i="76"/>
  <c r="A650" i="76"/>
  <c r="D650" i="76"/>
  <c r="B650" i="76"/>
  <c r="AD650" i="76"/>
  <c r="AR651" i="76"/>
  <c r="AE650" i="76"/>
  <c r="E650" i="76"/>
  <c r="C650" i="76"/>
  <c r="F651" i="76" l="1"/>
  <c r="R651" i="76"/>
  <c r="O650" i="76"/>
  <c r="J650" i="76"/>
  <c r="P650" i="76"/>
  <c r="K650" i="76"/>
  <c r="Q650" i="76"/>
  <c r="L650" i="76"/>
  <c r="G650" i="76"/>
  <c r="M650" i="76"/>
  <c r="H650" i="76"/>
  <c r="N650" i="76"/>
  <c r="I650" i="76"/>
  <c r="AA650" i="76"/>
  <c r="V650" i="76"/>
  <c r="AB650" i="76"/>
  <c r="W650" i="76"/>
  <c r="AC650" i="76"/>
  <c r="X650" i="76"/>
  <c r="S650" i="76"/>
  <c r="Y650" i="76"/>
  <c r="T650" i="76"/>
  <c r="Z650" i="76"/>
  <c r="U650" i="76"/>
  <c r="AL650" i="76"/>
  <c r="AN650" i="76"/>
  <c r="AI650" i="76"/>
  <c r="AO650" i="76"/>
  <c r="AJ650" i="76"/>
  <c r="AP650" i="76"/>
  <c r="AK650" i="76"/>
  <c r="AF650" i="76"/>
  <c r="AG650" i="76"/>
  <c r="AM650" i="76"/>
  <c r="AH650" i="76"/>
  <c r="A651" i="76"/>
  <c r="AR652" i="76"/>
  <c r="B651" i="76"/>
  <c r="AE651" i="76"/>
  <c r="D651" i="76"/>
  <c r="C651" i="76"/>
  <c r="AD651" i="76"/>
  <c r="E651" i="76"/>
  <c r="F652" i="76" l="1"/>
  <c r="R652" i="76"/>
  <c r="P651" i="76"/>
  <c r="K651" i="76"/>
  <c r="I651" i="76"/>
  <c r="L651" i="76"/>
  <c r="G651" i="76"/>
  <c r="J651" i="76"/>
  <c r="H651" i="76"/>
  <c r="N651" i="76"/>
  <c r="M651" i="76"/>
  <c r="O651" i="76"/>
  <c r="Q651" i="76"/>
  <c r="AA651" i="76"/>
  <c r="V651" i="76"/>
  <c r="AB651" i="76"/>
  <c r="W651" i="76"/>
  <c r="AC651" i="76"/>
  <c r="X651" i="76"/>
  <c r="S651" i="76"/>
  <c r="Y651" i="76"/>
  <c r="T651" i="76"/>
  <c r="Z651" i="76"/>
  <c r="U651" i="76"/>
  <c r="AF651" i="76"/>
  <c r="AH651" i="76"/>
  <c r="AG651" i="76"/>
  <c r="AM651" i="76"/>
  <c r="AK651" i="76"/>
  <c r="AN651" i="76"/>
  <c r="AI651" i="76"/>
  <c r="AL651" i="76"/>
  <c r="AJ651" i="76"/>
  <c r="AP651" i="76"/>
  <c r="AO651" i="76"/>
  <c r="AR653" i="76"/>
  <c r="A652" i="76"/>
  <c r="AD652" i="76"/>
  <c r="E652" i="76"/>
  <c r="D652" i="76"/>
  <c r="C652" i="76"/>
  <c r="B652" i="76"/>
  <c r="AE652" i="76"/>
  <c r="F653" i="76" l="1"/>
  <c r="R653" i="76"/>
  <c r="AB652" i="76"/>
  <c r="W652" i="76"/>
  <c r="AC652" i="76"/>
  <c r="X652" i="76"/>
  <c r="S652" i="76"/>
  <c r="Y652" i="76"/>
  <c r="T652" i="76"/>
  <c r="Z652" i="76"/>
  <c r="U652" i="76"/>
  <c r="AA652" i="76"/>
  <c r="V652" i="76"/>
  <c r="L652" i="76"/>
  <c r="G652" i="76"/>
  <c r="I652" i="76"/>
  <c r="H652" i="76"/>
  <c r="Q652" i="76"/>
  <c r="K652" i="76"/>
  <c r="O652" i="76"/>
  <c r="J652" i="76"/>
  <c r="M652" i="76"/>
  <c r="N652" i="76"/>
  <c r="P652" i="76"/>
  <c r="AD653" i="76"/>
  <c r="B653" i="76"/>
  <c r="A653" i="76"/>
  <c r="E653" i="76"/>
  <c r="AR654" i="76"/>
  <c r="D653" i="76"/>
  <c r="AE653" i="76"/>
  <c r="C653" i="76"/>
  <c r="AG652" i="76"/>
  <c r="AP652" i="76"/>
  <c r="AN652" i="76"/>
  <c r="AI652" i="76"/>
  <c r="AO652" i="76"/>
  <c r="AH652" i="76"/>
  <c r="AJ652" i="76"/>
  <c r="AK652" i="76"/>
  <c r="AF652" i="76"/>
  <c r="AL652" i="76"/>
  <c r="AM652" i="76"/>
  <c r="F654" i="76" l="1"/>
  <c r="R654" i="76"/>
  <c r="J653" i="76"/>
  <c r="P653" i="76"/>
  <c r="K653" i="76"/>
  <c r="Q653" i="76"/>
  <c r="L653" i="76"/>
  <c r="G653" i="76"/>
  <c r="M653" i="76"/>
  <c r="H653" i="76"/>
  <c r="N653" i="76"/>
  <c r="I653" i="76"/>
  <c r="O653" i="76"/>
  <c r="AH653" i="76"/>
  <c r="AF653" i="76"/>
  <c r="AL653" i="76"/>
  <c r="AG653" i="76"/>
  <c r="AP653" i="76"/>
  <c r="AJ653" i="76"/>
  <c r="AN653" i="76"/>
  <c r="AI653" i="76"/>
  <c r="AO653" i="76"/>
  <c r="AM653" i="76"/>
  <c r="AK653" i="76"/>
  <c r="AR655" i="76"/>
  <c r="AE654" i="76"/>
  <c r="AD654" i="76"/>
  <c r="E654" i="76"/>
  <c r="C654" i="76"/>
  <c r="A654" i="76"/>
  <c r="D654" i="76"/>
  <c r="B654" i="76"/>
  <c r="AC653" i="76"/>
  <c r="X653" i="76"/>
  <c r="S653" i="76"/>
  <c r="Y653" i="76"/>
  <c r="T653" i="76"/>
  <c r="Z653" i="76"/>
  <c r="U653" i="76"/>
  <c r="AA653" i="76"/>
  <c r="V653" i="76"/>
  <c r="AB653" i="76"/>
  <c r="W653" i="76"/>
  <c r="F655" i="76" l="1"/>
  <c r="R655" i="76"/>
  <c r="AB654" i="76"/>
  <c r="W654" i="76"/>
  <c r="AC654" i="76"/>
  <c r="AA654" i="76"/>
  <c r="U654" i="76"/>
  <c r="Y654" i="76"/>
  <c r="T654" i="76"/>
  <c r="Z654" i="76"/>
  <c r="X654" i="76"/>
  <c r="V654" i="76"/>
  <c r="S654" i="76"/>
  <c r="Q654" i="76"/>
  <c r="L654" i="76"/>
  <c r="G654" i="76"/>
  <c r="M654" i="76"/>
  <c r="H654" i="76"/>
  <c r="N654" i="76"/>
  <c r="I654" i="76"/>
  <c r="O654" i="76"/>
  <c r="J654" i="76"/>
  <c r="P654" i="76"/>
  <c r="K654" i="76"/>
  <c r="AL654" i="76"/>
  <c r="AJ654" i="76"/>
  <c r="AM654" i="76"/>
  <c r="AH654" i="76"/>
  <c r="AK654" i="76"/>
  <c r="AI654" i="76"/>
  <c r="AO654" i="76"/>
  <c r="AN654" i="76"/>
  <c r="AP654" i="76"/>
  <c r="AG654" i="76"/>
  <c r="AF654" i="76"/>
  <c r="E655" i="76"/>
  <c r="C655" i="76"/>
  <c r="A655" i="76"/>
  <c r="AE655" i="76"/>
  <c r="AR656" i="76"/>
  <c r="AD655" i="76"/>
  <c r="D655" i="76"/>
  <c r="B655" i="76"/>
  <c r="F656" i="76" l="1"/>
  <c r="R656" i="76"/>
  <c r="H655" i="76"/>
  <c r="N655" i="76"/>
  <c r="I655" i="76"/>
  <c r="O655" i="76"/>
  <c r="J655" i="76"/>
  <c r="P655" i="76"/>
  <c r="K655" i="76"/>
  <c r="Q655" i="76"/>
  <c r="L655" i="76"/>
  <c r="G655" i="76"/>
  <c r="M655" i="76"/>
  <c r="AO655" i="76"/>
  <c r="AM655" i="76"/>
  <c r="AP655" i="76"/>
  <c r="AK655" i="76"/>
  <c r="AN655" i="76"/>
  <c r="AL655" i="76"/>
  <c r="AG655" i="76"/>
  <c r="AF655" i="76"/>
  <c r="AH655" i="76"/>
  <c r="AJ655" i="76"/>
  <c r="AI655" i="76"/>
  <c r="Z655" i="76"/>
  <c r="U655" i="76"/>
  <c r="AA655" i="76"/>
  <c r="V655" i="76"/>
  <c r="AB655" i="76"/>
  <c r="W655" i="76"/>
  <c r="AC655" i="76"/>
  <c r="X655" i="76"/>
  <c r="S655" i="76"/>
  <c r="Y655" i="76"/>
  <c r="T655" i="76"/>
  <c r="E656" i="76"/>
  <c r="D656" i="76"/>
  <c r="AD656" i="76"/>
  <c r="A656" i="76"/>
  <c r="B656" i="76"/>
  <c r="AR657" i="76"/>
  <c r="C656" i="76"/>
  <c r="AE656" i="76"/>
  <c r="F657" i="76" l="1"/>
  <c r="R657" i="76"/>
  <c r="G656" i="76"/>
  <c r="I656" i="76"/>
  <c r="H656" i="76"/>
  <c r="N656" i="76"/>
  <c r="L656" i="76"/>
  <c r="O656" i="76"/>
  <c r="J656" i="76"/>
  <c r="M656" i="76"/>
  <c r="K656" i="76"/>
  <c r="Q656" i="76"/>
  <c r="P656" i="76"/>
  <c r="Z656" i="76"/>
  <c r="U656" i="76"/>
  <c r="AA656" i="76"/>
  <c r="V656" i="76"/>
  <c r="AB656" i="76"/>
  <c r="W656" i="76"/>
  <c r="AC656" i="76"/>
  <c r="X656" i="76"/>
  <c r="S656" i="76"/>
  <c r="Y656" i="76"/>
  <c r="T656" i="76"/>
  <c r="AO656" i="76"/>
  <c r="AJ656" i="76"/>
  <c r="AP656" i="76"/>
  <c r="AK656" i="76"/>
  <c r="AF656" i="76"/>
  <c r="AL656" i="76"/>
  <c r="AG656" i="76"/>
  <c r="AM656" i="76"/>
  <c r="AH656" i="76"/>
  <c r="AN656" i="76"/>
  <c r="AI656" i="76"/>
  <c r="B657" i="76"/>
  <c r="D657" i="76"/>
  <c r="C657" i="76"/>
  <c r="AD657" i="76"/>
  <c r="AR658" i="76"/>
  <c r="E657" i="76"/>
  <c r="AE657" i="76"/>
  <c r="A657" i="76"/>
  <c r="F658" i="76" l="1"/>
  <c r="R658" i="76"/>
  <c r="N657" i="76"/>
  <c r="I657" i="76"/>
  <c r="O657" i="76"/>
  <c r="J657" i="76"/>
  <c r="P657" i="76"/>
  <c r="K657" i="76"/>
  <c r="Q657" i="76"/>
  <c r="L657" i="76"/>
  <c r="G657" i="76"/>
  <c r="M657" i="76"/>
  <c r="H657" i="76"/>
  <c r="AH657" i="76"/>
  <c r="AN657" i="76"/>
  <c r="AI657" i="76"/>
  <c r="AO657" i="76"/>
  <c r="AJ657" i="76"/>
  <c r="AP657" i="76"/>
  <c r="AK657" i="76"/>
  <c r="AF657" i="76"/>
  <c r="AL657" i="76"/>
  <c r="AG657" i="76"/>
  <c r="AM657" i="76"/>
  <c r="AD658" i="76"/>
  <c r="C658" i="76"/>
  <c r="AE658" i="76"/>
  <c r="E658" i="76"/>
  <c r="B658" i="76"/>
  <c r="A658" i="76"/>
  <c r="AR659" i="76"/>
  <c r="D658" i="76"/>
  <c r="AA657" i="76"/>
  <c r="Y657" i="76"/>
  <c r="AB657" i="76"/>
  <c r="W657" i="76"/>
  <c r="Z657" i="76"/>
  <c r="X657" i="76"/>
  <c r="S657" i="76"/>
  <c r="AC657" i="76"/>
  <c r="T657" i="76"/>
  <c r="V657" i="76"/>
  <c r="U657" i="76"/>
  <c r="F659" i="76" l="1"/>
  <c r="R659" i="76"/>
  <c r="W658" i="76"/>
  <c r="AC658" i="76"/>
  <c r="X658" i="76"/>
  <c r="S658" i="76"/>
  <c r="Y658" i="76"/>
  <c r="T658" i="76"/>
  <c r="Z658" i="76"/>
  <c r="U658" i="76"/>
  <c r="AA658" i="76"/>
  <c r="V658" i="76"/>
  <c r="AB658" i="76"/>
  <c r="E659" i="76"/>
  <c r="B659" i="76"/>
  <c r="A659" i="76"/>
  <c r="AD659" i="76"/>
  <c r="AR660" i="76"/>
  <c r="C659" i="76"/>
  <c r="AE659" i="76"/>
  <c r="D659" i="76"/>
  <c r="N658" i="76"/>
  <c r="I658" i="76"/>
  <c r="O658" i="76"/>
  <c r="J658" i="76"/>
  <c r="P658" i="76"/>
  <c r="K658" i="76"/>
  <c r="Q658" i="76"/>
  <c r="L658" i="76"/>
  <c r="G658" i="76"/>
  <c r="M658" i="76"/>
  <c r="H658" i="76"/>
  <c r="AM658" i="76"/>
  <c r="AH658" i="76"/>
  <c r="AN658" i="76"/>
  <c r="AI658" i="76"/>
  <c r="AO658" i="76"/>
  <c r="AJ658" i="76"/>
  <c r="AP658" i="76"/>
  <c r="AK658" i="76"/>
  <c r="AF658" i="76"/>
  <c r="AL658" i="76"/>
  <c r="AG658" i="76"/>
  <c r="F660" i="76" l="1"/>
  <c r="R660" i="76"/>
  <c r="M659" i="76"/>
  <c r="G659" i="76"/>
  <c r="N659" i="76"/>
  <c r="I659" i="76"/>
  <c r="P659" i="76"/>
  <c r="J659" i="76"/>
  <c r="L659" i="76"/>
  <c r="H659" i="76"/>
  <c r="Q659" i="76"/>
  <c r="O659" i="76"/>
  <c r="K659" i="76"/>
  <c r="AJ659" i="76"/>
  <c r="AL659" i="76"/>
  <c r="AH659" i="76"/>
  <c r="AF659" i="76"/>
  <c r="AO659" i="76"/>
  <c r="AK659" i="76"/>
  <c r="AM659" i="76"/>
  <c r="AG659" i="76"/>
  <c r="AN659" i="76"/>
  <c r="AI659" i="76"/>
  <c r="AP659" i="76"/>
  <c r="E660" i="76"/>
  <c r="AR661" i="76"/>
  <c r="A660" i="76"/>
  <c r="AE660" i="76"/>
  <c r="C660" i="76"/>
  <c r="B660" i="76"/>
  <c r="AD660" i="76"/>
  <c r="D660" i="76"/>
  <c r="T659" i="76"/>
  <c r="Z659" i="76"/>
  <c r="U659" i="76"/>
  <c r="AA659" i="76"/>
  <c r="V659" i="76"/>
  <c r="AB659" i="76"/>
  <c r="W659" i="76"/>
  <c r="AC659" i="76"/>
  <c r="X659" i="76"/>
  <c r="S659" i="76"/>
  <c r="Y659" i="76"/>
  <c r="F661" i="76" l="1"/>
  <c r="R661" i="76"/>
  <c r="N660" i="76"/>
  <c r="L660" i="76"/>
  <c r="O660" i="76"/>
  <c r="J660" i="76"/>
  <c r="M660" i="76"/>
  <c r="K660" i="76"/>
  <c r="Q660" i="76"/>
  <c r="P660" i="76"/>
  <c r="G660" i="76"/>
  <c r="I660" i="76"/>
  <c r="H660" i="76"/>
  <c r="Y660" i="76"/>
  <c r="T660" i="76"/>
  <c r="Z660" i="76"/>
  <c r="U660" i="76"/>
  <c r="AA660" i="76"/>
  <c r="V660" i="76"/>
  <c r="AB660" i="76"/>
  <c r="W660" i="76"/>
  <c r="AC660" i="76"/>
  <c r="X660" i="76"/>
  <c r="S660" i="76"/>
  <c r="AG660" i="76"/>
  <c r="AM660" i="76"/>
  <c r="AH660" i="76"/>
  <c r="AN660" i="76"/>
  <c r="AI660" i="76"/>
  <c r="AO660" i="76"/>
  <c r="AJ660" i="76"/>
  <c r="AP660" i="76"/>
  <c r="AK660" i="76"/>
  <c r="AF660" i="76"/>
  <c r="AL660" i="76"/>
  <c r="E661" i="76"/>
  <c r="A661" i="76"/>
  <c r="D661" i="76"/>
  <c r="B661" i="76"/>
  <c r="AD661" i="76"/>
  <c r="AR662" i="76"/>
  <c r="C661" i="76"/>
  <c r="AE661" i="76"/>
  <c r="F662" i="76" l="1"/>
  <c r="R662" i="76"/>
  <c r="M661" i="76"/>
  <c r="H661" i="76"/>
  <c r="N661" i="76"/>
  <c r="I661" i="76"/>
  <c r="O661" i="76"/>
  <c r="J661" i="76"/>
  <c r="P661" i="76"/>
  <c r="K661" i="76"/>
  <c r="Q661" i="76"/>
  <c r="L661" i="76"/>
  <c r="G661" i="76"/>
  <c r="AJ661" i="76"/>
  <c r="AP661" i="76"/>
  <c r="AK661" i="76"/>
  <c r="AF661" i="76"/>
  <c r="AL661" i="76"/>
  <c r="AG661" i="76"/>
  <c r="AM661" i="76"/>
  <c r="AH661" i="76"/>
  <c r="AN661" i="76"/>
  <c r="AI661" i="76"/>
  <c r="AO661" i="76"/>
  <c r="A662" i="76"/>
  <c r="C662" i="76"/>
  <c r="E662" i="76"/>
  <c r="AD662" i="76"/>
  <c r="AE662" i="76"/>
  <c r="AR663" i="76"/>
  <c r="D662" i="76"/>
  <c r="B662" i="76"/>
  <c r="T661" i="76"/>
  <c r="Z661" i="76"/>
  <c r="U661" i="76"/>
  <c r="AA661" i="76"/>
  <c r="V661" i="76"/>
  <c r="AB661" i="76"/>
  <c r="W661" i="76"/>
  <c r="AC661" i="76"/>
  <c r="X661" i="76"/>
  <c r="S661" i="76"/>
  <c r="Y661" i="76"/>
  <c r="F663" i="76" l="1"/>
  <c r="R663" i="76"/>
  <c r="Y662" i="76"/>
  <c r="T662" i="76"/>
  <c r="Z662" i="76"/>
  <c r="U662" i="76"/>
  <c r="AA662" i="76"/>
  <c r="V662" i="76"/>
  <c r="AB662" i="76"/>
  <c r="W662" i="76"/>
  <c r="AC662" i="76"/>
  <c r="X662" i="76"/>
  <c r="S662" i="76"/>
  <c r="E663" i="76"/>
  <c r="C663" i="76"/>
  <c r="AD663" i="76"/>
  <c r="B663" i="76"/>
  <c r="A663" i="76"/>
  <c r="AR664" i="76"/>
  <c r="D663" i="76"/>
  <c r="AE663" i="76"/>
  <c r="I662" i="76"/>
  <c r="O662" i="76"/>
  <c r="J662" i="76"/>
  <c r="P662" i="76"/>
  <c r="K662" i="76"/>
  <c r="Q662" i="76"/>
  <c r="L662" i="76"/>
  <c r="G662" i="76"/>
  <c r="M662" i="76"/>
  <c r="H662" i="76"/>
  <c r="N662" i="76"/>
  <c r="AN662" i="76"/>
  <c r="AP662" i="76"/>
  <c r="AO662" i="76"/>
  <c r="AJ662" i="76"/>
  <c r="AH662" i="76"/>
  <c r="AK662" i="76"/>
  <c r="AF662" i="76"/>
  <c r="AI662" i="76"/>
  <c r="AG662" i="76"/>
  <c r="AM662" i="76"/>
  <c r="AL662" i="76"/>
  <c r="F664" i="76" l="1"/>
  <c r="R664" i="76"/>
  <c r="E664" i="76"/>
  <c r="D664" i="76"/>
  <c r="C664" i="76"/>
  <c r="AD664" i="76"/>
  <c r="AR665" i="76"/>
  <c r="B664" i="76"/>
  <c r="AE664" i="76"/>
  <c r="A664" i="76"/>
  <c r="Y663" i="76"/>
  <c r="T663" i="76"/>
  <c r="Z663" i="76"/>
  <c r="U663" i="76"/>
  <c r="AA663" i="76"/>
  <c r="V663" i="76"/>
  <c r="AB663" i="76"/>
  <c r="W663" i="76"/>
  <c r="AC663" i="76"/>
  <c r="X663" i="76"/>
  <c r="S663" i="76"/>
  <c r="M663" i="76"/>
  <c r="H663" i="76"/>
  <c r="N663" i="76"/>
  <c r="I663" i="76"/>
  <c r="O663" i="76"/>
  <c r="J663" i="76"/>
  <c r="P663" i="76"/>
  <c r="K663" i="76"/>
  <c r="Q663" i="76"/>
  <c r="L663" i="76"/>
  <c r="G663" i="76"/>
  <c r="AP663" i="76"/>
  <c r="AK663" i="76"/>
  <c r="AI663" i="76"/>
  <c r="AL663" i="76"/>
  <c r="AG663" i="76"/>
  <c r="AJ663" i="76"/>
  <c r="AH663" i="76"/>
  <c r="AN663" i="76"/>
  <c r="AM663" i="76"/>
  <c r="AO663" i="76"/>
  <c r="AF663" i="76"/>
  <c r="F665" i="76" l="1"/>
  <c r="R665" i="76"/>
  <c r="K664" i="76"/>
  <c r="Q664" i="76"/>
  <c r="P664" i="76"/>
  <c r="G664" i="76"/>
  <c r="I664" i="76"/>
  <c r="H664" i="76"/>
  <c r="N664" i="76"/>
  <c r="L664" i="76"/>
  <c r="O664" i="76"/>
  <c r="J664" i="76"/>
  <c r="M664" i="76"/>
  <c r="AN664" i="76"/>
  <c r="AI664" i="76"/>
  <c r="AO664" i="76"/>
  <c r="AJ664" i="76"/>
  <c r="AP664" i="76"/>
  <c r="AK664" i="76"/>
  <c r="AF664" i="76"/>
  <c r="AL664" i="76"/>
  <c r="AG664" i="76"/>
  <c r="AM664" i="76"/>
  <c r="AH664" i="76"/>
  <c r="AR666" i="76"/>
  <c r="E665" i="76"/>
  <c r="AE665" i="76"/>
  <c r="A665" i="76"/>
  <c r="C665" i="76"/>
  <c r="B665" i="76"/>
  <c r="D665" i="76"/>
  <c r="AD665" i="76"/>
  <c r="S664" i="76"/>
  <c r="Y664" i="76"/>
  <c r="T664" i="76"/>
  <c r="Z664" i="76"/>
  <c r="U664" i="76"/>
  <c r="AA664" i="76"/>
  <c r="V664" i="76"/>
  <c r="AB664" i="76"/>
  <c r="W664" i="76"/>
  <c r="AC664" i="76"/>
  <c r="X664" i="76"/>
  <c r="F666" i="76" l="1"/>
  <c r="R666" i="76"/>
  <c r="Y665" i="76"/>
  <c r="W665" i="76"/>
  <c r="Z665" i="76"/>
  <c r="U665" i="76"/>
  <c r="X665" i="76"/>
  <c r="V665" i="76"/>
  <c r="AB665" i="76"/>
  <c r="AA665" i="76"/>
  <c r="AC665" i="76"/>
  <c r="T665" i="76"/>
  <c r="S665" i="76"/>
  <c r="Q665" i="76"/>
  <c r="L665" i="76"/>
  <c r="G665" i="76"/>
  <c r="M665" i="76"/>
  <c r="H665" i="76"/>
  <c r="N665" i="76"/>
  <c r="I665" i="76"/>
  <c r="O665" i="76"/>
  <c r="J665" i="76"/>
  <c r="P665" i="76"/>
  <c r="K665" i="76"/>
  <c r="AL665" i="76"/>
  <c r="AG665" i="76"/>
  <c r="AM665" i="76"/>
  <c r="AH665" i="76"/>
  <c r="AN665" i="76"/>
  <c r="AI665" i="76"/>
  <c r="AO665" i="76"/>
  <c r="AJ665" i="76"/>
  <c r="AP665" i="76"/>
  <c r="AK665" i="76"/>
  <c r="AF665" i="76"/>
  <c r="C666" i="76"/>
  <c r="A666" i="76"/>
  <c r="B666" i="76"/>
  <c r="E666" i="76"/>
  <c r="AE666" i="76"/>
  <c r="AR667" i="76"/>
  <c r="D666" i="76"/>
  <c r="AD666" i="76"/>
  <c r="F667" i="76" l="1"/>
  <c r="R667" i="76"/>
  <c r="N666" i="76"/>
  <c r="I666" i="76"/>
  <c r="O666" i="76"/>
  <c r="J666" i="76"/>
  <c r="P666" i="76"/>
  <c r="K666" i="76"/>
  <c r="Q666" i="76"/>
  <c r="L666" i="76"/>
  <c r="G666" i="76"/>
  <c r="M666" i="76"/>
  <c r="H666" i="76"/>
  <c r="AN666" i="76"/>
  <c r="AI666" i="76"/>
  <c r="AO666" i="76"/>
  <c r="AJ666" i="76"/>
  <c r="AP666" i="76"/>
  <c r="AK666" i="76"/>
  <c r="AF666" i="76"/>
  <c r="AL666" i="76"/>
  <c r="AG666" i="76"/>
  <c r="AM666" i="76"/>
  <c r="AH666" i="76"/>
  <c r="AA666" i="76"/>
  <c r="V666" i="76"/>
  <c r="AB666" i="76"/>
  <c r="W666" i="76"/>
  <c r="AC666" i="76"/>
  <c r="X666" i="76"/>
  <c r="S666" i="76"/>
  <c r="Y666" i="76"/>
  <c r="T666" i="76"/>
  <c r="Z666" i="76"/>
  <c r="U666" i="76"/>
  <c r="C667" i="76"/>
  <c r="B667" i="76"/>
  <c r="AD667" i="76"/>
  <c r="D667" i="76"/>
  <c r="E667" i="76"/>
  <c r="AR668" i="76"/>
  <c r="A667" i="76"/>
  <c r="AE667" i="76"/>
  <c r="F668" i="76" l="1"/>
  <c r="R668" i="76"/>
  <c r="L667" i="76"/>
  <c r="G667" i="76"/>
  <c r="Q667" i="76"/>
  <c r="H667" i="76"/>
  <c r="J667" i="76"/>
  <c r="I667" i="76"/>
  <c r="O667" i="76"/>
  <c r="M667" i="76"/>
  <c r="P667" i="76"/>
  <c r="K667" i="76"/>
  <c r="N667" i="76"/>
  <c r="AA667" i="76"/>
  <c r="V667" i="76"/>
  <c r="AB667" i="76"/>
  <c r="W667" i="76"/>
  <c r="AC667" i="76"/>
  <c r="X667" i="76"/>
  <c r="S667" i="76"/>
  <c r="Y667" i="76"/>
  <c r="T667" i="76"/>
  <c r="Z667" i="76"/>
  <c r="U667" i="76"/>
  <c r="AN667" i="76"/>
  <c r="AI667" i="76"/>
  <c r="AL667" i="76"/>
  <c r="AJ667" i="76"/>
  <c r="AP667" i="76"/>
  <c r="AO667" i="76"/>
  <c r="AF667" i="76"/>
  <c r="AH667" i="76"/>
  <c r="AG667" i="76"/>
  <c r="AM667" i="76"/>
  <c r="AK667" i="76"/>
  <c r="AR669" i="76"/>
  <c r="E668" i="76"/>
  <c r="AE668" i="76"/>
  <c r="D668" i="76"/>
  <c r="C668" i="76"/>
  <c r="B668" i="76"/>
  <c r="A668" i="76"/>
  <c r="AD668" i="76"/>
  <c r="F669" i="76" l="1"/>
  <c r="R669" i="76"/>
  <c r="Y668" i="76"/>
  <c r="T668" i="76"/>
  <c r="Z668" i="76"/>
  <c r="U668" i="76"/>
  <c r="AA668" i="76"/>
  <c r="V668" i="76"/>
  <c r="AB668" i="76"/>
  <c r="W668" i="76"/>
  <c r="AC668" i="76"/>
  <c r="X668" i="76"/>
  <c r="S668" i="76"/>
  <c r="G668" i="76"/>
  <c r="I668" i="76"/>
  <c r="H668" i="76"/>
  <c r="N668" i="76"/>
  <c r="L668" i="76"/>
  <c r="O668" i="76"/>
  <c r="J668" i="76"/>
  <c r="M668" i="76"/>
  <c r="K668" i="76"/>
  <c r="Q668" i="76"/>
  <c r="P668" i="76"/>
  <c r="AO668" i="76"/>
  <c r="AJ668" i="76"/>
  <c r="AP668" i="76"/>
  <c r="AK668" i="76"/>
  <c r="AF668" i="76"/>
  <c r="AL668" i="76"/>
  <c r="AG668" i="76"/>
  <c r="AM668" i="76"/>
  <c r="AH668" i="76"/>
  <c r="AN668" i="76"/>
  <c r="AI668" i="76"/>
  <c r="E669" i="76"/>
  <c r="AR670" i="76"/>
  <c r="D669" i="76"/>
  <c r="AE669" i="76"/>
  <c r="C669" i="76"/>
  <c r="B669" i="76"/>
  <c r="AD669" i="76"/>
  <c r="A669" i="76"/>
  <c r="F670" i="76" l="1"/>
  <c r="R670" i="76"/>
  <c r="AJ669" i="76"/>
  <c r="AN669" i="76"/>
  <c r="AI669" i="76"/>
  <c r="AO669" i="76"/>
  <c r="AM669" i="76"/>
  <c r="AK669" i="76"/>
  <c r="AH669" i="76"/>
  <c r="AF669" i="76"/>
  <c r="AL669" i="76"/>
  <c r="AG669" i="76"/>
  <c r="AP669" i="76"/>
  <c r="AD670" i="76"/>
  <c r="A670" i="76"/>
  <c r="E670" i="76"/>
  <c r="C670" i="76"/>
  <c r="AR671" i="76"/>
  <c r="D670" i="76"/>
  <c r="B670" i="76"/>
  <c r="AE670" i="76"/>
  <c r="J669" i="76"/>
  <c r="P669" i="76"/>
  <c r="K669" i="76"/>
  <c r="Q669" i="76"/>
  <c r="L669" i="76"/>
  <c r="O669" i="76"/>
  <c r="M669" i="76"/>
  <c r="H669" i="76"/>
  <c r="N669" i="76"/>
  <c r="I669" i="76"/>
  <c r="G669" i="76"/>
  <c r="Z669" i="76"/>
  <c r="U669" i="76"/>
  <c r="AA669" i="76"/>
  <c r="V669" i="76"/>
  <c r="AB669" i="76"/>
  <c r="T669" i="76"/>
  <c r="AC669" i="76"/>
  <c r="X669" i="76"/>
  <c r="S669" i="76"/>
  <c r="Y669" i="76"/>
  <c r="W669" i="76"/>
  <c r="F671" i="76" l="1"/>
  <c r="R671" i="76"/>
  <c r="AP670" i="76"/>
  <c r="AN670" i="76"/>
  <c r="AJ670" i="76"/>
  <c r="AL670" i="76"/>
  <c r="AF670" i="76"/>
  <c r="AM670" i="76"/>
  <c r="AH670" i="76"/>
  <c r="AO670" i="76"/>
  <c r="AI670" i="76"/>
  <c r="AK670" i="76"/>
  <c r="AG670" i="76"/>
  <c r="AB670" i="76"/>
  <c r="W670" i="76"/>
  <c r="AC670" i="76"/>
  <c r="X670" i="76"/>
  <c r="S670" i="76"/>
  <c r="Y670" i="76"/>
  <c r="T670" i="76"/>
  <c r="Z670" i="76"/>
  <c r="U670" i="76"/>
  <c r="AA670" i="76"/>
  <c r="V670" i="76"/>
  <c r="M670" i="76"/>
  <c r="H670" i="76"/>
  <c r="N670" i="76"/>
  <c r="I670" i="76"/>
  <c r="O670" i="76"/>
  <c r="J670" i="76"/>
  <c r="P670" i="76"/>
  <c r="K670" i="76"/>
  <c r="Q670" i="76"/>
  <c r="L670" i="76"/>
  <c r="G670" i="76"/>
  <c r="AR672" i="76"/>
  <c r="C671" i="76"/>
  <c r="AE671" i="76"/>
  <c r="B671" i="76"/>
  <c r="A671" i="76"/>
  <c r="E671" i="76"/>
  <c r="D671" i="76"/>
  <c r="AD671" i="76"/>
  <c r="F672" i="76" l="1"/>
  <c r="R672" i="76"/>
  <c r="H671" i="76"/>
  <c r="N671" i="76"/>
  <c r="I671" i="76"/>
  <c r="O671" i="76"/>
  <c r="J671" i="76"/>
  <c r="P671" i="76"/>
  <c r="K671" i="76"/>
  <c r="Q671" i="76"/>
  <c r="L671" i="76"/>
  <c r="G671" i="76"/>
  <c r="M671" i="76"/>
  <c r="Y671" i="76"/>
  <c r="T671" i="76"/>
  <c r="Z671" i="76"/>
  <c r="U671" i="76"/>
  <c r="AA671" i="76"/>
  <c r="V671" i="76"/>
  <c r="AB671" i="76"/>
  <c r="W671" i="76"/>
  <c r="AC671" i="76"/>
  <c r="X671" i="76"/>
  <c r="S671" i="76"/>
  <c r="AL671" i="76"/>
  <c r="AG671" i="76"/>
  <c r="AF671" i="76"/>
  <c r="AH671" i="76"/>
  <c r="AJ671" i="76"/>
  <c r="AI671" i="76"/>
  <c r="AO671" i="76"/>
  <c r="AM671" i="76"/>
  <c r="AP671" i="76"/>
  <c r="AK671" i="76"/>
  <c r="AN671" i="76"/>
  <c r="E672" i="76"/>
  <c r="AR673" i="76"/>
  <c r="A672" i="76"/>
  <c r="AD672" i="76"/>
  <c r="B672" i="76"/>
  <c r="AE672" i="76"/>
  <c r="D672" i="76"/>
  <c r="C672" i="76"/>
  <c r="F673" i="76" l="1"/>
  <c r="R673" i="76"/>
  <c r="N672" i="76"/>
  <c r="L672" i="76"/>
  <c r="O672" i="76"/>
  <c r="J672" i="76"/>
  <c r="M672" i="76"/>
  <c r="K672" i="76"/>
  <c r="Q672" i="76"/>
  <c r="P672" i="76"/>
  <c r="G672" i="76"/>
  <c r="I672" i="76"/>
  <c r="H672" i="76"/>
  <c r="AR674" i="76"/>
  <c r="A673" i="76"/>
  <c r="AE673" i="76"/>
  <c r="E673" i="76"/>
  <c r="D673" i="76"/>
  <c r="C673" i="76"/>
  <c r="B673" i="76"/>
  <c r="AD673" i="76"/>
  <c r="AN672" i="76"/>
  <c r="AI672" i="76"/>
  <c r="AO672" i="76"/>
  <c r="AJ672" i="76"/>
  <c r="AP672" i="76"/>
  <c r="AK672" i="76"/>
  <c r="AF672" i="76"/>
  <c r="AL672" i="76"/>
  <c r="AG672" i="76"/>
  <c r="AM672" i="76"/>
  <c r="AH672" i="76"/>
  <c r="AA672" i="76"/>
  <c r="V672" i="76"/>
  <c r="AB672" i="76"/>
  <c r="W672" i="76"/>
  <c r="AC672" i="76"/>
  <c r="X672" i="76"/>
  <c r="S672" i="76"/>
  <c r="Y672" i="76"/>
  <c r="T672" i="76"/>
  <c r="Z672" i="76"/>
  <c r="U672" i="76"/>
  <c r="F674" i="76" l="1"/>
  <c r="R674" i="76"/>
  <c r="Q673" i="76"/>
  <c r="L673" i="76"/>
  <c r="G673" i="76"/>
  <c r="M673" i="76"/>
  <c r="H673" i="76"/>
  <c r="N673" i="76"/>
  <c r="I673" i="76"/>
  <c r="O673" i="76"/>
  <c r="J673" i="76"/>
  <c r="P673" i="76"/>
  <c r="K673" i="76"/>
  <c r="AA673" i="76"/>
  <c r="AC673" i="76"/>
  <c r="AB673" i="76"/>
  <c r="W673" i="76"/>
  <c r="U673" i="76"/>
  <c r="X673" i="76"/>
  <c r="S673" i="76"/>
  <c r="V673" i="76"/>
  <c r="T673" i="76"/>
  <c r="Z673" i="76"/>
  <c r="Y673" i="76"/>
  <c r="AL673" i="76"/>
  <c r="AG673" i="76"/>
  <c r="AM673" i="76"/>
  <c r="AH673" i="76"/>
  <c r="AN673" i="76"/>
  <c r="AI673" i="76"/>
  <c r="AO673" i="76"/>
  <c r="AJ673" i="76"/>
  <c r="AP673" i="76"/>
  <c r="AK673" i="76"/>
  <c r="AF673" i="76"/>
  <c r="AR675" i="76"/>
  <c r="D674" i="76"/>
  <c r="AD674" i="76"/>
  <c r="B674" i="76"/>
  <c r="E674" i="76"/>
  <c r="AE674" i="76"/>
  <c r="C674" i="76"/>
  <c r="A674" i="76"/>
  <c r="F675" i="76" l="1"/>
  <c r="R675" i="76"/>
  <c r="C675" i="76"/>
  <c r="AR676" i="76"/>
  <c r="B675" i="76"/>
  <c r="AD675" i="76"/>
  <c r="A675" i="76"/>
  <c r="AE675" i="76"/>
  <c r="E675" i="76"/>
  <c r="D675" i="76"/>
  <c r="K674" i="76"/>
  <c r="Q674" i="76"/>
  <c r="L674" i="76"/>
  <c r="G674" i="76"/>
  <c r="M674" i="76"/>
  <c r="H674" i="76"/>
  <c r="N674" i="76"/>
  <c r="I674" i="76"/>
  <c r="O674" i="76"/>
  <c r="J674" i="76"/>
  <c r="P674" i="76"/>
  <c r="AL674" i="76"/>
  <c r="AG674" i="76"/>
  <c r="AM674" i="76"/>
  <c r="AH674" i="76"/>
  <c r="AN674" i="76"/>
  <c r="AI674" i="76"/>
  <c r="AO674" i="76"/>
  <c r="AJ674" i="76"/>
  <c r="AP674" i="76"/>
  <c r="AK674" i="76"/>
  <c r="AF674" i="76"/>
  <c r="S674" i="76"/>
  <c r="Y674" i="76"/>
  <c r="T674" i="76"/>
  <c r="Z674" i="76"/>
  <c r="U674" i="76"/>
  <c r="AA674" i="76"/>
  <c r="V674" i="76"/>
  <c r="AB674" i="76"/>
  <c r="W674" i="76"/>
  <c r="AC674" i="76"/>
  <c r="X674" i="76"/>
  <c r="F676" i="76" l="1"/>
  <c r="R676" i="76"/>
  <c r="AJ675" i="76"/>
  <c r="AL675" i="76"/>
  <c r="AH675" i="76"/>
  <c r="AF675" i="76"/>
  <c r="AO675" i="76"/>
  <c r="AK675" i="76"/>
  <c r="AM675" i="76"/>
  <c r="AG675" i="76"/>
  <c r="AN675" i="76"/>
  <c r="AI675" i="76"/>
  <c r="AP675" i="76"/>
  <c r="AA675" i="76"/>
  <c r="V675" i="76"/>
  <c r="AB675" i="76"/>
  <c r="W675" i="76"/>
  <c r="AC675" i="76"/>
  <c r="X675" i="76"/>
  <c r="S675" i="76"/>
  <c r="Y675" i="76"/>
  <c r="T675" i="76"/>
  <c r="Z675" i="76"/>
  <c r="U675" i="76"/>
  <c r="C676" i="76"/>
  <c r="B676" i="76"/>
  <c r="A676" i="76"/>
  <c r="AE676" i="76"/>
  <c r="AR677" i="76"/>
  <c r="E676" i="76"/>
  <c r="AD676" i="76"/>
  <c r="D676" i="76"/>
  <c r="Q675" i="76"/>
  <c r="H675" i="76"/>
  <c r="G675" i="76"/>
  <c r="M675" i="76"/>
  <c r="K675" i="76"/>
  <c r="N675" i="76"/>
  <c r="I675" i="76"/>
  <c r="L675" i="76"/>
  <c r="J675" i="76"/>
  <c r="P675" i="76"/>
  <c r="O675" i="76"/>
  <c r="F677" i="76" l="1"/>
  <c r="R677" i="76"/>
  <c r="K676" i="76"/>
  <c r="Q676" i="76"/>
  <c r="P676" i="76"/>
  <c r="G676" i="76"/>
  <c r="I676" i="76"/>
  <c r="H676" i="76"/>
  <c r="N676" i="76"/>
  <c r="L676" i="76"/>
  <c r="O676" i="76"/>
  <c r="J676" i="76"/>
  <c r="M676" i="76"/>
  <c r="C677" i="76"/>
  <c r="B677" i="76"/>
  <c r="AD677" i="76"/>
  <c r="A677" i="76"/>
  <c r="AE677" i="76"/>
  <c r="AR678" i="76"/>
  <c r="E677" i="76"/>
  <c r="D677" i="76"/>
  <c r="Y676" i="76"/>
  <c r="T676" i="76"/>
  <c r="Z676" i="76"/>
  <c r="U676" i="76"/>
  <c r="AA676" i="76"/>
  <c r="V676" i="76"/>
  <c r="AB676" i="76"/>
  <c r="W676" i="76"/>
  <c r="AC676" i="76"/>
  <c r="X676" i="76"/>
  <c r="S676" i="76"/>
  <c r="AG676" i="76"/>
  <c r="AM676" i="76"/>
  <c r="AH676" i="76"/>
  <c r="AN676" i="76"/>
  <c r="AI676" i="76"/>
  <c r="AO676" i="76"/>
  <c r="AJ676" i="76"/>
  <c r="AP676" i="76"/>
  <c r="AK676" i="76"/>
  <c r="AF676" i="76"/>
  <c r="AL676" i="76"/>
  <c r="F678" i="76" l="1"/>
  <c r="R678" i="76"/>
  <c r="AM677" i="76"/>
  <c r="AH677" i="76"/>
  <c r="AN677" i="76"/>
  <c r="AI677" i="76"/>
  <c r="AO677" i="76"/>
  <c r="AJ677" i="76"/>
  <c r="AP677" i="76"/>
  <c r="AK677" i="76"/>
  <c r="AF677" i="76"/>
  <c r="AL677" i="76"/>
  <c r="AG677" i="76"/>
  <c r="Q677" i="76"/>
  <c r="L677" i="76"/>
  <c r="G677" i="76"/>
  <c r="M677" i="76"/>
  <c r="H677" i="76"/>
  <c r="N677" i="76"/>
  <c r="I677" i="76"/>
  <c r="O677" i="76"/>
  <c r="J677" i="76"/>
  <c r="P677" i="76"/>
  <c r="K677" i="76"/>
  <c r="AB677" i="76"/>
  <c r="W677" i="76"/>
  <c r="AC677" i="76"/>
  <c r="X677" i="76"/>
  <c r="S677" i="76"/>
  <c r="Y677" i="76"/>
  <c r="T677" i="76"/>
  <c r="Z677" i="76"/>
  <c r="U677" i="76"/>
  <c r="AA677" i="76"/>
  <c r="V677" i="76"/>
  <c r="A678" i="76"/>
  <c r="AR679" i="76"/>
  <c r="AD678" i="76"/>
  <c r="D678" i="76"/>
  <c r="B678" i="76"/>
  <c r="AE678" i="76"/>
  <c r="E678" i="76"/>
  <c r="C678" i="76"/>
  <c r="F679" i="76" l="1"/>
  <c r="R679" i="76"/>
  <c r="D679" i="76"/>
  <c r="AE679" i="76"/>
  <c r="C679" i="76"/>
  <c r="B679" i="76"/>
  <c r="A679" i="76"/>
  <c r="AR680" i="76"/>
  <c r="E679" i="76"/>
  <c r="AD679" i="76"/>
  <c r="AG678" i="76"/>
  <c r="AI678" i="76"/>
  <c r="AH678" i="76"/>
  <c r="AN678" i="76"/>
  <c r="AL678" i="76"/>
  <c r="AO678" i="76"/>
  <c r="AJ678" i="76"/>
  <c r="AM678" i="76"/>
  <c r="AK678" i="76"/>
  <c r="AF678" i="76"/>
  <c r="AP678" i="76"/>
  <c r="P678" i="76"/>
  <c r="K678" i="76"/>
  <c r="Q678" i="76"/>
  <c r="L678" i="76"/>
  <c r="G678" i="76"/>
  <c r="M678" i="76"/>
  <c r="H678" i="76"/>
  <c r="N678" i="76"/>
  <c r="I678" i="76"/>
  <c r="O678" i="76"/>
  <c r="J678" i="76"/>
  <c r="Y678" i="76"/>
  <c r="T678" i="76"/>
  <c r="Z678" i="76"/>
  <c r="U678" i="76"/>
  <c r="AA678" i="76"/>
  <c r="V678" i="76"/>
  <c r="AB678" i="76"/>
  <c r="W678" i="76"/>
  <c r="AC678" i="76"/>
  <c r="X678" i="76"/>
  <c r="S678" i="76"/>
  <c r="F680" i="76" l="1"/>
  <c r="R680" i="76"/>
  <c r="A680" i="76"/>
  <c r="AR681" i="76"/>
  <c r="B680" i="76"/>
  <c r="AE680" i="76"/>
  <c r="D680" i="76"/>
  <c r="C680" i="76"/>
  <c r="AD680" i="76"/>
  <c r="E680" i="76"/>
  <c r="M679" i="76"/>
  <c r="H679" i="76"/>
  <c r="N679" i="76"/>
  <c r="I679" i="76"/>
  <c r="O679" i="76"/>
  <c r="J679" i="76"/>
  <c r="P679" i="76"/>
  <c r="K679" i="76"/>
  <c r="Q679" i="76"/>
  <c r="L679" i="76"/>
  <c r="G679" i="76"/>
  <c r="AH679" i="76"/>
  <c r="AN679" i="76"/>
  <c r="AM679" i="76"/>
  <c r="AO679" i="76"/>
  <c r="AF679" i="76"/>
  <c r="AP679" i="76"/>
  <c r="AK679" i="76"/>
  <c r="AI679" i="76"/>
  <c r="AL679" i="76"/>
  <c r="AG679" i="76"/>
  <c r="AJ679" i="76"/>
  <c r="Z679" i="76"/>
  <c r="U679" i="76"/>
  <c r="AA679" i="76"/>
  <c r="V679" i="76"/>
  <c r="AB679" i="76"/>
  <c r="W679" i="76"/>
  <c r="AC679" i="76"/>
  <c r="X679" i="76"/>
  <c r="S679" i="76"/>
  <c r="Y679" i="76"/>
  <c r="T679" i="76"/>
  <c r="F681" i="76" l="1"/>
  <c r="R681" i="76"/>
  <c r="Z680" i="76"/>
  <c r="U680" i="76"/>
  <c r="AA680" i="76"/>
  <c r="V680" i="76"/>
  <c r="AB680" i="76"/>
  <c r="W680" i="76"/>
  <c r="AC680" i="76"/>
  <c r="X680" i="76"/>
  <c r="S680" i="76"/>
  <c r="Y680" i="76"/>
  <c r="T680" i="76"/>
  <c r="O680" i="76"/>
  <c r="J680" i="76"/>
  <c r="M680" i="76"/>
  <c r="K680" i="76"/>
  <c r="Q680" i="76"/>
  <c r="P680" i="76"/>
  <c r="G680" i="76"/>
  <c r="I680" i="76"/>
  <c r="H680" i="76"/>
  <c r="N680" i="76"/>
  <c r="L680" i="76"/>
  <c r="AG680" i="76"/>
  <c r="AM680" i="76"/>
  <c r="AH680" i="76"/>
  <c r="AN680" i="76"/>
  <c r="AI680" i="76"/>
  <c r="AO680" i="76"/>
  <c r="AJ680" i="76"/>
  <c r="AP680" i="76"/>
  <c r="AK680" i="76"/>
  <c r="AF680" i="76"/>
  <c r="AL680" i="76"/>
  <c r="AR682" i="76"/>
  <c r="C681" i="76"/>
  <c r="AD681" i="76"/>
  <c r="B681" i="76"/>
  <c r="A681" i="76"/>
  <c r="E681" i="76"/>
  <c r="D681" i="76"/>
  <c r="AE681" i="76"/>
  <c r="F682" i="76" l="1"/>
  <c r="R682" i="76"/>
  <c r="Q681" i="76"/>
  <c r="L681" i="76"/>
  <c r="G681" i="76"/>
  <c r="M681" i="76"/>
  <c r="H681" i="76"/>
  <c r="N681" i="76"/>
  <c r="I681" i="76"/>
  <c r="O681" i="76"/>
  <c r="J681" i="76"/>
  <c r="P681" i="76"/>
  <c r="K681" i="76"/>
  <c r="Y681" i="76"/>
  <c r="S681" i="76"/>
  <c r="Z681" i="76"/>
  <c r="U681" i="76"/>
  <c r="AB681" i="76"/>
  <c r="V681" i="76"/>
  <c r="X681" i="76"/>
  <c r="T681" i="76"/>
  <c r="AC681" i="76"/>
  <c r="AA681" i="76"/>
  <c r="W681" i="76"/>
  <c r="D682" i="76"/>
  <c r="C682" i="76"/>
  <c r="AE682" i="76"/>
  <c r="E682" i="76"/>
  <c r="A682" i="76"/>
  <c r="AR683" i="76"/>
  <c r="B682" i="76"/>
  <c r="AD682" i="76"/>
  <c r="AP681" i="76"/>
  <c r="AK681" i="76"/>
  <c r="AF681" i="76"/>
  <c r="AL681" i="76"/>
  <c r="AG681" i="76"/>
  <c r="AM681" i="76"/>
  <c r="AH681" i="76"/>
  <c r="AN681" i="76"/>
  <c r="AI681" i="76"/>
  <c r="AO681" i="76"/>
  <c r="AJ681" i="76"/>
  <c r="F683" i="76" l="1"/>
  <c r="R683" i="76"/>
  <c r="D683" i="76"/>
  <c r="E683" i="76"/>
  <c r="C683" i="76"/>
  <c r="AE683" i="76"/>
  <c r="A683" i="76"/>
  <c r="AR684" i="76"/>
  <c r="B683" i="76"/>
  <c r="AD683" i="76"/>
  <c r="V682" i="76"/>
  <c r="U682" i="76"/>
  <c r="AA682" i="76"/>
  <c r="X682" i="76"/>
  <c r="T682" i="76"/>
  <c r="Y682" i="76"/>
  <c r="AC682" i="76"/>
  <c r="AB682" i="76"/>
  <c r="S682" i="76"/>
  <c r="Z682" i="76"/>
  <c r="W682" i="76"/>
  <c r="N682" i="76"/>
  <c r="K682" i="76"/>
  <c r="Q682" i="76"/>
  <c r="P682" i="76"/>
  <c r="G682" i="76"/>
  <c r="M682" i="76"/>
  <c r="H682" i="76"/>
  <c r="J682" i="76"/>
  <c r="I682" i="76"/>
  <c r="O682" i="76"/>
  <c r="L682" i="76"/>
  <c r="AN682" i="76"/>
  <c r="AL682" i="76"/>
  <c r="AI682" i="76"/>
  <c r="AO682" i="76"/>
  <c r="AM682" i="76"/>
  <c r="AJ682" i="76"/>
  <c r="AK682" i="76"/>
  <c r="AF682" i="76"/>
  <c r="AH682" i="76"/>
  <c r="AG682" i="76"/>
  <c r="AP682" i="76"/>
  <c r="F684" i="76" l="1"/>
  <c r="R684" i="76"/>
  <c r="AE684" i="76"/>
  <c r="D684" i="76"/>
  <c r="AD684" i="76"/>
  <c r="AR685" i="76"/>
  <c r="C684" i="76"/>
  <c r="A684" i="76"/>
  <c r="B684" i="76"/>
  <c r="E684" i="76"/>
  <c r="Y683" i="76"/>
  <c r="V683" i="76"/>
  <c r="AB683" i="76"/>
  <c r="AA683" i="76"/>
  <c r="AC683" i="76"/>
  <c r="X683" i="76"/>
  <c r="S683" i="76"/>
  <c r="U683" i="76"/>
  <c r="T683" i="76"/>
  <c r="Z683" i="76"/>
  <c r="W683" i="76"/>
  <c r="AJ683" i="76"/>
  <c r="AP683" i="76"/>
  <c r="AG683" i="76"/>
  <c r="AF683" i="76"/>
  <c r="AL683" i="76"/>
  <c r="AI683" i="76"/>
  <c r="AK683" i="76"/>
  <c r="AH683" i="76"/>
  <c r="AN683" i="76"/>
  <c r="AM683" i="76"/>
  <c r="AO683" i="76"/>
  <c r="H683" i="76"/>
  <c r="N683" i="76"/>
  <c r="I683" i="76"/>
  <c r="M683" i="76"/>
  <c r="Q683" i="76"/>
  <c r="P683" i="76"/>
  <c r="O683" i="76"/>
  <c r="K683" i="76"/>
  <c r="L683" i="76"/>
  <c r="G683" i="76"/>
  <c r="J683" i="76"/>
  <c r="F685" i="76" l="1"/>
  <c r="R685" i="76"/>
  <c r="AR686" i="76"/>
  <c r="A685" i="76"/>
  <c r="AD685" i="76"/>
  <c r="E685" i="76"/>
  <c r="D685" i="76"/>
  <c r="C685" i="76"/>
  <c r="B685" i="76"/>
  <c r="AE685" i="76"/>
  <c r="Y684" i="76"/>
  <c r="V684" i="76"/>
  <c r="X684" i="76"/>
  <c r="U684" i="76"/>
  <c r="AA684" i="76"/>
  <c r="Z684" i="76"/>
  <c r="AB684" i="76"/>
  <c r="W684" i="76"/>
  <c r="AC684" i="76"/>
  <c r="T684" i="76"/>
  <c r="S684" i="76"/>
  <c r="I684" i="76"/>
  <c r="O684" i="76"/>
  <c r="L684" i="76"/>
  <c r="P684" i="76"/>
  <c r="G684" i="76"/>
  <c r="Q684" i="76"/>
  <c r="H684" i="76"/>
  <c r="N684" i="76"/>
  <c r="M684" i="76"/>
  <c r="J684" i="76"/>
  <c r="K684" i="76"/>
  <c r="AF684" i="76"/>
  <c r="AG684" i="76"/>
  <c r="AM684" i="76"/>
  <c r="AL684" i="76"/>
  <c r="AJ684" i="76"/>
  <c r="AI684" i="76"/>
  <c r="AO684" i="76"/>
  <c r="AP684" i="76"/>
  <c r="AN684" i="76"/>
  <c r="AK684" i="76"/>
  <c r="AH684" i="76"/>
  <c r="F686" i="76" l="1"/>
  <c r="R686" i="76"/>
  <c r="AF685" i="76"/>
  <c r="AL685" i="76"/>
  <c r="AG685" i="76"/>
  <c r="AI685" i="76"/>
  <c r="AH685" i="76"/>
  <c r="AN685" i="76"/>
  <c r="AK685" i="76"/>
  <c r="AM685" i="76"/>
  <c r="AJ685" i="76"/>
  <c r="AP685" i="76"/>
  <c r="AO685" i="76"/>
  <c r="J685" i="76"/>
  <c r="P685" i="76"/>
  <c r="Q685" i="76"/>
  <c r="O685" i="76"/>
  <c r="L685" i="76"/>
  <c r="I685" i="76"/>
  <c r="G685" i="76"/>
  <c r="H685" i="76"/>
  <c r="N685" i="76"/>
  <c r="M685" i="76"/>
  <c r="K685" i="76"/>
  <c r="V685" i="76"/>
  <c r="AB685" i="76"/>
  <c r="AC685" i="76"/>
  <c r="AA685" i="76"/>
  <c r="X685" i="76"/>
  <c r="U685" i="76"/>
  <c r="S685" i="76"/>
  <c r="T685" i="76"/>
  <c r="Z685" i="76"/>
  <c r="Y685" i="76"/>
  <c r="W685" i="76"/>
  <c r="C686" i="76"/>
  <c r="B686" i="76"/>
  <c r="A686" i="76"/>
  <c r="AE686" i="76"/>
  <c r="AR687" i="76"/>
  <c r="E686" i="76"/>
  <c r="AD686" i="76"/>
  <c r="D686" i="76"/>
  <c r="F687" i="76" l="1"/>
  <c r="R687" i="76"/>
  <c r="AM686" i="76"/>
  <c r="AJ686" i="76"/>
  <c r="AK686" i="76"/>
  <c r="AI686" i="76"/>
  <c r="AO686" i="76"/>
  <c r="AL686" i="76"/>
  <c r="AP686" i="76"/>
  <c r="AG686" i="76"/>
  <c r="AF686" i="76"/>
  <c r="AH686" i="76"/>
  <c r="AN686" i="76"/>
  <c r="Z686" i="76"/>
  <c r="S686" i="76"/>
  <c r="AC686" i="76"/>
  <c r="AB686" i="76"/>
  <c r="X686" i="76"/>
  <c r="Y686" i="76"/>
  <c r="T686" i="76"/>
  <c r="W686" i="76"/>
  <c r="U686" i="76"/>
  <c r="AA686" i="76"/>
  <c r="V686" i="76"/>
  <c r="AR688" i="76"/>
  <c r="A687" i="76"/>
  <c r="AE687" i="76"/>
  <c r="E687" i="76"/>
  <c r="D687" i="76"/>
  <c r="C687" i="76"/>
  <c r="B687" i="76"/>
  <c r="AD687" i="76"/>
  <c r="J686" i="76"/>
  <c r="I686" i="76"/>
  <c r="O686" i="76"/>
  <c r="L686" i="76"/>
  <c r="N686" i="76"/>
  <c r="K686" i="76"/>
  <c r="Q686" i="76"/>
  <c r="P686" i="76"/>
  <c r="G686" i="76"/>
  <c r="M686" i="76"/>
  <c r="H686" i="76"/>
  <c r="F688" i="76" l="1"/>
  <c r="R688" i="76"/>
  <c r="AC687" i="76"/>
  <c r="X687" i="76"/>
  <c r="S687" i="76"/>
  <c r="U687" i="76"/>
  <c r="T687" i="76"/>
  <c r="Z687" i="76"/>
  <c r="W687" i="76"/>
  <c r="Y687" i="76"/>
  <c r="V687" i="76"/>
  <c r="AB687" i="76"/>
  <c r="AA687" i="76"/>
  <c r="M687" i="76"/>
  <c r="J687" i="76"/>
  <c r="P687" i="76"/>
  <c r="O687" i="76"/>
  <c r="Q687" i="76"/>
  <c r="L687" i="76"/>
  <c r="G687" i="76"/>
  <c r="I687" i="76"/>
  <c r="H687" i="76"/>
  <c r="N687" i="76"/>
  <c r="K687" i="76"/>
  <c r="AJ687" i="76"/>
  <c r="AL687" i="76"/>
  <c r="AH687" i="76"/>
  <c r="AF687" i="76"/>
  <c r="AO687" i="76"/>
  <c r="AG687" i="76"/>
  <c r="AK687" i="76"/>
  <c r="AI687" i="76"/>
  <c r="AN687" i="76"/>
  <c r="AM687" i="76"/>
  <c r="AP687" i="76"/>
  <c r="B688" i="76"/>
  <c r="E688" i="76"/>
  <c r="AR689" i="76"/>
  <c r="C688" i="76"/>
  <c r="A688" i="76"/>
  <c r="AD688" i="76"/>
  <c r="AE688" i="76"/>
  <c r="D688" i="76"/>
  <c r="F689" i="76" l="1"/>
  <c r="R689" i="76"/>
  <c r="AG688" i="76"/>
  <c r="AM688" i="76"/>
  <c r="AL688" i="76"/>
  <c r="AJ688" i="76"/>
  <c r="AI688" i="76"/>
  <c r="AO688" i="76"/>
  <c r="AP688" i="76"/>
  <c r="AN688" i="76"/>
  <c r="AK688" i="76"/>
  <c r="AH688" i="76"/>
  <c r="AF688" i="76"/>
  <c r="AB688" i="76"/>
  <c r="X688" i="76"/>
  <c r="AC688" i="76"/>
  <c r="T688" i="76"/>
  <c r="AA688" i="76"/>
  <c r="Y688" i="76"/>
  <c r="V688" i="76"/>
  <c r="S688" i="76"/>
  <c r="U688" i="76"/>
  <c r="W688" i="76"/>
  <c r="Z688" i="76"/>
  <c r="D689" i="76"/>
  <c r="AR690" i="76"/>
  <c r="E689" i="76"/>
  <c r="AD689" i="76"/>
  <c r="A689" i="76"/>
  <c r="AE689" i="76"/>
  <c r="C689" i="76"/>
  <c r="B689" i="76"/>
  <c r="O688" i="76"/>
  <c r="N688" i="76"/>
  <c r="P688" i="76"/>
  <c r="K688" i="76"/>
  <c r="Q688" i="76"/>
  <c r="H688" i="76"/>
  <c r="G688" i="76"/>
  <c r="M688" i="76"/>
  <c r="J688" i="76"/>
  <c r="L688" i="76"/>
  <c r="I688" i="76"/>
  <c r="F690" i="76" l="1"/>
  <c r="R690" i="76"/>
  <c r="AH689" i="76"/>
  <c r="AN689" i="76"/>
  <c r="AK689" i="76"/>
  <c r="AM689" i="76"/>
  <c r="AJ689" i="76"/>
  <c r="AP689" i="76"/>
  <c r="AO689" i="76"/>
  <c r="AF689" i="76"/>
  <c r="AL689" i="76"/>
  <c r="AG689" i="76"/>
  <c r="AI689" i="76"/>
  <c r="J689" i="76"/>
  <c r="P689" i="76"/>
  <c r="Q689" i="76"/>
  <c r="O689" i="76"/>
  <c r="L689" i="76"/>
  <c r="I689" i="76"/>
  <c r="G689" i="76"/>
  <c r="H689" i="76"/>
  <c r="N689" i="76"/>
  <c r="M689" i="76"/>
  <c r="K689" i="76"/>
  <c r="W689" i="76"/>
  <c r="S689" i="76"/>
  <c r="AB689" i="76"/>
  <c r="AC689" i="76"/>
  <c r="Z689" i="76"/>
  <c r="X689" i="76"/>
  <c r="U689" i="76"/>
  <c r="AA689" i="76"/>
  <c r="T689" i="76"/>
  <c r="V689" i="76"/>
  <c r="Y689" i="76"/>
  <c r="AR691" i="76"/>
  <c r="B690" i="76"/>
  <c r="AD690" i="76"/>
  <c r="A690" i="76"/>
  <c r="E690" i="76"/>
  <c r="D690" i="76"/>
  <c r="C690" i="76"/>
  <c r="AE690" i="76"/>
  <c r="F691" i="76" l="1"/>
  <c r="R691" i="76"/>
  <c r="J690" i="76"/>
  <c r="P690" i="76"/>
  <c r="O690" i="76"/>
  <c r="L690" i="76"/>
  <c r="M690" i="76"/>
  <c r="K690" i="76"/>
  <c r="Q690" i="76"/>
  <c r="N690" i="76"/>
  <c r="G690" i="76"/>
  <c r="I690" i="76"/>
  <c r="H690" i="76"/>
  <c r="V690" i="76"/>
  <c r="U690" i="76"/>
  <c r="AA690" i="76"/>
  <c r="X690" i="76"/>
  <c r="Z690" i="76"/>
  <c r="W690" i="76"/>
  <c r="AC690" i="76"/>
  <c r="AB690" i="76"/>
  <c r="S690" i="76"/>
  <c r="Y690" i="76"/>
  <c r="T690" i="76"/>
  <c r="C691" i="76"/>
  <c r="B691" i="76"/>
  <c r="A691" i="76"/>
  <c r="AE691" i="76"/>
  <c r="E691" i="76"/>
  <c r="AR692" i="76"/>
  <c r="D691" i="76"/>
  <c r="AD691" i="76"/>
  <c r="AM690" i="76"/>
  <c r="AJ690" i="76"/>
  <c r="AL690" i="76"/>
  <c r="AI690" i="76"/>
  <c r="AO690" i="76"/>
  <c r="AN690" i="76"/>
  <c r="AP690" i="76"/>
  <c r="AK690" i="76"/>
  <c r="AF690" i="76"/>
  <c r="AH690" i="76"/>
  <c r="AG690" i="76"/>
  <c r="F692" i="76" l="1"/>
  <c r="R692" i="76"/>
  <c r="AE692" i="76"/>
  <c r="D692" i="76"/>
  <c r="AR693" i="76"/>
  <c r="AD692" i="76"/>
  <c r="C692" i="76"/>
  <c r="A692" i="76"/>
  <c r="B692" i="76"/>
  <c r="E692" i="76"/>
  <c r="AO691" i="76"/>
  <c r="AJ691" i="76"/>
  <c r="AP691" i="76"/>
  <c r="AG691" i="76"/>
  <c r="AF691" i="76"/>
  <c r="AL691" i="76"/>
  <c r="AI691" i="76"/>
  <c r="AK691" i="76"/>
  <c r="AH691" i="76"/>
  <c r="AN691" i="76"/>
  <c r="AM691" i="76"/>
  <c r="I691" i="76"/>
  <c r="G691" i="76"/>
  <c r="N691" i="76"/>
  <c r="K691" i="76"/>
  <c r="P691" i="76"/>
  <c r="J691" i="76"/>
  <c r="L691" i="76"/>
  <c r="H691" i="76"/>
  <c r="Q691" i="76"/>
  <c r="M691" i="76"/>
  <c r="O691" i="76"/>
  <c r="AB691" i="76"/>
  <c r="AA691" i="76"/>
  <c r="AC691" i="76"/>
  <c r="X691" i="76"/>
  <c r="S691" i="76"/>
  <c r="U691" i="76"/>
  <c r="T691" i="76"/>
  <c r="Z691" i="76"/>
  <c r="W691" i="76"/>
  <c r="Y691" i="76"/>
  <c r="V691" i="76"/>
  <c r="F693" i="76" l="1"/>
  <c r="R693" i="76"/>
  <c r="W692" i="76"/>
  <c r="AC692" i="76"/>
  <c r="T692" i="76"/>
  <c r="S692" i="76"/>
  <c r="Y692" i="76"/>
  <c r="V692" i="76"/>
  <c r="X692" i="76"/>
  <c r="U692" i="76"/>
  <c r="AA692" i="76"/>
  <c r="Z692" i="76"/>
  <c r="AB692" i="76"/>
  <c r="G692" i="76"/>
  <c r="I692" i="76"/>
  <c r="J692" i="76"/>
  <c r="L692" i="76"/>
  <c r="H692" i="76"/>
  <c r="O692" i="76"/>
  <c r="N692" i="76"/>
  <c r="M692" i="76"/>
  <c r="K692" i="76"/>
  <c r="Q692" i="76"/>
  <c r="P692" i="76"/>
  <c r="C693" i="76"/>
  <c r="AR694" i="76"/>
  <c r="B693" i="76"/>
  <c r="AE693" i="76"/>
  <c r="A693" i="76"/>
  <c r="AD693" i="76"/>
  <c r="E693" i="76"/>
  <c r="D693" i="76"/>
  <c r="AJ692" i="76"/>
  <c r="AI692" i="76"/>
  <c r="AO692" i="76"/>
  <c r="AP692" i="76"/>
  <c r="AN692" i="76"/>
  <c r="AK692" i="76"/>
  <c r="AH692" i="76"/>
  <c r="AF692" i="76"/>
  <c r="AG692" i="76"/>
  <c r="AM692" i="76"/>
  <c r="AL692" i="76"/>
  <c r="F694" i="76" l="1"/>
  <c r="R694" i="76"/>
  <c r="T693" i="76"/>
  <c r="Z693" i="76"/>
  <c r="Y693" i="76"/>
  <c r="W693" i="76"/>
  <c r="V693" i="76"/>
  <c r="AB693" i="76"/>
  <c r="AC693" i="76"/>
  <c r="AA693" i="76"/>
  <c r="X693" i="76"/>
  <c r="U693" i="76"/>
  <c r="S693" i="76"/>
  <c r="AM693" i="76"/>
  <c r="AI693" i="76"/>
  <c r="AP693" i="76"/>
  <c r="AO693" i="76"/>
  <c r="AN693" i="76"/>
  <c r="AL693" i="76"/>
  <c r="AG693" i="76"/>
  <c r="AF693" i="76"/>
  <c r="AH693" i="76"/>
  <c r="AJ693" i="76"/>
  <c r="AK693" i="76"/>
  <c r="AR695" i="76"/>
  <c r="E694" i="76"/>
  <c r="AD694" i="76"/>
  <c r="D694" i="76"/>
  <c r="C694" i="76"/>
  <c r="B694" i="76"/>
  <c r="A694" i="76"/>
  <c r="AE694" i="76"/>
  <c r="J693" i="76"/>
  <c r="P693" i="76"/>
  <c r="Q693" i="76"/>
  <c r="O693" i="76"/>
  <c r="L693" i="76"/>
  <c r="I693" i="76"/>
  <c r="G693" i="76"/>
  <c r="H693" i="76"/>
  <c r="N693" i="76"/>
  <c r="M693" i="76"/>
  <c r="K693" i="76"/>
  <c r="F695" i="76" l="1"/>
  <c r="R695" i="76"/>
  <c r="AO694" i="76"/>
  <c r="AN694" i="76"/>
  <c r="AJ694" i="76"/>
  <c r="AK694" i="76"/>
  <c r="AF694" i="76"/>
  <c r="AI694" i="76"/>
  <c r="AG694" i="76"/>
  <c r="AM694" i="76"/>
  <c r="AH694" i="76"/>
  <c r="AL694" i="76"/>
  <c r="AP694" i="76"/>
  <c r="N694" i="76"/>
  <c r="K694" i="76"/>
  <c r="Q694" i="76"/>
  <c r="P694" i="76"/>
  <c r="G694" i="76"/>
  <c r="M694" i="76"/>
  <c r="H694" i="76"/>
  <c r="J694" i="76"/>
  <c r="I694" i="76"/>
  <c r="O694" i="76"/>
  <c r="L694" i="76"/>
  <c r="Z694" i="76"/>
  <c r="W694" i="76"/>
  <c r="AC694" i="76"/>
  <c r="AB694" i="76"/>
  <c r="S694" i="76"/>
  <c r="Y694" i="76"/>
  <c r="T694" i="76"/>
  <c r="V694" i="76"/>
  <c r="U694" i="76"/>
  <c r="AA694" i="76"/>
  <c r="X694" i="76"/>
  <c r="AE695" i="76"/>
  <c r="B695" i="76"/>
  <c r="A695" i="76"/>
  <c r="E695" i="76"/>
  <c r="D695" i="76"/>
  <c r="AR696" i="76"/>
  <c r="C695" i="76"/>
  <c r="AD695" i="76"/>
  <c r="F696" i="76" l="1"/>
  <c r="R696" i="76"/>
  <c r="Y695" i="76"/>
  <c r="V695" i="76"/>
  <c r="AB695" i="76"/>
  <c r="AA695" i="76"/>
  <c r="AC695" i="76"/>
  <c r="X695" i="76"/>
  <c r="S695" i="76"/>
  <c r="U695" i="76"/>
  <c r="T695" i="76"/>
  <c r="Z695" i="76"/>
  <c r="W695" i="76"/>
  <c r="L695" i="76"/>
  <c r="G695" i="76"/>
  <c r="I695" i="76"/>
  <c r="H695" i="76"/>
  <c r="N695" i="76"/>
  <c r="K695" i="76"/>
  <c r="M695" i="76"/>
  <c r="J695" i="76"/>
  <c r="P695" i="76"/>
  <c r="O695" i="76"/>
  <c r="Q695" i="76"/>
  <c r="AH695" i="76"/>
  <c r="AN695" i="76"/>
  <c r="AK695" i="76"/>
  <c r="AO695" i="76"/>
  <c r="AF695" i="76"/>
  <c r="AP695" i="76"/>
  <c r="AG695" i="76"/>
  <c r="AM695" i="76"/>
  <c r="AL695" i="76"/>
  <c r="AI695" i="76"/>
  <c r="AJ695" i="76"/>
  <c r="AD696" i="76"/>
  <c r="C696" i="76"/>
  <c r="A696" i="76"/>
  <c r="B696" i="76"/>
  <c r="E696" i="76"/>
  <c r="AE696" i="76"/>
  <c r="D696" i="76"/>
  <c r="AR697" i="76"/>
  <c r="F697" i="76" l="1"/>
  <c r="R697" i="76"/>
  <c r="X696" i="76"/>
  <c r="V696" i="76"/>
  <c r="AA696" i="76"/>
  <c r="Z696" i="76"/>
  <c r="AC696" i="76"/>
  <c r="W696" i="76"/>
  <c r="Y696" i="76"/>
  <c r="U696" i="76"/>
  <c r="S696" i="76"/>
  <c r="AB696" i="76"/>
  <c r="T696" i="76"/>
  <c r="Q696" i="76"/>
  <c r="H696" i="76"/>
  <c r="G696" i="76"/>
  <c r="M696" i="76"/>
  <c r="J696" i="76"/>
  <c r="L696" i="76"/>
  <c r="I696" i="76"/>
  <c r="O696" i="76"/>
  <c r="N696" i="76"/>
  <c r="P696" i="76"/>
  <c r="K696" i="76"/>
  <c r="AR698" i="76"/>
  <c r="C697" i="76"/>
  <c r="AE697" i="76"/>
  <c r="B697" i="76"/>
  <c r="A697" i="76"/>
  <c r="E697" i="76"/>
  <c r="D697" i="76"/>
  <c r="AD697" i="76"/>
  <c r="AI696" i="76"/>
  <c r="AO696" i="76"/>
  <c r="AP696" i="76"/>
  <c r="AN696" i="76"/>
  <c r="AK696" i="76"/>
  <c r="AH696" i="76"/>
  <c r="AF696" i="76"/>
  <c r="AG696" i="76"/>
  <c r="AM696" i="76"/>
  <c r="AL696" i="76"/>
  <c r="AJ696" i="76"/>
  <c r="F698" i="76" l="1"/>
  <c r="R698" i="76"/>
  <c r="H697" i="76"/>
  <c r="N697" i="76"/>
  <c r="M697" i="76"/>
  <c r="K697" i="76"/>
  <c r="J697" i="76"/>
  <c r="P697" i="76"/>
  <c r="Q697" i="76"/>
  <c r="O697" i="76"/>
  <c r="L697" i="76"/>
  <c r="I697" i="76"/>
  <c r="G697" i="76"/>
  <c r="V697" i="76"/>
  <c r="AB697" i="76"/>
  <c r="W697" i="76"/>
  <c r="AA697" i="76"/>
  <c r="T697" i="76"/>
  <c r="U697" i="76"/>
  <c r="S697" i="76"/>
  <c r="AC697" i="76"/>
  <c r="Z697" i="76"/>
  <c r="Y697" i="76"/>
  <c r="X697" i="76"/>
  <c r="AI697" i="76"/>
  <c r="AH697" i="76"/>
  <c r="AN697" i="76"/>
  <c r="AK697" i="76"/>
  <c r="AM697" i="76"/>
  <c r="AJ697" i="76"/>
  <c r="AP697" i="76"/>
  <c r="AO697" i="76"/>
  <c r="AF697" i="76"/>
  <c r="AL697" i="76"/>
  <c r="AG697" i="76"/>
  <c r="D698" i="76"/>
  <c r="C698" i="76"/>
  <c r="AE698" i="76"/>
  <c r="E698" i="76"/>
  <c r="A698" i="76"/>
  <c r="AR699" i="76"/>
  <c r="B698" i="76"/>
  <c r="AD698" i="76"/>
  <c r="F699" i="76" l="1"/>
  <c r="R699" i="76"/>
  <c r="AE699" i="76"/>
  <c r="A699" i="76"/>
  <c r="C699" i="76"/>
  <c r="B699" i="76"/>
  <c r="AR700" i="76"/>
  <c r="D699" i="76"/>
  <c r="AD699" i="76"/>
  <c r="E699" i="76"/>
  <c r="Z698" i="76"/>
  <c r="W698" i="76"/>
  <c r="AC698" i="76"/>
  <c r="AB698" i="76"/>
  <c r="S698" i="76"/>
  <c r="Y698" i="76"/>
  <c r="T698" i="76"/>
  <c r="V698" i="76"/>
  <c r="U698" i="76"/>
  <c r="AA698" i="76"/>
  <c r="X698" i="76"/>
  <c r="G698" i="76"/>
  <c r="M698" i="76"/>
  <c r="H698" i="76"/>
  <c r="J698" i="76"/>
  <c r="I698" i="76"/>
  <c r="O698" i="76"/>
  <c r="L698" i="76"/>
  <c r="N698" i="76"/>
  <c r="K698" i="76"/>
  <c r="Q698" i="76"/>
  <c r="P698" i="76"/>
  <c r="AM698" i="76"/>
  <c r="AJ698" i="76"/>
  <c r="AL698" i="76"/>
  <c r="AI698" i="76"/>
  <c r="AO698" i="76"/>
  <c r="AN698" i="76"/>
  <c r="AP698" i="76"/>
  <c r="AK698" i="76"/>
  <c r="AF698" i="76"/>
  <c r="AH698" i="76"/>
  <c r="AG698" i="76"/>
  <c r="F700" i="76" l="1"/>
  <c r="R700" i="76"/>
  <c r="AD700" i="76"/>
  <c r="C700" i="76"/>
  <c r="A700" i="76"/>
  <c r="B700" i="76"/>
  <c r="E700" i="76"/>
  <c r="AE700" i="76"/>
  <c r="D700" i="76"/>
  <c r="AR701" i="76"/>
  <c r="M699" i="76"/>
  <c r="I699" i="76"/>
  <c r="P699" i="76"/>
  <c r="O699" i="76"/>
  <c r="N699" i="76"/>
  <c r="L699" i="76"/>
  <c r="G699" i="76"/>
  <c r="Q699" i="76"/>
  <c r="H699" i="76"/>
  <c r="J699" i="76"/>
  <c r="K699" i="76"/>
  <c r="T699" i="76"/>
  <c r="Z699" i="76"/>
  <c r="W699" i="76"/>
  <c r="Y699" i="76"/>
  <c r="V699" i="76"/>
  <c r="AB699" i="76"/>
  <c r="AA699" i="76"/>
  <c r="AC699" i="76"/>
  <c r="X699" i="76"/>
  <c r="S699" i="76"/>
  <c r="U699" i="76"/>
  <c r="AJ699" i="76"/>
  <c r="AP699" i="76"/>
  <c r="AG699" i="76"/>
  <c r="AF699" i="76"/>
  <c r="AL699" i="76"/>
  <c r="AI699" i="76"/>
  <c r="AK699" i="76"/>
  <c r="AH699" i="76"/>
  <c r="AN699" i="76"/>
  <c r="AM699" i="76"/>
  <c r="AO699" i="76"/>
  <c r="F701" i="76" l="1"/>
  <c r="R701" i="76"/>
  <c r="G700" i="76"/>
  <c r="P700" i="76"/>
  <c r="L700" i="76"/>
  <c r="N700" i="76"/>
  <c r="H700" i="76"/>
  <c r="O700" i="76"/>
  <c r="J700" i="76"/>
  <c r="Q700" i="76"/>
  <c r="K700" i="76"/>
  <c r="M700" i="76"/>
  <c r="I700" i="76"/>
  <c r="E701" i="76"/>
  <c r="AR702" i="76"/>
  <c r="D701" i="76"/>
  <c r="AE701" i="76"/>
  <c r="C701" i="76"/>
  <c r="B701" i="76"/>
  <c r="AD701" i="76"/>
  <c r="A701" i="76"/>
  <c r="AL700" i="76"/>
  <c r="AG700" i="76"/>
  <c r="AM700" i="76"/>
  <c r="AH700" i="76"/>
  <c r="AN700" i="76"/>
  <c r="AI700" i="76"/>
  <c r="AO700" i="76"/>
  <c r="AJ700" i="76"/>
  <c r="AP700" i="76"/>
  <c r="AK700" i="76"/>
  <c r="AF700" i="76"/>
  <c r="W700" i="76"/>
  <c r="AC700" i="76"/>
  <c r="X700" i="76"/>
  <c r="S700" i="76"/>
  <c r="Y700" i="76"/>
  <c r="T700" i="76"/>
  <c r="Z700" i="76"/>
  <c r="U700" i="76"/>
  <c r="AA700" i="76"/>
  <c r="V700" i="76"/>
  <c r="AB700" i="76"/>
  <c r="F702" i="76" l="1"/>
  <c r="R702" i="76"/>
  <c r="AL701" i="76"/>
  <c r="AG701" i="76"/>
  <c r="AM701" i="76"/>
  <c r="AH701" i="76"/>
  <c r="AN701" i="76"/>
  <c r="AI701" i="76"/>
  <c r="AO701" i="76"/>
  <c r="AJ701" i="76"/>
  <c r="AP701" i="76"/>
  <c r="AK701" i="76"/>
  <c r="AF701" i="76"/>
  <c r="E702" i="76"/>
  <c r="C702" i="76"/>
  <c r="D702" i="76"/>
  <c r="B702" i="76"/>
  <c r="AE702" i="76"/>
  <c r="AR703" i="76"/>
  <c r="AD702" i="76"/>
  <c r="A702" i="76"/>
  <c r="O701" i="76"/>
  <c r="J701" i="76"/>
  <c r="P701" i="76"/>
  <c r="K701" i="76"/>
  <c r="Q701" i="76"/>
  <c r="L701" i="76"/>
  <c r="G701" i="76"/>
  <c r="M701" i="76"/>
  <c r="H701" i="76"/>
  <c r="N701" i="76"/>
  <c r="I701" i="76"/>
  <c r="AC701" i="76"/>
  <c r="X701" i="76"/>
  <c r="S701" i="76"/>
  <c r="Y701" i="76"/>
  <c r="T701" i="76"/>
  <c r="Z701" i="76"/>
  <c r="U701" i="76"/>
  <c r="AA701" i="76"/>
  <c r="V701" i="76"/>
  <c r="AB701" i="76"/>
  <c r="W701" i="76"/>
  <c r="F703" i="76" l="1"/>
  <c r="R703" i="76"/>
  <c r="AL702" i="76"/>
  <c r="AF702" i="76"/>
  <c r="AM702" i="76"/>
  <c r="AH702" i="76"/>
  <c r="AO702" i="76"/>
  <c r="AI702" i="76"/>
  <c r="AK702" i="76"/>
  <c r="AG702" i="76"/>
  <c r="AP702" i="76"/>
  <c r="AN702" i="76"/>
  <c r="AJ702" i="76"/>
  <c r="O702" i="76"/>
  <c r="J702" i="76"/>
  <c r="P702" i="76"/>
  <c r="K702" i="76"/>
  <c r="Q702" i="76"/>
  <c r="L702" i="76"/>
  <c r="G702" i="76"/>
  <c r="M702" i="76"/>
  <c r="H702" i="76"/>
  <c r="N702" i="76"/>
  <c r="I702" i="76"/>
  <c r="U702" i="76"/>
  <c r="AA702" i="76"/>
  <c r="V702" i="76"/>
  <c r="AB702" i="76"/>
  <c r="W702" i="76"/>
  <c r="AC702" i="76"/>
  <c r="X702" i="76"/>
  <c r="S702" i="76"/>
  <c r="Y702" i="76"/>
  <c r="T702" i="76"/>
  <c r="Z702" i="76"/>
  <c r="C703" i="76"/>
  <c r="B703" i="76"/>
  <c r="AD703" i="76"/>
  <c r="D703" i="76"/>
  <c r="E703" i="76"/>
  <c r="AR704" i="76"/>
  <c r="A703" i="76"/>
  <c r="AE703" i="76"/>
  <c r="F704" i="76" l="1"/>
  <c r="R704" i="76"/>
  <c r="AC703" i="76"/>
  <c r="X703" i="76"/>
  <c r="S703" i="76"/>
  <c r="Y703" i="76"/>
  <c r="T703" i="76"/>
  <c r="Z703" i="76"/>
  <c r="U703" i="76"/>
  <c r="AA703" i="76"/>
  <c r="V703" i="76"/>
  <c r="AB703" i="76"/>
  <c r="W703" i="76"/>
  <c r="O703" i="76"/>
  <c r="J703" i="76"/>
  <c r="P703" i="76"/>
  <c r="K703" i="76"/>
  <c r="Q703" i="76"/>
  <c r="L703" i="76"/>
  <c r="G703" i="76"/>
  <c r="M703" i="76"/>
  <c r="H703" i="76"/>
  <c r="N703" i="76"/>
  <c r="I703" i="76"/>
  <c r="AJ703" i="76"/>
  <c r="AL703" i="76"/>
  <c r="AH703" i="76"/>
  <c r="AF703" i="76"/>
  <c r="AO703" i="76"/>
  <c r="AK703" i="76"/>
  <c r="AM703" i="76"/>
  <c r="AG703" i="76"/>
  <c r="AN703" i="76"/>
  <c r="AI703" i="76"/>
  <c r="AP703" i="76"/>
  <c r="B704" i="76"/>
  <c r="E704" i="76"/>
  <c r="AR705" i="76"/>
  <c r="C704" i="76"/>
  <c r="A704" i="76"/>
  <c r="AD704" i="76"/>
  <c r="AE704" i="76"/>
  <c r="D704" i="76"/>
  <c r="F705" i="76" l="1"/>
  <c r="R705" i="76"/>
  <c r="AL704" i="76"/>
  <c r="AG704" i="76"/>
  <c r="AM704" i="76"/>
  <c r="AH704" i="76"/>
  <c r="AN704" i="76"/>
  <c r="AI704" i="76"/>
  <c r="AO704" i="76"/>
  <c r="AJ704" i="76"/>
  <c r="AP704" i="76"/>
  <c r="AK704" i="76"/>
  <c r="AF704" i="76"/>
  <c r="U704" i="76"/>
  <c r="AA704" i="76"/>
  <c r="V704" i="76"/>
  <c r="AB704" i="76"/>
  <c r="W704" i="76"/>
  <c r="AC704" i="76"/>
  <c r="X704" i="76"/>
  <c r="S704" i="76"/>
  <c r="Y704" i="76"/>
  <c r="T704" i="76"/>
  <c r="Z704" i="76"/>
  <c r="A705" i="76"/>
  <c r="E705" i="76"/>
  <c r="D705" i="76"/>
  <c r="AD705" i="76"/>
  <c r="AR706" i="76"/>
  <c r="C705" i="76"/>
  <c r="AE705" i="76"/>
  <c r="B705" i="76"/>
  <c r="K704" i="76"/>
  <c r="M704" i="76"/>
  <c r="I704" i="76"/>
  <c r="G704" i="76"/>
  <c r="P704" i="76"/>
  <c r="L704" i="76"/>
  <c r="N704" i="76"/>
  <c r="H704" i="76"/>
  <c r="O704" i="76"/>
  <c r="J704" i="76"/>
  <c r="Q704" i="76"/>
  <c r="F706" i="76" l="1"/>
  <c r="R706" i="76"/>
  <c r="X705" i="76"/>
  <c r="S705" i="76"/>
  <c r="V705" i="76"/>
  <c r="T705" i="76"/>
  <c r="Z705" i="76"/>
  <c r="Y705" i="76"/>
  <c r="AA705" i="76"/>
  <c r="AC705" i="76"/>
  <c r="AB705" i="76"/>
  <c r="W705" i="76"/>
  <c r="U705" i="76"/>
  <c r="AM705" i="76"/>
  <c r="AH705" i="76"/>
  <c r="AN705" i="76"/>
  <c r="AI705" i="76"/>
  <c r="AO705" i="76"/>
  <c r="AJ705" i="76"/>
  <c r="AP705" i="76"/>
  <c r="AK705" i="76"/>
  <c r="AF705" i="76"/>
  <c r="AL705" i="76"/>
  <c r="AG705" i="76"/>
  <c r="B706" i="76"/>
  <c r="A706" i="76"/>
  <c r="AE706" i="76"/>
  <c r="C706" i="76"/>
  <c r="D706" i="76"/>
  <c r="AR707" i="76"/>
  <c r="E706" i="76"/>
  <c r="AD706" i="76"/>
  <c r="H705" i="76"/>
  <c r="N705" i="76"/>
  <c r="I705" i="76"/>
  <c r="O705" i="76"/>
  <c r="J705" i="76"/>
  <c r="P705" i="76"/>
  <c r="K705" i="76"/>
  <c r="Q705" i="76"/>
  <c r="L705" i="76"/>
  <c r="G705" i="76"/>
  <c r="M705" i="76"/>
  <c r="F707" i="76" l="1"/>
  <c r="R707" i="76"/>
  <c r="AR708" i="76"/>
  <c r="B707" i="76"/>
  <c r="AD707" i="76"/>
  <c r="AE707" i="76"/>
  <c r="A707" i="76"/>
  <c r="E707" i="76"/>
  <c r="D707" i="76"/>
  <c r="C707" i="76"/>
  <c r="W706" i="76"/>
  <c r="AC706" i="76"/>
  <c r="X706" i="76"/>
  <c r="S706" i="76"/>
  <c r="AB706" i="76"/>
  <c r="V706" i="76"/>
  <c r="Z706" i="76"/>
  <c r="U706" i="76"/>
  <c r="AA706" i="76"/>
  <c r="Y706" i="76"/>
  <c r="T706" i="76"/>
  <c r="Q706" i="76"/>
  <c r="L706" i="76"/>
  <c r="G706" i="76"/>
  <c r="M706" i="76"/>
  <c r="H706" i="76"/>
  <c r="N706" i="76"/>
  <c r="I706" i="76"/>
  <c r="O706" i="76"/>
  <c r="J706" i="76"/>
  <c r="P706" i="76"/>
  <c r="K706" i="76"/>
  <c r="AI706" i="76"/>
  <c r="AP706" i="76"/>
  <c r="AK706" i="76"/>
  <c r="AF706" i="76"/>
  <c r="AO706" i="76"/>
  <c r="AJ706" i="76"/>
  <c r="AM706" i="76"/>
  <c r="AH706" i="76"/>
  <c r="AN706" i="76"/>
  <c r="AL706" i="76"/>
  <c r="AG706" i="76"/>
  <c r="F708" i="76" l="1"/>
  <c r="R708" i="76"/>
  <c r="N707" i="76"/>
  <c r="I707" i="76"/>
  <c r="L707" i="76"/>
  <c r="J707" i="76"/>
  <c r="P707" i="76"/>
  <c r="O707" i="76"/>
  <c r="Q707" i="76"/>
  <c r="H707" i="76"/>
  <c r="G707" i="76"/>
  <c r="M707" i="76"/>
  <c r="K707" i="76"/>
  <c r="AA707" i="76"/>
  <c r="V707" i="76"/>
  <c r="AB707" i="76"/>
  <c r="W707" i="76"/>
  <c r="AC707" i="76"/>
  <c r="X707" i="76"/>
  <c r="S707" i="76"/>
  <c r="Y707" i="76"/>
  <c r="T707" i="76"/>
  <c r="Z707" i="76"/>
  <c r="U707" i="76"/>
  <c r="AO707" i="76"/>
  <c r="AF707" i="76"/>
  <c r="AP707" i="76"/>
  <c r="AK707" i="76"/>
  <c r="AI707" i="76"/>
  <c r="AL707" i="76"/>
  <c r="AG707" i="76"/>
  <c r="AJ707" i="76"/>
  <c r="AH707" i="76"/>
  <c r="AN707" i="76"/>
  <c r="AM707" i="76"/>
  <c r="AE708" i="76"/>
  <c r="D708" i="76"/>
  <c r="AR709" i="76"/>
  <c r="AD708" i="76"/>
  <c r="C708" i="76"/>
  <c r="A708" i="76"/>
  <c r="B708" i="76"/>
  <c r="E708" i="76"/>
  <c r="F709" i="76" l="1"/>
  <c r="R709" i="76"/>
  <c r="G708" i="76"/>
  <c r="P708" i="76"/>
  <c r="L708" i="76"/>
  <c r="N708" i="76"/>
  <c r="H708" i="76"/>
  <c r="O708" i="76"/>
  <c r="J708" i="76"/>
  <c r="Q708" i="76"/>
  <c r="K708" i="76"/>
  <c r="M708" i="76"/>
  <c r="I708" i="76"/>
  <c r="AD709" i="76"/>
  <c r="AR710" i="76"/>
  <c r="B709" i="76"/>
  <c r="AE709" i="76"/>
  <c r="A709" i="76"/>
  <c r="D709" i="76"/>
  <c r="E709" i="76"/>
  <c r="C709" i="76"/>
  <c r="AL708" i="76"/>
  <c r="AG708" i="76"/>
  <c r="AM708" i="76"/>
  <c r="AH708" i="76"/>
  <c r="AN708" i="76"/>
  <c r="AI708" i="76"/>
  <c r="AO708" i="76"/>
  <c r="AJ708" i="76"/>
  <c r="AP708" i="76"/>
  <c r="AK708" i="76"/>
  <c r="AF708" i="76"/>
  <c r="W708" i="76"/>
  <c r="AC708" i="76"/>
  <c r="X708" i="76"/>
  <c r="S708" i="76"/>
  <c r="Y708" i="76"/>
  <c r="T708" i="76"/>
  <c r="Z708" i="76"/>
  <c r="U708" i="76"/>
  <c r="AA708" i="76"/>
  <c r="V708" i="76"/>
  <c r="AB708" i="76"/>
  <c r="F710" i="76" l="1"/>
  <c r="R710" i="76"/>
  <c r="AO709" i="76"/>
  <c r="AJ709" i="76"/>
  <c r="AP709" i="76"/>
  <c r="AK709" i="76"/>
  <c r="AF709" i="76"/>
  <c r="AL709" i="76"/>
  <c r="AG709" i="76"/>
  <c r="AM709" i="76"/>
  <c r="AH709" i="76"/>
  <c r="AN709" i="76"/>
  <c r="AI709" i="76"/>
  <c r="AR711" i="76"/>
  <c r="D710" i="76"/>
  <c r="C710" i="76"/>
  <c r="B710" i="76"/>
  <c r="A710" i="76"/>
  <c r="AD710" i="76"/>
  <c r="E710" i="76"/>
  <c r="AE710" i="76"/>
  <c r="L709" i="76"/>
  <c r="G709" i="76"/>
  <c r="M709" i="76"/>
  <c r="H709" i="76"/>
  <c r="N709" i="76"/>
  <c r="I709" i="76"/>
  <c r="O709" i="76"/>
  <c r="J709" i="76"/>
  <c r="P709" i="76"/>
  <c r="K709" i="76"/>
  <c r="Q709" i="76"/>
  <c r="T709" i="76"/>
  <c r="Z709" i="76"/>
  <c r="U709" i="76"/>
  <c r="AA709" i="76"/>
  <c r="V709" i="76"/>
  <c r="AB709" i="76"/>
  <c r="W709" i="76"/>
  <c r="AC709" i="76"/>
  <c r="X709" i="76"/>
  <c r="S709" i="76"/>
  <c r="Y709" i="76"/>
  <c r="F711" i="76" l="1"/>
  <c r="R711" i="76"/>
  <c r="N710" i="76"/>
  <c r="I710" i="76"/>
  <c r="O710" i="76"/>
  <c r="J710" i="76"/>
  <c r="P710" i="76"/>
  <c r="K710" i="76"/>
  <c r="Q710" i="76"/>
  <c r="L710" i="76"/>
  <c r="G710" i="76"/>
  <c r="M710" i="76"/>
  <c r="H710" i="76"/>
  <c r="Y710" i="76"/>
  <c r="T710" i="76"/>
  <c r="Z710" i="76"/>
  <c r="U710" i="76"/>
  <c r="AA710" i="76"/>
  <c r="V710" i="76"/>
  <c r="AB710" i="76"/>
  <c r="W710" i="76"/>
  <c r="AC710" i="76"/>
  <c r="X710" i="76"/>
  <c r="S710" i="76"/>
  <c r="D711" i="76"/>
  <c r="C711" i="76"/>
  <c r="B711" i="76"/>
  <c r="AD711" i="76"/>
  <c r="AR712" i="76"/>
  <c r="A711" i="76"/>
  <c r="AE711" i="76"/>
  <c r="E711" i="76"/>
  <c r="AG710" i="76"/>
  <c r="AI710" i="76"/>
  <c r="AH710" i="76"/>
  <c r="AN710" i="76"/>
  <c r="AL710" i="76"/>
  <c r="AO710" i="76"/>
  <c r="AJ710" i="76"/>
  <c r="AM710" i="76"/>
  <c r="AK710" i="76"/>
  <c r="AF710" i="76"/>
  <c r="AP710" i="76"/>
  <c r="F712" i="76" l="1"/>
  <c r="R712" i="76"/>
  <c r="J711" i="76"/>
  <c r="P711" i="76"/>
  <c r="K711" i="76"/>
  <c r="Q711" i="76"/>
  <c r="L711" i="76"/>
  <c r="G711" i="76"/>
  <c r="M711" i="76"/>
  <c r="H711" i="76"/>
  <c r="N711" i="76"/>
  <c r="I711" i="76"/>
  <c r="O711" i="76"/>
  <c r="AM711" i="76"/>
  <c r="AK711" i="76"/>
  <c r="AN711" i="76"/>
  <c r="AI711" i="76"/>
  <c r="AL711" i="76"/>
  <c r="AJ711" i="76"/>
  <c r="AP711" i="76"/>
  <c r="AO711" i="76"/>
  <c r="AF711" i="76"/>
  <c r="AH711" i="76"/>
  <c r="AG711" i="76"/>
  <c r="AR713" i="76"/>
  <c r="AE712" i="76"/>
  <c r="D712" i="76"/>
  <c r="B712" i="76"/>
  <c r="E712" i="76"/>
  <c r="AD712" i="76"/>
  <c r="C712" i="76"/>
  <c r="A712" i="76"/>
  <c r="AC711" i="76"/>
  <c r="X711" i="76"/>
  <c r="S711" i="76"/>
  <c r="Y711" i="76"/>
  <c r="T711" i="76"/>
  <c r="Z711" i="76"/>
  <c r="U711" i="76"/>
  <c r="AA711" i="76"/>
  <c r="V711" i="76"/>
  <c r="AB711" i="76"/>
  <c r="W711" i="76"/>
  <c r="F713" i="76" l="1"/>
  <c r="R713" i="76"/>
  <c r="AL712" i="76"/>
  <c r="AG712" i="76"/>
  <c r="AM712" i="76"/>
  <c r="AH712" i="76"/>
  <c r="AN712" i="76"/>
  <c r="AI712" i="76"/>
  <c r="AO712" i="76"/>
  <c r="AJ712" i="76"/>
  <c r="AP712" i="76"/>
  <c r="AK712" i="76"/>
  <c r="AF712" i="76"/>
  <c r="U712" i="76"/>
  <c r="AA712" i="76"/>
  <c r="V712" i="76"/>
  <c r="AB712" i="76"/>
  <c r="W712" i="76"/>
  <c r="AC712" i="76"/>
  <c r="X712" i="76"/>
  <c r="S712" i="76"/>
  <c r="Y712" i="76"/>
  <c r="T712" i="76"/>
  <c r="Z712" i="76"/>
  <c r="K712" i="76"/>
  <c r="M712" i="76"/>
  <c r="I712" i="76"/>
  <c r="G712" i="76"/>
  <c r="P712" i="76"/>
  <c r="L712" i="76"/>
  <c r="N712" i="76"/>
  <c r="H712" i="76"/>
  <c r="O712" i="76"/>
  <c r="J712" i="76"/>
  <c r="Q712" i="76"/>
  <c r="E713" i="76"/>
  <c r="D713" i="76"/>
  <c r="AD713" i="76"/>
  <c r="A713" i="76"/>
  <c r="B713" i="76"/>
  <c r="AR714" i="76"/>
  <c r="C713" i="76"/>
  <c r="AE713" i="76"/>
  <c r="F714" i="76" l="1"/>
  <c r="R714" i="76"/>
  <c r="Y713" i="76"/>
  <c r="S713" i="76"/>
  <c r="Z713" i="76"/>
  <c r="U713" i="76"/>
  <c r="AB713" i="76"/>
  <c r="V713" i="76"/>
  <c r="X713" i="76"/>
  <c r="T713" i="76"/>
  <c r="AC713" i="76"/>
  <c r="AA713" i="76"/>
  <c r="W713" i="76"/>
  <c r="O713" i="76"/>
  <c r="J713" i="76"/>
  <c r="P713" i="76"/>
  <c r="K713" i="76"/>
  <c r="Q713" i="76"/>
  <c r="L713" i="76"/>
  <c r="G713" i="76"/>
  <c r="M713" i="76"/>
  <c r="H713" i="76"/>
  <c r="N713" i="76"/>
  <c r="I713" i="76"/>
  <c r="AN713" i="76"/>
  <c r="AI713" i="76"/>
  <c r="AO713" i="76"/>
  <c r="AJ713" i="76"/>
  <c r="AP713" i="76"/>
  <c r="AK713" i="76"/>
  <c r="AF713" i="76"/>
  <c r="AL713" i="76"/>
  <c r="AG713" i="76"/>
  <c r="AM713" i="76"/>
  <c r="AH713" i="76"/>
  <c r="E714" i="76"/>
  <c r="D714" i="76"/>
  <c r="C714" i="76"/>
  <c r="AE714" i="76"/>
  <c r="AR715" i="76"/>
  <c r="B714" i="76"/>
  <c r="AD714" i="76"/>
  <c r="A714" i="76"/>
  <c r="F715" i="76" l="1"/>
  <c r="R715" i="76"/>
  <c r="AG714" i="76"/>
  <c r="AM714" i="76"/>
  <c r="AH714" i="76"/>
  <c r="AN714" i="76"/>
  <c r="AI714" i="76"/>
  <c r="AO714" i="76"/>
  <c r="AJ714" i="76"/>
  <c r="AP714" i="76"/>
  <c r="AK714" i="76"/>
  <c r="AF714" i="76"/>
  <c r="AL714" i="76"/>
  <c r="Z714" i="76"/>
  <c r="U714" i="76"/>
  <c r="AA714" i="76"/>
  <c r="V714" i="76"/>
  <c r="AB714" i="76"/>
  <c r="W714" i="76"/>
  <c r="AC714" i="76"/>
  <c r="X714" i="76"/>
  <c r="S714" i="76"/>
  <c r="Y714" i="76"/>
  <c r="T714" i="76"/>
  <c r="D715" i="76"/>
  <c r="AE715" i="76"/>
  <c r="C715" i="76"/>
  <c r="B715" i="76"/>
  <c r="A715" i="76"/>
  <c r="AR716" i="76"/>
  <c r="E715" i="76"/>
  <c r="AD715" i="76"/>
  <c r="M714" i="76"/>
  <c r="H714" i="76"/>
  <c r="N714" i="76"/>
  <c r="I714" i="76"/>
  <c r="O714" i="76"/>
  <c r="J714" i="76"/>
  <c r="P714" i="76"/>
  <c r="K714" i="76"/>
  <c r="Q714" i="76"/>
  <c r="L714" i="76"/>
  <c r="G714" i="76"/>
  <c r="F716" i="76" l="1"/>
  <c r="R716" i="76"/>
  <c r="AE716" i="76"/>
  <c r="D716" i="76"/>
  <c r="AR717" i="76"/>
  <c r="AD716" i="76"/>
  <c r="C716" i="76"/>
  <c r="A716" i="76"/>
  <c r="B716" i="76"/>
  <c r="E716" i="76"/>
  <c r="H715" i="76"/>
  <c r="N715" i="76"/>
  <c r="M715" i="76"/>
  <c r="O715" i="76"/>
  <c r="Q715" i="76"/>
  <c r="P715" i="76"/>
  <c r="K715" i="76"/>
  <c r="I715" i="76"/>
  <c r="L715" i="76"/>
  <c r="G715" i="76"/>
  <c r="J715" i="76"/>
  <c r="AO715" i="76"/>
  <c r="AM715" i="76"/>
  <c r="AP715" i="76"/>
  <c r="AK715" i="76"/>
  <c r="AN715" i="76"/>
  <c r="AL715" i="76"/>
  <c r="AG715" i="76"/>
  <c r="AF715" i="76"/>
  <c r="AH715" i="76"/>
  <c r="AJ715" i="76"/>
  <c r="AI715" i="76"/>
  <c r="X715" i="76"/>
  <c r="S715" i="76"/>
  <c r="Y715" i="76"/>
  <c r="T715" i="76"/>
  <c r="Z715" i="76"/>
  <c r="U715" i="76"/>
  <c r="AA715" i="76"/>
  <c r="V715" i="76"/>
  <c r="AB715" i="76"/>
  <c r="W715" i="76"/>
  <c r="AC715" i="76"/>
  <c r="F717" i="76" l="1"/>
  <c r="R717" i="76"/>
  <c r="W716" i="76"/>
  <c r="AC716" i="76"/>
  <c r="X716" i="76"/>
  <c r="S716" i="76"/>
  <c r="Y716" i="76"/>
  <c r="T716" i="76"/>
  <c r="Z716" i="76"/>
  <c r="U716" i="76"/>
  <c r="AA716" i="76"/>
  <c r="V716" i="76"/>
  <c r="AB716" i="76"/>
  <c r="G716" i="76"/>
  <c r="P716" i="76"/>
  <c r="L716" i="76"/>
  <c r="N716" i="76"/>
  <c r="H716" i="76"/>
  <c r="O716" i="76"/>
  <c r="J716" i="76"/>
  <c r="Q716" i="76"/>
  <c r="K716" i="76"/>
  <c r="M716" i="76"/>
  <c r="I716" i="76"/>
  <c r="E717" i="76"/>
  <c r="AR718" i="76"/>
  <c r="D717" i="76"/>
  <c r="AE717" i="76"/>
  <c r="C717" i="76"/>
  <c r="B717" i="76"/>
  <c r="AD717" i="76"/>
  <c r="A717" i="76"/>
  <c r="AL716" i="76"/>
  <c r="AG716" i="76"/>
  <c r="AM716" i="76"/>
  <c r="AH716" i="76"/>
  <c r="AN716" i="76"/>
  <c r="AI716" i="76"/>
  <c r="AO716" i="76"/>
  <c r="AJ716" i="76"/>
  <c r="AP716" i="76"/>
  <c r="AK716" i="76"/>
  <c r="AF716" i="76"/>
  <c r="F718" i="76" l="1"/>
  <c r="R718" i="76"/>
  <c r="T717" i="76"/>
  <c r="Z717" i="76"/>
  <c r="U717" i="76"/>
  <c r="AA717" i="76"/>
  <c r="V717" i="76"/>
  <c r="AB717" i="76"/>
  <c r="W717" i="76"/>
  <c r="AC717" i="76"/>
  <c r="X717" i="76"/>
  <c r="S717" i="76"/>
  <c r="Y717" i="76"/>
  <c r="AO717" i="76"/>
  <c r="AJ717" i="76"/>
  <c r="AP717" i="76"/>
  <c r="AK717" i="76"/>
  <c r="AF717" i="76"/>
  <c r="AL717" i="76"/>
  <c r="AG717" i="76"/>
  <c r="AM717" i="76"/>
  <c r="AH717" i="76"/>
  <c r="AN717" i="76"/>
  <c r="AI717" i="76"/>
  <c r="AR719" i="76"/>
  <c r="AD718" i="76"/>
  <c r="A718" i="76"/>
  <c r="E718" i="76"/>
  <c r="C718" i="76"/>
  <c r="D718" i="76"/>
  <c r="B718" i="76"/>
  <c r="AE718" i="76"/>
  <c r="L717" i="76"/>
  <c r="G717" i="76"/>
  <c r="M717" i="76"/>
  <c r="H717" i="76"/>
  <c r="N717" i="76"/>
  <c r="I717" i="76"/>
  <c r="O717" i="76"/>
  <c r="J717" i="76"/>
  <c r="P717" i="76"/>
  <c r="K717" i="76"/>
  <c r="Q717" i="76"/>
  <c r="F719" i="76" l="1"/>
  <c r="R719" i="76"/>
  <c r="AP718" i="76"/>
  <c r="AG718" i="76"/>
  <c r="AF718" i="76"/>
  <c r="AL718" i="76"/>
  <c r="AJ718" i="76"/>
  <c r="AM718" i="76"/>
  <c r="AH718" i="76"/>
  <c r="AK718" i="76"/>
  <c r="AI718" i="76"/>
  <c r="AO718" i="76"/>
  <c r="AN718" i="76"/>
  <c r="N718" i="76"/>
  <c r="I718" i="76"/>
  <c r="O718" i="76"/>
  <c r="J718" i="76"/>
  <c r="P718" i="76"/>
  <c r="K718" i="76"/>
  <c r="Q718" i="76"/>
  <c r="L718" i="76"/>
  <c r="G718" i="76"/>
  <c r="M718" i="76"/>
  <c r="H718" i="76"/>
  <c r="Y718" i="76"/>
  <c r="T718" i="76"/>
  <c r="Z718" i="76"/>
  <c r="U718" i="76"/>
  <c r="AA718" i="76"/>
  <c r="V718" i="76"/>
  <c r="AB718" i="76"/>
  <c r="W718" i="76"/>
  <c r="AC718" i="76"/>
  <c r="X718" i="76"/>
  <c r="S718" i="76"/>
  <c r="D719" i="76"/>
  <c r="C719" i="76"/>
  <c r="B719" i="76"/>
  <c r="AD719" i="76"/>
  <c r="AR720" i="76"/>
  <c r="A719" i="76"/>
  <c r="AE719" i="76"/>
  <c r="E719" i="76"/>
  <c r="F720" i="76" l="1"/>
  <c r="R720" i="76"/>
  <c r="J719" i="76"/>
  <c r="P719" i="76"/>
  <c r="K719" i="76"/>
  <c r="Q719" i="76"/>
  <c r="L719" i="76"/>
  <c r="G719" i="76"/>
  <c r="M719" i="76"/>
  <c r="H719" i="76"/>
  <c r="N719" i="76"/>
  <c r="I719" i="76"/>
  <c r="O719" i="76"/>
  <c r="AM719" i="76"/>
  <c r="AG719" i="76"/>
  <c r="AN719" i="76"/>
  <c r="AI719" i="76"/>
  <c r="AP719" i="76"/>
  <c r="AJ719" i="76"/>
  <c r="AL719" i="76"/>
  <c r="AH719" i="76"/>
  <c r="AF719" i="76"/>
  <c r="AO719" i="76"/>
  <c r="AK719" i="76"/>
  <c r="B720" i="76"/>
  <c r="E720" i="76"/>
  <c r="AR721" i="76"/>
  <c r="C720" i="76"/>
  <c r="A720" i="76"/>
  <c r="AD720" i="76"/>
  <c r="AE720" i="76"/>
  <c r="D720" i="76"/>
  <c r="AC719" i="76"/>
  <c r="X719" i="76"/>
  <c r="S719" i="76"/>
  <c r="Y719" i="76"/>
  <c r="T719" i="76"/>
  <c r="Z719" i="76"/>
  <c r="U719" i="76"/>
  <c r="AA719" i="76"/>
  <c r="V719" i="76"/>
  <c r="AB719" i="76"/>
  <c r="W719" i="76"/>
  <c r="F721" i="76" l="1"/>
  <c r="R721" i="76"/>
  <c r="K720" i="76"/>
  <c r="M720" i="76"/>
  <c r="I720" i="76"/>
  <c r="G720" i="76"/>
  <c r="P720" i="76"/>
  <c r="L720" i="76"/>
  <c r="N720" i="76"/>
  <c r="H720" i="76"/>
  <c r="O720" i="76"/>
  <c r="J720" i="76"/>
  <c r="Q720" i="76"/>
  <c r="AL720" i="76"/>
  <c r="AG720" i="76"/>
  <c r="AM720" i="76"/>
  <c r="AH720" i="76"/>
  <c r="AN720" i="76"/>
  <c r="AI720" i="76"/>
  <c r="AO720" i="76"/>
  <c r="AJ720" i="76"/>
  <c r="AP720" i="76"/>
  <c r="AK720" i="76"/>
  <c r="AF720" i="76"/>
  <c r="U720" i="76"/>
  <c r="AA720" i="76"/>
  <c r="V720" i="76"/>
  <c r="AB720" i="76"/>
  <c r="W720" i="76"/>
  <c r="AC720" i="76"/>
  <c r="X720" i="76"/>
  <c r="S720" i="76"/>
  <c r="Y720" i="76"/>
  <c r="T720" i="76"/>
  <c r="Z720" i="76"/>
  <c r="A721" i="76"/>
  <c r="E721" i="76"/>
  <c r="D721" i="76"/>
  <c r="AD721" i="76"/>
  <c r="AR722" i="76"/>
  <c r="C721" i="76"/>
  <c r="AE721" i="76"/>
  <c r="B721" i="76"/>
  <c r="F722" i="76" l="1"/>
  <c r="R722" i="76"/>
  <c r="X721" i="76"/>
  <c r="S721" i="76"/>
  <c r="AC721" i="76"/>
  <c r="T721" i="76"/>
  <c r="V721" i="76"/>
  <c r="U721" i="76"/>
  <c r="AA721" i="76"/>
  <c r="Y721" i="76"/>
  <c r="AB721" i="76"/>
  <c r="W721" i="76"/>
  <c r="Z721" i="76"/>
  <c r="AM721" i="76"/>
  <c r="AH721" i="76"/>
  <c r="AN721" i="76"/>
  <c r="AI721" i="76"/>
  <c r="AO721" i="76"/>
  <c r="AJ721" i="76"/>
  <c r="AP721" i="76"/>
  <c r="AK721" i="76"/>
  <c r="AF721" i="76"/>
  <c r="AL721" i="76"/>
  <c r="AG721" i="76"/>
  <c r="B722" i="76"/>
  <c r="A722" i="76"/>
  <c r="AE722" i="76"/>
  <c r="C722" i="76"/>
  <c r="D722" i="76"/>
  <c r="AR723" i="76"/>
  <c r="E722" i="76"/>
  <c r="AD722" i="76"/>
  <c r="H721" i="76"/>
  <c r="N721" i="76"/>
  <c r="I721" i="76"/>
  <c r="O721" i="76"/>
  <c r="J721" i="76"/>
  <c r="P721" i="76"/>
  <c r="K721" i="76"/>
  <c r="Q721" i="76"/>
  <c r="L721" i="76"/>
  <c r="G721" i="76"/>
  <c r="M721" i="76"/>
  <c r="F723" i="76" l="1"/>
  <c r="R723" i="76"/>
  <c r="E723" i="76"/>
  <c r="D723" i="76"/>
  <c r="A723" i="76"/>
  <c r="AE723" i="76"/>
  <c r="AR724" i="76"/>
  <c r="B723" i="76"/>
  <c r="AD723" i="76"/>
  <c r="C723" i="76"/>
  <c r="Z722" i="76"/>
  <c r="U722" i="76"/>
  <c r="AA722" i="76"/>
  <c r="V722" i="76"/>
  <c r="AB722" i="76"/>
  <c r="W722" i="76"/>
  <c r="AC722" i="76"/>
  <c r="X722" i="76"/>
  <c r="S722" i="76"/>
  <c r="Y722" i="76"/>
  <c r="T722" i="76"/>
  <c r="I722" i="76"/>
  <c r="O722" i="76"/>
  <c r="J722" i="76"/>
  <c r="P722" i="76"/>
  <c r="K722" i="76"/>
  <c r="Q722" i="76"/>
  <c r="L722" i="76"/>
  <c r="G722" i="76"/>
  <c r="M722" i="76"/>
  <c r="H722" i="76"/>
  <c r="N722" i="76"/>
  <c r="AO722" i="76"/>
  <c r="AJ722" i="76"/>
  <c r="AP722" i="76"/>
  <c r="AK722" i="76"/>
  <c r="AF722" i="76"/>
  <c r="AL722" i="76"/>
  <c r="AG722" i="76"/>
  <c r="AM722" i="76"/>
  <c r="AH722" i="76"/>
  <c r="AN722" i="76"/>
  <c r="AI722" i="76"/>
  <c r="F724" i="76" l="1"/>
  <c r="R724" i="76"/>
  <c r="AD724" i="76"/>
  <c r="C724" i="76"/>
  <c r="A724" i="76"/>
  <c r="B724" i="76"/>
  <c r="E724" i="76"/>
  <c r="AE724" i="76"/>
  <c r="D724" i="76"/>
  <c r="AR725" i="76"/>
  <c r="Q723" i="76"/>
  <c r="O723" i="76"/>
  <c r="K723" i="76"/>
  <c r="M723" i="76"/>
  <c r="G723" i="76"/>
  <c r="N723" i="76"/>
  <c r="I723" i="76"/>
  <c r="P723" i="76"/>
  <c r="J723" i="76"/>
  <c r="L723" i="76"/>
  <c r="H723" i="76"/>
  <c r="AO723" i="76"/>
  <c r="AF723" i="76"/>
  <c r="AP723" i="76"/>
  <c r="AK723" i="76"/>
  <c r="AI723" i="76"/>
  <c r="AL723" i="76"/>
  <c r="AG723" i="76"/>
  <c r="AJ723" i="76"/>
  <c r="AH723" i="76"/>
  <c r="AN723" i="76"/>
  <c r="AM723" i="76"/>
  <c r="X723" i="76"/>
  <c r="S723" i="76"/>
  <c r="Y723" i="76"/>
  <c r="T723" i="76"/>
  <c r="Z723" i="76"/>
  <c r="U723" i="76"/>
  <c r="AA723" i="76"/>
  <c r="V723" i="76"/>
  <c r="AB723" i="76"/>
  <c r="W723" i="76"/>
  <c r="AC723" i="76"/>
  <c r="F725" i="76" l="1"/>
  <c r="R725" i="76"/>
  <c r="G724" i="76"/>
  <c r="P724" i="76"/>
  <c r="L724" i="76"/>
  <c r="N724" i="76"/>
  <c r="H724" i="76"/>
  <c r="O724" i="76"/>
  <c r="J724" i="76"/>
  <c r="Q724" i="76"/>
  <c r="K724" i="76"/>
  <c r="M724" i="76"/>
  <c r="I724" i="76"/>
  <c r="AD725" i="76"/>
  <c r="AR726" i="76"/>
  <c r="B725" i="76"/>
  <c r="AE725" i="76"/>
  <c r="A725" i="76"/>
  <c r="D725" i="76"/>
  <c r="E725" i="76"/>
  <c r="C725" i="76"/>
  <c r="AL724" i="76"/>
  <c r="AG724" i="76"/>
  <c r="AM724" i="76"/>
  <c r="AH724" i="76"/>
  <c r="AN724" i="76"/>
  <c r="AI724" i="76"/>
  <c r="AO724" i="76"/>
  <c r="AJ724" i="76"/>
  <c r="AP724" i="76"/>
  <c r="AK724" i="76"/>
  <c r="AF724" i="76"/>
  <c r="W724" i="76"/>
  <c r="AC724" i="76"/>
  <c r="X724" i="76"/>
  <c r="S724" i="76"/>
  <c r="Y724" i="76"/>
  <c r="T724" i="76"/>
  <c r="Z724" i="76"/>
  <c r="U724" i="76"/>
  <c r="AA724" i="76"/>
  <c r="V724" i="76"/>
  <c r="AB724" i="76"/>
  <c r="F726" i="76" l="1"/>
  <c r="R726" i="76"/>
  <c r="AO725" i="76"/>
  <c r="AJ725" i="76"/>
  <c r="AP725" i="76"/>
  <c r="AK725" i="76"/>
  <c r="AF725" i="76"/>
  <c r="AL725" i="76"/>
  <c r="AG725" i="76"/>
  <c r="AM725" i="76"/>
  <c r="AH725" i="76"/>
  <c r="AN725" i="76"/>
  <c r="AI725" i="76"/>
  <c r="AR727" i="76"/>
  <c r="D726" i="76"/>
  <c r="C726" i="76"/>
  <c r="B726" i="76"/>
  <c r="A726" i="76"/>
  <c r="AD726" i="76"/>
  <c r="E726" i="76"/>
  <c r="AE726" i="76"/>
  <c r="L725" i="76"/>
  <c r="G725" i="76"/>
  <c r="M725" i="76"/>
  <c r="H725" i="76"/>
  <c r="N725" i="76"/>
  <c r="I725" i="76"/>
  <c r="O725" i="76"/>
  <c r="J725" i="76"/>
  <c r="P725" i="76"/>
  <c r="K725" i="76"/>
  <c r="Q725" i="76"/>
  <c r="AC725" i="76"/>
  <c r="X725" i="76"/>
  <c r="S725" i="76"/>
  <c r="Y725" i="76"/>
  <c r="T725" i="76"/>
  <c r="Z725" i="76"/>
  <c r="U725" i="76"/>
  <c r="AA725" i="76"/>
  <c r="V725" i="76"/>
  <c r="AB725" i="76"/>
  <c r="W725" i="76"/>
  <c r="F727" i="76" l="1"/>
  <c r="R727" i="76"/>
  <c r="N726" i="76"/>
  <c r="I726" i="76"/>
  <c r="O726" i="76"/>
  <c r="J726" i="76"/>
  <c r="P726" i="76"/>
  <c r="K726" i="76"/>
  <c r="Q726" i="76"/>
  <c r="L726" i="76"/>
  <c r="G726" i="76"/>
  <c r="M726" i="76"/>
  <c r="H726" i="76"/>
  <c r="Y726" i="76"/>
  <c r="T726" i="76"/>
  <c r="Z726" i="76"/>
  <c r="U726" i="76"/>
  <c r="AA726" i="76"/>
  <c r="V726" i="76"/>
  <c r="AB726" i="76"/>
  <c r="W726" i="76"/>
  <c r="AC726" i="76"/>
  <c r="X726" i="76"/>
  <c r="S726" i="76"/>
  <c r="D727" i="76"/>
  <c r="C727" i="76"/>
  <c r="B727" i="76"/>
  <c r="AD727" i="76"/>
  <c r="AR728" i="76"/>
  <c r="A727" i="76"/>
  <c r="AE727" i="76"/>
  <c r="E727" i="76"/>
  <c r="AG726" i="76"/>
  <c r="AM726" i="76"/>
  <c r="AL726" i="76"/>
  <c r="AN726" i="76"/>
  <c r="AP726" i="76"/>
  <c r="AO726" i="76"/>
  <c r="AJ726" i="76"/>
  <c r="AH726" i="76"/>
  <c r="AK726" i="76"/>
  <c r="AF726" i="76"/>
  <c r="AI726" i="76"/>
  <c r="F728" i="76" l="1"/>
  <c r="R728" i="76"/>
  <c r="L727" i="76"/>
  <c r="G727" i="76"/>
  <c r="M727" i="76"/>
  <c r="H727" i="76"/>
  <c r="N727" i="76"/>
  <c r="I727" i="76"/>
  <c r="O727" i="76"/>
  <c r="J727" i="76"/>
  <c r="P727" i="76"/>
  <c r="K727" i="76"/>
  <c r="Q727" i="76"/>
  <c r="AM727" i="76"/>
  <c r="AK727" i="76"/>
  <c r="AN727" i="76"/>
  <c r="AI727" i="76"/>
  <c r="AL727" i="76"/>
  <c r="AJ727" i="76"/>
  <c r="AP727" i="76"/>
  <c r="AO727" i="76"/>
  <c r="AF727" i="76"/>
  <c r="AH727" i="76"/>
  <c r="AG727" i="76"/>
  <c r="AR729" i="76"/>
  <c r="AE728" i="76"/>
  <c r="D728" i="76"/>
  <c r="B728" i="76"/>
  <c r="E728" i="76"/>
  <c r="AD728" i="76"/>
  <c r="C728" i="76"/>
  <c r="A728" i="76"/>
  <c r="AC727" i="76"/>
  <c r="X727" i="76"/>
  <c r="S727" i="76"/>
  <c r="Y727" i="76"/>
  <c r="T727" i="76"/>
  <c r="Z727" i="76"/>
  <c r="U727" i="76"/>
  <c r="AA727" i="76"/>
  <c r="V727" i="76"/>
  <c r="AB727" i="76"/>
  <c r="W727" i="76"/>
  <c r="F729" i="76" l="1"/>
  <c r="R729" i="76"/>
  <c r="AL728" i="76"/>
  <c r="AG728" i="76"/>
  <c r="AM728" i="76"/>
  <c r="AH728" i="76"/>
  <c r="AN728" i="76"/>
  <c r="AI728" i="76"/>
  <c r="AO728" i="76"/>
  <c r="AJ728" i="76"/>
  <c r="AP728" i="76"/>
  <c r="AK728" i="76"/>
  <c r="AF728" i="76"/>
  <c r="U728" i="76"/>
  <c r="AA728" i="76"/>
  <c r="V728" i="76"/>
  <c r="AB728" i="76"/>
  <c r="W728" i="76"/>
  <c r="AC728" i="76"/>
  <c r="X728" i="76"/>
  <c r="S728" i="76"/>
  <c r="Y728" i="76"/>
  <c r="T728" i="76"/>
  <c r="Z728" i="76"/>
  <c r="K728" i="76"/>
  <c r="M728" i="76"/>
  <c r="I728" i="76"/>
  <c r="G728" i="76"/>
  <c r="P728" i="76"/>
  <c r="L728" i="76"/>
  <c r="N728" i="76"/>
  <c r="H728" i="76"/>
  <c r="O728" i="76"/>
  <c r="J728" i="76"/>
  <c r="Q728" i="76"/>
  <c r="AD729" i="76"/>
  <c r="A729" i="76"/>
  <c r="AE729" i="76"/>
  <c r="C729" i="76"/>
  <c r="B729" i="76"/>
  <c r="D729" i="76"/>
  <c r="AR730" i="76"/>
  <c r="E729" i="76"/>
  <c r="F730" i="76" l="1"/>
  <c r="R730" i="76"/>
  <c r="H729" i="76"/>
  <c r="N729" i="76"/>
  <c r="I729" i="76"/>
  <c r="O729" i="76"/>
  <c r="J729" i="76"/>
  <c r="P729" i="76"/>
  <c r="K729" i="76"/>
  <c r="Q729" i="76"/>
  <c r="L729" i="76"/>
  <c r="G729" i="76"/>
  <c r="M729" i="76"/>
  <c r="AM729" i="76"/>
  <c r="AH729" i="76"/>
  <c r="AN729" i="76"/>
  <c r="AI729" i="76"/>
  <c r="AO729" i="76"/>
  <c r="AJ729" i="76"/>
  <c r="AP729" i="76"/>
  <c r="AK729" i="76"/>
  <c r="AF729" i="76"/>
  <c r="AL729" i="76"/>
  <c r="AG729" i="76"/>
  <c r="V729" i="76"/>
  <c r="AB729" i="76"/>
  <c r="AA729" i="76"/>
  <c r="AC729" i="76"/>
  <c r="T729" i="76"/>
  <c r="S729" i="76"/>
  <c r="Y729" i="76"/>
  <c r="W729" i="76"/>
  <c r="Z729" i="76"/>
  <c r="U729" i="76"/>
  <c r="X729" i="76"/>
  <c r="E730" i="76"/>
  <c r="D730" i="76"/>
  <c r="C730" i="76"/>
  <c r="AE730" i="76"/>
  <c r="AR731" i="76"/>
  <c r="B730" i="76"/>
  <c r="AD730" i="76"/>
  <c r="A730" i="76"/>
  <c r="F731" i="76" l="1"/>
  <c r="R731" i="76"/>
  <c r="AP730" i="76"/>
  <c r="AK730" i="76"/>
  <c r="AF730" i="76"/>
  <c r="AL730" i="76"/>
  <c r="AG730" i="76"/>
  <c r="AM730" i="76"/>
  <c r="AH730" i="76"/>
  <c r="AN730" i="76"/>
  <c r="AI730" i="76"/>
  <c r="AO730" i="76"/>
  <c r="AJ730" i="76"/>
  <c r="Z730" i="76"/>
  <c r="X730" i="76"/>
  <c r="AA730" i="76"/>
  <c r="V730" i="76"/>
  <c r="Y730" i="76"/>
  <c r="W730" i="76"/>
  <c r="AC730" i="76"/>
  <c r="AB730" i="76"/>
  <c r="S730" i="76"/>
  <c r="U730" i="76"/>
  <c r="T730" i="76"/>
  <c r="D731" i="76"/>
  <c r="AE731" i="76"/>
  <c r="C731" i="76"/>
  <c r="B731" i="76"/>
  <c r="A731" i="76"/>
  <c r="AR732" i="76"/>
  <c r="E731" i="76"/>
  <c r="AD731" i="76"/>
  <c r="M730" i="76"/>
  <c r="H730" i="76"/>
  <c r="N730" i="76"/>
  <c r="I730" i="76"/>
  <c r="O730" i="76"/>
  <c r="J730" i="76"/>
  <c r="P730" i="76"/>
  <c r="K730" i="76"/>
  <c r="Q730" i="76"/>
  <c r="L730" i="76"/>
  <c r="G730" i="76"/>
  <c r="F732" i="76" l="1"/>
  <c r="R732" i="76"/>
  <c r="B732" i="76"/>
  <c r="E732" i="76"/>
  <c r="AD732" i="76"/>
  <c r="C732" i="76"/>
  <c r="A732" i="76"/>
  <c r="AR733" i="76"/>
  <c r="AE732" i="76"/>
  <c r="D732" i="76"/>
  <c r="O731" i="76"/>
  <c r="M731" i="76"/>
  <c r="P731" i="76"/>
  <c r="K731" i="76"/>
  <c r="N731" i="76"/>
  <c r="L731" i="76"/>
  <c r="G731" i="76"/>
  <c r="Q731" i="76"/>
  <c r="H731" i="76"/>
  <c r="J731" i="76"/>
  <c r="I731" i="76"/>
  <c r="AH731" i="76"/>
  <c r="AJ731" i="76"/>
  <c r="AI731" i="76"/>
  <c r="AO731" i="76"/>
  <c r="AM731" i="76"/>
  <c r="AP731" i="76"/>
  <c r="AK731" i="76"/>
  <c r="AN731" i="76"/>
  <c r="AL731" i="76"/>
  <c r="AG731" i="76"/>
  <c r="AF731" i="76"/>
  <c r="AB731" i="76"/>
  <c r="W731" i="76"/>
  <c r="AC731" i="76"/>
  <c r="X731" i="76"/>
  <c r="S731" i="76"/>
  <c r="Y731" i="76"/>
  <c r="T731" i="76"/>
  <c r="Z731" i="76"/>
  <c r="U731" i="76"/>
  <c r="AA731" i="76"/>
  <c r="V731" i="76"/>
  <c r="F733" i="76" l="1"/>
  <c r="R733" i="76"/>
  <c r="O732" i="76"/>
  <c r="J732" i="76"/>
  <c r="Q732" i="76"/>
  <c r="K732" i="76"/>
  <c r="M732" i="76"/>
  <c r="I732" i="76"/>
  <c r="G732" i="76"/>
  <c r="P732" i="76"/>
  <c r="L732" i="76"/>
  <c r="N732" i="76"/>
  <c r="H732" i="76"/>
  <c r="A733" i="76"/>
  <c r="AD733" i="76"/>
  <c r="E733" i="76"/>
  <c r="D733" i="76"/>
  <c r="C733" i="76"/>
  <c r="AR734" i="76"/>
  <c r="B733" i="76"/>
  <c r="AE733" i="76"/>
  <c r="AL732" i="76"/>
  <c r="AG732" i="76"/>
  <c r="AM732" i="76"/>
  <c r="AH732" i="76"/>
  <c r="AN732" i="76"/>
  <c r="AI732" i="76"/>
  <c r="AO732" i="76"/>
  <c r="AJ732" i="76"/>
  <c r="AP732" i="76"/>
  <c r="AK732" i="76"/>
  <c r="AF732" i="76"/>
  <c r="Z732" i="76"/>
  <c r="U732" i="76"/>
  <c r="AA732" i="76"/>
  <c r="V732" i="76"/>
  <c r="AB732" i="76"/>
  <c r="W732" i="76"/>
  <c r="AC732" i="76"/>
  <c r="X732" i="76"/>
  <c r="S732" i="76"/>
  <c r="Y732" i="76"/>
  <c r="T732" i="76"/>
  <c r="F734" i="76" l="1"/>
  <c r="R734" i="76"/>
  <c r="T733" i="76"/>
  <c r="Z733" i="76"/>
  <c r="U733" i="76"/>
  <c r="AA733" i="76"/>
  <c r="V733" i="76"/>
  <c r="AB733" i="76"/>
  <c r="W733" i="76"/>
  <c r="AC733" i="76"/>
  <c r="X733" i="76"/>
  <c r="S733" i="76"/>
  <c r="Y733" i="76"/>
  <c r="AL733" i="76"/>
  <c r="AG733" i="76"/>
  <c r="AM733" i="76"/>
  <c r="AH733" i="76"/>
  <c r="AN733" i="76"/>
  <c r="AI733" i="76"/>
  <c r="AO733" i="76"/>
  <c r="AJ733" i="76"/>
  <c r="AP733" i="76"/>
  <c r="AK733" i="76"/>
  <c r="AF733" i="76"/>
  <c r="B734" i="76"/>
  <c r="A734" i="76"/>
  <c r="AR735" i="76"/>
  <c r="E734" i="76"/>
  <c r="AE734" i="76"/>
  <c r="AD734" i="76"/>
  <c r="D734" i="76"/>
  <c r="C734" i="76"/>
  <c r="O733" i="76"/>
  <c r="J733" i="76"/>
  <c r="P733" i="76"/>
  <c r="K733" i="76"/>
  <c r="Q733" i="76"/>
  <c r="L733" i="76"/>
  <c r="G733" i="76"/>
  <c r="M733" i="76"/>
  <c r="H733" i="76"/>
  <c r="N733" i="76"/>
  <c r="I733" i="76"/>
  <c r="F735" i="76" l="1"/>
  <c r="R735" i="76"/>
  <c r="K734" i="76"/>
  <c r="Q734" i="76"/>
  <c r="L734" i="76"/>
  <c r="G734" i="76"/>
  <c r="M734" i="76"/>
  <c r="H734" i="76"/>
  <c r="N734" i="76"/>
  <c r="I734" i="76"/>
  <c r="O734" i="76"/>
  <c r="J734" i="76"/>
  <c r="P734" i="76"/>
  <c r="Z734" i="76"/>
  <c r="U734" i="76"/>
  <c r="AA734" i="76"/>
  <c r="V734" i="76"/>
  <c r="AB734" i="76"/>
  <c r="W734" i="76"/>
  <c r="AC734" i="76"/>
  <c r="X734" i="76"/>
  <c r="S734" i="76"/>
  <c r="Y734" i="76"/>
  <c r="T734" i="76"/>
  <c r="AP734" i="76"/>
  <c r="AN734" i="76"/>
  <c r="AJ734" i="76"/>
  <c r="AL734" i="76"/>
  <c r="AF734" i="76"/>
  <c r="AM734" i="76"/>
  <c r="AH734" i="76"/>
  <c r="AO734" i="76"/>
  <c r="AI734" i="76"/>
  <c r="AK734" i="76"/>
  <c r="AG734" i="76"/>
  <c r="D735" i="76"/>
  <c r="AE735" i="76"/>
  <c r="C735" i="76"/>
  <c r="B735" i="76"/>
  <c r="A735" i="76"/>
  <c r="AR736" i="76"/>
  <c r="E735" i="76"/>
  <c r="AD735" i="76"/>
  <c r="F736" i="76" l="1"/>
  <c r="R736" i="76"/>
  <c r="AM735" i="76"/>
  <c r="AG735" i="76"/>
  <c r="AN735" i="76"/>
  <c r="AI735" i="76"/>
  <c r="AP735" i="76"/>
  <c r="AJ735" i="76"/>
  <c r="AL735" i="76"/>
  <c r="AH735" i="76"/>
  <c r="AF735" i="76"/>
  <c r="AO735" i="76"/>
  <c r="AK735" i="76"/>
  <c r="V735" i="76"/>
  <c r="AB735" i="76"/>
  <c r="W735" i="76"/>
  <c r="AC735" i="76"/>
  <c r="X735" i="76"/>
  <c r="S735" i="76"/>
  <c r="Y735" i="76"/>
  <c r="T735" i="76"/>
  <c r="Z735" i="76"/>
  <c r="U735" i="76"/>
  <c r="AA735" i="76"/>
  <c r="AE736" i="76"/>
  <c r="D736" i="76"/>
  <c r="AR737" i="76"/>
  <c r="AD736" i="76"/>
  <c r="C736" i="76"/>
  <c r="A736" i="76"/>
  <c r="B736" i="76"/>
  <c r="E736" i="76"/>
  <c r="Q735" i="76"/>
  <c r="L735" i="76"/>
  <c r="G735" i="76"/>
  <c r="M735" i="76"/>
  <c r="H735" i="76"/>
  <c r="N735" i="76"/>
  <c r="I735" i="76"/>
  <c r="O735" i="76"/>
  <c r="J735" i="76"/>
  <c r="P735" i="76"/>
  <c r="K735" i="76"/>
  <c r="F737" i="76" l="1"/>
  <c r="R737" i="76"/>
  <c r="Y736" i="76"/>
  <c r="T736" i="76"/>
  <c r="Z736" i="76"/>
  <c r="U736" i="76"/>
  <c r="AA736" i="76"/>
  <c r="V736" i="76"/>
  <c r="AB736" i="76"/>
  <c r="W736" i="76"/>
  <c r="AC736" i="76"/>
  <c r="X736" i="76"/>
  <c r="S736" i="76"/>
  <c r="G736" i="76"/>
  <c r="P736" i="76"/>
  <c r="L736" i="76"/>
  <c r="N736" i="76"/>
  <c r="H736" i="76"/>
  <c r="O736" i="76"/>
  <c r="J736" i="76"/>
  <c r="Q736" i="76"/>
  <c r="K736" i="76"/>
  <c r="M736" i="76"/>
  <c r="I736" i="76"/>
  <c r="E737" i="76"/>
  <c r="AR738" i="76"/>
  <c r="D737" i="76"/>
  <c r="AE737" i="76"/>
  <c r="C737" i="76"/>
  <c r="B737" i="76"/>
  <c r="AD737" i="76"/>
  <c r="A737" i="76"/>
  <c r="AL736" i="76"/>
  <c r="AG736" i="76"/>
  <c r="AM736" i="76"/>
  <c r="AH736" i="76"/>
  <c r="AN736" i="76"/>
  <c r="AI736" i="76"/>
  <c r="AO736" i="76"/>
  <c r="AJ736" i="76"/>
  <c r="AP736" i="76"/>
  <c r="AK736" i="76"/>
  <c r="AF736" i="76"/>
  <c r="F738" i="76" l="1"/>
  <c r="R738" i="76"/>
  <c r="T737" i="76"/>
  <c r="Z737" i="76"/>
  <c r="Y737" i="76"/>
  <c r="AA737" i="76"/>
  <c r="AC737" i="76"/>
  <c r="AB737" i="76"/>
  <c r="W737" i="76"/>
  <c r="U737" i="76"/>
  <c r="X737" i="76"/>
  <c r="S737" i="76"/>
  <c r="V737" i="76"/>
  <c r="AM737" i="76"/>
  <c r="AH737" i="76"/>
  <c r="AN737" i="76"/>
  <c r="AI737" i="76"/>
  <c r="AO737" i="76"/>
  <c r="AJ737" i="76"/>
  <c r="AP737" i="76"/>
  <c r="AK737" i="76"/>
  <c r="AF737" i="76"/>
  <c r="AL737" i="76"/>
  <c r="AG737" i="76"/>
  <c r="AR739" i="76"/>
  <c r="A738" i="76"/>
  <c r="E738" i="76"/>
  <c r="D738" i="76"/>
  <c r="C738" i="76"/>
  <c r="AD738" i="76"/>
  <c r="B738" i="76"/>
  <c r="AE738" i="76"/>
  <c r="L737" i="76"/>
  <c r="G737" i="76"/>
  <c r="M737" i="76"/>
  <c r="H737" i="76"/>
  <c r="N737" i="76"/>
  <c r="I737" i="76"/>
  <c r="O737" i="76"/>
  <c r="J737" i="76"/>
  <c r="P737" i="76"/>
  <c r="K737" i="76"/>
  <c r="Q737" i="76"/>
  <c r="F739" i="76" l="1"/>
  <c r="R739" i="76"/>
  <c r="AG738" i="76"/>
  <c r="AM738" i="76"/>
  <c r="AH738" i="76"/>
  <c r="AN738" i="76"/>
  <c r="AI738" i="76"/>
  <c r="AO738" i="76"/>
  <c r="AJ738" i="76"/>
  <c r="AP738" i="76"/>
  <c r="AK738" i="76"/>
  <c r="AF738" i="76"/>
  <c r="AL738" i="76"/>
  <c r="P738" i="76"/>
  <c r="K738" i="76"/>
  <c r="Q738" i="76"/>
  <c r="L738" i="76"/>
  <c r="G738" i="76"/>
  <c r="M738" i="76"/>
  <c r="H738" i="76"/>
  <c r="N738" i="76"/>
  <c r="I738" i="76"/>
  <c r="O738" i="76"/>
  <c r="J738" i="76"/>
  <c r="Y738" i="76"/>
  <c r="T738" i="76"/>
  <c r="S738" i="76"/>
  <c r="U738" i="76"/>
  <c r="W738" i="76"/>
  <c r="V738" i="76"/>
  <c r="AB738" i="76"/>
  <c r="Z738" i="76"/>
  <c r="AC738" i="76"/>
  <c r="X738" i="76"/>
  <c r="AA738" i="76"/>
  <c r="C739" i="76"/>
  <c r="AR740" i="76"/>
  <c r="B739" i="76"/>
  <c r="AD739" i="76"/>
  <c r="A739" i="76"/>
  <c r="AE739" i="76"/>
  <c r="E739" i="76"/>
  <c r="D739" i="76"/>
  <c r="F740" i="76" l="1"/>
  <c r="R740" i="76"/>
  <c r="AE740" i="76"/>
  <c r="D740" i="76"/>
  <c r="AR741" i="76"/>
  <c r="AD740" i="76"/>
  <c r="C740" i="76"/>
  <c r="A740" i="76"/>
  <c r="B740" i="76"/>
  <c r="E740" i="76"/>
  <c r="Q739" i="76"/>
  <c r="H739" i="76"/>
  <c r="G739" i="76"/>
  <c r="M739" i="76"/>
  <c r="K739" i="76"/>
  <c r="N739" i="76"/>
  <c r="I739" i="76"/>
  <c r="L739" i="76"/>
  <c r="J739" i="76"/>
  <c r="P739" i="76"/>
  <c r="O739" i="76"/>
  <c r="AL739" i="76"/>
  <c r="AG739" i="76"/>
  <c r="AJ739" i="76"/>
  <c r="AH739" i="76"/>
  <c r="AN739" i="76"/>
  <c r="AM739" i="76"/>
  <c r="AO739" i="76"/>
  <c r="AF739" i="76"/>
  <c r="AP739" i="76"/>
  <c r="AK739" i="76"/>
  <c r="AI739" i="76"/>
  <c r="AA739" i="76"/>
  <c r="V739" i="76"/>
  <c r="AB739" i="76"/>
  <c r="W739" i="76"/>
  <c r="AC739" i="76"/>
  <c r="X739" i="76"/>
  <c r="S739" i="76"/>
  <c r="Y739" i="76"/>
  <c r="T739" i="76"/>
  <c r="Z739" i="76"/>
  <c r="U739" i="76"/>
  <c r="F741" i="76" l="1"/>
  <c r="R741" i="76"/>
  <c r="W740" i="76"/>
  <c r="AC740" i="76"/>
  <c r="X740" i="76"/>
  <c r="S740" i="76"/>
  <c r="Y740" i="76"/>
  <c r="T740" i="76"/>
  <c r="Z740" i="76"/>
  <c r="U740" i="76"/>
  <c r="AA740" i="76"/>
  <c r="V740" i="76"/>
  <c r="AB740" i="76"/>
  <c r="G740" i="76"/>
  <c r="P740" i="76"/>
  <c r="L740" i="76"/>
  <c r="N740" i="76"/>
  <c r="H740" i="76"/>
  <c r="O740" i="76"/>
  <c r="J740" i="76"/>
  <c r="Q740" i="76"/>
  <c r="K740" i="76"/>
  <c r="M740" i="76"/>
  <c r="I740" i="76"/>
  <c r="A741" i="76"/>
  <c r="AR742" i="76"/>
  <c r="E741" i="76"/>
  <c r="AD741" i="76"/>
  <c r="D741" i="76"/>
  <c r="AE741" i="76"/>
  <c r="C741" i="76"/>
  <c r="B741" i="76"/>
  <c r="AL740" i="76"/>
  <c r="AG740" i="76"/>
  <c r="AM740" i="76"/>
  <c r="AH740" i="76"/>
  <c r="AN740" i="76"/>
  <c r="AI740" i="76"/>
  <c r="AO740" i="76"/>
  <c r="AJ740" i="76"/>
  <c r="AP740" i="76"/>
  <c r="AK740" i="76"/>
  <c r="AF740" i="76"/>
  <c r="F742" i="76" l="1"/>
  <c r="R742" i="76"/>
  <c r="AL741" i="76"/>
  <c r="AG741" i="76"/>
  <c r="AM741" i="76"/>
  <c r="AH741" i="76"/>
  <c r="AN741" i="76"/>
  <c r="AI741" i="76"/>
  <c r="AO741" i="76"/>
  <c r="AJ741" i="76"/>
  <c r="AP741" i="76"/>
  <c r="AK741" i="76"/>
  <c r="AF741" i="76"/>
  <c r="Y741" i="76"/>
  <c r="T741" i="76"/>
  <c r="Z741" i="76"/>
  <c r="U741" i="76"/>
  <c r="AA741" i="76"/>
  <c r="V741" i="76"/>
  <c r="AB741" i="76"/>
  <c r="W741" i="76"/>
  <c r="AC741" i="76"/>
  <c r="X741" i="76"/>
  <c r="S741" i="76"/>
  <c r="E742" i="76"/>
  <c r="C742" i="76"/>
  <c r="D742" i="76"/>
  <c r="B742" i="76"/>
  <c r="AE742" i="76"/>
  <c r="AR743" i="76"/>
  <c r="AD742" i="76"/>
  <c r="A742" i="76"/>
  <c r="H741" i="76"/>
  <c r="N741" i="76"/>
  <c r="I741" i="76"/>
  <c r="O741" i="76"/>
  <c r="J741" i="76"/>
  <c r="P741" i="76"/>
  <c r="K741" i="76"/>
  <c r="Q741" i="76"/>
  <c r="L741" i="76"/>
  <c r="G741" i="76"/>
  <c r="M741" i="76"/>
  <c r="F743" i="76" l="1"/>
  <c r="R743" i="76"/>
  <c r="K742" i="76"/>
  <c r="Q742" i="76"/>
  <c r="L742" i="76"/>
  <c r="G742" i="76"/>
  <c r="M742" i="76"/>
  <c r="H742" i="76"/>
  <c r="N742" i="76"/>
  <c r="I742" i="76"/>
  <c r="O742" i="76"/>
  <c r="J742" i="76"/>
  <c r="P742" i="76"/>
  <c r="Z742" i="76"/>
  <c r="U742" i="76"/>
  <c r="AA742" i="76"/>
  <c r="V742" i="76"/>
  <c r="AB742" i="76"/>
  <c r="W742" i="76"/>
  <c r="AC742" i="76"/>
  <c r="X742" i="76"/>
  <c r="S742" i="76"/>
  <c r="Y742" i="76"/>
  <c r="T742" i="76"/>
  <c r="AR744" i="76"/>
  <c r="C743" i="76"/>
  <c r="AE743" i="76"/>
  <c r="B743" i="76"/>
  <c r="A743" i="76"/>
  <c r="E743" i="76"/>
  <c r="D743" i="76"/>
  <c r="AD743" i="76"/>
  <c r="AG742" i="76"/>
  <c r="AI742" i="76"/>
  <c r="AH742" i="76"/>
  <c r="AN742" i="76"/>
  <c r="AL742" i="76"/>
  <c r="AO742" i="76"/>
  <c r="AJ742" i="76"/>
  <c r="AM742" i="76"/>
  <c r="AK742" i="76"/>
  <c r="AF742" i="76"/>
  <c r="AP742" i="76"/>
  <c r="F744" i="76" l="1"/>
  <c r="R744" i="76"/>
  <c r="AC743" i="76"/>
  <c r="X743" i="76"/>
  <c r="S743" i="76"/>
  <c r="Y743" i="76"/>
  <c r="T743" i="76"/>
  <c r="Z743" i="76"/>
  <c r="U743" i="76"/>
  <c r="AA743" i="76"/>
  <c r="V743" i="76"/>
  <c r="AB743" i="76"/>
  <c r="W743" i="76"/>
  <c r="O743" i="76"/>
  <c r="J743" i="76"/>
  <c r="P743" i="76"/>
  <c r="K743" i="76"/>
  <c r="Q743" i="76"/>
  <c r="L743" i="76"/>
  <c r="G743" i="76"/>
  <c r="M743" i="76"/>
  <c r="H743" i="76"/>
  <c r="N743" i="76"/>
  <c r="I743" i="76"/>
  <c r="AJ743" i="76"/>
  <c r="AP743" i="76"/>
  <c r="AO743" i="76"/>
  <c r="AF743" i="76"/>
  <c r="AH743" i="76"/>
  <c r="AG743" i="76"/>
  <c r="AM743" i="76"/>
  <c r="AK743" i="76"/>
  <c r="AN743" i="76"/>
  <c r="AI743" i="76"/>
  <c r="AL743" i="76"/>
  <c r="B744" i="76"/>
  <c r="E744" i="76"/>
  <c r="AR745" i="76"/>
  <c r="C744" i="76"/>
  <c r="A744" i="76"/>
  <c r="AD744" i="76"/>
  <c r="AE744" i="76"/>
  <c r="D744" i="76"/>
  <c r="F745" i="76" l="1"/>
  <c r="R745" i="76"/>
  <c r="AL744" i="76"/>
  <c r="AG744" i="76"/>
  <c r="AM744" i="76"/>
  <c r="AH744" i="76"/>
  <c r="AN744" i="76"/>
  <c r="AI744" i="76"/>
  <c r="AO744" i="76"/>
  <c r="AJ744" i="76"/>
  <c r="AP744" i="76"/>
  <c r="AK744" i="76"/>
  <c r="AF744" i="76"/>
  <c r="U744" i="76"/>
  <c r="AA744" i="76"/>
  <c r="V744" i="76"/>
  <c r="AB744" i="76"/>
  <c r="W744" i="76"/>
  <c r="AC744" i="76"/>
  <c r="X744" i="76"/>
  <c r="S744" i="76"/>
  <c r="Y744" i="76"/>
  <c r="T744" i="76"/>
  <c r="Z744" i="76"/>
  <c r="A745" i="76"/>
  <c r="D745" i="76"/>
  <c r="E745" i="76"/>
  <c r="C745" i="76"/>
  <c r="AE745" i="76"/>
  <c r="AR746" i="76"/>
  <c r="AD745" i="76"/>
  <c r="B745" i="76"/>
  <c r="K744" i="76"/>
  <c r="M744" i="76"/>
  <c r="I744" i="76"/>
  <c r="G744" i="76"/>
  <c r="P744" i="76"/>
  <c r="L744" i="76"/>
  <c r="N744" i="76"/>
  <c r="H744" i="76"/>
  <c r="O744" i="76"/>
  <c r="J744" i="76"/>
  <c r="Q744" i="76"/>
  <c r="F746" i="76" l="1"/>
  <c r="R746" i="76"/>
  <c r="O745" i="76"/>
  <c r="J745" i="76"/>
  <c r="P745" i="76"/>
  <c r="K745" i="76"/>
  <c r="Q745" i="76"/>
  <c r="L745" i="76"/>
  <c r="G745" i="76"/>
  <c r="M745" i="76"/>
  <c r="H745" i="76"/>
  <c r="N745" i="76"/>
  <c r="I745" i="76"/>
  <c r="V745" i="76"/>
  <c r="X745" i="76"/>
  <c r="T745" i="76"/>
  <c r="AC745" i="76"/>
  <c r="AA745" i="76"/>
  <c r="W745" i="76"/>
  <c r="Y745" i="76"/>
  <c r="S745" i="76"/>
  <c r="Z745" i="76"/>
  <c r="U745" i="76"/>
  <c r="AB745" i="76"/>
  <c r="B746" i="76"/>
  <c r="A746" i="76"/>
  <c r="AD746" i="76"/>
  <c r="E746" i="76"/>
  <c r="AE746" i="76"/>
  <c r="AR747" i="76"/>
  <c r="D746" i="76"/>
  <c r="C746" i="76"/>
  <c r="AF745" i="76"/>
  <c r="AL745" i="76"/>
  <c r="AG745" i="76"/>
  <c r="AM745" i="76"/>
  <c r="AH745" i="76"/>
  <c r="AN745" i="76"/>
  <c r="AI745" i="76"/>
  <c r="AO745" i="76"/>
  <c r="AJ745" i="76"/>
  <c r="AP745" i="76"/>
  <c r="AK745" i="76"/>
  <c r="F747" i="76" l="1"/>
  <c r="R747" i="76"/>
  <c r="P746" i="76"/>
  <c r="K746" i="76"/>
  <c r="Q746" i="76"/>
  <c r="L746" i="76"/>
  <c r="G746" i="76"/>
  <c r="M746" i="76"/>
  <c r="H746" i="76"/>
  <c r="N746" i="76"/>
  <c r="I746" i="76"/>
  <c r="O746" i="76"/>
  <c r="J746" i="76"/>
  <c r="Y746" i="76"/>
  <c r="T746" i="76"/>
  <c r="Z746" i="76"/>
  <c r="U746" i="76"/>
  <c r="AA746" i="76"/>
  <c r="V746" i="76"/>
  <c r="AB746" i="76"/>
  <c r="W746" i="76"/>
  <c r="AC746" i="76"/>
  <c r="X746" i="76"/>
  <c r="S746" i="76"/>
  <c r="D747" i="76"/>
  <c r="C747" i="76"/>
  <c r="B747" i="76"/>
  <c r="AD747" i="76"/>
  <c r="AR748" i="76"/>
  <c r="A747" i="76"/>
  <c r="AE747" i="76"/>
  <c r="E747" i="76"/>
  <c r="AM746" i="76"/>
  <c r="AH746" i="76"/>
  <c r="AN746" i="76"/>
  <c r="AI746" i="76"/>
  <c r="AO746" i="76"/>
  <c r="AJ746" i="76"/>
  <c r="AP746" i="76"/>
  <c r="AK746" i="76"/>
  <c r="AF746" i="76"/>
  <c r="AL746" i="76"/>
  <c r="AG746" i="76"/>
  <c r="F748" i="76" l="1"/>
  <c r="R748" i="76"/>
  <c r="O747" i="76"/>
  <c r="Q747" i="76"/>
  <c r="P747" i="76"/>
  <c r="K747" i="76"/>
  <c r="I747" i="76"/>
  <c r="L747" i="76"/>
  <c r="G747" i="76"/>
  <c r="J747" i="76"/>
  <c r="H747" i="76"/>
  <c r="N747" i="76"/>
  <c r="M747" i="76"/>
  <c r="AL747" i="76"/>
  <c r="AG747" i="76"/>
  <c r="AF747" i="76"/>
  <c r="AH747" i="76"/>
  <c r="AJ747" i="76"/>
  <c r="AI747" i="76"/>
  <c r="AO747" i="76"/>
  <c r="AM747" i="76"/>
  <c r="AP747" i="76"/>
  <c r="AK747" i="76"/>
  <c r="AN747" i="76"/>
  <c r="B748" i="76"/>
  <c r="E748" i="76"/>
  <c r="AR749" i="76"/>
  <c r="C748" i="76"/>
  <c r="A748" i="76"/>
  <c r="AD748" i="76"/>
  <c r="AE748" i="76"/>
  <c r="D748" i="76"/>
  <c r="T747" i="76"/>
  <c r="Z747" i="76"/>
  <c r="U747" i="76"/>
  <c r="AA747" i="76"/>
  <c r="V747" i="76"/>
  <c r="AB747" i="76"/>
  <c r="W747" i="76"/>
  <c r="AC747" i="76"/>
  <c r="X747" i="76"/>
  <c r="S747" i="76"/>
  <c r="Y747" i="76"/>
  <c r="F749" i="76" l="1"/>
  <c r="R749" i="76"/>
  <c r="K748" i="76"/>
  <c r="M748" i="76"/>
  <c r="I748" i="76"/>
  <c r="G748" i="76"/>
  <c r="P748" i="76"/>
  <c r="L748" i="76"/>
  <c r="N748" i="76"/>
  <c r="H748" i="76"/>
  <c r="O748" i="76"/>
  <c r="J748" i="76"/>
  <c r="Q748" i="76"/>
  <c r="AL748" i="76"/>
  <c r="AG748" i="76"/>
  <c r="AM748" i="76"/>
  <c r="AH748" i="76"/>
  <c r="AN748" i="76"/>
  <c r="AI748" i="76"/>
  <c r="AO748" i="76"/>
  <c r="AJ748" i="76"/>
  <c r="AP748" i="76"/>
  <c r="AK748" i="76"/>
  <c r="AF748" i="76"/>
  <c r="S748" i="76"/>
  <c r="Y748" i="76"/>
  <c r="T748" i="76"/>
  <c r="Z748" i="76"/>
  <c r="U748" i="76"/>
  <c r="AA748" i="76"/>
  <c r="V748" i="76"/>
  <c r="AB748" i="76"/>
  <c r="W748" i="76"/>
  <c r="AC748" i="76"/>
  <c r="X748" i="76"/>
  <c r="A749" i="76"/>
  <c r="E749" i="76"/>
  <c r="D749" i="76"/>
  <c r="AD749" i="76"/>
  <c r="AR750" i="76"/>
  <c r="C749" i="76"/>
  <c r="AE749" i="76"/>
  <c r="B749" i="76"/>
  <c r="F750" i="76" l="1"/>
  <c r="R750" i="76"/>
  <c r="AB749" i="76"/>
  <c r="W749" i="76"/>
  <c r="AC749" i="76"/>
  <c r="X749" i="76"/>
  <c r="S749" i="76"/>
  <c r="Y749" i="76"/>
  <c r="T749" i="76"/>
  <c r="Z749" i="76"/>
  <c r="U749" i="76"/>
  <c r="AA749" i="76"/>
  <c r="V749" i="76"/>
  <c r="AH749" i="76"/>
  <c r="AN749" i="76"/>
  <c r="AI749" i="76"/>
  <c r="AO749" i="76"/>
  <c r="AJ749" i="76"/>
  <c r="AP749" i="76"/>
  <c r="AK749" i="76"/>
  <c r="AF749" i="76"/>
  <c r="AL749" i="76"/>
  <c r="AG749" i="76"/>
  <c r="AM749" i="76"/>
  <c r="AR751" i="76"/>
  <c r="B750" i="76"/>
  <c r="AD750" i="76"/>
  <c r="A750" i="76"/>
  <c r="E750" i="76"/>
  <c r="D750" i="76"/>
  <c r="C750" i="76"/>
  <c r="AE750" i="76"/>
  <c r="O749" i="76"/>
  <c r="J749" i="76"/>
  <c r="P749" i="76"/>
  <c r="K749" i="76"/>
  <c r="Q749" i="76"/>
  <c r="L749" i="76"/>
  <c r="G749" i="76"/>
  <c r="M749" i="76"/>
  <c r="H749" i="76"/>
  <c r="N749" i="76"/>
  <c r="I749" i="76"/>
  <c r="F751" i="76" l="1"/>
  <c r="R751" i="76"/>
  <c r="N750" i="76"/>
  <c r="I750" i="76"/>
  <c r="O750" i="76"/>
  <c r="J750" i="76"/>
  <c r="P750" i="76"/>
  <c r="K750" i="76"/>
  <c r="Q750" i="76"/>
  <c r="L750" i="76"/>
  <c r="G750" i="76"/>
  <c r="M750" i="76"/>
  <c r="H750" i="76"/>
  <c r="S750" i="76"/>
  <c r="Y750" i="76"/>
  <c r="T750" i="76"/>
  <c r="Z750" i="76"/>
  <c r="U750" i="76"/>
  <c r="AA750" i="76"/>
  <c r="V750" i="76"/>
  <c r="AB750" i="76"/>
  <c r="W750" i="76"/>
  <c r="AC750" i="76"/>
  <c r="X750" i="76"/>
  <c r="A751" i="76"/>
  <c r="AE751" i="76"/>
  <c r="E751" i="76"/>
  <c r="D751" i="76"/>
  <c r="C751" i="76"/>
  <c r="AR752" i="76"/>
  <c r="B751" i="76"/>
  <c r="AD751" i="76"/>
  <c r="AI750" i="76"/>
  <c r="AO750" i="76"/>
  <c r="AN750" i="76"/>
  <c r="AP750" i="76"/>
  <c r="AG750" i="76"/>
  <c r="AF750" i="76"/>
  <c r="AL750" i="76"/>
  <c r="AJ750" i="76"/>
  <c r="AM750" i="76"/>
  <c r="AH750" i="76"/>
  <c r="AK750" i="76"/>
  <c r="F752" i="76" l="1"/>
  <c r="R752" i="76"/>
  <c r="AM751" i="76"/>
  <c r="AG751" i="76"/>
  <c r="AN751" i="76"/>
  <c r="AI751" i="76"/>
  <c r="AP751" i="76"/>
  <c r="AJ751" i="76"/>
  <c r="AL751" i="76"/>
  <c r="AH751" i="76"/>
  <c r="AF751" i="76"/>
  <c r="AO751" i="76"/>
  <c r="AK751" i="76"/>
  <c r="V751" i="76"/>
  <c r="AB751" i="76"/>
  <c r="W751" i="76"/>
  <c r="AC751" i="76"/>
  <c r="X751" i="76"/>
  <c r="S751" i="76"/>
  <c r="Y751" i="76"/>
  <c r="T751" i="76"/>
  <c r="Z751" i="76"/>
  <c r="U751" i="76"/>
  <c r="AA751" i="76"/>
  <c r="AE752" i="76"/>
  <c r="D752" i="76"/>
  <c r="AR753" i="76"/>
  <c r="A752" i="76"/>
  <c r="E752" i="76"/>
  <c r="AD752" i="76"/>
  <c r="C752" i="76"/>
  <c r="B752" i="76"/>
  <c r="Q751" i="76"/>
  <c r="L751" i="76"/>
  <c r="G751" i="76"/>
  <c r="M751" i="76"/>
  <c r="H751" i="76"/>
  <c r="I751" i="76"/>
  <c r="J751" i="76"/>
  <c r="P751" i="76"/>
  <c r="N751" i="76"/>
  <c r="O751" i="76"/>
  <c r="K751" i="76"/>
  <c r="F753" i="76" l="1"/>
  <c r="R753" i="76"/>
  <c r="Y752" i="76"/>
  <c r="T752" i="76"/>
  <c r="Z752" i="76"/>
  <c r="U752" i="76"/>
  <c r="AA752" i="76"/>
  <c r="V752" i="76"/>
  <c r="AB752" i="76"/>
  <c r="W752" i="76"/>
  <c r="AC752" i="76"/>
  <c r="X752" i="76"/>
  <c r="S752" i="76"/>
  <c r="G752" i="76"/>
  <c r="P752" i="76"/>
  <c r="L752" i="76"/>
  <c r="N752" i="76"/>
  <c r="H752" i="76"/>
  <c r="O752" i="76"/>
  <c r="J752" i="76"/>
  <c r="Q752" i="76"/>
  <c r="K752" i="76"/>
  <c r="M752" i="76"/>
  <c r="I752" i="76"/>
  <c r="AD753" i="76"/>
  <c r="AR754" i="76"/>
  <c r="B753" i="76"/>
  <c r="AE753" i="76"/>
  <c r="A753" i="76"/>
  <c r="D753" i="76"/>
  <c r="E753" i="76"/>
  <c r="C753" i="76"/>
  <c r="AL752" i="76"/>
  <c r="AG752" i="76"/>
  <c r="AM752" i="76"/>
  <c r="AH752" i="76"/>
  <c r="AN752" i="76"/>
  <c r="AI752" i="76"/>
  <c r="AO752" i="76"/>
  <c r="AJ752" i="76"/>
  <c r="AP752" i="76"/>
  <c r="AK752" i="76"/>
  <c r="AF752" i="76"/>
  <c r="F754" i="76" l="1"/>
  <c r="R754" i="76"/>
  <c r="T753" i="76"/>
  <c r="V753" i="76"/>
  <c r="U753" i="76"/>
  <c r="AA753" i="76"/>
  <c r="Y753" i="76"/>
  <c r="AB753" i="76"/>
  <c r="W753" i="76"/>
  <c r="Z753" i="76"/>
  <c r="X753" i="76"/>
  <c r="S753" i="76"/>
  <c r="AC753" i="76"/>
  <c r="AM753" i="76"/>
  <c r="AH753" i="76"/>
  <c r="AN753" i="76"/>
  <c r="AI753" i="76"/>
  <c r="AO753" i="76"/>
  <c r="AJ753" i="76"/>
  <c r="AP753" i="76"/>
  <c r="AK753" i="76"/>
  <c r="AF753" i="76"/>
  <c r="AL753" i="76"/>
  <c r="AG753" i="76"/>
  <c r="AR755" i="76"/>
  <c r="E754" i="76"/>
  <c r="AD754" i="76"/>
  <c r="D754" i="76"/>
  <c r="C754" i="76"/>
  <c r="B754" i="76"/>
  <c r="A754" i="76"/>
  <c r="AE754" i="76"/>
  <c r="L753" i="76"/>
  <c r="G753" i="76"/>
  <c r="M753" i="76"/>
  <c r="H753" i="76"/>
  <c r="N753" i="76"/>
  <c r="I753" i="76"/>
  <c r="O753" i="76"/>
  <c r="J753" i="76"/>
  <c r="P753" i="76"/>
  <c r="K753" i="76"/>
  <c r="Q753" i="76"/>
  <c r="F755" i="76" l="1"/>
  <c r="R755" i="76"/>
  <c r="AG754" i="76"/>
  <c r="AM754" i="76"/>
  <c r="AH754" i="76"/>
  <c r="AN754" i="76"/>
  <c r="AI754" i="76"/>
  <c r="AO754" i="76"/>
  <c r="AJ754" i="76"/>
  <c r="AP754" i="76"/>
  <c r="AK754" i="76"/>
  <c r="AF754" i="76"/>
  <c r="AL754" i="76"/>
  <c r="M754" i="76"/>
  <c r="H754" i="76"/>
  <c r="N754" i="76"/>
  <c r="I754" i="76"/>
  <c r="O754" i="76"/>
  <c r="J754" i="76"/>
  <c r="P754" i="76"/>
  <c r="K754" i="76"/>
  <c r="Q754" i="76"/>
  <c r="L754" i="76"/>
  <c r="G754" i="76"/>
  <c r="AB754" i="76"/>
  <c r="W754" i="76"/>
  <c r="AC754" i="76"/>
  <c r="X754" i="76"/>
  <c r="S754" i="76"/>
  <c r="Y754" i="76"/>
  <c r="T754" i="76"/>
  <c r="Z754" i="76"/>
  <c r="U754" i="76"/>
  <c r="AA754" i="76"/>
  <c r="V754" i="76"/>
  <c r="AR756" i="76"/>
  <c r="A755" i="76"/>
  <c r="AE755" i="76"/>
  <c r="E755" i="76"/>
  <c r="D755" i="76"/>
  <c r="C755" i="76"/>
  <c r="B755" i="76"/>
  <c r="AD755" i="76"/>
  <c r="F756" i="76" l="1"/>
  <c r="R756" i="76"/>
  <c r="AB755" i="76"/>
  <c r="W755" i="76"/>
  <c r="AC755" i="76"/>
  <c r="X755" i="76"/>
  <c r="S755" i="76"/>
  <c r="Y755" i="76"/>
  <c r="T755" i="76"/>
  <c r="Z755" i="76"/>
  <c r="U755" i="76"/>
  <c r="AA755" i="76"/>
  <c r="V755" i="76"/>
  <c r="J755" i="76"/>
  <c r="L755" i="76"/>
  <c r="H755" i="76"/>
  <c r="Q755" i="76"/>
  <c r="O755" i="76"/>
  <c r="K755" i="76"/>
  <c r="M755" i="76"/>
  <c r="G755" i="76"/>
  <c r="N755" i="76"/>
  <c r="I755" i="76"/>
  <c r="P755" i="76"/>
  <c r="AO755" i="76"/>
  <c r="AF755" i="76"/>
  <c r="AP755" i="76"/>
  <c r="AK755" i="76"/>
  <c r="AI755" i="76"/>
  <c r="AL755" i="76"/>
  <c r="AG755" i="76"/>
  <c r="AJ755" i="76"/>
  <c r="AH755" i="76"/>
  <c r="AN755" i="76"/>
  <c r="AM755" i="76"/>
  <c r="AR757" i="76"/>
  <c r="AE756" i="76"/>
  <c r="D756" i="76"/>
  <c r="B756" i="76"/>
  <c r="E756" i="76"/>
  <c r="AD756" i="76"/>
  <c r="C756" i="76"/>
  <c r="A756" i="76"/>
  <c r="F757" i="76" l="1"/>
  <c r="R757" i="76"/>
  <c r="E757" i="76"/>
  <c r="D757" i="76"/>
  <c r="AE757" i="76"/>
  <c r="A757" i="76"/>
  <c r="B757" i="76"/>
  <c r="AR758" i="76"/>
  <c r="C757" i="76"/>
  <c r="AD757" i="76"/>
  <c r="K756" i="76"/>
  <c r="M756" i="76"/>
  <c r="I756" i="76"/>
  <c r="G756" i="76"/>
  <c r="P756" i="76"/>
  <c r="L756" i="76"/>
  <c r="N756" i="76"/>
  <c r="H756" i="76"/>
  <c r="O756" i="76"/>
  <c r="J756" i="76"/>
  <c r="Q756" i="76"/>
  <c r="AL756" i="76"/>
  <c r="AG756" i="76"/>
  <c r="AM756" i="76"/>
  <c r="AH756" i="76"/>
  <c r="AN756" i="76"/>
  <c r="AI756" i="76"/>
  <c r="AO756" i="76"/>
  <c r="AJ756" i="76"/>
  <c r="AP756" i="76"/>
  <c r="AK756" i="76"/>
  <c r="AF756" i="76"/>
  <c r="S756" i="76"/>
  <c r="Y756" i="76"/>
  <c r="T756" i="76"/>
  <c r="Z756" i="76"/>
  <c r="U756" i="76"/>
  <c r="AA756" i="76"/>
  <c r="V756" i="76"/>
  <c r="AB756" i="76"/>
  <c r="W756" i="76"/>
  <c r="AC756" i="76"/>
  <c r="X756" i="76"/>
  <c r="F758" i="76" l="1"/>
  <c r="R758" i="76"/>
  <c r="A758" i="76"/>
  <c r="AR759" i="76"/>
  <c r="C758" i="76"/>
  <c r="B758" i="76"/>
  <c r="AD758" i="76"/>
  <c r="E758" i="76"/>
  <c r="AE758" i="76"/>
  <c r="D758" i="76"/>
  <c r="V757" i="76"/>
  <c r="AB757" i="76"/>
  <c r="W757" i="76"/>
  <c r="U757" i="76"/>
  <c r="AA757" i="76"/>
  <c r="AC757" i="76"/>
  <c r="Y757" i="76"/>
  <c r="T757" i="76"/>
  <c r="Z757" i="76"/>
  <c r="X757" i="76"/>
  <c r="S757" i="76"/>
  <c r="J757" i="76"/>
  <c r="H757" i="76"/>
  <c r="N757" i="76"/>
  <c r="I757" i="76"/>
  <c r="G757" i="76"/>
  <c r="L757" i="76"/>
  <c r="P757" i="76"/>
  <c r="K757" i="76"/>
  <c r="Q757" i="76"/>
  <c r="O757" i="76"/>
  <c r="M757" i="76"/>
  <c r="AL757" i="76"/>
  <c r="AP757" i="76"/>
  <c r="AK757" i="76"/>
  <c r="AF757" i="76"/>
  <c r="AO757" i="76"/>
  <c r="AM757" i="76"/>
  <c r="AJ757" i="76"/>
  <c r="AH757" i="76"/>
  <c r="AN757" i="76"/>
  <c r="AI757" i="76"/>
  <c r="AG757" i="76"/>
  <c r="F759" i="76" l="1"/>
  <c r="R759" i="76"/>
  <c r="C759" i="76"/>
  <c r="A759" i="76"/>
  <c r="AR760" i="76"/>
  <c r="E759" i="76"/>
  <c r="AD759" i="76"/>
  <c r="AE759" i="76"/>
  <c r="B759" i="76"/>
  <c r="D759" i="76"/>
  <c r="AG758" i="76"/>
  <c r="AM758" i="76"/>
  <c r="AL758" i="76"/>
  <c r="AN758" i="76"/>
  <c r="AP758" i="76"/>
  <c r="AO758" i="76"/>
  <c r="AJ758" i="76"/>
  <c r="AH758" i="76"/>
  <c r="AK758" i="76"/>
  <c r="AF758" i="76"/>
  <c r="AI758" i="76"/>
  <c r="N758" i="76"/>
  <c r="I758" i="76"/>
  <c r="O758" i="76"/>
  <c r="J758" i="76"/>
  <c r="P758" i="76"/>
  <c r="K758" i="76"/>
  <c r="Q758" i="76"/>
  <c r="L758" i="76"/>
  <c r="G758" i="76"/>
  <c r="M758" i="76"/>
  <c r="H758" i="76"/>
  <c r="W758" i="76"/>
  <c r="AC758" i="76"/>
  <c r="X758" i="76"/>
  <c r="S758" i="76"/>
  <c r="Y758" i="76"/>
  <c r="T758" i="76"/>
  <c r="Z758" i="76"/>
  <c r="U758" i="76"/>
  <c r="AA758" i="76"/>
  <c r="V758" i="76"/>
  <c r="AB758" i="76"/>
  <c r="F760" i="76" l="1"/>
  <c r="R760" i="76"/>
  <c r="AM759" i="76"/>
  <c r="AK759" i="76"/>
  <c r="AN759" i="76"/>
  <c r="AI759" i="76"/>
  <c r="AL759" i="76"/>
  <c r="AJ759" i="76"/>
  <c r="AP759" i="76"/>
  <c r="AO759" i="76"/>
  <c r="AF759" i="76"/>
  <c r="AH759" i="76"/>
  <c r="AG759" i="76"/>
  <c r="O759" i="76"/>
  <c r="J759" i="76"/>
  <c r="P759" i="76"/>
  <c r="K759" i="76"/>
  <c r="Q759" i="76"/>
  <c r="L759" i="76"/>
  <c r="G759" i="76"/>
  <c r="M759" i="76"/>
  <c r="H759" i="76"/>
  <c r="N759" i="76"/>
  <c r="I759" i="76"/>
  <c r="Z759" i="76"/>
  <c r="U759" i="76"/>
  <c r="AA759" i="76"/>
  <c r="V759" i="76"/>
  <c r="AB759" i="76"/>
  <c r="W759" i="76"/>
  <c r="AC759" i="76"/>
  <c r="X759" i="76"/>
  <c r="S759" i="76"/>
  <c r="Y759" i="76"/>
  <c r="T759" i="76"/>
  <c r="AD760" i="76"/>
  <c r="AR761" i="76"/>
  <c r="E760" i="76"/>
  <c r="A760" i="76"/>
  <c r="B760" i="76"/>
  <c r="C760" i="76"/>
  <c r="AE760" i="76"/>
  <c r="D760" i="76"/>
  <c r="F761" i="76" l="1"/>
  <c r="R761" i="76"/>
  <c r="AI760" i="76"/>
  <c r="AO760" i="76"/>
  <c r="AJ760" i="76"/>
  <c r="AP760" i="76"/>
  <c r="AK760" i="76"/>
  <c r="AF760" i="76"/>
  <c r="AL760" i="76"/>
  <c r="AG760" i="76"/>
  <c r="AM760" i="76"/>
  <c r="AH760" i="76"/>
  <c r="AN760" i="76"/>
  <c r="AD761" i="76"/>
  <c r="A761" i="76"/>
  <c r="AR762" i="76"/>
  <c r="E761" i="76"/>
  <c r="AE761" i="76"/>
  <c r="D761" i="76"/>
  <c r="C761" i="76"/>
  <c r="B761" i="76"/>
  <c r="G760" i="76"/>
  <c r="P760" i="76"/>
  <c r="L760" i="76"/>
  <c r="N760" i="76"/>
  <c r="H760" i="76"/>
  <c r="O760" i="76"/>
  <c r="J760" i="76"/>
  <c r="Q760" i="76"/>
  <c r="K760" i="76"/>
  <c r="M760" i="76"/>
  <c r="I760" i="76"/>
  <c r="AB760" i="76"/>
  <c r="W760" i="76"/>
  <c r="AC760" i="76"/>
  <c r="X760" i="76"/>
  <c r="S760" i="76"/>
  <c r="Y760" i="76"/>
  <c r="T760" i="76"/>
  <c r="Z760" i="76"/>
  <c r="U760" i="76"/>
  <c r="AA760" i="76"/>
  <c r="V760" i="76"/>
  <c r="F762" i="76" l="1"/>
  <c r="R762" i="76"/>
  <c r="AM761" i="76"/>
  <c r="AH761" i="76"/>
  <c r="AN761" i="76"/>
  <c r="AI761" i="76"/>
  <c r="AO761" i="76"/>
  <c r="AJ761" i="76"/>
  <c r="AP761" i="76"/>
  <c r="AK761" i="76"/>
  <c r="AF761" i="76"/>
  <c r="AL761" i="76"/>
  <c r="AG761" i="76"/>
  <c r="AR763" i="76"/>
  <c r="B762" i="76"/>
  <c r="AD762" i="76"/>
  <c r="C762" i="76"/>
  <c r="E762" i="76"/>
  <c r="D762" i="76"/>
  <c r="A762" i="76"/>
  <c r="AE762" i="76"/>
  <c r="V761" i="76"/>
  <c r="AB761" i="76"/>
  <c r="AA761" i="76"/>
  <c r="AC761" i="76"/>
  <c r="T761" i="76"/>
  <c r="S761" i="76"/>
  <c r="Y761" i="76"/>
  <c r="W761" i="76"/>
  <c r="Z761" i="76"/>
  <c r="U761" i="76"/>
  <c r="X761" i="76"/>
  <c r="H761" i="76"/>
  <c r="N761" i="76"/>
  <c r="I761" i="76"/>
  <c r="O761" i="76"/>
  <c r="J761" i="76"/>
  <c r="P761" i="76"/>
  <c r="K761" i="76"/>
  <c r="Q761" i="76"/>
  <c r="L761" i="76"/>
  <c r="G761" i="76"/>
  <c r="M761" i="76"/>
  <c r="F763" i="76" l="1"/>
  <c r="R763" i="76"/>
  <c r="P762" i="76"/>
  <c r="K762" i="76"/>
  <c r="Q762" i="76"/>
  <c r="L762" i="76"/>
  <c r="G762" i="76"/>
  <c r="M762" i="76"/>
  <c r="H762" i="76"/>
  <c r="N762" i="76"/>
  <c r="I762" i="76"/>
  <c r="O762" i="76"/>
  <c r="J762" i="76"/>
  <c r="AB762" i="76"/>
  <c r="W762" i="76"/>
  <c r="AC762" i="76"/>
  <c r="X762" i="76"/>
  <c r="S762" i="76"/>
  <c r="Y762" i="76"/>
  <c r="T762" i="76"/>
  <c r="Z762" i="76"/>
  <c r="U762" i="76"/>
  <c r="AA762" i="76"/>
  <c r="V762" i="76"/>
  <c r="AR764" i="76"/>
  <c r="C763" i="76"/>
  <c r="AE763" i="76"/>
  <c r="D763" i="76"/>
  <c r="A763" i="76"/>
  <c r="E763" i="76"/>
  <c r="B763" i="76"/>
  <c r="AD763" i="76"/>
  <c r="AM762" i="76"/>
  <c r="AH762" i="76"/>
  <c r="AN762" i="76"/>
  <c r="AI762" i="76"/>
  <c r="AO762" i="76"/>
  <c r="AJ762" i="76"/>
  <c r="AP762" i="76"/>
  <c r="AK762" i="76"/>
  <c r="AF762" i="76"/>
  <c r="AL762" i="76"/>
  <c r="AG762" i="76"/>
  <c r="F764" i="76" l="1"/>
  <c r="R764" i="76"/>
  <c r="H763" i="76"/>
  <c r="J763" i="76"/>
  <c r="I763" i="76"/>
  <c r="O763" i="76"/>
  <c r="M763" i="76"/>
  <c r="P763" i="76"/>
  <c r="K763" i="76"/>
  <c r="N763" i="76"/>
  <c r="L763" i="76"/>
  <c r="G763" i="76"/>
  <c r="Q763" i="76"/>
  <c r="AA763" i="76"/>
  <c r="V763" i="76"/>
  <c r="AB763" i="76"/>
  <c r="W763" i="76"/>
  <c r="AC763" i="76"/>
  <c r="X763" i="76"/>
  <c r="S763" i="76"/>
  <c r="Y763" i="76"/>
  <c r="T763" i="76"/>
  <c r="Z763" i="76"/>
  <c r="U763" i="76"/>
  <c r="AL763" i="76"/>
  <c r="AG763" i="76"/>
  <c r="AF763" i="76"/>
  <c r="AH763" i="76"/>
  <c r="AJ763" i="76"/>
  <c r="AI763" i="76"/>
  <c r="AO763" i="76"/>
  <c r="AM763" i="76"/>
  <c r="AP763" i="76"/>
  <c r="AK763" i="76"/>
  <c r="AN763" i="76"/>
  <c r="AE764" i="76"/>
  <c r="E764" i="76"/>
  <c r="C764" i="76"/>
  <c r="A764" i="76"/>
  <c r="AR765" i="76"/>
  <c r="D764" i="76"/>
  <c r="B764" i="76"/>
  <c r="AD764" i="76"/>
  <c r="F765" i="76" l="1"/>
  <c r="R765" i="76"/>
  <c r="N764" i="76"/>
  <c r="H764" i="76"/>
  <c r="O764" i="76"/>
  <c r="J764" i="76"/>
  <c r="Q764" i="76"/>
  <c r="K764" i="76"/>
  <c r="M764" i="76"/>
  <c r="I764" i="76"/>
  <c r="G764" i="76"/>
  <c r="P764" i="76"/>
  <c r="L764" i="76"/>
  <c r="AI764" i="76"/>
  <c r="AO764" i="76"/>
  <c r="AJ764" i="76"/>
  <c r="AP764" i="76"/>
  <c r="AK764" i="76"/>
  <c r="AF764" i="76"/>
  <c r="AL764" i="76"/>
  <c r="AG764" i="76"/>
  <c r="AM764" i="76"/>
  <c r="AH764" i="76"/>
  <c r="AN764" i="76"/>
  <c r="S764" i="76"/>
  <c r="Y764" i="76"/>
  <c r="T764" i="76"/>
  <c r="Z764" i="76"/>
  <c r="U764" i="76"/>
  <c r="AA764" i="76"/>
  <c r="V764" i="76"/>
  <c r="AB764" i="76"/>
  <c r="W764" i="76"/>
  <c r="AC764" i="76"/>
  <c r="X764" i="76"/>
  <c r="AR766" i="76"/>
  <c r="E765" i="76"/>
  <c r="AD765" i="76"/>
  <c r="D765" i="76"/>
  <c r="C765" i="76"/>
  <c r="B765" i="76"/>
  <c r="A765" i="76"/>
  <c r="AE765" i="76"/>
  <c r="F766" i="76" l="1"/>
  <c r="R766" i="76"/>
  <c r="O765" i="76"/>
  <c r="J765" i="76"/>
  <c r="P765" i="76"/>
  <c r="K765" i="76"/>
  <c r="Q765" i="76"/>
  <c r="L765" i="76"/>
  <c r="G765" i="76"/>
  <c r="M765" i="76"/>
  <c r="H765" i="76"/>
  <c r="N765" i="76"/>
  <c r="I765" i="76"/>
  <c r="AA765" i="76"/>
  <c r="V765" i="76"/>
  <c r="AB765" i="76"/>
  <c r="W765" i="76"/>
  <c r="AC765" i="76"/>
  <c r="X765" i="76"/>
  <c r="S765" i="76"/>
  <c r="Y765" i="76"/>
  <c r="T765" i="76"/>
  <c r="Z765" i="76"/>
  <c r="U765" i="76"/>
  <c r="AR767" i="76"/>
  <c r="AD766" i="76"/>
  <c r="B766" i="76"/>
  <c r="A766" i="76"/>
  <c r="D766" i="76"/>
  <c r="E766" i="76"/>
  <c r="C766" i="76"/>
  <c r="AE766" i="76"/>
  <c r="AP765" i="76"/>
  <c r="AK765" i="76"/>
  <c r="AF765" i="76"/>
  <c r="AL765" i="76"/>
  <c r="AG765" i="76"/>
  <c r="AM765" i="76"/>
  <c r="AH765" i="76"/>
  <c r="AN765" i="76"/>
  <c r="AI765" i="76"/>
  <c r="AO765" i="76"/>
  <c r="AJ765" i="76"/>
  <c r="F767" i="76" l="1"/>
  <c r="R767" i="76"/>
  <c r="AP766" i="76"/>
  <c r="AN766" i="76"/>
  <c r="AJ766" i="76"/>
  <c r="AL766" i="76"/>
  <c r="AF766" i="76"/>
  <c r="AM766" i="76"/>
  <c r="AH766" i="76"/>
  <c r="AO766" i="76"/>
  <c r="AI766" i="76"/>
  <c r="AK766" i="76"/>
  <c r="AG766" i="76"/>
  <c r="N766" i="76"/>
  <c r="I766" i="76"/>
  <c r="O766" i="76"/>
  <c r="J766" i="76"/>
  <c r="P766" i="76"/>
  <c r="K766" i="76"/>
  <c r="Q766" i="76"/>
  <c r="L766" i="76"/>
  <c r="G766" i="76"/>
  <c r="M766" i="76"/>
  <c r="H766" i="76"/>
  <c r="W766" i="76"/>
  <c r="AC766" i="76"/>
  <c r="X766" i="76"/>
  <c r="S766" i="76"/>
  <c r="Y766" i="76"/>
  <c r="T766" i="76"/>
  <c r="Z766" i="76"/>
  <c r="U766" i="76"/>
  <c r="AA766" i="76"/>
  <c r="V766" i="76"/>
  <c r="AB766" i="76"/>
  <c r="D767" i="76"/>
  <c r="B767" i="76"/>
  <c r="AR768" i="76"/>
  <c r="AD767" i="76"/>
  <c r="A767" i="76"/>
  <c r="AE767" i="76"/>
  <c r="E767" i="76"/>
  <c r="C767" i="76"/>
  <c r="F768" i="76" l="1"/>
  <c r="R768" i="76"/>
  <c r="C768" i="76"/>
  <c r="A768" i="76"/>
  <c r="AE768" i="76"/>
  <c r="E768" i="76"/>
  <c r="AD768" i="76"/>
  <c r="AR769" i="76"/>
  <c r="D768" i="76"/>
  <c r="B768" i="76"/>
  <c r="AJ767" i="76"/>
  <c r="AL767" i="76"/>
  <c r="AH767" i="76"/>
  <c r="AF767" i="76"/>
  <c r="AO767" i="76"/>
  <c r="AK767" i="76"/>
  <c r="AM767" i="76"/>
  <c r="AG767" i="76"/>
  <c r="AN767" i="76"/>
  <c r="AI767" i="76"/>
  <c r="AP767" i="76"/>
  <c r="Q767" i="76"/>
  <c r="L767" i="76"/>
  <c r="G767" i="76"/>
  <c r="M767" i="76"/>
  <c r="H767" i="76"/>
  <c r="N767" i="76"/>
  <c r="I767" i="76"/>
  <c r="O767" i="76"/>
  <c r="J767" i="76"/>
  <c r="P767" i="76"/>
  <c r="K767" i="76"/>
  <c r="Y767" i="76"/>
  <c r="T767" i="76"/>
  <c r="Z767" i="76"/>
  <c r="U767" i="76"/>
  <c r="AA767" i="76"/>
  <c r="V767" i="76"/>
  <c r="AB767" i="76"/>
  <c r="W767" i="76"/>
  <c r="AC767" i="76"/>
  <c r="X767" i="76"/>
  <c r="S767" i="76"/>
  <c r="F769" i="76" l="1"/>
  <c r="R769" i="76"/>
  <c r="D769" i="76"/>
  <c r="B769" i="76"/>
  <c r="AR770" i="76"/>
  <c r="AD769" i="76"/>
  <c r="AE769" i="76"/>
  <c r="A769" i="76"/>
  <c r="E769" i="76"/>
  <c r="C769" i="76"/>
  <c r="AL768" i="76"/>
  <c r="AG768" i="76"/>
  <c r="AM768" i="76"/>
  <c r="AH768" i="76"/>
  <c r="AN768" i="76"/>
  <c r="AI768" i="76"/>
  <c r="AO768" i="76"/>
  <c r="AJ768" i="76"/>
  <c r="AP768" i="76"/>
  <c r="AK768" i="76"/>
  <c r="AF768" i="76"/>
  <c r="AB768" i="76"/>
  <c r="W768" i="76"/>
  <c r="AC768" i="76"/>
  <c r="X768" i="76"/>
  <c r="S768" i="76"/>
  <c r="Y768" i="76"/>
  <c r="T768" i="76"/>
  <c r="Z768" i="76"/>
  <c r="U768" i="76"/>
  <c r="AA768" i="76"/>
  <c r="V768" i="76"/>
  <c r="O768" i="76"/>
  <c r="J768" i="76"/>
  <c r="Q768" i="76"/>
  <c r="K768" i="76"/>
  <c r="M768" i="76"/>
  <c r="I768" i="76"/>
  <c r="G768" i="76"/>
  <c r="P768" i="76"/>
  <c r="L768" i="76"/>
  <c r="N768" i="76"/>
  <c r="H768" i="76"/>
  <c r="F770" i="76" l="1"/>
  <c r="R770" i="76"/>
  <c r="X769" i="76"/>
  <c r="S769" i="76"/>
  <c r="V769" i="76"/>
  <c r="T769" i="76"/>
  <c r="Z769" i="76"/>
  <c r="Y769" i="76"/>
  <c r="AA769" i="76"/>
  <c r="AC769" i="76"/>
  <c r="AB769" i="76"/>
  <c r="W769" i="76"/>
  <c r="U769" i="76"/>
  <c r="H769" i="76"/>
  <c r="O769" i="76"/>
  <c r="J769" i="76"/>
  <c r="K769" i="76"/>
  <c r="Q769" i="76"/>
  <c r="P769" i="76"/>
  <c r="L769" i="76"/>
  <c r="G769" i="76"/>
  <c r="M769" i="76"/>
  <c r="N769" i="76"/>
  <c r="I769" i="76"/>
  <c r="AF769" i="76"/>
  <c r="AL769" i="76"/>
  <c r="AG769" i="76"/>
  <c r="AM769" i="76"/>
  <c r="AH769" i="76"/>
  <c r="AN769" i="76"/>
  <c r="AI769" i="76"/>
  <c r="AO769" i="76"/>
  <c r="AJ769" i="76"/>
  <c r="AP769" i="76"/>
  <c r="AK769" i="76"/>
  <c r="C770" i="76"/>
  <c r="B770" i="76"/>
  <c r="AE770" i="76"/>
  <c r="D770" i="76"/>
  <c r="E770" i="76"/>
  <c r="AR771" i="76"/>
  <c r="A770" i="76"/>
  <c r="AD770" i="76"/>
  <c r="F771" i="76" l="1"/>
  <c r="R771" i="76"/>
  <c r="AB770" i="76"/>
  <c r="W770" i="76"/>
  <c r="AC770" i="76"/>
  <c r="X770" i="76"/>
  <c r="S770" i="76"/>
  <c r="Y770" i="76"/>
  <c r="T770" i="76"/>
  <c r="Z770" i="76"/>
  <c r="U770" i="76"/>
  <c r="AA770" i="76"/>
  <c r="V770" i="76"/>
  <c r="P770" i="76"/>
  <c r="K770" i="76"/>
  <c r="Q770" i="76"/>
  <c r="L770" i="76"/>
  <c r="G770" i="76"/>
  <c r="M770" i="76"/>
  <c r="H770" i="76"/>
  <c r="N770" i="76"/>
  <c r="I770" i="76"/>
  <c r="O770" i="76"/>
  <c r="J770" i="76"/>
  <c r="AM770" i="76"/>
  <c r="AH770" i="76"/>
  <c r="AN770" i="76"/>
  <c r="AI770" i="76"/>
  <c r="AO770" i="76"/>
  <c r="AJ770" i="76"/>
  <c r="AP770" i="76"/>
  <c r="AK770" i="76"/>
  <c r="AF770" i="76"/>
  <c r="AL770" i="76"/>
  <c r="AG770" i="76"/>
  <c r="C771" i="76"/>
  <c r="B771" i="76"/>
  <c r="A771" i="76"/>
  <c r="AD771" i="76"/>
  <c r="AR772" i="76"/>
  <c r="E771" i="76"/>
  <c r="AE771" i="76"/>
  <c r="D771" i="76"/>
  <c r="F772" i="76" l="1"/>
  <c r="R772" i="76"/>
  <c r="X771" i="76"/>
  <c r="S771" i="76"/>
  <c r="Y771" i="76"/>
  <c r="T771" i="76"/>
  <c r="Z771" i="76"/>
  <c r="U771" i="76"/>
  <c r="AA771" i="76"/>
  <c r="V771" i="76"/>
  <c r="AB771" i="76"/>
  <c r="W771" i="76"/>
  <c r="AC771" i="76"/>
  <c r="AO771" i="76"/>
  <c r="AF771" i="76"/>
  <c r="AP771" i="76"/>
  <c r="AK771" i="76"/>
  <c r="AI771" i="76"/>
  <c r="AL771" i="76"/>
  <c r="AG771" i="76"/>
  <c r="AJ771" i="76"/>
  <c r="AH771" i="76"/>
  <c r="AN771" i="76"/>
  <c r="AM771" i="76"/>
  <c r="AD772" i="76"/>
  <c r="D772" i="76"/>
  <c r="B772" i="76"/>
  <c r="AR773" i="76"/>
  <c r="AE772" i="76"/>
  <c r="E772" i="76"/>
  <c r="C772" i="76"/>
  <c r="A772" i="76"/>
  <c r="Q771" i="76"/>
  <c r="H771" i="76"/>
  <c r="G771" i="76"/>
  <c r="M771" i="76"/>
  <c r="K771" i="76"/>
  <c r="N771" i="76"/>
  <c r="I771" i="76"/>
  <c r="L771" i="76"/>
  <c r="J771" i="76"/>
  <c r="P771" i="76"/>
  <c r="O771" i="76"/>
  <c r="F773" i="76" l="1"/>
  <c r="R773" i="76"/>
  <c r="K772" i="76"/>
  <c r="M772" i="76"/>
  <c r="I772" i="76"/>
  <c r="G772" i="76"/>
  <c r="P772" i="76"/>
  <c r="L772" i="76"/>
  <c r="N772" i="76"/>
  <c r="H772" i="76"/>
  <c r="O772" i="76"/>
  <c r="J772" i="76"/>
  <c r="Q772" i="76"/>
  <c r="AL772" i="76"/>
  <c r="AG772" i="76"/>
  <c r="AM772" i="76"/>
  <c r="AH772" i="76"/>
  <c r="AN772" i="76"/>
  <c r="AI772" i="76"/>
  <c r="AO772" i="76"/>
  <c r="AJ772" i="76"/>
  <c r="AP772" i="76"/>
  <c r="AK772" i="76"/>
  <c r="AF772" i="76"/>
  <c r="D773" i="76"/>
  <c r="C773" i="76"/>
  <c r="AD773" i="76"/>
  <c r="E773" i="76"/>
  <c r="A773" i="76"/>
  <c r="AR774" i="76"/>
  <c r="B773" i="76"/>
  <c r="AE773" i="76"/>
  <c r="S772" i="76"/>
  <c r="Y772" i="76"/>
  <c r="T772" i="76"/>
  <c r="Z772" i="76"/>
  <c r="U772" i="76"/>
  <c r="AA772" i="76"/>
  <c r="V772" i="76"/>
  <c r="AB772" i="76"/>
  <c r="W772" i="76"/>
  <c r="AC772" i="76"/>
  <c r="X772" i="76"/>
  <c r="F774" i="76" l="1"/>
  <c r="R774" i="76"/>
  <c r="AP773" i="76"/>
  <c r="AK773" i="76"/>
  <c r="AF773" i="76"/>
  <c r="AL773" i="76"/>
  <c r="AG773" i="76"/>
  <c r="AM773" i="76"/>
  <c r="AH773" i="76"/>
  <c r="AN773" i="76"/>
  <c r="AI773" i="76"/>
  <c r="AO773" i="76"/>
  <c r="AJ773" i="76"/>
  <c r="A774" i="76"/>
  <c r="E774" i="76"/>
  <c r="D774" i="76"/>
  <c r="AE774" i="76"/>
  <c r="AR775" i="76"/>
  <c r="C774" i="76"/>
  <c r="AD774" i="76"/>
  <c r="B774" i="76"/>
  <c r="AA773" i="76"/>
  <c r="V773" i="76"/>
  <c r="AB773" i="76"/>
  <c r="W773" i="76"/>
  <c r="AC773" i="76"/>
  <c r="X773" i="76"/>
  <c r="S773" i="76"/>
  <c r="Y773" i="76"/>
  <c r="T773" i="76"/>
  <c r="Z773" i="76"/>
  <c r="U773" i="76"/>
  <c r="O773" i="76"/>
  <c r="J773" i="76"/>
  <c r="P773" i="76"/>
  <c r="K773" i="76"/>
  <c r="Q773" i="76"/>
  <c r="L773" i="76"/>
  <c r="G773" i="76"/>
  <c r="M773" i="76"/>
  <c r="H773" i="76"/>
  <c r="N773" i="76"/>
  <c r="I773" i="76"/>
  <c r="F775" i="76" l="1"/>
  <c r="R775" i="76"/>
  <c r="AG774" i="76"/>
  <c r="AI774" i="76"/>
  <c r="AH774" i="76"/>
  <c r="AN774" i="76"/>
  <c r="AL774" i="76"/>
  <c r="AO774" i="76"/>
  <c r="AJ774" i="76"/>
  <c r="AM774" i="76"/>
  <c r="AK774" i="76"/>
  <c r="AF774" i="76"/>
  <c r="AP774" i="76"/>
  <c r="Z774" i="76"/>
  <c r="U774" i="76"/>
  <c r="AA774" i="76"/>
  <c r="V774" i="76"/>
  <c r="AB774" i="76"/>
  <c r="W774" i="76"/>
  <c r="AC774" i="76"/>
  <c r="X774" i="76"/>
  <c r="S774" i="76"/>
  <c r="Y774" i="76"/>
  <c r="T774" i="76"/>
  <c r="AE775" i="76"/>
  <c r="C775" i="76"/>
  <c r="A775" i="76"/>
  <c r="B775" i="76"/>
  <c r="E775" i="76"/>
  <c r="AR776" i="76"/>
  <c r="D775" i="76"/>
  <c r="AD775" i="76"/>
  <c r="K774" i="76"/>
  <c r="Q774" i="76"/>
  <c r="L774" i="76"/>
  <c r="G774" i="76"/>
  <c r="M774" i="76"/>
  <c r="H774" i="76"/>
  <c r="N774" i="76"/>
  <c r="I774" i="76"/>
  <c r="O774" i="76"/>
  <c r="J774" i="76"/>
  <c r="P774" i="76"/>
  <c r="F776" i="76" l="1"/>
  <c r="R776" i="76"/>
  <c r="AR777" i="76"/>
  <c r="D776" i="76"/>
  <c r="B776" i="76"/>
  <c r="AD776" i="76"/>
  <c r="AE776" i="76"/>
  <c r="E776" i="76"/>
  <c r="C776" i="76"/>
  <c r="A776" i="76"/>
  <c r="V775" i="76"/>
  <c r="AB775" i="76"/>
  <c r="W775" i="76"/>
  <c r="AC775" i="76"/>
  <c r="X775" i="76"/>
  <c r="S775" i="76"/>
  <c r="Y775" i="76"/>
  <c r="T775" i="76"/>
  <c r="Z775" i="76"/>
  <c r="U775" i="76"/>
  <c r="AA775" i="76"/>
  <c r="AF775" i="76"/>
  <c r="AH775" i="76"/>
  <c r="AG775" i="76"/>
  <c r="AM775" i="76"/>
  <c r="AK775" i="76"/>
  <c r="AN775" i="76"/>
  <c r="AI775" i="76"/>
  <c r="AL775" i="76"/>
  <c r="AJ775" i="76"/>
  <c r="AP775" i="76"/>
  <c r="AO775" i="76"/>
  <c r="H775" i="76"/>
  <c r="N775" i="76"/>
  <c r="I775" i="76"/>
  <c r="O775" i="76"/>
  <c r="J775" i="76"/>
  <c r="P775" i="76"/>
  <c r="K775" i="76"/>
  <c r="Q775" i="76"/>
  <c r="L775" i="76"/>
  <c r="G775" i="76"/>
  <c r="M775" i="76"/>
  <c r="F777" i="76" l="1"/>
  <c r="R777" i="76"/>
  <c r="O776" i="76"/>
  <c r="J776" i="76"/>
  <c r="Q776" i="76"/>
  <c r="K776" i="76"/>
  <c r="M776" i="76"/>
  <c r="I776" i="76"/>
  <c r="G776" i="76"/>
  <c r="P776" i="76"/>
  <c r="L776" i="76"/>
  <c r="N776" i="76"/>
  <c r="H776" i="76"/>
  <c r="AL776" i="76"/>
  <c r="AG776" i="76"/>
  <c r="AM776" i="76"/>
  <c r="AH776" i="76"/>
  <c r="AN776" i="76"/>
  <c r="AI776" i="76"/>
  <c r="AO776" i="76"/>
  <c r="AJ776" i="76"/>
  <c r="AP776" i="76"/>
  <c r="AK776" i="76"/>
  <c r="AF776" i="76"/>
  <c r="AB776" i="76"/>
  <c r="W776" i="76"/>
  <c r="AC776" i="76"/>
  <c r="X776" i="76"/>
  <c r="S776" i="76"/>
  <c r="Y776" i="76"/>
  <c r="T776" i="76"/>
  <c r="Z776" i="76"/>
  <c r="U776" i="76"/>
  <c r="AA776" i="76"/>
  <c r="V776" i="76"/>
  <c r="C777" i="76"/>
  <c r="B777" i="76"/>
  <c r="A777" i="76"/>
  <c r="AD777" i="76"/>
  <c r="E777" i="76"/>
  <c r="AR778" i="76"/>
  <c r="D777" i="76"/>
  <c r="AE777" i="76"/>
  <c r="F778" i="76" l="1"/>
  <c r="R778" i="76"/>
  <c r="Y777" i="76"/>
  <c r="S777" i="76"/>
  <c r="Z777" i="76"/>
  <c r="U777" i="76"/>
  <c r="AB777" i="76"/>
  <c r="V777" i="76"/>
  <c r="X777" i="76"/>
  <c r="T777" i="76"/>
  <c r="AC777" i="76"/>
  <c r="AA777" i="76"/>
  <c r="W777" i="76"/>
  <c r="P777" i="76"/>
  <c r="K777" i="76"/>
  <c r="Q777" i="76"/>
  <c r="L777" i="76"/>
  <c r="G777" i="76"/>
  <c r="M777" i="76"/>
  <c r="H777" i="76"/>
  <c r="N777" i="76"/>
  <c r="I777" i="76"/>
  <c r="O777" i="76"/>
  <c r="J777" i="76"/>
  <c r="AM777" i="76"/>
  <c r="AH777" i="76"/>
  <c r="AN777" i="76"/>
  <c r="AI777" i="76"/>
  <c r="AO777" i="76"/>
  <c r="AJ777" i="76"/>
  <c r="AP777" i="76"/>
  <c r="AK777" i="76"/>
  <c r="AF777" i="76"/>
  <c r="AL777" i="76"/>
  <c r="AG777" i="76"/>
  <c r="AR779" i="76"/>
  <c r="AD778" i="76"/>
  <c r="B778" i="76"/>
  <c r="A778" i="76"/>
  <c r="D778" i="76"/>
  <c r="E778" i="76"/>
  <c r="C778" i="76"/>
  <c r="AE778" i="76"/>
  <c r="F779" i="76" l="1"/>
  <c r="R779" i="76"/>
  <c r="P778" i="76"/>
  <c r="K778" i="76"/>
  <c r="Q778" i="76"/>
  <c r="L778" i="76"/>
  <c r="G778" i="76"/>
  <c r="M778" i="76"/>
  <c r="H778" i="76"/>
  <c r="N778" i="76"/>
  <c r="I778" i="76"/>
  <c r="O778" i="76"/>
  <c r="J778" i="76"/>
  <c r="Y778" i="76"/>
  <c r="T778" i="76"/>
  <c r="Z778" i="76"/>
  <c r="U778" i="76"/>
  <c r="AA778" i="76"/>
  <c r="V778" i="76"/>
  <c r="AB778" i="76"/>
  <c r="W778" i="76"/>
  <c r="AC778" i="76"/>
  <c r="X778" i="76"/>
  <c r="S778" i="76"/>
  <c r="E779" i="76"/>
  <c r="D779" i="76"/>
  <c r="C779" i="76"/>
  <c r="AD779" i="76"/>
  <c r="AR780" i="76"/>
  <c r="B779" i="76"/>
  <c r="AE779" i="76"/>
  <c r="A779" i="76"/>
  <c r="AP778" i="76"/>
  <c r="AK778" i="76"/>
  <c r="AF778" i="76"/>
  <c r="AL778" i="76"/>
  <c r="AG778" i="76"/>
  <c r="AM778" i="76"/>
  <c r="AH778" i="76"/>
  <c r="AN778" i="76"/>
  <c r="AI778" i="76"/>
  <c r="AO778" i="76"/>
  <c r="AJ778" i="76"/>
  <c r="F780" i="76" l="1"/>
  <c r="R780" i="76"/>
  <c r="X779" i="76"/>
  <c r="S779" i="76"/>
  <c r="Y779" i="76"/>
  <c r="T779" i="76"/>
  <c r="Z779" i="76"/>
  <c r="U779" i="76"/>
  <c r="AA779" i="76"/>
  <c r="V779" i="76"/>
  <c r="AB779" i="76"/>
  <c r="W779" i="76"/>
  <c r="AC779" i="76"/>
  <c r="AO779" i="76"/>
  <c r="AM779" i="76"/>
  <c r="AP779" i="76"/>
  <c r="AK779" i="76"/>
  <c r="AN779" i="76"/>
  <c r="AL779" i="76"/>
  <c r="AG779" i="76"/>
  <c r="AF779" i="76"/>
  <c r="AH779" i="76"/>
  <c r="AJ779" i="76"/>
  <c r="AI779" i="76"/>
  <c r="AR781" i="76"/>
  <c r="D780" i="76"/>
  <c r="B780" i="76"/>
  <c r="AD780" i="76"/>
  <c r="AE780" i="76"/>
  <c r="E780" i="76"/>
  <c r="C780" i="76"/>
  <c r="A780" i="76"/>
  <c r="H779" i="76"/>
  <c r="N779" i="76"/>
  <c r="M779" i="76"/>
  <c r="O779" i="76"/>
  <c r="Q779" i="76"/>
  <c r="P779" i="76"/>
  <c r="K779" i="76"/>
  <c r="I779" i="76"/>
  <c r="L779" i="76"/>
  <c r="G779" i="76"/>
  <c r="J779" i="76"/>
  <c r="F781" i="76" l="1"/>
  <c r="R781" i="76"/>
  <c r="K780" i="76"/>
  <c r="M780" i="76"/>
  <c r="I780" i="76"/>
  <c r="G780" i="76"/>
  <c r="P780" i="76"/>
  <c r="L780" i="76"/>
  <c r="N780" i="76"/>
  <c r="H780" i="76"/>
  <c r="O780" i="76"/>
  <c r="J780" i="76"/>
  <c r="Q780" i="76"/>
  <c r="AL780" i="76"/>
  <c r="AG780" i="76"/>
  <c r="AM780" i="76"/>
  <c r="AH780" i="76"/>
  <c r="AN780" i="76"/>
  <c r="AI780" i="76"/>
  <c r="AO780" i="76"/>
  <c r="AJ780" i="76"/>
  <c r="AP780" i="76"/>
  <c r="AK780" i="76"/>
  <c r="AF780" i="76"/>
  <c r="S780" i="76"/>
  <c r="Y780" i="76"/>
  <c r="T780" i="76"/>
  <c r="Z780" i="76"/>
  <c r="U780" i="76"/>
  <c r="AA780" i="76"/>
  <c r="V780" i="76"/>
  <c r="AB780" i="76"/>
  <c r="W780" i="76"/>
  <c r="AC780" i="76"/>
  <c r="X780" i="76"/>
  <c r="AR782" i="76"/>
  <c r="E781" i="76"/>
  <c r="AE781" i="76"/>
  <c r="D781" i="76"/>
  <c r="C781" i="76"/>
  <c r="B781" i="76"/>
  <c r="A781" i="76"/>
  <c r="AD781" i="76"/>
  <c r="F782" i="76" l="1"/>
  <c r="R782" i="76"/>
  <c r="H781" i="76"/>
  <c r="N781" i="76"/>
  <c r="I781" i="76"/>
  <c r="O781" i="76"/>
  <c r="J781" i="76"/>
  <c r="P781" i="76"/>
  <c r="K781" i="76"/>
  <c r="Q781" i="76"/>
  <c r="L781" i="76"/>
  <c r="G781" i="76"/>
  <c r="M781" i="76"/>
  <c r="AA781" i="76"/>
  <c r="V781" i="76"/>
  <c r="AB781" i="76"/>
  <c r="W781" i="76"/>
  <c r="AC781" i="76"/>
  <c r="X781" i="76"/>
  <c r="S781" i="76"/>
  <c r="Y781" i="76"/>
  <c r="T781" i="76"/>
  <c r="Z781" i="76"/>
  <c r="U781" i="76"/>
  <c r="AL781" i="76"/>
  <c r="AG781" i="76"/>
  <c r="AM781" i="76"/>
  <c r="AH781" i="76"/>
  <c r="AN781" i="76"/>
  <c r="AI781" i="76"/>
  <c r="AO781" i="76"/>
  <c r="AJ781" i="76"/>
  <c r="AP781" i="76"/>
  <c r="AK781" i="76"/>
  <c r="AF781" i="76"/>
  <c r="D782" i="76"/>
  <c r="AR783" i="76"/>
  <c r="E782" i="76"/>
  <c r="AD782" i="76"/>
  <c r="A782" i="76"/>
  <c r="AE782" i="76"/>
  <c r="C782" i="76"/>
  <c r="B782" i="76"/>
  <c r="F783" i="76" l="1"/>
  <c r="R783" i="76"/>
  <c r="Z782" i="76"/>
  <c r="U782" i="76"/>
  <c r="AA782" i="76"/>
  <c r="V782" i="76"/>
  <c r="AB782" i="76"/>
  <c r="W782" i="76"/>
  <c r="AC782" i="76"/>
  <c r="X782" i="76"/>
  <c r="S782" i="76"/>
  <c r="Y782" i="76"/>
  <c r="T782" i="76"/>
  <c r="AR784" i="76"/>
  <c r="B783" i="76"/>
  <c r="AE783" i="76"/>
  <c r="A783" i="76"/>
  <c r="E783" i="76"/>
  <c r="D783" i="76"/>
  <c r="C783" i="76"/>
  <c r="AD783" i="76"/>
  <c r="AL782" i="76"/>
  <c r="AJ782" i="76"/>
  <c r="AM782" i="76"/>
  <c r="AH782" i="76"/>
  <c r="AK782" i="76"/>
  <c r="AI782" i="76"/>
  <c r="AO782" i="76"/>
  <c r="AN782" i="76"/>
  <c r="AP782" i="76"/>
  <c r="AG782" i="76"/>
  <c r="AF782" i="76"/>
  <c r="O782" i="76"/>
  <c r="J782" i="76"/>
  <c r="P782" i="76"/>
  <c r="K782" i="76"/>
  <c r="Q782" i="76"/>
  <c r="L782" i="76"/>
  <c r="G782" i="76"/>
  <c r="M782" i="76"/>
  <c r="H782" i="76"/>
  <c r="N782" i="76"/>
  <c r="I782" i="76"/>
  <c r="F784" i="76" l="1"/>
  <c r="R784" i="76"/>
  <c r="Q783" i="76"/>
  <c r="L783" i="76"/>
  <c r="G783" i="76"/>
  <c r="M783" i="76"/>
  <c r="H783" i="76"/>
  <c r="N783" i="76"/>
  <c r="I783" i="76"/>
  <c r="O783" i="76"/>
  <c r="J783" i="76"/>
  <c r="P783" i="76"/>
  <c r="K783" i="76"/>
  <c r="Y783" i="76"/>
  <c r="T783" i="76"/>
  <c r="Z783" i="76"/>
  <c r="U783" i="76"/>
  <c r="AA783" i="76"/>
  <c r="V783" i="76"/>
  <c r="AB783" i="76"/>
  <c r="W783" i="76"/>
  <c r="AC783" i="76"/>
  <c r="X783" i="76"/>
  <c r="S783" i="76"/>
  <c r="AJ783" i="76"/>
  <c r="AL783" i="76"/>
  <c r="AH783" i="76"/>
  <c r="AF783" i="76"/>
  <c r="AO783" i="76"/>
  <c r="AK783" i="76"/>
  <c r="AM783" i="76"/>
  <c r="AG783" i="76"/>
  <c r="AN783" i="76"/>
  <c r="AI783" i="76"/>
  <c r="AP783" i="76"/>
  <c r="C784" i="76"/>
  <c r="A784" i="76"/>
  <c r="D784" i="76"/>
  <c r="B784" i="76"/>
  <c r="AR785" i="76"/>
  <c r="AD784" i="76"/>
  <c r="AE784" i="76"/>
  <c r="E784" i="76"/>
  <c r="F785" i="76" l="1"/>
  <c r="R785" i="76"/>
  <c r="AM784" i="76"/>
  <c r="AH784" i="76"/>
  <c r="AN784" i="76"/>
  <c r="AI784" i="76"/>
  <c r="AO784" i="76"/>
  <c r="AJ784" i="76"/>
  <c r="AP784" i="76"/>
  <c r="AK784" i="76"/>
  <c r="AF784" i="76"/>
  <c r="AL784" i="76"/>
  <c r="AG784" i="76"/>
  <c r="AB784" i="76"/>
  <c r="W784" i="76"/>
  <c r="AC784" i="76"/>
  <c r="X784" i="76"/>
  <c r="S784" i="76"/>
  <c r="Y784" i="76"/>
  <c r="T784" i="76"/>
  <c r="Z784" i="76"/>
  <c r="U784" i="76"/>
  <c r="AA784" i="76"/>
  <c r="V784" i="76"/>
  <c r="N784" i="76"/>
  <c r="H784" i="76"/>
  <c r="O784" i="76"/>
  <c r="J784" i="76"/>
  <c r="Q784" i="76"/>
  <c r="K784" i="76"/>
  <c r="M784" i="76"/>
  <c r="I784" i="76"/>
  <c r="G784" i="76"/>
  <c r="P784" i="76"/>
  <c r="L784" i="76"/>
  <c r="C785" i="76"/>
  <c r="B785" i="76"/>
  <c r="A785" i="76"/>
  <c r="AD785" i="76"/>
  <c r="E785" i="76"/>
  <c r="AR786" i="76"/>
  <c r="D785" i="76"/>
  <c r="AE785" i="76"/>
  <c r="F786" i="76" l="1"/>
  <c r="R786" i="76"/>
  <c r="AA785" i="76"/>
  <c r="Y785" i="76"/>
  <c r="AB785" i="76"/>
  <c r="W785" i="76"/>
  <c r="Z785" i="76"/>
  <c r="X785" i="76"/>
  <c r="S785" i="76"/>
  <c r="AC785" i="76"/>
  <c r="T785" i="76"/>
  <c r="V785" i="76"/>
  <c r="U785" i="76"/>
  <c r="P785" i="76"/>
  <c r="K785" i="76"/>
  <c r="Q785" i="76"/>
  <c r="L785" i="76"/>
  <c r="G785" i="76"/>
  <c r="M785" i="76"/>
  <c r="H785" i="76"/>
  <c r="N785" i="76"/>
  <c r="I785" i="76"/>
  <c r="O785" i="76"/>
  <c r="J785" i="76"/>
  <c r="AM785" i="76"/>
  <c r="AH785" i="76"/>
  <c r="AN785" i="76"/>
  <c r="AI785" i="76"/>
  <c r="AO785" i="76"/>
  <c r="AJ785" i="76"/>
  <c r="AP785" i="76"/>
  <c r="AK785" i="76"/>
  <c r="AF785" i="76"/>
  <c r="AL785" i="76"/>
  <c r="AG785" i="76"/>
  <c r="AD786" i="76"/>
  <c r="B786" i="76"/>
  <c r="A786" i="76"/>
  <c r="E786" i="76"/>
  <c r="D786" i="76"/>
  <c r="AR787" i="76"/>
  <c r="C786" i="76"/>
  <c r="AE786" i="76"/>
  <c r="F787" i="76" l="1"/>
  <c r="R787" i="76"/>
  <c r="P786" i="76"/>
  <c r="K786" i="76"/>
  <c r="Q786" i="76"/>
  <c r="L786" i="76"/>
  <c r="G786" i="76"/>
  <c r="M786" i="76"/>
  <c r="H786" i="76"/>
  <c r="N786" i="76"/>
  <c r="I786" i="76"/>
  <c r="O786" i="76"/>
  <c r="J786" i="76"/>
  <c r="Y786" i="76"/>
  <c r="T786" i="76"/>
  <c r="Z786" i="76"/>
  <c r="U786" i="76"/>
  <c r="AA786" i="76"/>
  <c r="V786" i="76"/>
  <c r="AB786" i="76"/>
  <c r="W786" i="76"/>
  <c r="AC786" i="76"/>
  <c r="X786" i="76"/>
  <c r="S786" i="76"/>
  <c r="AG786" i="76"/>
  <c r="AM786" i="76"/>
  <c r="AH786" i="76"/>
  <c r="AN786" i="76"/>
  <c r="AI786" i="76"/>
  <c r="AO786" i="76"/>
  <c r="AJ786" i="76"/>
  <c r="AP786" i="76"/>
  <c r="AK786" i="76"/>
  <c r="AF786" i="76"/>
  <c r="AL786" i="76"/>
  <c r="A787" i="76"/>
  <c r="AE787" i="76"/>
  <c r="E787" i="76"/>
  <c r="C787" i="76"/>
  <c r="D787" i="76"/>
  <c r="B787" i="76"/>
  <c r="AR788" i="76"/>
  <c r="AD787" i="76"/>
  <c r="F788" i="76" l="1"/>
  <c r="R788" i="76"/>
  <c r="AA787" i="76"/>
  <c r="V787" i="76"/>
  <c r="AB787" i="76"/>
  <c r="W787" i="76"/>
  <c r="AC787" i="76"/>
  <c r="X787" i="76"/>
  <c r="S787" i="76"/>
  <c r="Y787" i="76"/>
  <c r="T787" i="76"/>
  <c r="Z787" i="76"/>
  <c r="U787" i="76"/>
  <c r="AO787" i="76"/>
  <c r="AF787" i="76"/>
  <c r="AP787" i="76"/>
  <c r="AK787" i="76"/>
  <c r="AI787" i="76"/>
  <c r="AL787" i="76"/>
  <c r="AG787" i="76"/>
  <c r="AJ787" i="76"/>
  <c r="AH787" i="76"/>
  <c r="AN787" i="76"/>
  <c r="AM787" i="76"/>
  <c r="N787" i="76"/>
  <c r="I787" i="76"/>
  <c r="P787" i="76"/>
  <c r="J787" i="76"/>
  <c r="L787" i="76"/>
  <c r="H787" i="76"/>
  <c r="Q787" i="76"/>
  <c r="O787" i="76"/>
  <c r="K787" i="76"/>
  <c r="M787" i="76"/>
  <c r="G787" i="76"/>
  <c r="D788" i="76"/>
  <c r="B788" i="76"/>
  <c r="C788" i="76"/>
  <c r="A788" i="76"/>
  <c r="AE788" i="76"/>
  <c r="E788" i="76"/>
  <c r="AR789" i="76"/>
  <c r="AD788" i="76"/>
  <c r="F789" i="76" l="1"/>
  <c r="R789" i="76"/>
  <c r="Z788" i="76"/>
  <c r="U788" i="76"/>
  <c r="AA788" i="76"/>
  <c r="V788" i="76"/>
  <c r="AB788" i="76"/>
  <c r="W788" i="76"/>
  <c r="AC788" i="76"/>
  <c r="X788" i="76"/>
  <c r="S788" i="76"/>
  <c r="Y788" i="76"/>
  <c r="T788" i="76"/>
  <c r="G788" i="76"/>
  <c r="P788" i="76"/>
  <c r="L788" i="76"/>
  <c r="N788" i="76"/>
  <c r="H788" i="76"/>
  <c r="O788" i="76"/>
  <c r="J788" i="76"/>
  <c r="Q788" i="76"/>
  <c r="K788" i="76"/>
  <c r="M788" i="76"/>
  <c r="I788" i="76"/>
  <c r="AR790" i="76"/>
  <c r="E789" i="76"/>
  <c r="AD789" i="76"/>
  <c r="D789" i="76"/>
  <c r="C789" i="76"/>
  <c r="B789" i="76"/>
  <c r="A789" i="76"/>
  <c r="AE789" i="76"/>
  <c r="AI788" i="76"/>
  <c r="AO788" i="76"/>
  <c r="AJ788" i="76"/>
  <c r="AP788" i="76"/>
  <c r="AK788" i="76"/>
  <c r="AF788" i="76"/>
  <c r="AL788" i="76"/>
  <c r="AG788" i="76"/>
  <c r="AM788" i="76"/>
  <c r="AH788" i="76"/>
  <c r="AN788" i="76"/>
  <c r="F790" i="76" l="1"/>
  <c r="R790" i="76"/>
  <c r="AP789" i="76"/>
  <c r="AK789" i="76"/>
  <c r="AF789" i="76"/>
  <c r="AL789" i="76"/>
  <c r="AG789" i="76"/>
  <c r="AM789" i="76"/>
  <c r="AH789" i="76"/>
  <c r="AN789" i="76"/>
  <c r="AI789" i="76"/>
  <c r="AO789" i="76"/>
  <c r="AJ789" i="76"/>
  <c r="O789" i="76"/>
  <c r="J789" i="76"/>
  <c r="P789" i="76"/>
  <c r="K789" i="76"/>
  <c r="Q789" i="76"/>
  <c r="L789" i="76"/>
  <c r="G789" i="76"/>
  <c r="M789" i="76"/>
  <c r="H789" i="76"/>
  <c r="N789" i="76"/>
  <c r="I789" i="76"/>
  <c r="Y789" i="76"/>
  <c r="T789" i="76"/>
  <c r="Z789" i="76"/>
  <c r="U789" i="76"/>
  <c r="AA789" i="76"/>
  <c r="V789" i="76"/>
  <c r="AB789" i="76"/>
  <c r="W789" i="76"/>
  <c r="AC789" i="76"/>
  <c r="X789" i="76"/>
  <c r="S789" i="76"/>
  <c r="AR791" i="76"/>
  <c r="AD790" i="76"/>
  <c r="B790" i="76"/>
  <c r="A790" i="76"/>
  <c r="D790" i="76"/>
  <c r="E790" i="76"/>
  <c r="C790" i="76"/>
  <c r="AE790" i="76"/>
  <c r="F791" i="76" l="1"/>
  <c r="R791" i="76"/>
  <c r="N790" i="76"/>
  <c r="I790" i="76"/>
  <c r="O790" i="76"/>
  <c r="J790" i="76"/>
  <c r="P790" i="76"/>
  <c r="K790" i="76"/>
  <c r="Q790" i="76"/>
  <c r="L790" i="76"/>
  <c r="G790" i="76"/>
  <c r="M790" i="76"/>
  <c r="H790" i="76"/>
  <c r="W790" i="76"/>
  <c r="AC790" i="76"/>
  <c r="X790" i="76"/>
  <c r="S790" i="76"/>
  <c r="Y790" i="76"/>
  <c r="T790" i="76"/>
  <c r="Z790" i="76"/>
  <c r="U790" i="76"/>
  <c r="AA790" i="76"/>
  <c r="V790" i="76"/>
  <c r="AB790" i="76"/>
  <c r="B791" i="76"/>
  <c r="E791" i="76"/>
  <c r="AR792" i="76"/>
  <c r="D791" i="76"/>
  <c r="AD791" i="76"/>
  <c r="AE791" i="76"/>
  <c r="C791" i="76"/>
  <c r="A791" i="76"/>
  <c r="AG790" i="76"/>
  <c r="AM790" i="76"/>
  <c r="AL790" i="76"/>
  <c r="AN790" i="76"/>
  <c r="AP790" i="76"/>
  <c r="AO790" i="76"/>
  <c r="AJ790" i="76"/>
  <c r="AH790" i="76"/>
  <c r="AK790" i="76"/>
  <c r="AF790" i="76"/>
  <c r="AI790" i="76"/>
  <c r="F792" i="76" l="1"/>
  <c r="R792" i="76"/>
  <c r="AM791" i="76"/>
  <c r="AK791" i="76"/>
  <c r="AN791" i="76"/>
  <c r="AI791" i="76"/>
  <c r="AL791" i="76"/>
  <c r="AJ791" i="76"/>
  <c r="AP791" i="76"/>
  <c r="AO791" i="76"/>
  <c r="AF791" i="76"/>
  <c r="AH791" i="76"/>
  <c r="AG791" i="76"/>
  <c r="O791" i="76"/>
  <c r="J791" i="76"/>
  <c r="P791" i="76"/>
  <c r="K791" i="76"/>
  <c r="Q791" i="76"/>
  <c r="L791" i="76"/>
  <c r="G791" i="76"/>
  <c r="M791" i="76"/>
  <c r="H791" i="76"/>
  <c r="N791" i="76"/>
  <c r="I791" i="76"/>
  <c r="Z791" i="76"/>
  <c r="U791" i="76"/>
  <c r="AA791" i="76"/>
  <c r="V791" i="76"/>
  <c r="AB791" i="76"/>
  <c r="W791" i="76"/>
  <c r="AC791" i="76"/>
  <c r="X791" i="76"/>
  <c r="S791" i="76"/>
  <c r="Y791" i="76"/>
  <c r="T791" i="76"/>
  <c r="AD792" i="76"/>
  <c r="AR793" i="76"/>
  <c r="D792" i="76"/>
  <c r="B792" i="76"/>
  <c r="C792" i="76"/>
  <c r="A792" i="76"/>
  <c r="AE792" i="76"/>
  <c r="E792" i="76"/>
  <c r="F793" i="76" l="1"/>
  <c r="R793" i="76"/>
  <c r="AI792" i="76"/>
  <c r="AO792" i="76"/>
  <c r="AJ792" i="76"/>
  <c r="AP792" i="76"/>
  <c r="AK792" i="76"/>
  <c r="AF792" i="76"/>
  <c r="AL792" i="76"/>
  <c r="AG792" i="76"/>
  <c r="AM792" i="76"/>
  <c r="AH792" i="76"/>
  <c r="AN792" i="76"/>
  <c r="AD793" i="76"/>
  <c r="E793" i="76"/>
  <c r="AR794" i="76"/>
  <c r="D793" i="76"/>
  <c r="AE793" i="76"/>
  <c r="C793" i="76"/>
  <c r="B793" i="76"/>
  <c r="A793" i="76"/>
  <c r="G792" i="76"/>
  <c r="P792" i="76"/>
  <c r="L792" i="76"/>
  <c r="N792" i="76"/>
  <c r="H792" i="76"/>
  <c r="O792" i="76"/>
  <c r="J792" i="76"/>
  <c r="Q792" i="76"/>
  <c r="K792" i="76"/>
  <c r="M792" i="76"/>
  <c r="I792" i="76"/>
  <c r="AB792" i="76"/>
  <c r="W792" i="76"/>
  <c r="AC792" i="76"/>
  <c r="X792" i="76"/>
  <c r="S792" i="76"/>
  <c r="Y792" i="76"/>
  <c r="T792" i="76"/>
  <c r="Z792" i="76"/>
  <c r="U792" i="76"/>
  <c r="AA792" i="76"/>
  <c r="V792" i="76"/>
  <c r="F794" i="76" l="1"/>
  <c r="R794" i="76"/>
  <c r="AM793" i="76"/>
  <c r="AH793" i="76"/>
  <c r="AN793" i="76"/>
  <c r="AI793" i="76"/>
  <c r="AO793" i="76"/>
  <c r="AJ793" i="76"/>
  <c r="AP793" i="76"/>
  <c r="AK793" i="76"/>
  <c r="AF793" i="76"/>
  <c r="AL793" i="76"/>
  <c r="AG793" i="76"/>
  <c r="AR795" i="76"/>
  <c r="A794" i="76"/>
  <c r="AD794" i="76"/>
  <c r="E794" i="76"/>
  <c r="D794" i="76"/>
  <c r="C794" i="76"/>
  <c r="B794" i="76"/>
  <c r="AE794" i="76"/>
  <c r="V793" i="76"/>
  <c r="AB793" i="76"/>
  <c r="AA793" i="76"/>
  <c r="AC793" i="76"/>
  <c r="T793" i="76"/>
  <c r="S793" i="76"/>
  <c r="Y793" i="76"/>
  <c r="W793" i="76"/>
  <c r="Z793" i="76"/>
  <c r="U793" i="76"/>
  <c r="X793" i="76"/>
  <c r="H793" i="76"/>
  <c r="N793" i="76"/>
  <c r="I793" i="76"/>
  <c r="O793" i="76"/>
  <c r="J793" i="76"/>
  <c r="P793" i="76"/>
  <c r="K793" i="76"/>
  <c r="Q793" i="76"/>
  <c r="L793" i="76"/>
  <c r="G793" i="76"/>
  <c r="M793" i="76"/>
  <c r="F795" i="76" l="1"/>
  <c r="R795" i="76"/>
  <c r="AM794" i="76"/>
  <c r="AH794" i="76"/>
  <c r="AN794" i="76"/>
  <c r="AI794" i="76"/>
  <c r="AO794" i="76"/>
  <c r="AJ794" i="76"/>
  <c r="AP794" i="76"/>
  <c r="AK794" i="76"/>
  <c r="AF794" i="76"/>
  <c r="AL794" i="76"/>
  <c r="AG794" i="76"/>
  <c r="P794" i="76"/>
  <c r="K794" i="76"/>
  <c r="Q794" i="76"/>
  <c r="L794" i="76"/>
  <c r="G794" i="76"/>
  <c r="M794" i="76"/>
  <c r="H794" i="76"/>
  <c r="N794" i="76"/>
  <c r="I794" i="76"/>
  <c r="O794" i="76"/>
  <c r="J794" i="76"/>
  <c r="AB794" i="76"/>
  <c r="W794" i="76"/>
  <c r="AC794" i="76"/>
  <c r="X794" i="76"/>
  <c r="S794" i="76"/>
  <c r="Y794" i="76"/>
  <c r="T794" i="76"/>
  <c r="Z794" i="76"/>
  <c r="U794" i="76"/>
  <c r="AA794" i="76"/>
  <c r="V794" i="76"/>
  <c r="AR796" i="76"/>
  <c r="E795" i="76"/>
  <c r="AE795" i="76"/>
  <c r="D795" i="76"/>
  <c r="C795" i="76"/>
  <c r="B795" i="76"/>
  <c r="A795" i="76"/>
  <c r="AD795" i="76"/>
  <c r="F796" i="76" l="1"/>
  <c r="R796" i="76"/>
  <c r="H795" i="76"/>
  <c r="J795" i="76"/>
  <c r="I795" i="76"/>
  <c r="O795" i="76"/>
  <c r="M795" i="76"/>
  <c r="P795" i="76"/>
  <c r="K795" i="76"/>
  <c r="N795" i="76"/>
  <c r="L795" i="76"/>
  <c r="G795" i="76"/>
  <c r="Q795" i="76"/>
  <c r="AA795" i="76"/>
  <c r="V795" i="76"/>
  <c r="AB795" i="76"/>
  <c r="W795" i="76"/>
  <c r="AC795" i="76"/>
  <c r="X795" i="76"/>
  <c r="S795" i="76"/>
  <c r="Y795" i="76"/>
  <c r="T795" i="76"/>
  <c r="Z795" i="76"/>
  <c r="U795" i="76"/>
  <c r="AL795" i="76"/>
  <c r="AG795" i="76"/>
  <c r="AF795" i="76"/>
  <c r="AH795" i="76"/>
  <c r="AJ795" i="76"/>
  <c r="AI795" i="76"/>
  <c r="AO795" i="76"/>
  <c r="AM795" i="76"/>
  <c r="AP795" i="76"/>
  <c r="AK795" i="76"/>
  <c r="AN795" i="76"/>
  <c r="AE796" i="76"/>
  <c r="E796" i="76"/>
  <c r="C796" i="76"/>
  <c r="A796" i="76"/>
  <c r="AD796" i="76"/>
  <c r="D796" i="76"/>
  <c r="B796" i="76"/>
  <c r="AR797" i="76"/>
  <c r="F797" i="76" l="1"/>
  <c r="R797" i="76"/>
  <c r="D797" i="76"/>
  <c r="C797" i="76"/>
  <c r="AE797" i="76"/>
  <c r="E797" i="76"/>
  <c r="A797" i="76"/>
  <c r="AR798" i="76"/>
  <c r="B797" i="76"/>
  <c r="AD797" i="76"/>
  <c r="N796" i="76"/>
  <c r="H796" i="76"/>
  <c r="O796" i="76"/>
  <c r="J796" i="76"/>
  <c r="Q796" i="76"/>
  <c r="K796" i="76"/>
  <c r="M796" i="76"/>
  <c r="I796" i="76"/>
  <c r="G796" i="76"/>
  <c r="P796" i="76"/>
  <c r="L796" i="76"/>
  <c r="AI796" i="76"/>
  <c r="AO796" i="76"/>
  <c r="AJ796" i="76"/>
  <c r="AP796" i="76"/>
  <c r="AK796" i="76"/>
  <c r="AF796" i="76"/>
  <c r="AL796" i="76"/>
  <c r="AG796" i="76"/>
  <c r="AM796" i="76"/>
  <c r="AH796" i="76"/>
  <c r="AN796" i="76"/>
  <c r="S796" i="76"/>
  <c r="Y796" i="76"/>
  <c r="T796" i="76"/>
  <c r="Z796" i="76"/>
  <c r="U796" i="76"/>
  <c r="AA796" i="76"/>
  <c r="V796" i="76"/>
  <c r="AB796" i="76"/>
  <c r="W796" i="76"/>
  <c r="AC796" i="76"/>
  <c r="X796" i="76"/>
  <c r="F798" i="76" l="1"/>
  <c r="R798" i="76"/>
  <c r="C798" i="76"/>
  <c r="B798" i="76"/>
  <c r="AD798" i="76"/>
  <c r="A798" i="76"/>
  <c r="AE798" i="76"/>
  <c r="AR799" i="76"/>
  <c r="E798" i="76"/>
  <c r="D798" i="76"/>
  <c r="T797" i="76"/>
  <c r="Z797" i="76"/>
  <c r="U797" i="76"/>
  <c r="AA797" i="76"/>
  <c r="V797" i="76"/>
  <c r="AB797" i="76"/>
  <c r="W797" i="76"/>
  <c r="AC797" i="76"/>
  <c r="X797" i="76"/>
  <c r="S797" i="76"/>
  <c r="Y797" i="76"/>
  <c r="O797" i="76"/>
  <c r="J797" i="76"/>
  <c r="P797" i="76"/>
  <c r="K797" i="76"/>
  <c r="Q797" i="76"/>
  <c r="L797" i="76"/>
  <c r="G797" i="76"/>
  <c r="M797" i="76"/>
  <c r="H797" i="76"/>
  <c r="N797" i="76"/>
  <c r="I797" i="76"/>
  <c r="AL797" i="76"/>
  <c r="AG797" i="76"/>
  <c r="AM797" i="76"/>
  <c r="AH797" i="76"/>
  <c r="AN797" i="76"/>
  <c r="AI797" i="76"/>
  <c r="AO797" i="76"/>
  <c r="AJ797" i="76"/>
  <c r="AP797" i="76"/>
  <c r="AK797" i="76"/>
  <c r="AF797" i="76"/>
  <c r="F799" i="76" l="1"/>
  <c r="R799" i="76"/>
  <c r="N798" i="76"/>
  <c r="I798" i="76"/>
  <c r="O798" i="76"/>
  <c r="J798" i="76"/>
  <c r="P798" i="76"/>
  <c r="K798" i="76"/>
  <c r="Q798" i="76"/>
  <c r="L798" i="76"/>
  <c r="G798" i="76"/>
  <c r="M798" i="76"/>
  <c r="H798" i="76"/>
  <c r="W798" i="76"/>
  <c r="AC798" i="76"/>
  <c r="X798" i="76"/>
  <c r="S798" i="76"/>
  <c r="Y798" i="76"/>
  <c r="T798" i="76"/>
  <c r="Z798" i="76"/>
  <c r="U798" i="76"/>
  <c r="AA798" i="76"/>
  <c r="V798" i="76"/>
  <c r="AB798" i="76"/>
  <c r="D799" i="76"/>
  <c r="B799" i="76"/>
  <c r="AR800" i="76"/>
  <c r="AD799" i="76"/>
  <c r="A799" i="76"/>
  <c r="AE799" i="76"/>
  <c r="E799" i="76"/>
  <c r="C799" i="76"/>
  <c r="AM798" i="76"/>
  <c r="AH798" i="76"/>
  <c r="AO798" i="76"/>
  <c r="AI798" i="76"/>
  <c r="AK798" i="76"/>
  <c r="AG798" i="76"/>
  <c r="AP798" i="76"/>
  <c r="AN798" i="76"/>
  <c r="AJ798" i="76"/>
  <c r="AL798" i="76"/>
  <c r="AF798" i="76"/>
  <c r="F800" i="76" l="1"/>
  <c r="R800" i="76"/>
  <c r="AJ799" i="76"/>
  <c r="AL799" i="76"/>
  <c r="AH799" i="76"/>
  <c r="AF799" i="76"/>
  <c r="AO799" i="76"/>
  <c r="AK799" i="76"/>
  <c r="AM799" i="76"/>
  <c r="AG799" i="76"/>
  <c r="AN799" i="76"/>
  <c r="AI799" i="76"/>
  <c r="AP799" i="76"/>
  <c r="Q799" i="76"/>
  <c r="L799" i="76"/>
  <c r="G799" i="76"/>
  <c r="M799" i="76"/>
  <c r="H799" i="76"/>
  <c r="N799" i="76"/>
  <c r="I799" i="76"/>
  <c r="O799" i="76"/>
  <c r="J799" i="76"/>
  <c r="P799" i="76"/>
  <c r="K799" i="76"/>
  <c r="V799" i="76"/>
  <c r="AB799" i="76"/>
  <c r="W799" i="76"/>
  <c r="AC799" i="76"/>
  <c r="X799" i="76"/>
  <c r="S799" i="76"/>
  <c r="Y799" i="76"/>
  <c r="T799" i="76"/>
  <c r="Z799" i="76"/>
  <c r="U799" i="76"/>
  <c r="AA799" i="76"/>
  <c r="AD800" i="76"/>
  <c r="AR801" i="76"/>
  <c r="D800" i="76"/>
  <c r="B800" i="76"/>
  <c r="C800" i="76"/>
  <c r="A800" i="76"/>
  <c r="AE800" i="76"/>
  <c r="E800" i="76"/>
  <c r="F801" i="76" l="1"/>
  <c r="R801" i="76"/>
  <c r="AL800" i="76"/>
  <c r="AG800" i="76"/>
  <c r="AM800" i="76"/>
  <c r="AN800" i="76"/>
  <c r="AI800" i="76"/>
  <c r="AO800" i="76"/>
  <c r="AJ800" i="76"/>
  <c r="AP800" i="76"/>
  <c r="AK800" i="76"/>
  <c r="AF800" i="76"/>
  <c r="AH800" i="76"/>
  <c r="E801" i="76"/>
  <c r="C801" i="76"/>
  <c r="B801" i="76"/>
  <c r="A801" i="76"/>
  <c r="AE801" i="76"/>
  <c r="AR802" i="76"/>
  <c r="D801" i="76"/>
  <c r="AD801" i="76"/>
  <c r="J800" i="76"/>
  <c r="I800" i="76"/>
  <c r="G800" i="76"/>
  <c r="P800" i="76"/>
  <c r="L800" i="76"/>
  <c r="N800" i="76"/>
  <c r="H800" i="76"/>
  <c r="O800" i="76"/>
  <c r="Q800" i="76"/>
  <c r="K800" i="76"/>
  <c r="M800" i="76"/>
  <c r="AB800" i="76"/>
  <c r="X800" i="76"/>
  <c r="Y800" i="76"/>
  <c r="T800" i="76"/>
  <c r="Z800" i="76"/>
  <c r="U800" i="76"/>
  <c r="AA800" i="76"/>
  <c r="V800" i="76"/>
  <c r="W800" i="76"/>
  <c r="AC800" i="76"/>
  <c r="S800" i="76"/>
  <c r="F802" i="76" l="1"/>
  <c r="R802" i="76"/>
  <c r="AG801" i="76"/>
  <c r="AM801" i="76"/>
  <c r="AL801" i="76"/>
  <c r="AJ801" i="76"/>
  <c r="AI801" i="76"/>
  <c r="AO801" i="76"/>
  <c r="AP801" i="76"/>
  <c r="AN801" i="76"/>
  <c r="AK801" i="76"/>
  <c r="AH801" i="76"/>
  <c r="AF801" i="76"/>
  <c r="C802" i="76"/>
  <c r="B802" i="76"/>
  <c r="AR803" i="76"/>
  <c r="A802" i="76"/>
  <c r="AE802" i="76"/>
  <c r="E802" i="76"/>
  <c r="AD802" i="76"/>
  <c r="D802" i="76"/>
  <c r="W801" i="76"/>
  <c r="AC801" i="76"/>
  <c r="T801" i="76"/>
  <c r="S801" i="76"/>
  <c r="Y801" i="76"/>
  <c r="V801" i="76"/>
  <c r="X801" i="76"/>
  <c r="U801" i="76"/>
  <c r="AA801" i="76"/>
  <c r="Z801" i="76"/>
  <c r="AB801" i="76"/>
  <c r="L801" i="76"/>
  <c r="K801" i="76"/>
  <c r="Q801" i="76"/>
  <c r="N801" i="76"/>
  <c r="P801" i="76"/>
  <c r="M801" i="76"/>
  <c r="G801" i="76"/>
  <c r="H801" i="76"/>
  <c r="I801" i="76"/>
  <c r="O801" i="76"/>
  <c r="J801" i="76"/>
  <c r="F803" i="76" l="1"/>
  <c r="R803" i="76"/>
  <c r="AH802" i="76"/>
  <c r="AN802" i="76"/>
  <c r="AI802" i="76"/>
  <c r="AM802" i="76"/>
  <c r="AF802" i="76"/>
  <c r="AP802" i="76"/>
  <c r="AO802" i="76"/>
  <c r="AK802" i="76"/>
  <c r="AL802" i="76"/>
  <c r="AG802" i="76"/>
  <c r="AJ802" i="76"/>
  <c r="AR804" i="76"/>
  <c r="E803" i="76"/>
  <c r="AD803" i="76"/>
  <c r="D803" i="76"/>
  <c r="C803" i="76"/>
  <c r="B803" i="76"/>
  <c r="A803" i="76"/>
  <c r="AE803" i="76"/>
  <c r="V802" i="76"/>
  <c r="AB802" i="76"/>
  <c r="W802" i="76"/>
  <c r="AA802" i="76"/>
  <c r="T802" i="76"/>
  <c r="U802" i="76"/>
  <c r="S802" i="76"/>
  <c r="AC802" i="76"/>
  <c r="Z802" i="76"/>
  <c r="Y802" i="76"/>
  <c r="X802" i="76"/>
  <c r="K802" i="76"/>
  <c r="J802" i="76"/>
  <c r="P802" i="76"/>
  <c r="Q802" i="76"/>
  <c r="O802" i="76"/>
  <c r="L802" i="76"/>
  <c r="I802" i="76"/>
  <c r="G802" i="76"/>
  <c r="H802" i="76"/>
  <c r="N802" i="76"/>
  <c r="M802" i="76"/>
  <c r="F804" i="76" l="1"/>
  <c r="R804" i="76"/>
  <c r="J803" i="76"/>
  <c r="I803" i="76"/>
  <c r="O803" i="76"/>
  <c r="L803" i="76"/>
  <c r="N803" i="76"/>
  <c r="K803" i="76"/>
  <c r="Q803" i="76"/>
  <c r="P803" i="76"/>
  <c r="G803" i="76"/>
  <c r="M803" i="76"/>
  <c r="H803" i="76"/>
  <c r="Z803" i="76"/>
  <c r="W803" i="76"/>
  <c r="AC803" i="76"/>
  <c r="AB803" i="76"/>
  <c r="S803" i="76"/>
  <c r="Y803" i="76"/>
  <c r="T803" i="76"/>
  <c r="V803" i="76"/>
  <c r="U803" i="76"/>
  <c r="AA803" i="76"/>
  <c r="X803" i="76"/>
  <c r="AR805" i="76"/>
  <c r="C804" i="76"/>
  <c r="AE804" i="76"/>
  <c r="B804" i="76"/>
  <c r="A804" i="76"/>
  <c r="E804" i="76"/>
  <c r="D804" i="76"/>
  <c r="AD804" i="76"/>
  <c r="AM803" i="76"/>
  <c r="AJ803" i="76"/>
  <c r="AL803" i="76"/>
  <c r="AI803" i="76"/>
  <c r="AO803" i="76"/>
  <c r="AN803" i="76"/>
  <c r="AP803" i="76"/>
  <c r="AK803" i="76"/>
  <c r="AF803" i="76"/>
  <c r="AH803" i="76"/>
  <c r="AG803" i="76"/>
  <c r="F805" i="76" l="1"/>
  <c r="R805" i="76"/>
  <c r="H804" i="76"/>
  <c r="J804" i="76"/>
  <c r="K804" i="76"/>
  <c r="M804" i="76"/>
  <c r="I804" i="76"/>
  <c r="P804" i="76"/>
  <c r="O804" i="76"/>
  <c r="N804" i="76"/>
  <c r="L804" i="76"/>
  <c r="G804" i="76"/>
  <c r="Q804" i="76"/>
  <c r="Y804" i="76"/>
  <c r="V804" i="76"/>
  <c r="AB804" i="76"/>
  <c r="AA804" i="76"/>
  <c r="AC804" i="76"/>
  <c r="X804" i="76"/>
  <c r="S804" i="76"/>
  <c r="U804" i="76"/>
  <c r="T804" i="76"/>
  <c r="Z804" i="76"/>
  <c r="W804" i="76"/>
  <c r="AL804" i="76"/>
  <c r="AI804" i="76"/>
  <c r="AF804" i="76"/>
  <c r="AH804" i="76"/>
  <c r="AJ804" i="76"/>
  <c r="AM804" i="76"/>
  <c r="AO804" i="76"/>
  <c r="AK804" i="76"/>
  <c r="AP804" i="76"/>
  <c r="AG804" i="76"/>
  <c r="AN804" i="76"/>
  <c r="B805" i="76"/>
  <c r="A805" i="76"/>
  <c r="C805" i="76"/>
  <c r="AR806" i="76"/>
  <c r="D805" i="76"/>
  <c r="AE805" i="76"/>
  <c r="AD805" i="76"/>
  <c r="E805" i="76"/>
  <c r="F806" i="76" l="1"/>
  <c r="R806" i="76"/>
  <c r="AC805" i="76"/>
  <c r="X805" i="76"/>
  <c r="S805" i="76"/>
  <c r="Y805" i="76"/>
  <c r="T805" i="76"/>
  <c r="Z805" i="76"/>
  <c r="U805" i="76"/>
  <c r="AA805" i="76"/>
  <c r="V805" i="76"/>
  <c r="AB805" i="76"/>
  <c r="W805" i="76"/>
  <c r="Q805" i="76"/>
  <c r="J805" i="76"/>
  <c r="G805" i="76"/>
  <c r="M805" i="76"/>
  <c r="N805" i="76"/>
  <c r="H805" i="76"/>
  <c r="I805" i="76"/>
  <c r="O805" i="76"/>
  <c r="P805" i="76"/>
  <c r="L805" i="76"/>
  <c r="K805" i="76"/>
  <c r="AM805" i="76"/>
  <c r="AH805" i="76"/>
  <c r="AN805" i="76"/>
  <c r="AI805" i="76"/>
  <c r="AO805" i="76"/>
  <c r="AJ805" i="76"/>
  <c r="AP805" i="76"/>
  <c r="AK805" i="76"/>
  <c r="AF805" i="76"/>
  <c r="AL805" i="76"/>
  <c r="AG805" i="76"/>
  <c r="D806" i="76"/>
  <c r="C806" i="76"/>
  <c r="B806" i="76"/>
  <c r="AD806" i="76"/>
  <c r="A806" i="76"/>
  <c r="AR807" i="76"/>
  <c r="E806" i="76"/>
  <c r="AE806" i="76"/>
  <c r="F807" i="76" l="1"/>
  <c r="R807" i="76"/>
  <c r="AB806" i="76"/>
  <c r="W806" i="76"/>
  <c r="AC806" i="76"/>
  <c r="X806" i="76"/>
  <c r="S806" i="76"/>
  <c r="Y806" i="76"/>
  <c r="T806" i="76"/>
  <c r="Z806" i="76"/>
  <c r="U806" i="76"/>
  <c r="AA806" i="76"/>
  <c r="V806" i="76"/>
  <c r="Q806" i="76"/>
  <c r="L806" i="76"/>
  <c r="G806" i="76"/>
  <c r="M806" i="76"/>
  <c r="H806" i="76"/>
  <c r="N806" i="76"/>
  <c r="I806" i="76"/>
  <c r="O806" i="76"/>
  <c r="J806" i="76"/>
  <c r="P806" i="76"/>
  <c r="K806" i="76"/>
  <c r="AL806" i="76"/>
  <c r="AF806" i="76"/>
  <c r="AM806" i="76"/>
  <c r="AH806" i="76"/>
  <c r="AO806" i="76"/>
  <c r="AI806" i="76"/>
  <c r="AK806" i="76"/>
  <c r="AG806" i="76"/>
  <c r="AP806" i="76"/>
  <c r="AN806" i="76"/>
  <c r="AJ806" i="76"/>
  <c r="AR808" i="76"/>
  <c r="B807" i="76"/>
  <c r="AE807" i="76"/>
  <c r="A807" i="76"/>
  <c r="E807" i="76"/>
  <c r="D807" i="76"/>
  <c r="C807" i="76"/>
  <c r="AD807" i="76"/>
  <c r="F808" i="76" l="1"/>
  <c r="R808" i="76"/>
  <c r="H807" i="76"/>
  <c r="N807" i="76"/>
  <c r="I807" i="76"/>
  <c r="O807" i="76"/>
  <c r="J807" i="76"/>
  <c r="P807" i="76"/>
  <c r="K807" i="76"/>
  <c r="Q807" i="76"/>
  <c r="L807" i="76"/>
  <c r="G807" i="76"/>
  <c r="M807" i="76"/>
  <c r="Y807" i="76"/>
  <c r="T807" i="76"/>
  <c r="Z807" i="76"/>
  <c r="U807" i="76"/>
  <c r="AA807" i="76"/>
  <c r="V807" i="76"/>
  <c r="AB807" i="76"/>
  <c r="W807" i="76"/>
  <c r="AC807" i="76"/>
  <c r="X807" i="76"/>
  <c r="S807" i="76"/>
  <c r="AJ807" i="76"/>
  <c r="AL807" i="76"/>
  <c r="AH807" i="76"/>
  <c r="AF807" i="76"/>
  <c r="AO807" i="76"/>
  <c r="AK807" i="76"/>
  <c r="AM807" i="76"/>
  <c r="AG807" i="76"/>
  <c r="AN807" i="76"/>
  <c r="AI807" i="76"/>
  <c r="AP807" i="76"/>
  <c r="B808" i="76"/>
  <c r="AR809" i="76"/>
  <c r="C808" i="76"/>
  <c r="AD808" i="76"/>
  <c r="E808" i="76"/>
  <c r="D808" i="76"/>
  <c r="AE808" i="76"/>
  <c r="A808" i="76"/>
  <c r="F809" i="76" l="1"/>
  <c r="R809" i="76"/>
  <c r="AD809" i="76"/>
  <c r="E809" i="76"/>
  <c r="AR810" i="76"/>
  <c r="D809" i="76"/>
  <c r="AE809" i="76"/>
  <c r="C809" i="76"/>
  <c r="B809" i="76"/>
  <c r="A809" i="76"/>
  <c r="K808" i="76"/>
  <c r="Q808" i="76"/>
  <c r="P808" i="76"/>
  <c r="G808" i="76"/>
  <c r="I808" i="76"/>
  <c r="H808" i="76"/>
  <c r="N808" i="76"/>
  <c r="L808" i="76"/>
  <c r="O808" i="76"/>
  <c r="J808" i="76"/>
  <c r="M808" i="76"/>
  <c r="AL808" i="76"/>
  <c r="AG808" i="76"/>
  <c r="AM808" i="76"/>
  <c r="AH808" i="76"/>
  <c r="AN808" i="76"/>
  <c r="AI808" i="76"/>
  <c r="AO808" i="76"/>
  <c r="AJ808" i="76"/>
  <c r="AP808" i="76"/>
  <c r="AK808" i="76"/>
  <c r="AF808" i="76"/>
  <c r="S808" i="76"/>
  <c r="Y808" i="76"/>
  <c r="T808" i="76"/>
  <c r="Z808" i="76"/>
  <c r="U808" i="76"/>
  <c r="AA808" i="76"/>
  <c r="V808" i="76"/>
  <c r="AB808" i="76"/>
  <c r="W808" i="76"/>
  <c r="AC808" i="76"/>
  <c r="X808" i="76"/>
  <c r="F810" i="76" l="1"/>
  <c r="R810" i="76"/>
  <c r="X809" i="76"/>
  <c r="S809" i="76"/>
  <c r="V809" i="76"/>
  <c r="T809" i="76"/>
  <c r="Z809" i="76"/>
  <c r="Y809" i="76"/>
  <c r="AA809" i="76"/>
  <c r="AC809" i="76"/>
  <c r="AB809" i="76"/>
  <c r="W809" i="76"/>
  <c r="U809" i="76"/>
  <c r="H809" i="76"/>
  <c r="N809" i="76"/>
  <c r="I809" i="76"/>
  <c r="O809" i="76"/>
  <c r="J809" i="76"/>
  <c r="P809" i="76"/>
  <c r="K809" i="76"/>
  <c r="Q809" i="76"/>
  <c r="L809" i="76"/>
  <c r="G809" i="76"/>
  <c r="M809" i="76"/>
  <c r="AO809" i="76"/>
  <c r="AJ809" i="76"/>
  <c r="AP809" i="76"/>
  <c r="AK809" i="76"/>
  <c r="AF809" i="76"/>
  <c r="AL809" i="76"/>
  <c r="AG809" i="76"/>
  <c r="AM809" i="76"/>
  <c r="AH809" i="76"/>
  <c r="AN809" i="76"/>
  <c r="AI809" i="76"/>
  <c r="B810" i="76"/>
  <c r="AD810" i="76"/>
  <c r="A810" i="76"/>
  <c r="E810" i="76"/>
  <c r="D810" i="76"/>
  <c r="AR811" i="76"/>
  <c r="C810" i="76"/>
  <c r="AE810" i="76"/>
  <c r="F811" i="76" l="1"/>
  <c r="R811" i="76"/>
  <c r="Z810" i="76"/>
  <c r="U810" i="76"/>
  <c r="AA810" i="76"/>
  <c r="V810" i="76"/>
  <c r="AB810" i="76"/>
  <c r="W810" i="76"/>
  <c r="AC810" i="76"/>
  <c r="X810" i="76"/>
  <c r="S810" i="76"/>
  <c r="Y810" i="76"/>
  <c r="T810" i="76"/>
  <c r="K810" i="76"/>
  <c r="Q810" i="76"/>
  <c r="L810" i="76"/>
  <c r="G810" i="76"/>
  <c r="M810" i="76"/>
  <c r="H810" i="76"/>
  <c r="N810" i="76"/>
  <c r="I810" i="76"/>
  <c r="O810" i="76"/>
  <c r="J810" i="76"/>
  <c r="P810" i="76"/>
  <c r="AP810" i="76"/>
  <c r="AK810" i="76"/>
  <c r="AF810" i="76"/>
  <c r="AL810" i="76"/>
  <c r="AG810" i="76"/>
  <c r="AM810" i="76"/>
  <c r="AH810" i="76"/>
  <c r="AN810" i="76"/>
  <c r="AI810" i="76"/>
  <c r="AO810" i="76"/>
  <c r="AJ810" i="76"/>
  <c r="AR812" i="76"/>
  <c r="E811" i="76"/>
  <c r="AE811" i="76"/>
  <c r="D811" i="76"/>
  <c r="C811" i="76"/>
  <c r="B811" i="76"/>
  <c r="A811" i="76"/>
  <c r="AD811" i="76"/>
  <c r="F812" i="76" l="1"/>
  <c r="R812" i="76"/>
  <c r="Q811" i="76"/>
  <c r="H811" i="76"/>
  <c r="G811" i="76"/>
  <c r="M811" i="76"/>
  <c r="K811" i="76"/>
  <c r="N811" i="76"/>
  <c r="I811" i="76"/>
  <c r="L811" i="76"/>
  <c r="J811" i="76"/>
  <c r="P811" i="76"/>
  <c r="O811" i="76"/>
  <c r="AA811" i="76"/>
  <c r="V811" i="76"/>
  <c r="AB811" i="76"/>
  <c r="W811" i="76"/>
  <c r="AC811" i="76"/>
  <c r="X811" i="76"/>
  <c r="S811" i="76"/>
  <c r="Y811" i="76"/>
  <c r="T811" i="76"/>
  <c r="Z811" i="76"/>
  <c r="U811" i="76"/>
  <c r="AL811" i="76"/>
  <c r="AG811" i="76"/>
  <c r="AJ811" i="76"/>
  <c r="AH811" i="76"/>
  <c r="AN811" i="76"/>
  <c r="AM811" i="76"/>
  <c r="AO811" i="76"/>
  <c r="AF811" i="76"/>
  <c r="AP811" i="76"/>
  <c r="AK811" i="76"/>
  <c r="AI811" i="76"/>
  <c r="E812" i="76"/>
  <c r="AR813" i="76"/>
  <c r="A812" i="76"/>
  <c r="AD812" i="76"/>
  <c r="C812" i="76"/>
  <c r="B812" i="76"/>
  <c r="AE812" i="76"/>
  <c r="D812" i="76"/>
  <c r="F813" i="76" l="1"/>
  <c r="R813" i="76"/>
  <c r="D813" i="76"/>
  <c r="C813" i="76"/>
  <c r="AR814" i="76"/>
  <c r="B813" i="76"/>
  <c r="AD813" i="76"/>
  <c r="A813" i="76"/>
  <c r="AE813" i="76"/>
  <c r="E813" i="76"/>
  <c r="K812" i="76"/>
  <c r="Q812" i="76"/>
  <c r="P812" i="76"/>
  <c r="G812" i="76"/>
  <c r="I812" i="76"/>
  <c r="H812" i="76"/>
  <c r="N812" i="76"/>
  <c r="L812" i="76"/>
  <c r="O812" i="76"/>
  <c r="J812" i="76"/>
  <c r="M812" i="76"/>
  <c r="AL812" i="76"/>
  <c r="AG812" i="76"/>
  <c r="AM812" i="76"/>
  <c r="AH812" i="76"/>
  <c r="AN812" i="76"/>
  <c r="AI812" i="76"/>
  <c r="AO812" i="76"/>
  <c r="AJ812" i="76"/>
  <c r="AP812" i="76"/>
  <c r="AK812" i="76"/>
  <c r="AF812" i="76"/>
  <c r="U812" i="76"/>
  <c r="AA812" i="76"/>
  <c r="V812" i="76"/>
  <c r="AB812" i="76"/>
  <c r="W812" i="76"/>
  <c r="AC812" i="76"/>
  <c r="X812" i="76"/>
  <c r="S812" i="76"/>
  <c r="Y812" i="76"/>
  <c r="T812" i="76"/>
  <c r="Z812" i="76"/>
  <c r="F814" i="76" l="1"/>
  <c r="R814" i="76"/>
  <c r="AA813" i="76"/>
  <c r="V813" i="76"/>
  <c r="AB813" i="76"/>
  <c r="W813" i="76"/>
  <c r="AC813" i="76"/>
  <c r="X813" i="76"/>
  <c r="S813" i="76"/>
  <c r="Y813" i="76"/>
  <c r="T813" i="76"/>
  <c r="Z813" i="76"/>
  <c r="U813" i="76"/>
  <c r="AJ813" i="76"/>
  <c r="AP813" i="76"/>
  <c r="AK813" i="76"/>
  <c r="AF813" i="76"/>
  <c r="AL813" i="76"/>
  <c r="AG813" i="76"/>
  <c r="AM813" i="76"/>
  <c r="AH813" i="76"/>
  <c r="AN813" i="76"/>
  <c r="AI813" i="76"/>
  <c r="AO813" i="76"/>
  <c r="H813" i="76"/>
  <c r="N813" i="76"/>
  <c r="I813" i="76"/>
  <c r="O813" i="76"/>
  <c r="J813" i="76"/>
  <c r="P813" i="76"/>
  <c r="K813" i="76"/>
  <c r="Q813" i="76"/>
  <c r="L813" i="76"/>
  <c r="G813" i="76"/>
  <c r="M813" i="76"/>
  <c r="C814" i="76"/>
  <c r="B814" i="76"/>
  <c r="AR815" i="76"/>
  <c r="A814" i="76"/>
  <c r="AE814" i="76"/>
  <c r="E814" i="76"/>
  <c r="AD814" i="76"/>
  <c r="D814" i="76"/>
  <c r="F815" i="76" l="1"/>
  <c r="R815" i="76"/>
  <c r="AG814" i="76"/>
  <c r="AI814" i="76"/>
  <c r="AH814" i="76"/>
  <c r="AN814" i="76"/>
  <c r="AL814" i="76"/>
  <c r="AO814" i="76"/>
  <c r="AJ814" i="76"/>
  <c r="AM814" i="76"/>
  <c r="AK814" i="76"/>
  <c r="AF814" i="76"/>
  <c r="AP814" i="76"/>
  <c r="AR816" i="76"/>
  <c r="B815" i="76"/>
  <c r="AE815" i="76"/>
  <c r="A815" i="76"/>
  <c r="E815" i="76"/>
  <c r="D815" i="76"/>
  <c r="C815" i="76"/>
  <c r="AD815" i="76"/>
  <c r="Y814" i="76"/>
  <c r="T814" i="76"/>
  <c r="Z814" i="76"/>
  <c r="U814" i="76"/>
  <c r="AA814" i="76"/>
  <c r="V814" i="76"/>
  <c r="AB814" i="76"/>
  <c r="W814" i="76"/>
  <c r="AC814" i="76"/>
  <c r="X814" i="76"/>
  <c r="S814" i="76"/>
  <c r="P814" i="76"/>
  <c r="K814" i="76"/>
  <c r="Q814" i="76"/>
  <c r="L814" i="76"/>
  <c r="G814" i="76"/>
  <c r="M814" i="76"/>
  <c r="H814" i="76"/>
  <c r="N814" i="76"/>
  <c r="I814" i="76"/>
  <c r="O814" i="76"/>
  <c r="J814" i="76"/>
  <c r="F816" i="76" l="1"/>
  <c r="R816" i="76"/>
  <c r="Q815" i="76"/>
  <c r="L815" i="76"/>
  <c r="G815" i="76"/>
  <c r="M815" i="76"/>
  <c r="H815" i="76"/>
  <c r="N815" i="76"/>
  <c r="I815" i="76"/>
  <c r="O815" i="76"/>
  <c r="J815" i="76"/>
  <c r="P815" i="76"/>
  <c r="K815" i="76"/>
  <c r="Y815" i="76"/>
  <c r="T815" i="76"/>
  <c r="Z815" i="76"/>
  <c r="U815" i="76"/>
  <c r="AA815" i="76"/>
  <c r="V815" i="76"/>
  <c r="AB815" i="76"/>
  <c r="W815" i="76"/>
  <c r="AC815" i="76"/>
  <c r="X815" i="76"/>
  <c r="S815" i="76"/>
  <c r="AJ815" i="76"/>
  <c r="AP815" i="76"/>
  <c r="AO815" i="76"/>
  <c r="AF815" i="76"/>
  <c r="AH815" i="76"/>
  <c r="AG815" i="76"/>
  <c r="AM815" i="76"/>
  <c r="AK815" i="76"/>
  <c r="AN815" i="76"/>
  <c r="AI815" i="76"/>
  <c r="AL815" i="76"/>
  <c r="A816" i="76"/>
  <c r="AR817" i="76"/>
  <c r="B816" i="76"/>
  <c r="AD816" i="76"/>
  <c r="C816" i="76"/>
  <c r="AE816" i="76"/>
  <c r="E816" i="76"/>
  <c r="D816" i="76"/>
  <c r="F817" i="76" l="1"/>
  <c r="R817" i="76"/>
  <c r="Z816" i="76"/>
  <c r="U816" i="76"/>
  <c r="AA816" i="76"/>
  <c r="V816" i="76"/>
  <c r="AB816" i="76"/>
  <c r="W816" i="76"/>
  <c r="AC816" i="76"/>
  <c r="X816" i="76"/>
  <c r="S816" i="76"/>
  <c r="Y816" i="76"/>
  <c r="T816" i="76"/>
  <c r="AR818" i="76"/>
  <c r="AD817" i="76"/>
  <c r="A817" i="76"/>
  <c r="E817" i="76"/>
  <c r="C817" i="76"/>
  <c r="D817" i="76"/>
  <c r="B817" i="76"/>
  <c r="AE817" i="76"/>
  <c r="AL816" i="76"/>
  <c r="AG816" i="76"/>
  <c r="AM816" i="76"/>
  <c r="AH816" i="76"/>
  <c r="AN816" i="76"/>
  <c r="AI816" i="76"/>
  <c r="AO816" i="76"/>
  <c r="AJ816" i="76"/>
  <c r="AP816" i="76"/>
  <c r="AK816" i="76"/>
  <c r="AF816" i="76"/>
  <c r="O816" i="76"/>
  <c r="J816" i="76"/>
  <c r="M816" i="76"/>
  <c r="K816" i="76"/>
  <c r="Q816" i="76"/>
  <c r="P816" i="76"/>
  <c r="G816" i="76"/>
  <c r="I816" i="76"/>
  <c r="H816" i="76"/>
  <c r="N816" i="76"/>
  <c r="L816" i="76"/>
  <c r="F818" i="76" l="1"/>
  <c r="R818" i="76"/>
  <c r="O817" i="76"/>
  <c r="J817" i="76"/>
  <c r="P817" i="76"/>
  <c r="K817" i="76"/>
  <c r="Q817" i="76"/>
  <c r="L817" i="76"/>
  <c r="G817" i="76"/>
  <c r="M817" i="76"/>
  <c r="H817" i="76"/>
  <c r="N817" i="76"/>
  <c r="I817" i="76"/>
  <c r="V817" i="76"/>
  <c r="X817" i="76"/>
  <c r="T817" i="76"/>
  <c r="AC817" i="76"/>
  <c r="AA817" i="76"/>
  <c r="W817" i="76"/>
  <c r="Y817" i="76"/>
  <c r="S817" i="76"/>
  <c r="Z817" i="76"/>
  <c r="U817" i="76"/>
  <c r="AB817" i="76"/>
  <c r="E818" i="76"/>
  <c r="D818" i="76"/>
  <c r="AR819" i="76"/>
  <c r="C818" i="76"/>
  <c r="AE818" i="76"/>
  <c r="B818" i="76"/>
  <c r="AD818" i="76"/>
  <c r="A818" i="76"/>
  <c r="AH817" i="76"/>
  <c r="AN817" i="76"/>
  <c r="AI817" i="76"/>
  <c r="AO817" i="76"/>
  <c r="AJ817" i="76"/>
  <c r="AP817" i="76"/>
  <c r="AK817" i="76"/>
  <c r="AF817" i="76"/>
  <c r="AL817" i="76"/>
  <c r="AG817" i="76"/>
  <c r="AM817" i="76"/>
  <c r="F819" i="76" l="1"/>
  <c r="R819" i="76"/>
  <c r="AA818" i="76"/>
  <c r="V818" i="76"/>
  <c r="AB818" i="76"/>
  <c r="W818" i="76"/>
  <c r="AC818" i="76"/>
  <c r="X818" i="76"/>
  <c r="S818" i="76"/>
  <c r="Y818" i="76"/>
  <c r="T818" i="76"/>
  <c r="Z818" i="76"/>
  <c r="U818" i="76"/>
  <c r="G818" i="76"/>
  <c r="M818" i="76"/>
  <c r="H818" i="76"/>
  <c r="N818" i="76"/>
  <c r="I818" i="76"/>
  <c r="O818" i="76"/>
  <c r="J818" i="76"/>
  <c r="P818" i="76"/>
  <c r="K818" i="76"/>
  <c r="Q818" i="76"/>
  <c r="L818" i="76"/>
  <c r="AN818" i="76"/>
  <c r="AI818" i="76"/>
  <c r="AO818" i="76"/>
  <c r="AJ818" i="76"/>
  <c r="AP818" i="76"/>
  <c r="AK818" i="76"/>
  <c r="AF818" i="76"/>
  <c r="AL818" i="76"/>
  <c r="AG818" i="76"/>
  <c r="AM818" i="76"/>
  <c r="AH818" i="76"/>
  <c r="AR820" i="76"/>
  <c r="D819" i="76"/>
  <c r="AD819" i="76"/>
  <c r="B819" i="76"/>
  <c r="E819" i="76"/>
  <c r="C819" i="76"/>
  <c r="A819" i="76"/>
  <c r="AE819" i="76"/>
  <c r="F820" i="76" l="1"/>
  <c r="R820" i="76"/>
  <c r="AB819" i="76"/>
  <c r="W819" i="76"/>
  <c r="AC819" i="76"/>
  <c r="X819" i="76"/>
  <c r="S819" i="76"/>
  <c r="Y819" i="76"/>
  <c r="T819" i="76"/>
  <c r="Z819" i="76"/>
  <c r="U819" i="76"/>
  <c r="AA819" i="76"/>
  <c r="V819" i="76"/>
  <c r="D820" i="76"/>
  <c r="C820" i="76"/>
  <c r="B820" i="76"/>
  <c r="AE820" i="76"/>
  <c r="AR821" i="76"/>
  <c r="A820" i="76"/>
  <c r="AD820" i="76"/>
  <c r="E820" i="76"/>
  <c r="AO819" i="76"/>
  <c r="AM819" i="76"/>
  <c r="AP819" i="76"/>
  <c r="AK819" i="76"/>
  <c r="AN819" i="76"/>
  <c r="AL819" i="76"/>
  <c r="AG819" i="76"/>
  <c r="AF819" i="76"/>
  <c r="AH819" i="76"/>
  <c r="AJ819" i="76"/>
  <c r="AI819" i="76"/>
  <c r="O819" i="76"/>
  <c r="Q819" i="76"/>
  <c r="P819" i="76"/>
  <c r="K819" i="76"/>
  <c r="I819" i="76"/>
  <c r="L819" i="76"/>
  <c r="G819" i="76"/>
  <c r="J819" i="76"/>
  <c r="H819" i="76"/>
  <c r="N819" i="76"/>
  <c r="M819" i="76"/>
  <c r="F821" i="76" l="1"/>
  <c r="R821" i="76"/>
  <c r="AP820" i="76"/>
  <c r="AK820" i="76"/>
  <c r="AF820" i="76"/>
  <c r="AL820" i="76"/>
  <c r="AG820" i="76"/>
  <c r="AM820" i="76"/>
  <c r="AH820" i="76"/>
  <c r="AN820" i="76"/>
  <c r="AI820" i="76"/>
  <c r="AO820" i="76"/>
  <c r="AJ820" i="76"/>
  <c r="AB820" i="76"/>
  <c r="W820" i="76"/>
  <c r="AC820" i="76"/>
  <c r="X820" i="76"/>
  <c r="S820" i="76"/>
  <c r="Y820" i="76"/>
  <c r="T820" i="76"/>
  <c r="Z820" i="76"/>
  <c r="U820" i="76"/>
  <c r="AA820" i="76"/>
  <c r="V820" i="76"/>
  <c r="AR822" i="76"/>
  <c r="E821" i="76"/>
  <c r="AE821" i="76"/>
  <c r="D821" i="76"/>
  <c r="C821" i="76"/>
  <c r="B821" i="76"/>
  <c r="A821" i="76"/>
  <c r="AD821" i="76"/>
  <c r="K820" i="76"/>
  <c r="Q820" i="76"/>
  <c r="P820" i="76"/>
  <c r="G820" i="76"/>
  <c r="I820" i="76"/>
  <c r="H820" i="76"/>
  <c r="N820" i="76"/>
  <c r="L820" i="76"/>
  <c r="O820" i="76"/>
  <c r="J820" i="76"/>
  <c r="M820" i="76"/>
  <c r="F822" i="76" l="1"/>
  <c r="R822" i="76"/>
  <c r="H821" i="76"/>
  <c r="N821" i="76"/>
  <c r="I821" i="76"/>
  <c r="L821" i="76"/>
  <c r="G821" i="76"/>
  <c r="P821" i="76"/>
  <c r="K821" i="76"/>
  <c r="Q821" i="76"/>
  <c r="M821" i="76"/>
  <c r="O821" i="76"/>
  <c r="J821" i="76"/>
  <c r="Y821" i="76"/>
  <c r="T821" i="76"/>
  <c r="Z821" i="76"/>
  <c r="X821" i="76"/>
  <c r="AC821" i="76"/>
  <c r="V821" i="76"/>
  <c r="AB821" i="76"/>
  <c r="W821" i="76"/>
  <c r="U821" i="76"/>
  <c r="S821" i="76"/>
  <c r="AA821" i="76"/>
  <c r="AJ821" i="76"/>
  <c r="AP821" i="76"/>
  <c r="AK821" i="76"/>
  <c r="AF821" i="76"/>
  <c r="AL821" i="76"/>
  <c r="AG821" i="76"/>
  <c r="AM821" i="76"/>
  <c r="AH821" i="76"/>
  <c r="AN821" i="76"/>
  <c r="AI821" i="76"/>
  <c r="AO821" i="76"/>
  <c r="D822" i="76"/>
  <c r="C822" i="76"/>
  <c r="AD822" i="76"/>
  <c r="B822" i="76"/>
  <c r="AR823" i="76"/>
  <c r="A822" i="76"/>
  <c r="AE822" i="76"/>
  <c r="E822" i="76"/>
  <c r="F823" i="76" l="1"/>
  <c r="R823" i="76"/>
  <c r="M822" i="76"/>
  <c r="H822" i="76"/>
  <c r="N822" i="76"/>
  <c r="I822" i="76"/>
  <c r="O822" i="76"/>
  <c r="J822" i="76"/>
  <c r="P822" i="76"/>
  <c r="K822" i="76"/>
  <c r="Q822" i="76"/>
  <c r="L822" i="76"/>
  <c r="G822" i="76"/>
  <c r="AL822" i="76"/>
  <c r="AJ822" i="76"/>
  <c r="AM822" i="76"/>
  <c r="AH822" i="76"/>
  <c r="AK822" i="76"/>
  <c r="AI822" i="76"/>
  <c r="AO822" i="76"/>
  <c r="AN822" i="76"/>
  <c r="AP822" i="76"/>
  <c r="AG822" i="76"/>
  <c r="AF822" i="76"/>
  <c r="AR824" i="76"/>
  <c r="AD823" i="76"/>
  <c r="D823" i="76"/>
  <c r="B823" i="76"/>
  <c r="E823" i="76"/>
  <c r="C823" i="76"/>
  <c r="A823" i="76"/>
  <c r="AE823" i="76"/>
  <c r="U822" i="76"/>
  <c r="AA822" i="76"/>
  <c r="V822" i="76"/>
  <c r="AB822" i="76"/>
  <c r="W822" i="76"/>
  <c r="AC822" i="76"/>
  <c r="X822" i="76"/>
  <c r="S822" i="76"/>
  <c r="Y822" i="76"/>
  <c r="T822" i="76"/>
  <c r="Z822" i="76"/>
  <c r="F824" i="76" l="1"/>
  <c r="R824" i="76"/>
  <c r="AN823" i="76"/>
  <c r="AI823" i="76"/>
  <c r="AP823" i="76"/>
  <c r="AJ823" i="76"/>
  <c r="AL823" i="76"/>
  <c r="AH823" i="76"/>
  <c r="AF823" i="76"/>
  <c r="AO823" i="76"/>
  <c r="AK823" i="76"/>
  <c r="AM823" i="76"/>
  <c r="AG823" i="76"/>
  <c r="M823" i="76"/>
  <c r="H823" i="76"/>
  <c r="N823" i="76"/>
  <c r="I823" i="76"/>
  <c r="O823" i="76"/>
  <c r="J823" i="76"/>
  <c r="P823" i="76"/>
  <c r="K823" i="76"/>
  <c r="Q823" i="76"/>
  <c r="L823" i="76"/>
  <c r="G823" i="76"/>
  <c r="Y823" i="76"/>
  <c r="T823" i="76"/>
  <c r="Z823" i="76"/>
  <c r="U823" i="76"/>
  <c r="AA823" i="76"/>
  <c r="V823" i="76"/>
  <c r="AB823" i="76"/>
  <c r="W823" i="76"/>
  <c r="AC823" i="76"/>
  <c r="X823" i="76"/>
  <c r="S823" i="76"/>
  <c r="AR825" i="76"/>
  <c r="C824" i="76"/>
  <c r="AE824" i="76"/>
  <c r="B824" i="76"/>
  <c r="A824" i="76"/>
  <c r="E824" i="76"/>
  <c r="D824" i="76"/>
  <c r="AD824" i="76"/>
  <c r="F825" i="76" l="1"/>
  <c r="R825" i="76"/>
  <c r="G824" i="76"/>
  <c r="I824" i="76"/>
  <c r="H824" i="76"/>
  <c r="N824" i="76"/>
  <c r="L824" i="76"/>
  <c r="O824" i="76"/>
  <c r="J824" i="76"/>
  <c r="M824" i="76"/>
  <c r="K824" i="76"/>
  <c r="Q824" i="76"/>
  <c r="P824" i="76"/>
  <c r="Z824" i="76"/>
  <c r="U824" i="76"/>
  <c r="AA824" i="76"/>
  <c r="V824" i="76"/>
  <c r="AB824" i="76"/>
  <c r="W824" i="76"/>
  <c r="AC824" i="76"/>
  <c r="X824" i="76"/>
  <c r="S824" i="76"/>
  <c r="Y824" i="76"/>
  <c r="T824" i="76"/>
  <c r="AI824" i="76"/>
  <c r="AO824" i="76"/>
  <c r="AJ824" i="76"/>
  <c r="AP824" i="76"/>
  <c r="AK824" i="76"/>
  <c r="AF824" i="76"/>
  <c r="AL824" i="76"/>
  <c r="AG824" i="76"/>
  <c r="AM824" i="76"/>
  <c r="AH824" i="76"/>
  <c r="AN824" i="76"/>
  <c r="C825" i="76"/>
  <c r="AR826" i="76"/>
  <c r="D825" i="76"/>
  <c r="AD825" i="76"/>
  <c r="E825" i="76"/>
  <c r="AE825" i="76"/>
  <c r="B825" i="76"/>
  <c r="A825" i="76"/>
  <c r="F826" i="76" l="1"/>
  <c r="R826" i="76"/>
  <c r="AA825" i="76"/>
  <c r="Y825" i="76"/>
  <c r="AB825" i="76"/>
  <c r="W825" i="76"/>
  <c r="Z825" i="76"/>
  <c r="X825" i="76"/>
  <c r="S825" i="76"/>
  <c r="AC825" i="76"/>
  <c r="T825" i="76"/>
  <c r="V825" i="76"/>
  <c r="U825" i="76"/>
  <c r="B826" i="76"/>
  <c r="AD826" i="76"/>
  <c r="A826" i="76"/>
  <c r="E826" i="76"/>
  <c r="D826" i="76"/>
  <c r="AR827" i="76"/>
  <c r="C826" i="76"/>
  <c r="AE826" i="76"/>
  <c r="AO825" i="76"/>
  <c r="AJ825" i="76"/>
  <c r="AP825" i="76"/>
  <c r="AK825" i="76"/>
  <c r="AF825" i="76"/>
  <c r="AL825" i="76"/>
  <c r="AG825" i="76"/>
  <c r="AM825" i="76"/>
  <c r="AH825" i="76"/>
  <c r="AN825" i="76"/>
  <c r="AI825" i="76"/>
  <c r="P825" i="76"/>
  <c r="K825" i="76"/>
  <c r="Q825" i="76"/>
  <c r="L825" i="76"/>
  <c r="G825" i="76"/>
  <c r="M825" i="76"/>
  <c r="H825" i="76"/>
  <c r="N825" i="76"/>
  <c r="I825" i="76"/>
  <c r="O825" i="76"/>
  <c r="J825" i="76"/>
  <c r="F827" i="76" l="1"/>
  <c r="R827" i="76"/>
  <c r="Z826" i="76"/>
  <c r="U826" i="76"/>
  <c r="AA826" i="76"/>
  <c r="V826" i="76"/>
  <c r="AB826" i="76"/>
  <c r="W826" i="76"/>
  <c r="AC826" i="76"/>
  <c r="X826" i="76"/>
  <c r="S826" i="76"/>
  <c r="Y826" i="76"/>
  <c r="T826" i="76"/>
  <c r="K826" i="76"/>
  <c r="Q826" i="76"/>
  <c r="L826" i="76"/>
  <c r="G826" i="76"/>
  <c r="M826" i="76"/>
  <c r="H826" i="76"/>
  <c r="N826" i="76"/>
  <c r="I826" i="76"/>
  <c r="O826" i="76"/>
  <c r="J826" i="76"/>
  <c r="P826" i="76"/>
  <c r="AG826" i="76"/>
  <c r="AM826" i="76"/>
  <c r="AH826" i="76"/>
  <c r="AN826" i="76"/>
  <c r="AI826" i="76"/>
  <c r="AO826" i="76"/>
  <c r="AJ826" i="76"/>
  <c r="AP826" i="76"/>
  <c r="AK826" i="76"/>
  <c r="AF826" i="76"/>
  <c r="AL826" i="76"/>
  <c r="AE827" i="76"/>
  <c r="C827" i="76"/>
  <c r="A827" i="76"/>
  <c r="B827" i="76"/>
  <c r="E827" i="76"/>
  <c r="AR828" i="76"/>
  <c r="D827" i="76"/>
  <c r="AD827" i="76"/>
  <c r="F828" i="76" l="1"/>
  <c r="R828" i="76"/>
  <c r="AO827" i="76"/>
  <c r="AF827" i="76"/>
  <c r="AP827" i="76"/>
  <c r="AK827" i="76"/>
  <c r="AI827" i="76"/>
  <c r="AL827" i="76"/>
  <c r="AG827" i="76"/>
  <c r="AJ827" i="76"/>
  <c r="AH827" i="76"/>
  <c r="AN827" i="76"/>
  <c r="AM827" i="76"/>
  <c r="M827" i="76"/>
  <c r="G827" i="76"/>
  <c r="N827" i="76"/>
  <c r="I827" i="76"/>
  <c r="P827" i="76"/>
  <c r="J827" i="76"/>
  <c r="L827" i="76"/>
  <c r="H827" i="76"/>
  <c r="Q827" i="76"/>
  <c r="O827" i="76"/>
  <c r="K827" i="76"/>
  <c r="AR829" i="76"/>
  <c r="A828" i="76"/>
  <c r="AD828" i="76"/>
  <c r="E828" i="76"/>
  <c r="D828" i="76"/>
  <c r="C828" i="76"/>
  <c r="B828" i="76"/>
  <c r="AE828" i="76"/>
  <c r="AB827" i="76"/>
  <c r="W827" i="76"/>
  <c r="AC827" i="76"/>
  <c r="X827" i="76"/>
  <c r="S827" i="76"/>
  <c r="Y827" i="76"/>
  <c r="T827" i="76"/>
  <c r="Z827" i="76"/>
  <c r="U827" i="76"/>
  <c r="AA827" i="76"/>
  <c r="V827" i="76"/>
  <c r="F829" i="76" l="1"/>
  <c r="R829" i="76"/>
  <c r="N828" i="76"/>
  <c r="L828" i="76"/>
  <c r="O828" i="76"/>
  <c r="J828" i="76"/>
  <c r="M828" i="76"/>
  <c r="K828" i="76"/>
  <c r="Q828" i="76"/>
  <c r="P828" i="76"/>
  <c r="G828" i="76"/>
  <c r="I828" i="76"/>
  <c r="H828" i="76"/>
  <c r="AB828" i="76"/>
  <c r="W828" i="76"/>
  <c r="AC828" i="76"/>
  <c r="X828" i="76"/>
  <c r="S828" i="76"/>
  <c r="Y828" i="76"/>
  <c r="T828" i="76"/>
  <c r="Z828" i="76"/>
  <c r="U828" i="76"/>
  <c r="AA828" i="76"/>
  <c r="V828" i="76"/>
  <c r="AM828" i="76"/>
  <c r="AH828" i="76"/>
  <c r="AN828" i="76"/>
  <c r="AI828" i="76"/>
  <c r="AO828" i="76"/>
  <c r="AJ828" i="76"/>
  <c r="AP828" i="76"/>
  <c r="AK828" i="76"/>
  <c r="AF828" i="76"/>
  <c r="AL828" i="76"/>
  <c r="AG828" i="76"/>
  <c r="AR830" i="76"/>
  <c r="B829" i="76"/>
  <c r="AE829" i="76"/>
  <c r="A829" i="76"/>
  <c r="E829" i="76"/>
  <c r="D829" i="76"/>
  <c r="C829" i="76"/>
  <c r="AD829" i="76"/>
  <c r="F830" i="76" l="1"/>
  <c r="R830" i="76"/>
  <c r="H829" i="76"/>
  <c r="N829" i="76"/>
  <c r="I829" i="76"/>
  <c r="O829" i="76"/>
  <c r="J829" i="76"/>
  <c r="P829" i="76"/>
  <c r="K829" i="76"/>
  <c r="Q829" i="76"/>
  <c r="L829" i="76"/>
  <c r="G829" i="76"/>
  <c r="M829" i="76"/>
  <c r="AA829" i="76"/>
  <c r="V829" i="76"/>
  <c r="AB829" i="76"/>
  <c r="W829" i="76"/>
  <c r="AC829" i="76"/>
  <c r="X829" i="76"/>
  <c r="S829" i="76"/>
  <c r="Y829" i="76"/>
  <c r="T829" i="76"/>
  <c r="Z829" i="76"/>
  <c r="U829" i="76"/>
  <c r="AJ829" i="76"/>
  <c r="AP829" i="76"/>
  <c r="AK829" i="76"/>
  <c r="AF829" i="76"/>
  <c r="AL829" i="76"/>
  <c r="AG829" i="76"/>
  <c r="AM829" i="76"/>
  <c r="AH829" i="76"/>
  <c r="AN829" i="76"/>
  <c r="AI829" i="76"/>
  <c r="AO829" i="76"/>
  <c r="A830" i="76"/>
  <c r="D830" i="76"/>
  <c r="B830" i="76"/>
  <c r="AR831" i="76"/>
  <c r="AD830" i="76"/>
  <c r="AE830" i="76"/>
  <c r="E830" i="76"/>
  <c r="C830" i="76"/>
  <c r="F831" i="76" l="1"/>
  <c r="R831" i="76"/>
  <c r="U830" i="76"/>
  <c r="AA830" i="76"/>
  <c r="V830" i="76"/>
  <c r="AB830" i="76"/>
  <c r="W830" i="76"/>
  <c r="AC830" i="76"/>
  <c r="X830" i="76"/>
  <c r="S830" i="76"/>
  <c r="Y830" i="76"/>
  <c r="T830" i="76"/>
  <c r="Z830" i="76"/>
  <c r="M830" i="76"/>
  <c r="H830" i="76"/>
  <c r="N830" i="76"/>
  <c r="I830" i="76"/>
  <c r="O830" i="76"/>
  <c r="J830" i="76"/>
  <c r="P830" i="76"/>
  <c r="K830" i="76"/>
  <c r="Q830" i="76"/>
  <c r="L830" i="76"/>
  <c r="G830" i="76"/>
  <c r="AN830" i="76"/>
  <c r="AP830" i="76"/>
  <c r="AO830" i="76"/>
  <c r="AJ830" i="76"/>
  <c r="AH830" i="76"/>
  <c r="AK830" i="76"/>
  <c r="AF830" i="76"/>
  <c r="AI830" i="76"/>
  <c r="AG830" i="76"/>
  <c r="AM830" i="76"/>
  <c r="AL830" i="76"/>
  <c r="A831" i="76"/>
  <c r="AE831" i="76"/>
  <c r="E831" i="76"/>
  <c r="C831" i="76"/>
  <c r="D831" i="76"/>
  <c r="B831" i="76"/>
  <c r="AR832" i="76"/>
  <c r="AD831" i="76"/>
  <c r="F832" i="76" l="1"/>
  <c r="R832" i="76"/>
  <c r="Y831" i="76"/>
  <c r="T831" i="76"/>
  <c r="Z831" i="76"/>
  <c r="U831" i="76"/>
  <c r="AA831" i="76"/>
  <c r="V831" i="76"/>
  <c r="AB831" i="76"/>
  <c r="W831" i="76"/>
  <c r="AC831" i="76"/>
  <c r="X831" i="76"/>
  <c r="S831" i="76"/>
  <c r="AJ831" i="76"/>
  <c r="AP831" i="76"/>
  <c r="AO831" i="76"/>
  <c r="AF831" i="76"/>
  <c r="AH831" i="76"/>
  <c r="AG831" i="76"/>
  <c r="AM831" i="76"/>
  <c r="AK831" i="76"/>
  <c r="AN831" i="76"/>
  <c r="AI831" i="76"/>
  <c r="AL831" i="76"/>
  <c r="Q831" i="76"/>
  <c r="L831" i="76"/>
  <c r="G831" i="76"/>
  <c r="M831" i="76"/>
  <c r="H831" i="76"/>
  <c r="N831" i="76"/>
  <c r="I831" i="76"/>
  <c r="O831" i="76"/>
  <c r="J831" i="76"/>
  <c r="P831" i="76"/>
  <c r="K831" i="76"/>
  <c r="AD832" i="76"/>
  <c r="B832" i="76"/>
  <c r="A832" i="76"/>
  <c r="E832" i="76"/>
  <c r="D832" i="76"/>
  <c r="AR833" i="76"/>
  <c r="C832" i="76"/>
  <c r="AE832" i="76"/>
  <c r="F833" i="76" l="1"/>
  <c r="R833" i="76"/>
  <c r="N832" i="76"/>
  <c r="L832" i="76"/>
  <c r="O832" i="76"/>
  <c r="J832" i="76"/>
  <c r="M832" i="76"/>
  <c r="K832" i="76"/>
  <c r="Q832" i="76"/>
  <c r="P832" i="76"/>
  <c r="G832" i="76"/>
  <c r="I832" i="76"/>
  <c r="H832" i="76"/>
  <c r="W832" i="76"/>
  <c r="AC832" i="76"/>
  <c r="X832" i="76"/>
  <c r="S832" i="76"/>
  <c r="Y832" i="76"/>
  <c r="T832" i="76"/>
  <c r="Z832" i="76"/>
  <c r="U832" i="76"/>
  <c r="AA832" i="76"/>
  <c r="V832" i="76"/>
  <c r="AB832" i="76"/>
  <c r="AP832" i="76"/>
  <c r="AK832" i="76"/>
  <c r="AF832" i="76"/>
  <c r="AL832" i="76"/>
  <c r="AG832" i="76"/>
  <c r="AM832" i="76"/>
  <c r="AH832" i="76"/>
  <c r="AN832" i="76"/>
  <c r="AI832" i="76"/>
  <c r="AO832" i="76"/>
  <c r="AJ832" i="76"/>
  <c r="A833" i="76"/>
  <c r="E833" i="76"/>
  <c r="C833" i="76"/>
  <c r="D833" i="76"/>
  <c r="B833" i="76"/>
  <c r="AR834" i="76"/>
  <c r="AD833" i="76"/>
  <c r="AE833" i="76"/>
  <c r="F834" i="76" l="1"/>
  <c r="R834" i="76"/>
  <c r="Y833" i="76"/>
  <c r="W833" i="76"/>
  <c r="Z833" i="76"/>
  <c r="U833" i="76"/>
  <c r="X833" i="76"/>
  <c r="V833" i="76"/>
  <c r="AB833" i="76"/>
  <c r="AA833" i="76"/>
  <c r="AC833" i="76"/>
  <c r="T833" i="76"/>
  <c r="S833" i="76"/>
  <c r="P833" i="76"/>
  <c r="K833" i="76"/>
  <c r="Q833" i="76"/>
  <c r="L833" i="76"/>
  <c r="G833" i="76"/>
  <c r="M833" i="76"/>
  <c r="H833" i="76"/>
  <c r="N833" i="76"/>
  <c r="I833" i="76"/>
  <c r="O833" i="76"/>
  <c r="J833" i="76"/>
  <c r="AO833" i="76"/>
  <c r="AJ833" i="76"/>
  <c r="AP833" i="76"/>
  <c r="AK833" i="76"/>
  <c r="AF833" i="76"/>
  <c r="AL833" i="76"/>
  <c r="AG833" i="76"/>
  <c r="AM833" i="76"/>
  <c r="AH833" i="76"/>
  <c r="AN833" i="76"/>
  <c r="AI833" i="76"/>
  <c r="E834" i="76"/>
  <c r="AD834" i="76"/>
  <c r="D834" i="76"/>
  <c r="C834" i="76"/>
  <c r="B834" i="76"/>
  <c r="AR835" i="76"/>
  <c r="A834" i="76"/>
  <c r="AE834" i="76"/>
  <c r="F835" i="76" l="1"/>
  <c r="R835" i="76"/>
  <c r="Z834" i="76"/>
  <c r="U834" i="76"/>
  <c r="AA834" i="76"/>
  <c r="V834" i="76"/>
  <c r="AB834" i="76"/>
  <c r="W834" i="76"/>
  <c r="AC834" i="76"/>
  <c r="X834" i="76"/>
  <c r="S834" i="76"/>
  <c r="Y834" i="76"/>
  <c r="T834" i="76"/>
  <c r="K834" i="76"/>
  <c r="Q834" i="76"/>
  <c r="L834" i="76"/>
  <c r="G834" i="76"/>
  <c r="M834" i="76"/>
  <c r="H834" i="76"/>
  <c r="N834" i="76"/>
  <c r="I834" i="76"/>
  <c r="O834" i="76"/>
  <c r="J834" i="76"/>
  <c r="P834" i="76"/>
  <c r="AG834" i="76"/>
  <c r="AM834" i="76"/>
  <c r="AH834" i="76"/>
  <c r="AN834" i="76"/>
  <c r="AI834" i="76"/>
  <c r="AO834" i="76"/>
  <c r="AJ834" i="76"/>
  <c r="AP834" i="76"/>
  <c r="AK834" i="76"/>
  <c r="AF834" i="76"/>
  <c r="AL834" i="76"/>
  <c r="AR836" i="76"/>
  <c r="E835" i="76"/>
  <c r="AE835" i="76"/>
  <c r="D835" i="76"/>
  <c r="C835" i="76"/>
  <c r="B835" i="76"/>
  <c r="A835" i="76"/>
  <c r="AD835" i="76"/>
  <c r="F836" i="76" l="1"/>
  <c r="R836" i="76"/>
  <c r="H835" i="76"/>
  <c r="J835" i="76"/>
  <c r="I835" i="76"/>
  <c r="O835" i="76"/>
  <c r="M835" i="76"/>
  <c r="P835" i="76"/>
  <c r="K835" i="76"/>
  <c r="N835" i="76"/>
  <c r="L835" i="76"/>
  <c r="G835" i="76"/>
  <c r="Q835" i="76"/>
  <c r="AA835" i="76"/>
  <c r="V835" i="76"/>
  <c r="AB835" i="76"/>
  <c r="W835" i="76"/>
  <c r="AC835" i="76"/>
  <c r="X835" i="76"/>
  <c r="S835" i="76"/>
  <c r="Y835" i="76"/>
  <c r="T835" i="76"/>
  <c r="Z835" i="76"/>
  <c r="U835" i="76"/>
  <c r="AL835" i="76"/>
  <c r="AG835" i="76"/>
  <c r="AF835" i="76"/>
  <c r="AH835" i="76"/>
  <c r="AJ835" i="76"/>
  <c r="AI835" i="76"/>
  <c r="AO835" i="76"/>
  <c r="AM835" i="76"/>
  <c r="AP835" i="76"/>
  <c r="AK835" i="76"/>
  <c r="AN835" i="76"/>
  <c r="E836" i="76"/>
  <c r="AR837" i="76"/>
  <c r="A836" i="76"/>
  <c r="AD836" i="76"/>
  <c r="C836" i="76"/>
  <c r="B836" i="76"/>
  <c r="AE836" i="76"/>
  <c r="D836" i="76"/>
  <c r="F837" i="76" l="1"/>
  <c r="R837" i="76"/>
  <c r="B837" i="76"/>
  <c r="A837" i="76"/>
  <c r="AR838" i="76"/>
  <c r="E837" i="76"/>
  <c r="AD837" i="76"/>
  <c r="D837" i="76"/>
  <c r="AE837" i="76"/>
  <c r="C837" i="76"/>
  <c r="K836" i="76"/>
  <c r="Q836" i="76"/>
  <c r="P836" i="76"/>
  <c r="G836" i="76"/>
  <c r="I836" i="76"/>
  <c r="H836" i="76"/>
  <c r="N836" i="76"/>
  <c r="L836" i="76"/>
  <c r="O836" i="76"/>
  <c r="J836" i="76"/>
  <c r="M836" i="76"/>
  <c r="AL836" i="76"/>
  <c r="AG836" i="76"/>
  <c r="AM836" i="76"/>
  <c r="AH836" i="76"/>
  <c r="AN836" i="76"/>
  <c r="AI836" i="76"/>
  <c r="AO836" i="76"/>
  <c r="AJ836" i="76"/>
  <c r="AP836" i="76"/>
  <c r="AK836" i="76"/>
  <c r="AF836" i="76"/>
  <c r="U836" i="76"/>
  <c r="AA836" i="76"/>
  <c r="V836" i="76"/>
  <c r="AB836" i="76"/>
  <c r="W836" i="76"/>
  <c r="AC836" i="76"/>
  <c r="X836" i="76"/>
  <c r="S836" i="76"/>
  <c r="Y836" i="76"/>
  <c r="T836" i="76"/>
  <c r="Z836" i="76"/>
  <c r="F838" i="76" l="1"/>
  <c r="R838" i="76"/>
  <c r="Y837" i="76"/>
  <c r="T837" i="76"/>
  <c r="Z837" i="76"/>
  <c r="U837" i="76"/>
  <c r="AA837" i="76"/>
  <c r="V837" i="76"/>
  <c r="AB837" i="76"/>
  <c r="W837" i="76"/>
  <c r="AC837" i="76"/>
  <c r="X837" i="76"/>
  <c r="S837" i="76"/>
  <c r="AJ837" i="76"/>
  <c r="AP837" i="76"/>
  <c r="AK837" i="76"/>
  <c r="AF837" i="76"/>
  <c r="AL837" i="76"/>
  <c r="AG837" i="76"/>
  <c r="AM837" i="76"/>
  <c r="AH837" i="76"/>
  <c r="AN837" i="76"/>
  <c r="AI837" i="76"/>
  <c r="AO837" i="76"/>
  <c r="H837" i="76"/>
  <c r="N837" i="76"/>
  <c r="I837" i="76"/>
  <c r="O837" i="76"/>
  <c r="J837" i="76"/>
  <c r="P837" i="76"/>
  <c r="K837" i="76"/>
  <c r="Q837" i="76"/>
  <c r="L837" i="76"/>
  <c r="G837" i="76"/>
  <c r="M837" i="76"/>
  <c r="C838" i="76"/>
  <c r="B838" i="76"/>
  <c r="D838" i="76"/>
  <c r="AR839" i="76"/>
  <c r="E838" i="76"/>
  <c r="AE838" i="76"/>
  <c r="AD838" i="76"/>
  <c r="A838" i="76"/>
  <c r="F839" i="76" l="1"/>
  <c r="R839" i="76"/>
  <c r="U838" i="76"/>
  <c r="AA838" i="76"/>
  <c r="V838" i="76"/>
  <c r="AB838" i="76"/>
  <c r="W838" i="76"/>
  <c r="AC838" i="76"/>
  <c r="X838" i="76"/>
  <c r="S838" i="76"/>
  <c r="Y838" i="76"/>
  <c r="T838" i="76"/>
  <c r="Z838" i="76"/>
  <c r="M838" i="76"/>
  <c r="H838" i="76"/>
  <c r="N838" i="76"/>
  <c r="I838" i="76"/>
  <c r="O838" i="76"/>
  <c r="J838" i="76"/>
  <c r="P838" i="76"/>
  <c r="K838" i="76"/>
  <c r="Q838" i="76"/>
  <c r="L838" i="76"/>
  <c r="G838" i="76"/>
  <c r="AL838" i="76"/>
  <c r="AF838" i="76"/>
  <c r="AM838" i="76"/>
  <c r="AH838" i="76"/>
  <c r="AO838" i="76"/>
  <c r="AI838" i="76"/>
  <c r="AK838" i="76"/>
  <c r="AG838" i="76"/>
  <c r="AP838" i="76"/>
  <c r="AN838" i="76"/>
  <c r="AJ838" i="76"/>
  <c r="AR840" i="76"/>
  <c r="B839" i="76"/>
  <c r="AE839" i="76"/>
  <c r="A839" i="76"/>
  <c r="E839" i="76"/>
  <c r="D839" i="76"/>
  <c r="C839" i="76"/>
  <c r="AD839" i="76"/>
  <c r="F840" i="76" l="1"/>
  <c r="R840" i="76"/>
  <c r="H839" i="76"/>
  <c r="N839" i="76"/>
  <c r="I839" i="76"/>
  <c r="O839" i="76"/>
  <c r="J839" i="76"/>
  <c r="P839" i="76"/>
  <c r="K839" i="76"/>
  <c r="Q839" i="76"/>
  <c r="L839" i="76"/>
  <c r="G839" i="76"/>
  <c r="M839" i="76"/>
  <c r="Y839" i="76"/>
  <c r="T839" i="76"/>
  <c r="Z839" i="76"/>
  <c r="U839" i="76"/>
  <c r="AA839" i="76"/>
  <c r="V839" i="76"/>
  <c r="AB839" i="76"/>
  <c r="W839" i="76"/>
  <c r="AC839" i="76"/>
  <c r="X839" i="76"/>
  <c r="S839" i="76"/>
  <c r="AJ839" i="76"/>
  <c r="AL839" i="76"/>
  <c r="AH839" i="76"/>
  <c r="AF839" i="76"/>
  <c r="AO839" i="76"/>
  <c r="AK839" i="76"/>
  <c r="AM839" i="76"/>
  <c r="AG839" i="76"/>
  <c r="AN839" i="76"/>
  <c r="AI839" i="76"/>
  <c r="AP839" i="76"/>
  <c r="A840" i="76"/>
  <c r="AR841" i="76"/>
  <c r="B840" i="76"/>
  <c r="AD840" i="76"/>
  <c r="C840" i="76"/>
  <c r="AE840" i="76"/>
  <c r="E840" i="76"/>
  <c r="D840" i="76"/>
  <c r="F841" i="76" l="1"/>
  <c r="R841" i="76"/>
  <c r="Z840" i="76"/>
  <c r="U840" i="76"/>
  <c r="AA840" i="76"/>
  <c r="V840" i="76"/>
  <c r="AB840" i="76"/>
  <c r="W840" i="76"/>
  <c r="AC840" i="76"/>
  <c r="X840" i="76"/>
  <c r="S840" i="76"/>
  <c r="Y840" i="76"/>
  <c r="T840" i="76"/>
  <c r="AR842" i="76"/>
  <c r="AD841" i="76"/>
  <c r="A841" i="76"/>
  <c r="E841" i="76"/>
  <c r="C841" i="76"/>
  <c r="D841" i="76"/>
  <c r="B841" i="76"/>
  <c r="AE841" i="76"/>
  <c r="AL840" i="76"/>
  <c r="AG840" i="76"/>
  <c r="AM840" i="76"/>
  <c r="AH840" i="76"/>
  <c r="AN840" i="76"/>
  <c r="AI840" i="76"/>
  <c r="AO840" i="76"/>
  <c r="AJ840" i="76"/>
  <c r="AP840" i="76"/>
  <c r="AK840" i="76"/>
  <c r="AF840" i="76"/>
  <c r="O840" i="76"/>
  <c r="J840" i="76"/>
  <c r="M840" i="76"/>
  <c r="K840" i="76"/>
  <c r="Q840" i="76"/>
  <c r="P840" i="76"/>
  <c r="G840" i="76"/>
  <c r="I840" i="76"/>
  <c r="H840" i="76"/>
  <c r="N840" i="76"/>
  <c r="L840" i="76"/>
  <c r="F842" i="76" l="1"/>
  <c r="R842" i="76"/>
  <c r="O841" i="76"/>
  <c r="J841" i="76"/>
  <c r="P841" i="76"/>
  <c r="K841" i="76"/>
  <c r="Q841" i="76"/>
  <c r="L841" i="76"/>
  <c r="G841" i="76"/>
  <c r="M841" i="76"/>
  <c r="H841" i="76"/>
  <c r="N841" i="76"/>
  <c r="I841" i="76"/>
  <c r="X841" i="76"/>
  <c r="S841" i="76"/>
  <c r="V841" i="76"/>
  <c r="T841" i="76"/>
  <c r="Z841" i="76"/>
  <c r="Y841" i="76"/>
  <c r="AA841" i="76"/>
  <c r="AC841" i="76"/>
  <c r="AB841" i="76"/>
  <c r="W841" i="76"/>
  <c r="U841" i="76"/>
  <c r="AD842" i="76"/>
  <c r="A842" i="76"/>
  <c r="AR843" i="76"/>
  <c r="E842" i="76"/>
  <c r="AE842" i="76"/>
  <c r="D842" i="76"/>
  <c r="C842" i="76"/>
  <c r="B842" i="76"/>
  <c r="AH841" i="76"/>
  <c r="AN841" i="76"/>
  <c r="AI841" i="76"/>
  <c r="AO841" i="76"/>
  <c r="AJ841" i="76"/>
  <c r="AP841" i="76"/>
  <c r="AK841" i="76"/>
  <c r="AF841" i="76"/>
  <c r="AL841" i="76"/>
  <c r="AG841" i="76"/>
  <c r="AM841" i="76"/>
  <c r="F843" i="76" l="1"/>
  <c r="R843" i="76"/>
  <c r="Z842" i="76"/>
  <c r="U842" i="76"/>
  <c r="AA842" i="76"/>
  <c r="V842" i="76"/>
  <c r="AB842" i="76"/>
  <c r="W842" i="76"/>
  <c r="AC842" i="76"/>
  <c r="X842" i="76"/>
  <c r="S842" i="76"/>
  <c r="Y842" i="76"/>
  <c r="T842" i="76"/>
  <c r="O842" i="76"/>
  <c r="J842" i="76"/>
  <c r="P842" i="76"/>
  <c r="K842" i="76"/>
  <c r="Q842" i="76"/>
  <c r="L842" i="76"/>
  <c r="G842" i="76"/>
  <c r="M842" i="76"/>
  <c r="H842" i="76"/>
  <c r="N842" i="76"/>
  <c r="I842" i="76"/>
  <c r="AI842" i="76"/>
  <c r="AO842" i="76"/>
  <c r="AJ842" i="76"/>
  <c r="AP842" i="76"/>
  <c r="AK842" i="76"/>
  <c r="AF842" i="76"/>
  <c r="AL842" i="76"/>
  <c r="AG842" i="76"/>
  <c r="AM842" i="76"/>
  <c r="AH842" i="76"/>
  <c r="AN842" i="76"/>
  <c r="D843" i="76"/>
  <c r="B843" i="76"/>
  <c r="AR844" i="76"/>
  <c r="AD843" i="76"/>
  <c r="A843" i="76"/>
  <c r="AE843" i="76"/>
  <c r="E843" i="76"/>
  <c r="C843" i="76"/>
  <c r="F844" i="76" l="1"/>
  <c r="R844" i="76"/>
  <c r="AR845" i="76"/>
  <c r="A844" i="76"/>
  <c r="AD844" i="76"/>
  <c r="E844" i="76"/>
  <c r="D844" i="76"/>
  <c r="C844" i="76"/>
  <c r="B844" i="76"/>
  <c r="AE844" i="76"/>
  <c r="AO843" i="76"/>
  <c r="AF843" i="76"/>
  <c r="AP843" i="76"/>
  <c r="AK843" i="76"/>
  <c r="AI843" i="76"/>
  <c r="AL843" i="76"/>
  <c r="AG843" i="76"/>
  <c r="AJ843" i="76"/>
  <c r="AH843" i="76"/>
  <c r="AN843" i="76"/>
  <c r="AM843" i="76"/>
  <c r="N843" i="76"/>
  <c r="I843" i="76"/>
  <c r="L843" i="76"/>
  <c r="J843" i="76"/>
  <c r="P843" i="76"/>
  <c r="O843" i="76"/>
  <c r="Q843" i="76"/>
  <c r="H843" i="76"/>
  <c r="G843" i="76"/>
  <c r="M843" i="76"/>
  <c r="K843" i="76"/>
  <c r="AA843" i="76"/>
  <c r="V843" i="76"/>
  <c r="AB843" i="76"/>
  <c r="W843" i="76"/>
  <c r="AC843" i="76"/>
  <c r="X843" i="76"/>
  <c r="S843" i="76"/>
  <c r="Y843" i="76"/>
  <c r="T843" i="76"/>
  <c r="Z843" i="76"/>
  <c r="U843" i="76"/>
  <c r="F845" i="76" l="1"/>
  <c r="R845" i="76"/>
  <c r="AM844" i="76"/>
  <c r="AH844" i="76"/>
  <c r="AN844" i="76"/>
  <c r="AI844" i="76"/>
  <c r="AO844" i="76"/>
  <c r="AJ844" i="76"/>
  <c r="AP844" i="76"/>
  <c r="AK844" i="76"/>
  <c r="AF844" i="76"/>
  <c r="AL844" i="76"/>
  <c r="AG844" i="76"/>
  <c r="N844" i="76"/>
  <c r="L844" i="76"/>
  <c r="O844" i="76"/>
  <c r="J844" i="76"/>
  <c r="M844" i="76"/>
  <c r="K844" i="76"/>
  <c r="Q844" i="76"/>
  <c r="P844" i="76"/>
  <c r="G844" i="76"/>
  <c r="I844" i="76"/>
  <c r="H844" i="76"/>
  <c r="AB844" i="76"/>
  <c r="W844" i="76"/>
  <c r="AC844" i="76"/>
  <c r="X844" i="76"/>
  <c r="S844" i="76"/>
  <c r="Y844" i="76"/>
  <c r="T844" i="76"/>
  <c r="Z844" i="76"/>
  <c r="U844" i="76"/>
  <c r="AA844" i="76"/>
  <c r="V844" i="76"/>
  <c r="AR846" i="76"/>
  <c r="E845" i="76"/>
  <c r="AE845" i="76"/>
  <c r="D845" i="76"/>
  <c r="C845" i="76"/>
  <c r="B845" i="76"/>
  <c r="A845" i="76"/>
  <c r="AD845" i="76"/>
  <c r="F846" i="76" l="1"/>
  <c r="R846" i="76"/>
  <c r="H845" i="76"/>
  <c r="N845" i="76"/>
  <c r="I845" i="76"/>
  <c r="O845" i="76"/>
  <c r="J845" i="76"/>
  <c r="P845" i="76"/>
  <c r="K845" i="76"/>
  <c r="Q845" i="76"/>
  <c r="L845" i="76"/>
  <c r="G845" i="76"/>
  <c r="M845" i="76"/>
  <c r="AA845" i="76"/>
  <c r="V845" i="76"/>
  <c r="AB845" i="76"/>
  <c r="W845" i="76"/>
  <c r="AC845" i="76"/>
  <c r="X845" i="76"/>
  <c r="S845" i="76"/>
  <c r="Y845" i="76"/>
  <c r="T845" i="76"/>
  <c r="Z845" i="76"/>
  <c r="U845" i="76"/>
  <c r="AJ845" i="76"/>
  <c r="AP845" i="76"/>
  <c r="AK845" i="76"/>
  <c r="AF845" i="76"/>
  <c r="AL845" i="76"/>
  <c r="AG845" i="76"/>
  <c r="AM845" i="76"/>
  <c r="AH845" i="76"/>
  <c r="AN845" i="76"/>
  <c r="AI845" i="76"/>
  <c r="AO845" i="76"/>
  <c r="A846" i="76"/>
  <c r="B846" i="76"/>
  <c r="AD846" i="76"/>
  <c r="AR847" i="76"/>
  <c r="C846" i="76"/>
  <c r="AE846" i="76"/>
  <c r="E846" i="76"/>
  <c r="D846" i="76"/>
  <c r="F847" i="76" l="1"/>
  <c r="R847" i="76"/>
  <c r="P846" i="76"/>
  <c r="K846" i="76"/>
  <c r="Q846" i="76"/>
  <c r="L846" i="76"/>
  <c r="G846" i="76"/>
  <c r="M846" i="76"/>
  <c r="H846" i="76"/>
  <c r="N846" i="76"/>
  <c r="I846" i="76"/>
  <c r="O846" i="76"/>
  <c r="J846" i="76"/>
  <c r="AN846" i="76"/>
  <c r="AL846" i="76"/>
  <c r="AO846" i="76"/>
  <c r="AJ846" i="76"/>
  <c r="AM846" i="76"/>
  <c r="AK846" i="76"/>
  <c r="AF846" i="76"/>
  <c r="AP846" i="76"/>
  <c r="AG846" i="76"/>
  <c r="AI846" i="76"/>
  <c r="AH846" i="76"/>
  <c r="AR848" i="76"/>
  <c r="D847" i="76"/>
  <c r="AD847" i="76"/>
  <c r="B847" i="76"/>
  <c r="E847" i="76"/>
  <c r="C847" i="76"/>
  <c r="A847" i="76"/>
  <c r="AE847" i="76"/>
  <c r="AC846" i="76"/>
  <c r="X846" i="76"/>
  <c r="S846" i="76"/>
  <c r="Y846" i="76"/>
  <c r="T846" i="76"/>
  <c r="Z846" i="76"/>
  <c r="U846" i="76"/>
  <c r="AA846" i="76"/>
  <c r="V846" i="76"/>
  <c r="AB846" i="76"/>
  <c r="W846" i="76"/>
  <c r="F848" i="76" l="1"/>
  <c r="R848" i="76"/>
  <c r="AM847" i="76"/>
  <c r="AK847" i="76"/>
  <c r="AN847" i="76"/>
  <c r="AI847" i="76"/>
  <c r="AL847" i="76"/>
  <c r="AJ847" i="76"/>
  <c r="AP847" i="76"/>
  <c r="AO847" i="76"/>
  <c r="AF847" i="76"/>
  <c r="AH847" i="76"/>
  <c r="AG847" i="76"/>
  <c r="M847" i="76"/>
  <c r="H847" i="76"/>
  <c r="N847" i="76"/>
  <c r="I847" i="76"/>
  <c r="O847" i="76"/>
  <c r="J847" i="76"/>
  <c r="P847" i="76"/>
  <c r="K847" i="76"/>
  <c r="Q847" i="76"/>
  <c r="L847" i="76"/>
  <c r="G847" i="76"/>
  <c r="Z847" i="76"/>
  <c r="U847" i="76"/>
  <c r="AA847" i="76"/>
  <c r="V847" i="76"/>
  <c r="AB847" i="76"/>
  <c r="W847" i="76"/>
  <c r="AC847" i="76"/>
  <c r="X847" i="76"/>
  <c r="S847" i="76"/>
  <c r="Y847" i="76"/>
  <c r="T847" i="76"/>
  <c r="B848" i="76"/>
  <c r="AR849" i="76"/>
  <c r="C848" i="76"/>
  <c r="AE848" i="76"/>
  <c r="E848" i="76"/>
  <c r="D848" i="76"/>
  <c r="AD848" i="76"/>
  <c r="A848" i="76"/>
  <c r="F849" i="76" l="1"/>
  <c r="R849" i="76"/>
  <c r="AP848" i="76"/>
  <c r="AK848" i="76"/>
  <c r="AF848" i="76"/>
  <c r="AL848" i="76"/>
  <c r="AG848" i="76"/>
  <c r="AM848" i="76"/>
  <c r="AH848" i="76"/>
  <c r="AN848" i="76"/>
  <c r="AI848" i="76"/>
  <c r="AO848" i="76"/>
  <c r="AJ848" i="76"/>
  <c r="AR850" i="76"/>
  <c r="D849" i="76"/>
  <c r="C849" i="76"/>
  <c r="B849" i="76"/>
  <c r="A849" i="76"/>
  <c r="AD849" i="76"/>
  <c r="E849" i="76"/>
  <c r="AE849" i="76"/>
  <c r="N848" i="76"/>
  <c r="L848" i="76"/>
  <c r="O848" i="76"/>
  <c r="J848" i="76"/>
  <c r="M848" i="76"/>
  <c r="K848" i="76"/>
  <c r="Q848" i="76"/>
  <c r="P848" i="76"/>
  <c r="G848" i="76"/>
  <c r="I848" i="76"/>
  <c r="H848" i="76"/>
  <c r="W848" i="76"/>
  <c r="AC848" i="76"/>
  <c r="X848" i="76"/>
  <c r="S848" i="76"/>
  <c r="Y848" i="76"/>
  <c r="T848" i="76"/>
  <c r="Z848" i="76"/>
  <c r="U848" i="76"/>
  <c r="AA848" i="76"/>
  <c r="V848" i="76"/>
  <c r="AB848" i="76"/>
  <c r="F850" i="76" l="1"/>
  <c r="R850" i="76"/>
  <c r="O849" i="76"/>
  <c r="J849" i="76"/>
  <c r="P849" i="76"/>
  <c r="K849" i="76"/>
  <c r="Q849" i="76"/>
  <c r="L849" i="76"/>
  <c r="G849" i="76"/>
  <c r="M849" i="76"/>
  <c r="H849" i="76"/>
  <c r="N849" i="76"/>
  <c r="I849" i="76"/>
  <c r="V849" i="76"/>
  <c r="X849" i="76"/>
  <c r="T849" i="76"/>
  <c r="AC849" i="76"/>
  <c r="AA849" i="76"/>
  <c r="W849" i="76"/>
  <c r="Y849" i="76"/>
  <c r="S849" i="76"/>
  <c r="Z849" i="76"/>
  <c r="U849" i="76"/>
  <c r="AB849" i="76"/>
  <c r="C850" i="76"/>
  <c r="B850" i="76"/>
  <c r="AR851" i="76"/>
  <c r="A850" i="76"/>
  <c r="AE850" i="76"/>
  <c r="E850" i="76"/>
  <c r="AD850" i="76"/>
  <c r="D850" i="76"/>
  <c r="AH849" i="76"/>
  <c r="AN849" i="76"/>
  <c r="AI849" i="76"/>
  <c r="AO849" i="76"/>
  <c r="AJ849" i="76"/>
  <c r="AP849" i="76"/>
  <c r="AK849" i="76"/>
  <c r="AF849" i="76"/>
  <c r="AL849" i="76"/>
  <c r="AG849" i="76"/>
  <c r="AM849" i="76"/>
  <c r="F851" i="76" l="1"/>
  <c r="R851" i="76"/>
  <c r="W850" i="76"/>
  <c r="AC850" i="76"/>
  <c r="X850" i="76"/>
  <c r="S850" i="76"/>
  <c r="Y850" i="76"/>
  <c r="T850" i="76"/>
  <c r="Z850" i="76"/>
  <c r="U850" i="76"/>
  <c r="AA850" i="76"/>
  <c r="V850" i="76"/>
  <c r="AB850" i="76"/>
  <c r="N850" i="76"/>
  <c r="I850" i="76"/>
  <c r="O850" i="76"/>
  <c r="J850" i="76"/>
  <c r="P850" i="76"/>
  <c r="K850" i="76"/>
  <c r="Q850" i="76"/>
  <c r="L850" i="76"/>
  <c r="G850" i="76"/>
  <c r="M850" i="76"/>
  <c r="H850" i="76"/>
  <c r="AG850" i="76"/>
  <c r="AM850" i="76"/>
  <c r="AH850" i="76"/>
  <c r="AN850" i="76"/>
  <c r="AI850" i="76"/>
  <c r="AO850" i="76"/>
  <c r="AJ850" i="76"/>
  <c r="AP850" i="76"/>
  <c r="AK850" i="76"/>
  <c r="AF850" i="76"/>
  <c r="AL850" i="76"/>
  <c r="A851" i="76"/>
  <c r="AE851" i="76"/>
  <c r="E851" i="76"/>
  <c r="C851" i="76"/>
  <c r="D851" i="76"/>
  <c r="B851" i="76"/>
  <c r="AR852" i="76"/>
  <c r="AD851" i="76"/>
  <c r="F852" i="76" l="1"/>
  <c r="R852" i="76"/>
  <c r="V851" i="76"/>
  <c r="W851" i="76"/>
  <c r="X851" i="76"/>
  <c r="S851" i="76"/>
  <c r="Y851" i="76"/>
  <c r="T851" i="76"/>
  <c r="Z851" i="76"/>
  <c r="U851" i="76"/>
  <c r="AA851" i="76"/>
  <c r="AB851" i="76"/>
  <c r="AC851" i="76"/>
  <c r="AL851" i="76"/>
  <c r="AG851" i="76"/>
  <c r="AF851" i="76"/>
  <c r="AH851" i="76"/>
  <c r="AJ851" i="76"/>
  <c r="AI851" i="76"/>
  <c r="AO851" i="76"/>
  <c r="AM851" i="76"/>
  <c r="AP851" i="76"/>
  <c r="AK851" i="76"/>
  <c r="AN851" i="76"/>
  <c r="G851" i="76"/>
  <c r="H851" i="76"/>
  <c r="N851" i="76"/>
  <c r="M851" i="76"/>
  <c r="O851" i="76"/>
  <c r="Q851" i="76"/>
  <c r="P851" i="76"/>
  <c r="K851" i="76"/>
  <c r="I851" i="76"/>
  <c r="L851" i="76"/>
  <c r="J851" i="76"/>
  <c r="AR853" i="76"/>
  <c r="AD852" i="76"/>
  <c r="D852" i="76"/>
  <c r="C852" i="76"/>
  <c r="B852" i="76"/>
  <c r="AE852" i="76"/>
  <c r="A852" i="76"/>
  <c r="E852" i="76"/>
  <c r="F853" i="76" l="1"/>
  <c r="R853" i="76"/>
  <c r="N852" i="76"/>
  <c r="L852" i="76"/>
  <c r="O852" i="76"/>
  <c r="J852" i="76"/>
  <c r="M852" i="76"/>
  <c r="K852" i="76"/>
  <c r="Q852" i="76"/>
  <c r="P852" i="76"/>
  <c r="G852" i="76"/>
  <c r="I852" i="76"/>
  <c r="H852" i="76"/>
  <c r="AB852" i="76"/>
  <c r="W852" i="76"/>
  <c r="AC852" i="76"/>
  <c r="X852" i="76"/>
  <c r="S852" i="76"/>
  <c r="Y852" i="76"/>
  <c r="T852" i="76"/>
  <c r="Z852" i="76"/>
  <c r="U852" i="76"/>
  <c r="AA852" i="76"/>
  <c r="V852" i="76"/>
  <c r="AR854" i="76"/>
  <c r="B853" i="76"/>
  <c r="AE853" i="76"/>
  <c r="A853" i="76"/>
  <c r="C853" i="76"/>
  <c r="D853" i="76"/>
  <c r="E853" i="76"/>
  <c r="AD853" i="76"/>
  <c r="AM852" i="76"/>
  <c r="AH852" i="76"/>
  <c r="AN852" i="76"/>
  <c r="AI852" i="76"/>
  <c r="AO852" i="76"/>
  <c r="AJ852" i="76"/>
  <c r="AP852" i="76"/>
  <c r="AK852" i="76"/>
  <c r="AF852" i="76"/>
  <c r="AL852" i="76"/>
  <c r="AG852" i="76"/>
  <c r="F854" i="76" l="1"/>
  <c r="R854" i="76"/>
  <c r="H853" i="76"/>
  <c r="N853" i="76"/>
  <c r="I853" i="76"/>
  <c r="O853" i="76"/>
  <c r="J853" i="76"/>
  <c r="P853" i="76"/>
  <c r="K853" i="76"/>
  <c r="Q853" i="76"/>
  <c r="L853" i="76"/>
  <c r="G853" i="76"/>
  <c r="M853" i="76"/>
  <c r="Y853" i="76"/>
  <c r="T853" i="76"/>
  <c r="Z853" i="76"/>
  <c r="U853" i="76"/>
  <c r="AA853" i="76"/>
  <c r="V853" i="76"/>
  <c r="AB853" i="76"/>
  <c r="W853" i="76"/>
  <c r="AC853" i="76"/>
  <c r="X853" i="76"/>
  <c r="S853" i="76"/>
  <c r="AJ853" i="76"/>
  <c r="AP853" i="76"/>
  <c r="AK853" i="76"/>
  <c r="AF853" i="76"/>
  <c r="AL853" i="76"/>
  <c r="AG853" i="76"/>
  <c r="AM853" i="76"/>
  <c r="AH853" i="76"/>
  <c r="AN853" i="76"/>
  <c r="AI853" i="76"/>
  <c r="AO853" i="76"/>
  <c r="B854" i="76"/>
  <c r="AR855" i="76"/>
  <c r="AD854" i="76"/>
  <c r="E854" i="76"/>
  <c r="C854" i="76"/>
  <c r="AE854" i="76"/>
  <c r="A854" i="76"/>
  <c r="D854" i="76"/>
  <c r="F855" i="76" l="1"/>
  <c r="R855" i="76"/>
  <c r="A855" i="76"/>
  <c r="AE855" i="76"/>
  <c r="B855" i="76"/>
  <c r="C855" i="76"/>
  <c r="E855" i="76"/>
  <c r="AR856" i="76"/>
  <c r="D855" i="76"/>
  <c r="AD855" i="76"/>
  <c r="AL854" i="76"/>
  <c r="AJ854" i="76"/>
  <c r="AM854" i="76"/>
  <c r="AH854" i="76"/>
  <c r="AK854" i="76"/>
  <c r="AI854" i="76"/>
  <c r="AO854" i="76"/>
  <c r="AN854" i="76"/>
  <c r="AP854" i="76"/>
  <c r="AG854" i="76"/>
  <c r="AF854" i="76"/>
  <c r="AB854" i="76"/>
  <c r="W854" i="76"/>
  <c r="AC854" i="76"/>
  <c r="X854" i="76"/>
  <c r="S854" i="76"/>
  <c r="Y854" i="76"/>
  <c r="T854" i="76"/>
  <c r="Z854" i="76"/>
  <c r="U854" i="76"/>
  <c r="AA854" i="76"/>
  <c r="V854" i="76"/>
  <c r="Q854" i="76"/>
  <c r="L854" i="76"/>
  <c r="G854" i="76"/>
  <c r="M854" i="76"/>
  <c r="H854" i="76"/>
  <c r="N854" i="76"/>
  <c r="I854" i="76"/>
  <c r="O854" i="76"/>
  <c r="J854" i="76"/>
  <c r="P854" i="76"/>
  <c r="K854" i="76"/>
  <c r="F856" i="76" l="1"/>
  <c r="R856" i="76"/>
  <c r="E856" i="76"/>
  <c r="B856" i="76"/>
  <c r="AR857" i="76"/>
  <c r="C856" i="76"/>
  <c r="AE856" i="76"/>
  <c r="AD856" i="76"/>
  <c r="D856" i="76"/>
  <c r="A856" i="76"/>
  <c r="AC855" i="76"/>
  <c r="X855" i="76"/>
  <c r="S855" i="76"/>
  <c r="Y855" i="76"/>
  <c r="T855" i="76"/>
  <c r="Z855" i="76"/>
  <c r="U855" i="76"/>
  <c r="AA855" i="76"/>
  <c r="V855" i="76"/>
  <c r="AB855" i="76"/>
  <c r="W855" i="76"/>
  <c r="AM855" i="76"/>
  <c r="AG855" i="76"/>
  <c r="AN855" i="76"/>
  <c r="AI855" i="76"/>
  <c r="AP855" i="76"/>
  <c r="AJ855" i="76"/>
  <c r="AL855" i="76"/>
  <c r="AH855" i="76"/>
  <c r="AF855" i="76"/>
  <c r="AO855" i="76"/>
  <c r="AK855" i="76"/>
  <c r="L855" i="76"/>
  <c r="G855" i="76"/>
  <c r="M855" i="76"/>
  <c r="H855" i="76"/>
  <c r="N855" i="76"/>
  <c r="I855" i="76"/>
  <c r="O855" i="76"/>
  <c r="J855" i="76"/>
  <c r="P855" i="76"/>
  <c r="K855" i="76"/>
  <c r="Q855" i="76"/>
  <c r="F857" i="76" l="1"/>
  <c r="R857" i="76"/>
  <c r="K856" i="76"/>
  <c r="Q856" i="76"/>
  <c r="P856" i="76"/>
  <c r="G856" i="76"/>
  <c r="I856" i="76"/>
  <c r="H856" i="76"/>
  <c r="N856" i="76"/>
  <c r="L856" i="76"/>
  <c r="O856" i="76"/>
  <c r="J856" i="76"/>
  <c r="M856" i="76"/>
  <c r="Z856" i="76"/>
  <c r="U856" i="76"/>
  <c r="AA856" i="76"/>
  <c r="V856" i="76"/>
  <c r="AB856" i="76"/>
  <c r="W856" i="76"/>
  <c r="AC856" i="76"/>
  <c r="X856" i="76"/>
  <c r="S856" i="76"/>
  <c r="Y856" i="76"/>
  <c r="T856" i="76"/>
  <c r="AP856" i="76"/>
  <c r="AK856" i="76"/>
  <c r="AF856" i="76"/>
  <c r="AL856" i="76"/>
  <c r="AG856" i="76"/>
  <c r="AM856" i="76"/>
  <c r="AH856" i="76"/>
  <c r="AN856" i="76"/>
  <c r="AI856" i="76"/>
  <c r="AO856" i="76"/>
  <c r="AJ856" i="76"/>
  <c r="B857" i="76"/>
  <c r="A857" i="76"/>
  <c r="AD857" i="76"/>
  <c r="E857" i="76"/>
  <c r="D857" i="76"/>
  <c r="AR858" i="76"/>
  <c r="C857" i="76"/>
  <c r="AE857" i="76"/>
  <c r="F858" i="76" l="1"/>
  <c r="R858" i="76"/>
  <c r="O857" i="76"/>
  <c r="J857" i="76"/>
  <c r="P857" i="76"/>
  <c r="K857" i="76"/>
  <c r="Q857" i="76"/>
  <c r="L857" i="76"/>
  <c r="G857" i="76"/>
  <c r="M857" i="76"/>
  <c r="H857" i="76"/>
  <c r="N857" i="76"/>
  <c r="I857" i="76"/>
  <c r="AL857" i="76"/>
  <c r="AG857" i="76"/>
  <c r="AM857" i="76"/>
  <c r="AH857" i="76"/>
  <c r="AN857" i="76"/>
  <c r="AI857" i="76"/>
  <c r="AO857" i="76"/>
  <c r="AJ857" i="76"/>
  <c r="AP857" i="76"/>
  <c r="AK857" i="76"/>
  <c r="AF857" i="76"/>
  <c r="A858" i="76"/>
  <c r="AD858" i="76"/>
  <c r="E858" i="76"/>
  <c r="AE858" i="76"/>
  <c r="AR859" i="76"/>
  <c r="D858" i="76"/>
  <c r="B858" i="76"/>
  <c r="C858" i="76"/>
  <c r="T857" i="76"/>
  <c r="V857" i="76"/>
  <c r="U857" i="76"/>
  <c r="AA857" i="76"/>
  <c r="Y857" i="76"/>
  <c r="AB857" i="76"/>
  <c r="W857" i="76"/>
  <c r="Z857" i="76"/>
  <c r="X857" i="76"/>
  <c r="S857" i="76"/>
  <c r="AC857" i="76"/>
  <c r="F859" i="76" l="1"/>
  <c r="R859" i="76"/>
  <c r="AR860" i="76"/>
  <c r="E859" i="76"/>
  <c r="AE859" i="76"/>
  <c r="D859" i="76"/>
  <c r="C859" i="76"/>
  <c r="B859" i="76"/>
  <c r="A859" i="76"/>
  <c r="AD859" i="76"/>
  <c r="W858" i="76"/>
  <c r="AC858" i="76"/>
  <c r="X858" i="76"/>
  <c r="S858" i="76"/>
  <c r="Y858" i="76"/>
  <c r="T858" i="76"/>
  <c r="Z858" i="76"/>
  <c r="U858" i="76"/>
  <c r="AA858" i="76"/>
  <c r="V858" i="76"/>
  <c r="AB858" i="76"/>
  <c r="N858" i="76"/>
  <c r="I858" i="76"/>
  <c r="O858" i="76"/>
  <c r="J858" i="76"/>
  <c r="P858" i="76"/>
  <c r="K858" i="76"/>
  <c r="Q858" i="76"/>
  <c r="L858" i="76"/>
  <c r="G858" i="76"/>
  <c r="M858" i="76"/>
  <c r="H858" i="76"/>
  <c r="AP858" i="76"/>
  <c r="AK858" i="76"/>
  <c r="AF858" i="76"/>
  <c r="AL858" i="76"/>
  <c r="AG858" i="76"/>
  <c r="AM858" i="76"/>
  <c r="AH858" i="76"/>
  <c r="AN858" i="76"/>
  <c r="AI858" i="76"/>
  <c r="AO858" i="76"/>
  <c r="AJ858" i="76"/>
  <c r="F860" i="76" l="1"/>
  <c r="R860" i="76"/>
  <c r="T859" i="76"/>
  <c r="Z859" i="76"/>
  <c r="U859" i="76"/>
  <c r="AA859" i="76"/>
  <c r="V859" i="76"/>
  <c r="AB859" i="76"/>
  <c r="W859" i="76"/>
  <c r="AC859" i="76"/>
  <c r="X859" i="76"/>
  <c r="S859" i="76"/>
  <c r="Y859" i="76"/>
  <c r="M859" i="76"/>
  <c r="G859" i="76"/>
  <c r="N859" i="76"/>
  <c r="I859" i="76"/>
  <c r="P859" i="76"/>
  <c r="J859" i="76"/>
  <c r="L859" i="76"/>
  <c r="H859" i="76"/>
  <c r="Q859" i="76"/>
  <c r="O859" i="76"/>
  <c r="K859" i="76"/>
  <c r="AL859" i="76"/>
  <c r="AG859" i="76"/>
  <c r="AJ859" i="76"/>
  <c r="AH859" i="76"/>
  <c r="AN859" i="76"/>
  <c r="AM859" i="76"/>
  <c r="AO859" i="76"/>
  <c r="AF859" i="76"/>
  <c r="AP859" i="76"/>
  <c r="AK859" i="76"/>
  <c r="AI859" i="76"/>
  <c r="E860" i="76"/>
  <c r="AR861" i="76"/>
  <c r="A860" i="76"/>
  <c r="AD860" i="76"/>
  <c r="C860" i="76"/>
  <c r="B860" i="76"/>
  <c r="AE860" i="76"/>
  <c r="D860" i="76"/>
  <c r="F861" i="76" l="1"/>
  <c r="R861" i="76"/>
  <c r="B861" i="76"/>
  <c r="AR862" i="76"/>
  <c r="A861" i="76"/>
  <c r="AD861" i="76"/>
  <c r="E861" i="76"/>
  <c r="AE861" i="76"/>
  <c r="D861" i="76"/>
  <c r="C861" i="76"/>
  <c r="K860" i="76"/>
  <c r="Q860" i="76"/>
  <c r="P860" i="76"/>
  <c r="G860" i="76"/>
  <c r="I860" i="76"/>
  <c r="H860" i="76"/>
  <c r="N860" i="76"/>
  <c r="L860" i="76"/>
  <c r="O860" i="76"/>
  <c r="J860" i="76"/>
  <c r="M860" i="76"/>
  <c r="AL860" i="76"/>
  <c r="AG860" i="76"/>
  <c r="AM860" i="76"/>
  <c r="AH860" i="76"/>
  <c r="AN860" i="76"/>
  <c r="AI860" i="76"/>
  <c r="AO860" i="76"/>
  <c r="AJ860" i="76"/>
  <c r="AP860" i="76"/>
  <c r="AK860" i="76"/>
  <c r="AF860" i="76"/>
  <c r="U860" i="76"/>
  <c r="AA860" i="76"/>
  <c r="V860" i="76"/>
  <c r="AB860" i="76"/>
  <c r="W860" i="76"/>
  <c r="AC860" i="76"/>
  <c r="X860" i="76"/>
  <c r="S860" i="76"/>
  <c r="Y860" i="76"/>
  <c r="T860" i="76"/>
  <c r="Z860" i="76"/>
  <c r="F862" i="76" l="1"/>
  <c r="R862" i="76"/>
  <c r="AN861" i="76"/>
  <c r="AI861" i="76"/>
  <c r="AO861" i="76"/>
  <c r="AJ861" i="76"/>
  <c r="AP861" i="76"/>
  <c r="AK861" i="76"/>
  <c r="AF861" i="76"/>
  <c r="AL861" i="76"/>
  <c r="AG861" i="76"/>
  <c r="AM861" i="76"/>
  <c r="AH861" i="76"/>
  <c r="H861" i="76"/>
  <c r="N861" i="76"/>
  <c r="I861" i="76"/>
  <c r="O861" i="76"/>
  <c r="J861" i="76"/>
  <c r="P861" i="76"/>
  <c r="K861" i="76"/>
  <c r="Q861" i="76"/>
  <c r="L861" i="76"/>
  <c r="G861" i="76"/>
  <c r="M861" i="76"/>
  <c r="D862" i="76"/>
  <c r="A862" i="76"/>
  <c r="AD862" i="76"/>
  <c r="B862" i="76"/>
  <c r="AR863" i="76"/>
  <c r="AE862" i="76"/>
  <c r="C862" i="76"/>
  <c r="E862" i="76"/>
  <c r="Y861" i="76"/>
  <c r="T861" i="76"/>
  <c r="Z861" i="76"/>
  <c r="U861" i="76"/>
  <c r="AA861" i="76"/>
  <c r="V861" i="76"/>
  <c r="AB861" i="76"/>
  <c r="W861" i="76"/>
  <c r="AC861" i="76"/>
  <c r="X861" i="76"/>
  <c r="S861" i="76"/>
  <c r="F863" i="76" l="1"/>
  <c r="R863" i="76"/>
  <c r="AO862" i="76"/>
  <c r="AJ862" i="76"/>
  <c r="AH862" i="76"/>
  <c r="AK862" i="76"/>
  <c r="AF862" i="76"/>
  <c r="AI862" i="76"/>
  <c r="AG862" i="76"/>
  <c r="AM862" i="76"/>
  <c r="AL862" i="76"/>
  <c r="AN862" i="76"/>
  <c r="AP862" i="76"/>
  <c r="C863" i="76"/>
  <c r="AE863" i="76"/>
  <c r="B863" i="76"/>
  <c r="A863" i="76"/>
  <c r="E863" i="76"/>
  <c r="AR864" i="76"/>
  <c r="D863" i="76"/>
  <c r="AD863" i="76"/>
  <c r="P862" i="76"/>
  <c r="K862" i="76"/>
  <c r="Q862" i="76"/>
  <c r="L862" i="76"/>
  <c r="G862" i="76"/>
  <c r="M862" i="76"/>
  <c r="H862" i="76"/>
  <c r="N862" i="76"/>
  <c r="I862" i="76"/>
  <c r="O862" i="76"/>
  <c r="J862" i="76"/>
  <c r="AB862" i="76"/>
  <c r="W862" i="76"/>
  <c r="AC862" i="76"/>
  <c r="X862" i="76"/>
  <c r="S862" i="76"/>
  <c r="Y862" i="76"/>
  <c r="T862" i="76"/>
  <c r="Z862" i="76"/>
  <c r="U862" i="76"/>
  <c r="AA862" i="76"/>
  <c r="V862" i="76"/>
  <c r="F864" i="76" l="1"/>
  <c r="R864" i="76"/>
  <c r="AM863" i="76"/>
  <c r="AK863" i="76"/>
  <c r="AN863" i="76"/>
  <c r="AI863" i="76"/>
  <c r="AL863" i="76"/>
  <c r="AJ863" i="76"/>
  <c r="AP863" i="76"/>
  <c r="AO863" i="76"/>
  <c r="AF863" i="76"/>
  <c r="AH863" i="76"/>
  <c r="AG863" i="76"/>
  <c r="L863" i="76"/>
  <c r="G863" i="76"/>
  <c r="M863" i="76"/>
  <c r="H863" i="76"/>
  <c r="N863" i="76"/>
  <c r="I863" i="76"/>
  <c r="O863" i="76"/>
  <c r="J863" i="76"/>
  <c r="P863" i="76"/>
  <c r="K863" i="76"/>
  <c r="Q863" i="76"/>
  <c r="D864" i="76"/>
  <c r="C864" i="76"/>
  <c r="A864" i="76"/>
  <c r="AE864" i="76"/>
  <c r="AR865" i="76"/>
  <c r="B864" i="76"/>
  <c r="AD864" i="76"/>
  <c r="E864" i="76"/>
  <c r="AC863" i="76"/>
  <c r="X863" i="76"/>
  <c r="S863" i="76"/>
  <c r="Y863" i="76"/>
  <c r="T863" i="76"/>
  <c r="Z863" i="76"/>
  <c r="U863" i="76"/>
  <c r="AA863" i="76"/>
  <c r="V863" i="76"/>
  <c r="AB863" i="76"/>
  <c r="W863" i="76"/>
  <c r="F865" i="76" l="1"/>
  <c r="R865" i="76"/>
  <c r="Z864" i="76"/>
  <c r="U864" i="76"/>
  <c r="AA864" i="76"/>
  <c r="V864" i="76"/>
  <c r="AB864" i="76"/>
  <c r="W864" i="76"/>
  <c r="AC864" i="76"/>
  <c r="X864" i="76"/>
  <c r="S864" i="76"/>
  <c r="Y864" i="76"/>
  <c r="T864" i="76"/>
  <c r="AD865" i="76"/>
  <c r="A865" i="76"/>
  <c r="B865" i="76"/>
  <c r="E865" i="76"/>
  <c r="D865" i="76"/>
  <c r="AR866" i="76"/>
  <c r="C865" i="76"/>
  <c r="AE865" i="76"/>
  <c r="K864" i="76"/>
  <c r="Q864" i="76"/>
  <c r="P864" i="76"/>
  <c r="G864" i="76"/>
  <c r="I864" i="76"/>
  <c r="H864" i="76"/>
  <c r="N864" i="76"/>
  <c r="L864" i="76"/>
  <c r="O864" i="76"/>
  <c r="J864" i="76"/>
  <c r="M864" i="76"/>
  <c r="AG864" i="76"/>
  <c r="AM864" i="76"/>
  <c r="AF864" i="76"/>
  <c r="AL864" i="76"/>
  <c r="AI864" i="76"/>
  <c r="AO864" i="76"/>
  <c r="AH864" i="76"/>
  <c r="AN864" i="76"/>
  <c r="AK864" i="76"/>
  <c r="AP864" i="76"/>
  <c r="AJ864" i="76"/>
  <c r="F866" i="76" l="1"/>
  <c r="R866" i="76"/>
  <c r="AB865" i="76"/>
  <c r="X865" i="76"/>
  <c r="AC865" i="76"/>
  <c r="T865" i="76"/>
  <c r="AA865" i="76"/>
  <c r="Y865" i="76"/>
  <c r="V865" i="76"/>
  <c r="S865" i="76"/>
  <c r="U865" i="76"/>
  <c r="W865" i="76"/>
  <c r="Z865" i="76"/>
  <c r="P865" i="76"/>
  <c r="K865" i="76"/>
  <c r="Q865" i="76"/>
  <c r="H865" i="76"/>
  <c r="G865" i="76"/>
  <c r="M865" i="76"/>
  <c r="J865" i="76"/>
  <c r="L865" i="76"/>
  <c r="I865" i="76"/>
  <c r="O865" i="76"/>
  <c r="N865" i="76"/>
  <c r="AM865" i="76"/>
  <c r="AL865" i="76"/>
  <c r="AK865" i="76"/>
  <c r="AI865" i="76"/>
  <c r="AO865" i="76"/>
  <c r="AJ865" i="76"/>
  <c r="AN865" i="76"/>
  <c r="AG865" i="76"/>
  <c r="AH865" i="76"/>
  <c r="AF865" i="76"/>
  <c r="AP865" i="76"/>
  <c r="E866" i="76"/>
  <c r="AR867" i="76"/>
  <c r="AD866" i="76"/>
  <c r="AE866" i="76"/>
  <c r="B866" i="76"/>
  <c r="D866" i="76"/>
  <c r="A866" i="76"/>
  <c r="C866" i="76"/>
  <c r="F867" i="76" l="1"/>
  <c r="R867" i="76"/>
  <c r="B867" i="76"/>
  <c r="A867" i="76"/>
  <c r="AR868" i="76"/>
  <c r="C867" i="76"/>
  <c r="D867" i="76"/>
  <c r="E867" i="76"/>
  <c r="AE867" i="76"/>
  <c r="AD867" i="76"/>
  <c r="AH866" i="76"/>
  <c r="AN866" i="76"/>
  <c r="AK866" i="76"/>
  <c r="AM866" i="76"/>
  <c r="AJ866" i="76"/>
  <c r="AP866" i="76"/>
  <c r="AO866" i="76"/>
  <c r="AF866" i="76"/>
  <c r="AL866" i="76"/>
  <c r="AG866" i="76"/>
  <c r="AI866" i="76"/>
  <c r="G866" i="76"/>
  <c r="H866" i="76"/>
  <c r="N866" i="76"/>
  <c r="M866" i="76"/>
  <c r="K866" i="76"/>
  <c r="J866" i="76"/>
  <c r="P866" i="76"/>
  <c r="Q866" i="76"/>
  <c r="O866" i="76"/>
  <c r="L866" i="76"/>
  <c r="I866" i="76"/>
  <c r="V866" i="76"/>
  <c r="AB866" i="76"/>
  <c r="AC866" i="76"/>
  <c r="AA866" i="76"/>
  <c r="X866" i="76"/>
  <c r="U866" i="76"/>
  <c r="S866" i="76"/>
  <c r="T866" i="76"/>
  <c r="Z866" i="76"/>
  <c r="Y866" i="76"/>
  <c r="W866" i="76"/>
  <c r="F868" i="76" l="1"/>
  <c r="R868" i="76"/>
  <c r="Y867" i="76"/>
  <c r="T867" i="76"/>
  <c r="Z867" i="76"/>
  <c r="U867" i="76"/>
  <c r="AA867" i="76"/>
  <c r="V867" i="76"/>
  <c r="AB867" i="76"/>
  <c r="W867" i="76"/>
  <c r="AC867" i="76"/>
  <c r="X867" i="76"/>
  <c r="S867" i="76"/>
  <c r="D868" i="76"/>
  <c r="C868" i="76"/>
  <c r="A868" i="76"/>
  <c r="AE868" i="76"/>
  <c r="AR869" i="76"/>
  <c r="B868" i="76"/>
  <c r="AD868" i="76"/>
  <c r="E868" i="76"/>
  <c r="AL867" i="76"/>
  <c r="AG867" i="76"/>
  <c r="AM867" i="76"/>
  <c r="AH867" i="76"/>
  <c r="AN867" i="76"/>
  <c r="AI867" i="76"/>
  <c r="AO867" i="76"/>
  <c r="AJ867" i="76"/>
  <c r="AP867" i="76"/>
  <c r="AK867" i="76"/>
  <c r="AF867" i="76"/>
  <c r="H867" i="76"/>
  <c r="N867" i="76"/>
  <c r="M867" i="76"/>
  <c r="O867" i="76"/>
  <c r="Q867" i="76"/>
  <c r="P867" i="76"/>
  <c r="K867" i="76"/>
  <c r="I867" i="76"/>
  <c r="L867" i="76"/>
  <c r="G867" i="76"/>
  <c r="J867" i="76"/>
  <c r="F869" i="76" l="1"/>
  <c r="R869" i="76"/>
  <c r="AG868" i="76"/>
  <c r="AM868" i="76"/>
  <c r="AH868" i="76"/>
  <c r="AN868" i="76"/>
  <c r="AI868" i="76"/>
  <c r="AO868" i="76"/>
  <c r="AJ868" i="76"/>
  <c r="AP868" i="76"/>
  <c r="AK868" i="76"/>
  <c r="AF868" i="76"/>
  <c r="AL868" i="76"/>
  <c r="AB868" i="76"/>
  <c r="S868" i="76"/>
  <c r="AC868" i="76"/>
  <c r="X868" i="76"/>
  <c r="V868" i="76"/>
  <c r="Y868" i="76"/>
  <c r="T868" i="76"/>
  <c r="W868" i="76"/>
  <c r="U868" i="76"/>
  <c r="AA868" i="76"/>
  <c r="Z868" i="76"/>
  <c r="AR870" i="76"/>
  <c r="AD869" i="76"/>
  <c r="E869" i="76"/>
  <c r="C869" i="76"/>
  <c r="A869" i="76"/>
  <c r="B869" i="76"/>
  <c r="D869" i="76"/>
  <c r="AE869" i="76"/>
  <c r="K868" i="76"/>
  <c r="Q868" i="76"/>
  <c r="L868" i="76"/>
  <c r="G868" i="76"/>
  <c r="M868" i="76"/>
  <c r="H868" i="76"/>
  <c r="N868" i="76"/>
  <c r="I868" i="76"/>
  <c r="O868" i="76"/>
  <c r="J868" i="76"/>
  <c r="P868" i="76"/>
  <c r="F870" i="76" l="1"/>
  <c r="R870" i="76"/>
  <c r="AP869" i="76"/>
  <c r="AK869" i="76"/>
  <c r="AF869" i="76"/>
  <c r="AL869" i="76"/>
  <c r="AG869" i="76"/>
  <c r="AM869" i="76"/>
  <c r="AH869" i="76"/>
  <c r="AN869" i="76"/>
  <c r="AI869" i="76"/>
  <c r="AO869" i="76"/>
  <c r="AJ869" i="76"/>
  <c r="Y869" i="76"/>
  <c r="T869" i="76"/>
  <c r="Z869" i="76"/>
  <c r="U869" i="76"/>
  <c r="AA869" i="76"/>
  <c r="V869" i="76"/>
  <c r="AB869" i="76"/>
  <c r="W869" i="76"/>
  <c r="AC869" i="76"/>
  <c r="X869" i="76"/>
  <c r="S869" i="76"/>
  <c r="L869" i="76"/>
  <c r="G869" i="76"/>
  <c r="M869" i="76"/>
  <c r="H869" i="76"/>
  <c r="N869" i="76"/>
  <c r="I869" i="76"/>
  <c r="O869" i="76"/>
  <c r="J869" i="76"/>
  <c r="P869" i="76"/>
  <c r="K869" i="76"/>
  <c r="Q869" i="76"/>
  <c r="AR871" i="76"/>
  <c r="AD870" i="76"/>
  <c r="B870" i="76"/>
  <c r="D870" i="76"/>
  <c r="A870" i="76"/>
  <c r="C870" i="76"/>
  <c r="E870" i="76"/>
  <c r="AE870" i="76"/>
  <c r="F871" i="76" l="1"/>
  <c r="R871" i="76"/>
  <c r="E871" i="76"/>
  <c r="AE871" i="76"/>
  <c r="D871" i="76"/>
  <c r="C871" i="76"/>
  <c r="B871" i="76"/>
  <c r="AR872" i="76"/>
  <c r="A871" i="76"/>
  <c r="AD871" i="76"/>
  <c r="AL870" i="76"/>
  <c r="AJ870" i="76"/>
  <c r="AM870" i="76"/>
  <c r="AH870" i="76"/>
  <c r="AK870" i="76"/>
  <c r="AI870" i="76"/>
  <c r="AO870" i="76"/>
  <c r="AN870" i="76"/>
  <c r="AP870" i="76"/>
  <c r="AG870" i="76"/>
  <c r="AF870" i="76"/>
  <c r="Q870" i="76"/>
  <c r="L870" i="76"/>
  <c r="O870" i="76"/>
  <c r="M870" i="76"/>
  <c r="H870" i="76"/>
  <c r="G870" i="76"/>
  <c r="I870" i="76"/>
  <c r="K870" i="76"/>
  <c r="J870" i="76"/>
  <c r="P870" i="76"/>
  <c r="N870" i="76"/>
  <c r="AB870" i="76"/>
  <c r="W870" i="76"/>
  <c r="AC870" i="76"/>
  <c r="X870" i="76"/>
  <c r="S870" i="76"/>
  <c r="Y870" i="76"/>
  <c r="T870" i="76"/>
  <c r="Z870" i="76"/>
  <c r="U870" i="76"/>
  <c r="AA870" i="76"/>
  <c r="V870" i="76"/>
  <c r="F872" i="76" l="1"/>
  <c r="R872" i="76"/>
  <c r="C872" i="76"/>
  <c r="B872" i="76"/>
  <c r="AD872" i="76"/>
  <c r="E872" i="76"/>
  <c r="AE872" i="76"/>
  <c r="AR873" i="76"/>
  <c r="A872" i="76"/>
  <c r="D872" i="76"/>
  <c r="T871" i="76"/>
  <c r="Z871" i="76"/>
  <c r="U871" i="76"/>
  <c r="AA871" i="76"/>
  <c r="V871" i="76"/>
  <c r="AB871" i="76"/>
  <c r="W871" i="76"/>
  <c r="AC871" i="76"/>
  <c r="X871" i="76"/>
  <c r="S871" i="76"/>
  <c r="Y871" i="76"/>
  <c r="AM871" i="76"/>
  <c r="AH871" i="76"/>
  <c r="AN871" i="76"/>
  <c r="AI871" i="76"/>
  <c r="AO871" i="76"/>
  <c r="AJ871" i="76"/>
  <c r="AP871" i="76"/>
  <c r="AK871" i="76"/>
  <c r="AF871" i="76"/>
  <c r="AL871" i="76"/>
  <c r="AG871" i="76"/>
  <c r="L871" i="76"/>
  <c r="G871" i="76"/>
  <c r="M871" i="76"/>
  <c r="H871" i="76"/>
  <c r="N871" i="76"/>
  <c r="I871" i="76"/>
  <c r="O871" i="76"/>
  <c r="J871" i="76"/>
  <c r="P871" i="76"/>
  <c r="K871" i="76"/>
  <c r="Q871" i="76"/>
  <c r="F873" i="76" l="1"/>
  <c r="R873" i="76"/>
  <c r="M872" i="76"/>
  <c r="H872" i="76"/>
  <c r="N872" i="76"/>
  <c r="I872" i="76"/>
  <c r="O872" i="76"/>
  <c r="J872" i="76"/>
  <c r="P872" i="76"/>
  <c r="K872" i="76"/>
  <c r="Q872" i="76"/>
  <c r="L872" i="76"/>
  <c r="G872" i="76"/>
  <c r="Z872" i="76"/>
  <c r="X872" i="76"/>
  <c r="AA872" i="76"/>
  <c r="V872" i="76"/>
  <c r="Y872" i="76"/>
  <c r="W872" i="76"/>
  <c r="AC872" i="76"/>
  <c r="AB872" i="76"/>
  <c r="S872" i="76"/>
  <c r="U872" i="76"/>
  <c r="T872" i="76"/>
  <c r="AR874" i="76"/>
  <c r="B873" i="76"/>
  <c r="AD873" i="76"/>
  <c r="A873" i="76"/>
  <c r="C873" i="76"/>
  <c r="E873" i="76"/>
  <c r="D873" i="76"/>
  <c r="AE873" i="76"/>
  <c r="AP872" i="76"/>
  <c r="AK872" i="76"/>
  <c r="AF872" i="76"/>
  <c r="AL872" i="76"/>
  <c r="AG872" i="76"/>
  <c r="AM872" i="76"/>
  <c r="AH872" i="76"/>
  <c r="AN872" i="76"/>
  <c r="AI872" i="76"/>
  <c r="AO872" i="76"/>
  <c r="AJ872" i="76"/>
  <c r="F874" i="76" l="1"/>
  <c r="R874" i="76"/>
  <c r="AF873" i="76"/>
  <c r="AO873" i="76"/>
  <c r="AK873" i="76"/>
  <c r="AM873" i="76"/>
  <c r="AG873" i="76"/>
  <c r="AN873" i="76"/>
  <c r="AI873" i="76"/>
  <c r="AP873" i="76"/>
  <c r="AJ873" i="76"/>
  <c r="AL873" i="76"/>
  <c r="AH873" i="76"/>
  <c r="X873" i="76"/>
  <c r="S873" i="76"/>
  <c r="AC873" i="76"/>
  <c r="T873" i="76"/>
  <c r="V873" i="76"/>
  <c r="U873" i="76"/>
  <c r="AA873" i="76"/>
  <c r="Y873" i="76"/>
  <c r="AB873" i="76"/>
  <c r="W873" i="76"/>
  <c r="Z873" i="76"/>
  <c r="O873" i="76"/>
  <c r="J873" i="76"/>
  <c r="P873" i="76"/>
  <c r="K873" i="76"/>
  <c r="Q873" i="76"/>
  <c r="L873" i="76"/>
  <c r="G873" i="76"/>
  <c r="M873" i="76"/>
  <c r="H873" i="76"/>
  <c r="N873" i="76"/>
  <c r="I873" i="76"/>
  <c r="A874" i="76"/>
  <c r="C874" i="76"/>
  <c r="E874" i="76"/>
  <c r="AE874" i="76"/>
  <c r="AR875" i="76"/>
  <c r="AD874" i="76"/>
  <c r="B874" i="76"/>
  <c r="D874" i="76"/>
  <c r="F875" i="76" l="1"/>
  <c r="R875" i="76"/>
  <c r="N874" i="76"/>
  <c r="I874" i="76"/>
  <c r="O874" i="76"/>
  <c r="J874" i="76"/>
  <c r="P874" i="76"/>
  <c r="K874" i="76"/>
  <c r="Q874" i="76"/>
  <c r="L874" i="76"/>
  <c r="G874" i="76"/>
  <c r="M874" i="76"/>
  <c r="H874" i="76"/>
  <c r="AP874" i="76"/>
  <c r="AK874" i="76"/>
  <c r="AF874" i="76"/>
  <c r="AL874" i="76"/>
  <c r="AG874" i="76"/>
  <c r="AM874" i="76"/>
  <c r="AH874" i="76"/>
  <c r="AN874" i="76"/>
  <c r="AI874" i="76"/>
  <c r="AO874" i="76"/>
  <c r="AJ874" i="76"/>
  <c r="E875" i="76"/>
  <c r="C875" i="76"/>
  <c r="D875" i="76"/>
  <c r="B875" i="76"/>
  <c r="AE875" i="76"/>
  <c r="AR876" i="76"/>
  <c r="A875" i="76"/>
  <c r="AD875" i="76"/>
  <c r="W874" i="76"/>
  <c r="AC874" i="76"/>
  <c r="X874" i="76"/>
  <c r="S874" i="76"/>
  <c r="Y874" i="76"/>
  <c r="T874" i="76"/>
  <c r="Z874" i="76"/>
  <c r="U874" i="76"/>
  <c r="AA874" i="76"/>
  <c r="V874" i="76"/>
  <c r="AB874" i="76"/>
  <c r="F876" i="76" l="1"/>
  <c r="R876" i="76"/>
  <c r="AR877" i="76"/>
  <c r="C876" i="76"/>
  <c r="AD876" i="76"/>
  <c r="B876" i="76"/>
  <c r="A876" i="76"/>
  <c r="E876" i="76"/>
  <c r="D876" i="76"/>
  <c r="AE876" i="76"/>
  <c r="AC875" i="76"/>
  <c r="X875" i="76"/>
  <c r="S875" i="76"/>
  <c r="Y875" i="76"/>
  <c r="T875" i="76"/>
  <c r="Z875" i="76"/>
  <c r="U875" i="76"/>
  <c r="AA875" i="76"/>
  <c r="V875" i="76"/>
  <c r="AB875" i="76"/>
  <c r="W875" i="76"/>
  <c r="AL875" i="76"/>
  <c r="AG875" i="76"/>
  <c r="AM875" i="76"/>
  <c r="AH875" i="76"/>
  <c r="AN875" i="76"/>
  <c r="AI875" i="76"/>
  <c r="AO875" i="76"/>
  <c r="AJ875" i="76"/>
  <c r="AP875" i="76"/>
  <c r="AK875" i="76"/>
  <c r="AF875" i="76"/>
  <c r="M875" i="76"/>
  <c r="G875" i="76"/>
  <c r="N875" i="76"/>
  <c r="I875" i="76"/>
  <c r="P875" i="76"/>
  <c r="J875" i="76"/>
  <c r="L875" i="76"/>
  <c r="H875" i="76"/>
  <c r="Q875" i="76"/>
  <c r="O875" i="76"/>
  <c r="K875" i="76"/>
  <c r="F877" i="76" l="1"/>
  <c r="R877" i="76"/>
  <c r="AG876" i="76"/>
  <c r="AM876" i="76"/>
  <c r="AH876" i="76"/>
  <c r="AN876" i="76"/>
  <c r="AI876" i="76"/>
  <c r="AO876" i="76"/>
  <c r="AJ876" i="76"/>
  <c r="AP876" i="76"/>
  <c r="AK876" i="76"/>
  <c r="AF876" i="76"/>
  <c r="AL876" i="76"/>
  <c r="K876" i="76"/>
  <c r="Q876" i="76"/>
  <c r="L876" i="76"/>
  <c r="G876" i="76"/>
  <c r="M876" i="76"/>
  <c r="H876" i="76"/>
  <c r="N876" i="76"/>
  <c r="I876" i="76"/>
  <c r="O876" i="76"/>
  <c r="J876" i="76"/>
  <c r="P876" i="76"/>
  <c r="Y876" i="76"/>
  <c r="T876" i="76"/>
  <c r="S876" i="76"/>
  <c r="U876" i="76"/>
  <c r="W876" i="76"/>
  <c r="V876" i="76"/>
  <c r="AB876" i="76"/>
  <c r="Z876" i="76"/>
  <c r="AC876" i="76"/>
  <c r="X876" i="76"/>
  <c r="AA876" i="76"/>
  <c r="C877" i="76"/>
  <c r="E877" i="76"/>
  <c r="B877" i="76"/>
  <c r="AE877" i="76"/>
  <c r="AR878" i="76"/>
  <c r="A877" i="76"/>
  <c r="AD877" i="76"/>
  <c r="D877" i="76"/>
  <c r="F878" i="76" l="1"/>
  <c r="R878" i="76"/>
  <c r="AL877" i="76"/>
  <c r="AG877" i="76"/>
  <c r="AM877" i="76"/>
  <c r="AH877" i="76"/>
  <c r="AN877" i="76"/>
  <c r="AI877" i="76"/>
  <c r="AO877" i="76"/>
  <c r="AJ877" i="76"/>
  <c r="AP877" i="76"/>
  <c r="AK877" i="76"/>
  <c r="AF877" i="76"/>
  <c r="Q877" i="76"/>
  <c r="L877" i="76"/>
  <c r="G877" i="76"/>
  <c r="M877" i="76"/>
  <c r="H877" i="76"/>
  <c r="N877" i="76"/>
  <c r="I877" i="76"/>
  <c r="O877" i="76"/>
  <c r="J877" i="76"/>
  <c r="P877" i="76"/>
  <c r="K877" i="76"/>
  <c r="C878" i="76"/>
  <c r="E878" i="76"/>
  <c r="AE878" i="76"/>
  <c r="D878" i="76"/>
  <c r="A878" i="76"/>
  <c r="B878" i="76"/>
  <c r="AR879" i="76"/>
  <c r="AD878" i="76"/>
  <c r="AA877" i="76"/>
  <c r="V877" i="76"/>
  <c r="AB877" i="76"/>
  <c r="W877" i="76"/>
  <c r="AC877" i="76"/>
  <c r="X877" i="76"/>
  <c r="S877" i="76"/>
  <c r="Y877" i="76"/>
  <c r="T877" i="76"/>
  <c r="Z877" i="76"/>
  <c r="U877" i="76"/>
  <c r="F879" i="76" l="1"/>
  <c r="R879" i="76"/>
  <c r="E879" i="76"/>
  <c r="AR880" i="76"/>
  <c r="D879" i="76"/>
  <c r="AD879" i="76"/>
  <c r="C879" i="76"/>
  <c r="AE879" i="76"/>
  <c r="B879" i="76"/>
  <c r="A879" i="76"/>
  <c r="I878" i="76"/>
  <c r="O878" i="76"/>
  <c r="N878" i="76"/>
  <c r="P878" i="76"/>
  <c r="G878" i="76"/>
  <c r="Q878" i="76"/>
  <c r="L878" i="76"/>
  <c r="J878" i="76"/>
  <c r="M878" i="76"/>
  <c r="H878" i="76"/>
  <c r="K878" i="76"/>
  <c r="Y878" i="76"/>
  <c r="T878" i="76"/>
  <c r="Z878" i="76"/>
  <c r="U878" i="76"/>
  <c r="AA878" i="76"/>
  <c r="V878" i="76"/>
  <c r="AB878" i="76"/>
  <c r="W878" i="76"/>
  <c r="AC878" i="76"/>
  <c r="X878" i="76"/>
  <c r="S878" i="76"/>
  <c r="AN878" i="76"/>
  <c r="AP878" i="76"/>
  <c r="AO878" i="76"/>
  <c r="AJ878" i="76"/>
  <c r="AH878" i="76"/>
  <c r="AK878" i="76"/>
  <c r="AF878" i="76"/>
  <c r="AI878" i="76"/>
  <c r="AG878" i="76"/>
  <c r="AM878" i="76"/>
  <c r="AL878" i="76"/>
  <c r="F880" i="76" l="1"/>
  <c r="R880" i="76"/>
  <c r="AJ879" i="76"/>
  <c r="AP879" i="76"/>
  <c r="AK879" i="76"/>
  <c r="AF879" i="76"/>
  <c r="AL879" i="76"/>
  <c r="AG879" i="76"/>
  <c r="AM879" i="76"/>
  <c r="AH879" i="76"/>
  <c r="AN879" i="76"/>
  <c r="AI879" i="76"/>
  <c r="AO879" i="76"/>
  <c r="O879" i="76"/>
  <c r="J879" i="76"/>
  <c r="P879" i="76"/>
  <c r="K879" i="76"/>
  <c r="Q879" i="76"/>
  <c r="L879" i="76"/>
  <c r="G879" i="76"/>
  <c r="M879" i="76"/>
  <c r="H879" i="76"/>
  <c r="N879" i="76"/>
  <c r="I879" i="76"/>
  <c r="D880" i="76"/>
  <c r="C880" i="76"/>
  <c r="A880" i="76"/>
  <c r="AD880" i="76"/>
  <c r="AR881" i="76"/>
  <c r="B880" i="76"/>
  <c r="AE880" i="76"/>
  <c r="E880" i="76"/>
  <c r="T879" i="76"/>
  <c r="Z879" i="76"/>
  <c r="U879" i="76"/>
  <c r="AA879" i="76"/>
  <c r="V879" i="76"/>
  <c r="AB879" i="76"/>
  <c r="W879" i="76"/>
  <c r="AC879" i="76"/>
  <c r="X879" i="76"/>
  <c r="S879" i="76"/>
  <c r="Y879" i="76"/>
  <c r="F881" i="76" l="1"/>
  <c r="R881" i="76"/>
  <c r="W880" i="76"/>
  <c r="Y880" i="76"/>
  <c r="U880" i="76"/>
  <c r="S880" i="76"/>
  <c r="AB880" i="76"/>
  <c r="X880" i="76"/>
  <c r="Z880" i="76"/>
  <c r="T880" i="76"/>
  <c r="AA880" i="76"/>
  <c r="V880" i="76"/>
  <c r="AC880" i="76"/>
  <c r="AL880" i="76"/>
  <c r="AG880" i="76"/>
  <c r="AM880" i="76"/>
  <c r="AH880" i="76"/>
  <c r="AN880" i="76"/>
  <c r="AI880" i="76"/>
  <c r="AO880" i="76"/>
  <c r="AJ880" i="76"/>
  <c r="AP880" i="76"/>
  <c r="AK880" i="76"/>
  <c r="AF880" i="76"/>
  <c r="D881" i="76"/>
  <c r="AE881" i="76"/>
  <c r="E881" i="76"/>
  <c r="A881" i="76"/>
  <c r="B881" i="76"/>
  <c r="AR882" i="76"/>
  <c r="C881" i="76"/>
  <c r="AD881" i="76"/>
  <c r="I880" i="76"/>
  <c r="O880" i="76"/>
  <c r="J880" i="76"/>
  <c r="P880" i="76"/>
  <c r="K880" i="76"/>
  <c r="Q880" i="76"/>
  <c r="L880" i="76"/>
  <c r="G880" i="76"/>
  <c r="M880" i="76"/>
  <c r="H880" i="76"/>
  <c r="N880" i="76"/>
  <c r="F882" i="76" l="1"/>
  <c r="R882" i="76"/>
  <c r="M881" i="76"/>
  <c r="H881" i="76"/>
  <c r="N881" i="76"/>
  <c r="I881" i="76"/>
  <c r="O881" i="76"/>
  <c r="J881" i="76"/>
  <c r="P881" i="76"/>
  <c r="K881" i="76"/>
  <c r="Q881" i="76"/>
  <c r="L881" i="76"/>
  <c r="G881" i="76"/>
  <c r="AJ881" i="76"/>
  <c r="AP881" i="76"/>
  <c r="AO881" i="76"/>
  <c r="AF881" i="76"/>
  <c r="AH881" i="76"/>
  <c r="AG881" i="76"/>
  <c r="AM881" i="76"/>
  <c r="AK881" i="76"/>
  <c r="AN881" i="76"/>
  <c r="AI881" i="76"/>
  <c r="AL881" i="76"/>
  <c r="AR883" i="76"/>
  <c r="AD882" i="76"/>
  <c r="B882" i="76"/>
  <c r="D882" i="76"/>
  <c r="A882" i="76"/>
  <c r="C882" i="76"/>
  <c r="E882" i="76"/>
  <c r="AE882" i="76"/>
  <c r="AC881" i="76"/>
  <c r="T881" i="76"/>
  <c r="S881" i="76"/>
  <c r="Y881" i="76"/>
  <c r="W881" i="76"/>
  <c r="Z881" i="76"/>
  <c r="U881" i="76"/>
  <c r="X881" i="76"/>
  <c r="V881" i="76"/>
  <c r="AB881" i="76"/>
  <c r="AA881" i="76"/>
  <c r="F883" i="76" l="1"/>
  <c r="R883" i="76"/>
  <c r="AM882" i="76"/>
  <c r="AH882" i="76"/>
  <c r="AN882" i="76"/>
  <c r="AI882" i="76"/>
  <c r="AO882" i="76"/>
  <c r="AJ882" i="76"/>
  <c r="AP882" i="76"/>
  <c r="AK882" i="76"/>
  <c r="AF882" i="76"/>
  <c r="AL882" i="76"/>
  <c r="AG882" i="76"/>
  <c r="P882" i="76"/>
  <c r="K882" i="76"/>
  <c r="Q882" i="76"/>
  <c r="L882" i="76"/>
  <c r="G882" i="76"/>
  <c r="M882" i="76"/>
  <c r="H882" i="76"/>
  <c r="N882" i="76"/>
  <c r="I882" i="76"/>
  <c r="O882" i="76"/>
  <c r="J882" i="76"/>
  <c r="Z882" i="76"/>
  <c r="U882" i="76"/>
  <c r="AA882" i="76"/>
  <c r="V882" i="76"/>
  <c r="AB882" i="76"/>
  <c r="W882" i="76"/>
  <c r="AC882" i="76"/>
  <c r="X882" i="76"/>
  <c r="S882" i="76"/>
  <c r="Y882" i="76"/>
  <c r="T882" i="76"/>
  <c r="B883" i="76"/>
  <c r="A883" i="76"/>
  <c r="AE883" i="76"/>
  <c r="E883" i="76"/>
  <c r="D883" i="76"/>
  <c r="AR884" i="76"/>
  <c r="C883" i="76"/>
  <c r="AD883" i="76"/>
  <c r="F884" i="76" l="1"/>
  <c r="R884" i="76"/>
  <c r="H883" i="76"/>
  <c r="J883" i="76"/>
  <c r="I883" i="76"/>
  <c r="O883" i="76"/>
  <c r="M883" i="76"/>
  <c r="P883" i="76"/>
  <c r="K883" i="76"/>
  <c r="N883" i="76"/>
  <c r="L883" i="76"/>
  <c r="G883" i="76"/>
  <c r="Q883" i="76"/>
  <c r="A884" i="76"/>
  <c r="E884" i="76"/>
  <c r="C884" i="76"/>
  <c r="AE884" i="76"/>
  <c r="AR885" i="76"/>
  <c r="D884" i="76"/>
  <c r="AD884" i="76"/>
  <c r="B884" i="76"/>
  <c r="Y883" i="76"/>
  <c r="T883" i="76"/>
  <c r="Z883" i="76"/>
  <c r="U883" i="76"/>
  <c r="AA883" i="76"/>
  <c r="V883" i="76"/>
  <c r="AB883" i="76"/>
  <c r="W883" i="76"/>
  <c r="AC883" i="76"/>
  <c r="X883" i="76"/>
  <c r="S883" i="76"/>
  <c r="AL883" i="76"/>
  <c r="AG883" i="76"/>
  <c r="AM883" i="76"/>
  <c r="AH883" i="76"/>
  <c r="AN883" i="76"/>
  <c r="AI883" i="76"/>
  <c r="AO883" i="76"/>
  <c r="AJ883" i="76"/>
  <c r="AP883" i="76"/>
  <c r="AK883" i="76"/>
  <c r="AF883" i="76"/>
  <c r="F885" i="76" l="1"/>
  <c r="R885" i="76"/>
  <c r="AG884" i="76"/>
  <c r="AM884" i="76"/>
  <c r="AH884" i="76"/>
  <c r="AN884" i="76"/>
  <c r="AI884" i="76"/>
  <c r="AO884" i="76"/>
  <c r="AJ884" i="76"/>
  <c r="AP884" i="76"/>
  <c r="AK884" i="76"/>
  <c r="AF884" i="76"/>
  <c r="AL884" i="76"/>
  <c r="AB884" i="76"/>
  <c r="S884" i="76"/>
  <c r="AC884" i="76"/>
  <c r="X884" i="76"/>
  <c r="V884" i="76"/>
  <c r="Y884" i="76"/>
  <c r="T884" i="76"/>
  <c r="W884" i="76"/>
  <c r="U884" i="76"/>
  <c r="AA884" i="76"/>
  <c r="Z884" i="76"/>
  <c r="AR886" i="76"/>
  <c r="AD885" i="76"/>
  <c r="E885" i="76"/>
  <c r="C885" i="76"/>
  <c r="A885" i="76"/>
  <c r="B885" i="76"/>
  <c r="D885" i="76"/>
  <c r="AE885" i="76"/>
  <c r="K884" i="76"/>
  <c r="Q884" i="76"/>
  <c r="L884" i="76"/>
  <c r="G884" i="76"/>
  <c r="M884" i="76"/>
  <c r="H884" i="76"/>
  <c r="N884" i="76"/>
  <c r="I884" i="76"/>
  <c r="O884" i="76"/>
  <c r="J884" i="76"/>
  <c r="P884" i="76"/>
  <c r="F886" i="76" l="1"/>
  <c r="R886" i="76"/>
  <c r="AF885" i="76"/>
  <c r="AL885" i="76"/>
  <c r="AG885" i="76"/>
  <c r="AM885" i="76"/>
  <c r="AH885" i="76"/>
  <c r="AN885" i="76"/>
  <c r="AI885" i="76"/>
  <c r="AO885" i="76"/>
  <c r="AJ885" i="76"/>
  <c r="AP885" i="76"/>
  <c r="AK885" i="76"/>
  <c r="V885" i="76"/>
  <c r="AB885" i="76"/>
  <c r="W885" i="76"/>
  <c r="AC885" i="76"/>
  <c r="X885" i="76"/>
  <c r="S885" i="76"/>
  <c r="Y885" i="76"/>
  <c r="T885" i="76"/>
  <c r="Z885" i="76"/>
  <c r="U885" i="76"/>
  <c r="AA885" i="76"/>
  <c r="O885" i="76"/>
  <c r="J885" i="76"/>
  <c r="P885" i="76"/>
  <c r="K885" i="76"/>
  <c r="Q885" i="76"/>
  <c r="L885" i="76"/>
  <c r="G885" i="76"/>
  <c r="M885" i="76"/>
  <c r="H885" i="76"/>
  <c r="N885" i="76"/>
  <c r="I885" i="76"/>
  <c r="D886" i="76"/>
  <c r="A886" i="76"/>
  <c r="C886" i="76"/>
  <c r="E886" i="76"/>
  <c r="AE886" i="76"/>
  <c r="AR887" i="76"/>
  <c r="AD886" i="76"/>
  <c r="B886" i="76"/>
  <c r="F887" i="76" l="1"/>
  <c r="R887" i="76"/>
  <c r="M886" i="76"/>
  <c r="H886" i="76"/>
  <c r="G886" i="76"/>
  <c r="I886" i="76"/>
  <c r="K886" i="76"/>
  <c r="J886" i="76"/>
  <c r="P886" i="76"/>
  <c r="N886" i="76"/>
  <c r="Q886" i="76"/>
  <c r="L886" i="76"/>
  <c r="O886" i="76"/>
  <c r="AB886" i="76"/>
  <c r="W886" i="76"/>
  <c r="AC886" i="76"/>
  <c r="X886" i="76"/>
  <c r="S886" i="76"/>
  <c r="Y886" i="76"/>
  <c r="T886" i="76"/>
  <c r="Z886" i="76"/>
  <c r="U886" i="76"/>
  <c r="AA886" i="76"/>
  <c r="V886" i="76"/>
  <c r="AP886" i="76"/>
  <c r="AN886" i="76"/>
  <c r="AJ886" i="76"/>
  <c r="AL886" i="76"/>
  <c r="AF886" i="76"/>
  <c r="AM886" i="76"/>
  <c r="AH886" i="76"/>
  <c r="AO886" i="76"/>
  <c r="AI886" i="76"/>
  <c r="AK886" i="76"/>
  <c r="AG886" i="76"/>
  <c r="E887" i="76"/>
  <c r="AE887" i="76"/>
  <c r="D887" i="76"/>
  <c r="C887" i="76"/>
  <c r="B887" i="76"/>
  <c r="AR888" i="76"/>
  <c r="A887" i="76"/>
  <c r="AD887" i="76"/>
  <c r="F888" i="76" l="1"/>
  <c r="R888" i="76"/>
  <c r="AM887" i="76"/>
  <c r="AH887" i="76"/>
  <c r="AN887" i="76"/>
  <c r="AI887" i="76"/>
  <c r="AO887" i="76"/>
  <c r="AJ887" i="76"/>
  <c r="AP887" i="76"/>
  <c r="AK887" i="76"/>
  <c r="AF887" i="76"/>
  <c r="AL887" i="76"/>
  <c r="AG887" i="76"/>
  <c r="L887" i="76"/>
  <c r="G887" i="76"/>
  <c r="M887" i="76"/>
  <c r="H887" i="76"/>
  <c r="N887" i="76"/>
  <c r="I887" i="76"/>
  <c r="O887" i="76"/>
  <c r="J887" i="76"/>
  <c r="P887" i="76"/>
  <c r="K887" i="76"/>
  <c r="Q887" i="76"/>
  <c r="C888" i="76"/>
  <c r="B888" i="76"/>
  <c r="AR889" i="76"/>
  <c r="E888" i="76"/>
  <c r="AE888" i="76"/>
  <c r="AD888" i="76"/>
  <c r="A888" i="76"/>
  <c r="D888" i="76"/>
  <c r="T887" i="76"/>
  <c r="Z887" i="76"/>
  <c r="U887" i="76"/>
  <c r="AA887" i="76"/>
  <c r="V887" i="76"/>
  <c r="AB887" i="76"/>
  <c r="W887" i="76"/>
  <c r="AC887" i="76"/>
  <c r="X887" i="76"/>
  <c r="S887" i="76"/>
  <c r="Y887" i="76"/>
  <c r="F889" i="76" l="1"/>
  <c r="R889" i="76"/>
  <c r="M888" i="76"/>
  <c r="H888" i="76"/>
  <c r="N888" i="76"/>
  <c r="I888" i="76"/>
  <c r="O888" i="76"/>
  <c r="J888" i="76"/>
  <c r="P888" i="76"/>
  <c r="K888" i="76"/>
  <c r="Q888" i="76"/>
  <c r="L888" i="76"/>
  <c r="G888" i="76"/>
  <c r="Z888" i="76"/>
  <c r="X888" i="76"/>
  <c r="AA888" i="76"/>
  <c r="V888" i="76"/>
  <c r="Y888" i="76"/>
  <c r="W888" i="76"/>
  <c r="AC888" i="76"/>
  <c r="AB888" i="76"/>
  <c r="S888" i="76"/>
  <c r="U888" i="76"/>
  <c r="T888" i="76"/>
  <c r="AP888" i="76"/>
  <c r="AK888" i="76"/>
  <c r="AF888" i="76"/>
  <c r="AL888" i="76"/>
  <c r="AG888" i="76"/>
  <c r="AM888" i="76"/>
  <c r="AH888" i="76"/>
  <c r="AN888" i="76"/>
  <c r="AI888" i="76"/>
  <c r="AO888" i="76"/>
  <c r="AJ888" i="76"/>
  <c r="B889" i="76"/>
  <c r="A889" i="76"/>
  <c r="E889" i="76"/>
  <c r="AD889" i="76"/>
  <c r="D889" i="76"/>
  <c r="AR890" i="76"/>
  <c r="C889" i="76"/>
  <c r="AE889" i="76"/>
  <c r="F890" i="76" l="1"/>
  <c r="R890" i="76"/>
  <c r="L889" i="76"/>
  <c r="G889" i="76"/>
  <c r="M889" i="76"/>
  <c r="H889" i="76"/>
  <c r="N889" i="76"/>
  <c r="I889" i="76"/>
  <c r="O889" i="76"/>
  <c r="J889" i="76"/>
  <c r="P889" i="76"/>
  <c r="K889" i="76"/>
  <c r="Q889" i="76"/>
  <c r="AP889" i="76"/>
  <c r="AK889" i="76"/>
  <c r="AF889" i="76"/>
  <c r="AH889" i="76"/>
  <c r="AG889" i="76"/>
  <c r="AM889" i="76"/>
  <c r="AJ889" i="76"/>
  <c r="AL889" i="76"/>
  <c r="AI889" i="76"/>
  <c r="AO889" i="76"/>
  <c r="AN889" i="76"/>
  <c r="AR891" i="76"/>
  <c r="C890" i="76"/>
  <c r="AE890" i="76"/>
  <c r="B890" i="76"/>
  <c r="A890" i="76"/>
  <c r="E890" i="76"/>
  <c r="D890" i="76"/>
  <c r="AD890" i="76"/>
  <c r="AA889" i="76"/>
  <c r="AC889" i="76"/>
  <c r="AB889" i="76"/>
  <c r="W889" i="76"/>
  <c r="U889" i="76"/>
  <c r="X889" i="76"/>
  <c r="S889" i="76"/>
  <c r="V889" i="76"/>
  <c r="T889" i="76"/>
  <c r="Z889" i="76"/>
  <c r="Y889" i="76"/>
  <c r="F891" i="76" l="1"/>
  <c r="R891" i="76"/>
  <c r="H890" i="76"/>
  <c r="N890" i="76"/>
  <c r="I890" i="76"/>
  <c r="M890" i="76"/>
  <c r="Q890" i="76"/>
  <c r="P890" i="76"/>
  <c r="O890" i="76"/>
  <c r="K890" i="76"/>
  <c r="L890" i="76"/>
  <c r="G890" i="76"/>
  <c r="J890" i="76"/>
  <c r="Y890" i="76"/>
  <c r="V890" i="76"/>
  <c r="AB890" i="76"/>
  <c r="AA890" i="76"/>
  <c r="AC890" i="76"/>
  <c r="X890" i="76"/>
  <c r="S890" i="76"/>
  <c r="U890" i="76"/>
  <c r="T890" i="76"/>
  <c r="Z890" i="76"/>
  <c r="W890" i="76"/>
  <c r="AL890" i="76"/>
  <c r="AI890" i="76"/>
  <c r="AJ890" i="76"/>
  <c r="AH890" i="76"/>
  <c r="AN890" i="76"/>
  <c r="AK890" i="76"/>
  <c r="AO890" i="76"/>
  <c r="AF890" i="76"/>
  <c r="AP890" i="76"/>
  <c r="AG890" i="76"/>
  <c r="AM890" i="76"/>
  <c r="A891" i="76"/>
  <c r="AR892" i="76"/>
  <c r="AD891" i="76"/>
  <c r="D891" i="76"/>
  <c r="B891" i="76"/>
  <c r="AE891" i="76"/>
  <c r="E891" i="76"/>
  <c r="C891" i="76"/>
  <c r="F892" i="76" l="1"/>
  <c r="R892" i="76"/>
  <c r="AR893" i="76"/>
  <c r="AD892" i="76"/>
  <c r="B892" i="76"/>
  <c r="A892" i="76"/>
  <c r="D892" i="76"/>
  <c r="E892" i="76"/>
  <c r="C892" i="76"/>
  <c r="AE892" i="76"/>
  <c r="AF891" i="76"/>
  <c r="AG891" i="76"/>
  <c r="AM891" i="76"/>
  <c r="AL891" i="76"/>
  <c r="AJ891" i="76"/>
  <c r="AI891" i="76"/>
  <c r="AO891" i="76"/>
  <c r="AP891" i="76"/>
  <c r="AN891" i="76"/>
  <c r="AK891" i="76"/>
  <c r="AH891" i="76"/>
  <c r="L891" i="76"/>
  <c r="I891" i="76"/>
  <c r="O891" i="76"/>
  <c r="N891" i="76"/>
  <c r="P891" i="76"/>
  <c r="K891" i="76"/>
  <c r="Q891" i="76"/>
  <c r="H891" i="76"/>
  <c r="G891" i="76"/>
  <c r="M891" i="76"/>
  <c r="J891" i="76"/>
  <c r="AA891" i="76"/>
  <c r="Z891" i="76"/>
  <c r="AC891" i="76"/>
  <c r="W891" i="76"/>
  <c r="Y891" i="76"/>
  <c r="U891" i="76"/>
  <c r="S891" i="76"/>
  <c r="AB891" i="76"/>
  <c r="T891" i="76"/>
  <c r="X891" i="76"/>
  <c r="V891" i="76"/>
  <c r="F893" i="76" l="1"/>
  <c r="R893" i="76"/>
  <c r="AF892" i="76"/>
  <c r="AL892" i="76"/>
  <c r="AG892" i="76"/>
  <c r="AI892" i="76"/>
  <c r="AH892" i="76"/>
  <c r="AN892" i="76"/>
  <c r="AK892" i="76"/>
  <c r="AM892" i="76"/>
  <c r="AJ892" i="76"/>
  <c r="AP892" i="76"/>
  <c r="AO892" i="76"/>
  <c r="K892" i="76"/>
  <c r="J892" i="76"/>
  <c r="P892" i="76"/>
  <c r="Q892" i="76"/>
  <c r="O892" i="76"/>
  <c r="L892" i="76"/>
  <c r="I892" i="76"/>
  <c r="G892" i="76"/>
  <c r="H892" i="76"/>
  <c r="N892" i="76"/>
  <c r="M892" i="76"/>
  <c r="X892" i="76"/>
  <c r="U892" i="76"/>
  <c r="S892" i="76"/>
  <c r="T892" i="76"/>
  <c r="Z892" i="76"/>
  <c r="Y892" i="76"/>
  <c r="W892" i="76"/>
  <c r="V892" i="76"/>
  <c r="AB892" i="76"/>
  <c r="AC892" i="76"/>
  <c r="AA892" i="76"/>
  <c r="B893" i="76"/>
  <c r="AR894" i="76"/>
  <c r="A893" i="76"/>
  <c r="AD893" i="76"/>
  <c r="E893" i="76"/>
  <c r="AE893" i="76"/>
  <c r="D893" i="76"/>
  <c r="C893" i="76"/>
  <c r="F894" i="76" l="1"/>
  <c r="R894" i="76"/>
  <c r="C894" i="76"/>
  <c r="E894" i="76"/>
  <c r="AE894" i="76"/>
  <c r="AD894" i="76"/>
  <c r="AR895" i="76"/>
  <c r="B894" i="76"/>
  <c r="D894" i="76"/>
  <c r="A894" i="76"/>
  <c r="U893" i="76"/>
  <c r="AA893" i="76"/>
  <c r="X893" i="76"/>
  <c r="Z893" i="76"/>
  <c r="W893" i="76"/>
  <c r="AC893" i="76"/>
  <c r="AB893" i="76"/>
  <c r="S893" i="76"/>
  <c r="Y893" i="76"/>
  <c r="T893" i="76"/>
  <c r="V893" i="76"/>
  <c r="AI893" i="76"/>
  <c r="AO893" i="76"/>
  <c r="AL893" i="76"/>
  <c r="AP893" i="76"/>
  <c r="AG893" i="76"/>
  <c r="AF893" i="76"/>
  <c r="AH893" i="76"/>
  <c r="AN893" i="76"/>
  <c r="AM893" i="76"/>
  <c r="AJ893" i="76"/>
  <c r="AK893" i="76"/>
  <c r="J893" i="76"/>
  <c r="P893" i="76"/>
  <c r="O893" i="76"/>
  <c r="L893" i="76"/>
  <c r="M893" i="76"/>
  <c r="K893" i="76"/>
  <c r="Q893" i="76"/>
  <c r="N893" i="76"/>
  <c r="G893" i="76"/>
  <c r="I893" i="76"/>
  <c r="H893" i="76"/>
  <c r="F895" i="76" l="1"/>
  <c r="R895" i="76"/>
  <c r="AR896" i="76"/>
  <c r="E895" i="76"/>
  <c r="AD895" i="76"/>
  <c r="D895" i="76"/>
  <c r="C895" i="76"/>
  <c r="B895" i="76"/>
  <c r="A895" i="76"/>
  <c r="AE895" i="76"/>
  <c r="AC894" i="76"/>
  <c r="X894" i="76"/>
  <c r="S894" i="76"/>
  <c r="U894" i="76"/>
  <c r="T894" i="76"/>
  <c r="Z894" i="76"/>
  <c r="W894" i="76"/>
  <c r="Y894" i="76"/>
  <c r="V894" i="76"/>
  <c r="AB894" i="76"/>
  <c r="AA894" i="76"/>
  <c r="I894" i="76"/>
  <c r="H894" i="76"/>
  <c r="N894" i="76"/>
  <c r="K894" i="76"/>
  <c r="M894" i="76"/>
  <c r="J894" i="76"/>
  <c r="P894" i="76"/>
  <c r="O894" i="76"/>
  <c r="Q894" i="76"/>
  <c r="L894" i="76"/>
  <c r="G894" i="76"/>
  <c r="AL894" i="76"/>
  <c r="AI894" i="76"/>
  <c r="AK894" i="76"/>
  <c r="AH894" i="76"/>
  <c r="AN894" i="76"/>
  <c r="AM894" i="76"/>
  <c r="AO894" i="76"/>
  <c r="AJ894" i="76"/>
  <c r="AP894" i="76"/>
  <c r="AG894" i="76"/>
  <c r="AF894" i="76"/>
  <c r="F896" i="76" l="1"/>
  <c r="R896" i="76"/>
  <c r="AM895" i="76"/>
  <c r="AL895" i="76"/>
  <c r="AJ895" i="76"/>
  <c r="AI895" i="76"/>
  <c r="AO895" i="76"/>
  <c r="AP895" i="76"/>
  <c r="AN895" i="76"/>
  <c r="AK895" i="76"/>
  <c r="AH895" i="76"/>
  <c r="AF895" i="76"/>
  <c r="AG895" i="76"/>
  <c r="X895" i="76"/>
  <c r="U895" i="76"/>
  <c r="AA895" i="76"/>
  <c r="Z895" i="76"/>
  <c r="AB895" i="76"/>
  <c r="W895" i="76"/>
  <c r="AC895" i="76"/>
  <c r="T895" i="76"/>
  <c r="S895" i="76"/>
  <c r="Y895" i="76"/>
  <c r="V895" i="76"/>
  <c r="P895" i="76"/>
  <c r="L895" i="76"/>
  <c r="Q895" i="76"/>
  <c r="H895" i="76"/>
  <c r="O895" i="76"/>
  <c r="M895" i="76"/>
  <c r="J895" i="76"/>
  <c r="G895" i="76"/>
  <c r="I895" i="76"/>
  <c r="K895" i="76"/>
  <c r="N895" i="76"/>
  <c r="AR897" i="76"/>
  <c r="B896" i="76"/>
  <c r="AE896" i="76"/>
  <c r="E896" i="76"/>
  <c r="D896" i="76"/>
  <c r="C896" i="76"/>
  <c r="A896" i="76"/>
  <c r="AD896" i="76"/>
  <c r="F897" i="76" l="1"/>
  <c r="R897" i="76"/>
  <c r="H896" i="76"/>
  <c r="N896" i="76"/>
  <c r="Q896" i="76"/>
  <c r="K896" i="76"/>
  <c r="J896" i="76"/>
  <c r="P896" i="76"/>
  <c r="M896" i="76"/>
  <c r="O896" i="76"/>
  <c r="L896" i="76"/>
  <c r="I896" i="76"/>
  <c r="G896" i="76"/>
  <c r="W896" i="76"/>
  <c r="S896" i="76"/>
  <c r="AB896" i="76"/>
  <c r="AC896" i="76"/>
  <c r="Z896" i="76"/>
  <c r="X896" i="76"/>
  <c r="Y896" i="76"/>
  <c r="AA896" i="76"/>
  <c r="T896" i="76"/>
  <c r="V896" i="76"/>
  <c r="U896" i="76"/>
  <c r="AL896" i="76"/>
  <c r="AG896" i="76"/>
  <c r="AI896" i="76"/>
  <c r="AH896" i="76"/>
  <c r="AN896" i="76"/>
  <c r="AO896" i="76"/>
  <c r="AM896" i="76"/>
  <c r="AJ896" i="76"/>
  <c r="AP896" i="76"/>
  <c r="AK896" i="76"/>
  <c r="AF896" i="76"/>
  <c r="E897" i="76"/>
  <c r="A897" i="76"/>
  <c r="AD897" i="76"/>
  <c r="AR898" i="76"/>
  <c r="D897" i="76"/>
  <c r="AE897" i="76"/>
  <c r="B897" i="76"/>
  <c r="C897" i="76"/>
  <c r="F898" i="76" l="1"/>
  <c r="R898" i="76"/>
  <c r="W897" i="76"/>
  <c r="AC897" i="76"/>
  <c r="X897" i="76"/>
  <c r="S897" i="76"/>
  <c r="Y897" i="76"/>
  <c r="T897" i="76"/>
  <c r="V897" i="76"/>
  <c r="U897" i="76"/>
  <c r="AA897" i="76"/>
  <c r="AB897" i="76"/>
  <c r="Z897" i="76"/>
  <c r="AL897" i="76"/>
  <c r="AI897" i="76"/>
  <c r="AO897" i="76"/>
  <c r="AN897" i="76"/>
  <c r="AP897" i="76"/>
  <c r="AK897" i="76"/>
  <c r="AJ897" i="76"/>
  <c r="AH897" i="76"/>
  <c r="AG897" i="76"/>
  <c r="AM897" i="76"/>
  <c r="AF897" i="76"/>
  <c r="AR899" i="76"/>
  <c r="A898" i="76"/>
  <c r="B898" i="76"/>
  <c r="D898" i="76"/>
  <c r="E898" i="76"/>
  <c r="C898" i="76"/>
  <c r="AE898" i="76"/>
  <c r="AD898" i="76"/>
  <c r="G897" i="76"/>
  <c r="M897" i="76"/>
  <c r="L897" i="76"/>
  <c r="J897" i="76"/>
  <c r="I897" i="76"/>
  <c r="O897" i="76"/>
  <c r="H897" i="76"/>
  <c r="N897" i="76"/>
  <c r="K897" i="76"/>
  <c r="Q897" i="76"/>
  <c r="P897" i="76"/>
  <c r="F899" i="76" l="1"/>
  <c r="R899" i="76"/>
  <c r="AL898" i="76"/>
  <c r="AM898" i="76"/>
  <c r="AK898" i="76"/>
  <c r="AH898" i="76"/>
  <c r="AN898" i="76"/>
  <c r="AI898" i="76"/>
  <c r="AO898" i="76"/>
  <c r="AJ898" i="76"/>
  <c r="AP898" i="76"/>
  <c r="AG898" i="76"/>
  <c r="AF898" i="76"/>
  <c r="Q898" i="76"/>
  <c r="M898" i="76"/>
  <c r="K898" i="76"/>
  <c r="I898" i="76"/>
  <c r="G898" i="76"/>
  <c r="N898" i="76"/>
  <c r="O898" i="76"/>
  <c r="P898" i="76"/>
  <c r="J898" i="76"/>
  <c r="L898" i="76"/>
  <c r="H898" i="76"/>
  <c r="Y898" i="76"/>
  <c r="V898" i="76"/>
  <c r="AB898" i="76"/>
  <c r="AA898" i="76"/>
  <c r="AC898" i="76"/>
  <c r="X898" i="76"/>
  <c r="W898" i="76"/>
  <c r="U898" i="76"/>
  <c r="T898" i="76"/>
  <c r="Z898" i="76"/>
  <c r="S898" i="76"/>
  <c r="D899" i="76"/>
  <c r="A899" i="76"/>
  <c r="AD899" i="76"/>
  <c r="B899" i="76"/>
  <c r="AE899" i="76"/>
  <c r="AR900" i="76"/>
  <c r="C899" i="76"/>
  <c r="E899" i="76"/>
  <c r="F900" i="76" l="1"/>
  <c r="R900" i="76"/>
  <c r="AN899" i="76"/>
  <c r="AK899" i="76"/>
  <c r="AH899" i="76"/>
  <c r="AF899" i="76"/>
  <c r="AG899" i="76"/>
  <c r="AM899" i="76"/>
  <c r="AP899" i="76"/>
  <c r="AJ899" i="76"/>
  <c r="AI899" i="76"/>
  <c r="AO899" i="76"/>
  <c r="AL899" i="76"/>
  <c r="W899" i="76"/>
  <c r="AC899" i="76"/>
  <c r="AB899" i="76"/>
  <c r="S899" i="76"/>
  <c r="U899" i="76"/>
  <c r="Z899" i="76"/>
  <c r="X899" i="76"/>
  <c r="T899" i="76"/>
  <c r="AA899" i="76"/>
  <c r="V899" i="76"/>
  <c r="Y899" i="76"/>
  <c r="L899" i="76"/>
  <c r="I899" i="76"/>
  <c r="O899" i="76"/>
  <c r="N899" i="76"/>
  <c r="P899" i="76"/>
  <c r="K899" i="76"/>
  <c r="Q899" i="76"/>
  <c r="H899" i="76"/>
  <c r="G899" i="76"/>
  <c r="M899" i="76"/>
  <c r="J899" i="76"/>
  <c r="AD900" i="76"/>
  <c r="B900" i="76"/>
  <c r="D900" i="76"/>
  <c r="C900" i="76"/>
  <c r="A900" i="76"/>
  <c r="AR901" i="76"/>
  <c r="E900" i="76"/>
  <c r="AE900" i="76"/>
  <c r="F901" i="76" l="1"/>
  <c r="R901" i="76"/>
  <c r="Z900" i="76"/>
  <c r="AC900" i="76"/>
  <c r="W900" i="76"/>
  <c r="V900" i="76"/>
  <c r="AB900" i="76"/>
  <c r="Y900" i="76"/>
  <c r="AA900" i="76"/>
  <c r="X900" i="76"/>
  <c r="U900" i="76"/>
  <c r="S900" i="76"/>
  <c r="T900" i="76"/>
  <c r="AM900" i="76"/>
  <c r="AJ900" i="76"/>
  <c r="AP900" i="76"/>
  <c r="AO900" i="76"/>
  <c r="AF900" i="76"/>
  <c r="AL900" i="76"/>
  <c r="AK900" i="76"/>
  <c r="AI900" i="76"/>
  <c r="AH900" i="76"/>
  <c r="AN900" i="76"/>
  <c r="AG900" i="76"/>
  <c r="C901" i="76"/>
  <c r="E901" i="76"/>
  <c r="D901" i="76"/>
  <c r="B901" i="76"/>
  <c r="AD901" i="76"/>
  <c r="AR902" i="76"/>
  <c r="A901" i="76"/>
  <c r="AE901" i="76"/>
  <c r="G900" i="76"/>
  <c r="H900" i="76"/>
  <c r="N900" i="76"/>
  <c r="I900" i="76"/>
  <c r="K900" i="76"/>
  <c r="J900" i="76"/>
  <c r="P900" i="76"/>
  <c r="Q900" i="76"/>
  <c r="O900" i="76"/>
  <c r="L900" i="76"/>
  <c r="M900" i="76"/>
  <c r="F902" i="76" l="1"/>
  <c r="R902" i="76"/>
  <c r="AK901" i="76"/>
  <c r="AF901" i="76"/>
  <c r="AI901" i="76"/>
  <c r="AG901" i="76"/>
  <c r="AM901" i="76"/>
  <c r="AH901" i="76"/>
  <c r="AL901" i="76"/>
  <c r="AP901" i="76"/>
  <c r="AO901" i="76"/>
  <c r="AJ901" i="76"/>
  <c r="AN901" i="76"/>
  <c r="A902" i="76"/>
  <c r="E902" i="76"/>
  <c r="D902" i="76"/>
  <c r="AD902" i="76"/>
  <c r="AR903" i="76"/>
  <c r="C902" i="76"/>
  <c r="AE902" i="76"/>
  <c r="B902" i="76"/>
  <c r="N901" i="76"/>
  <c r="K901" i="76"/>
  <c r="Q901" i="76"/>
  <c r="L901" i="76"/>
  <c r="G901" i="76"/>
  <c r="M901" i="76"/>
  <c r="H901" i="76"/>
  <c r="J901" i="76"/>
  <c r="I901" i="76"/>
  <c r="O901" i="76"/>
  <c r="P901" i="76"/>
  <c r="U901" i="76"/>
  <c r="W901" i="76"/>
  <c r="T901" i="76"/>
  <c r="Z901" i="76"/>
  <c r="V901" i="76"/>
  <c r="AC901" i="76"/>
  <c r="AB901" i="76"/>
  <c r="AA901" i="76"/>
  <c r="Y901" i="76"/>
  <c r="X901" i="76"/>
  <c r="S901" i="76"/>
  <c r="F903" i="76" l="1"/>
  <c r="R903" i="76"/>
  <c r="V902" i="76"/>
  <c r="AB902" i="76"/>
  <c r="W902" i="76"/>
  <c r="AC902" i="76"/>
  <c r="X902" i="76"/>
  <c r="S902" i="76"/>
  <c r="U902" i="76"/>
  <c r="T902" i="76"/>
  <c r="Z902" i="76"/>
  <c r="AA902" i="76"/>
  <c r="Y902" i="76"/>
  <c r="AO902" i="76"/>
  <c r="AJ902" i="76"/>
  <c r="AP902" i="76"/>
  <c r="AG902" i="76"/>
  <c r="AF902" i="76"/>
  <c r="AL902" i="76"/>
  <c r="AI902" i="76"/>
  <c r="AK902" i="76"/>
  <c r="AH902" i="76"/>
  <c r="AN902" i="76"/>
  <c r="AM902" i="76"/>
  <c r="D903" i="76"/>
  <c r="B903" i="76"/>
  <c r="AE903" i="76"/>
  <c r="E903" i="76"/>
  <c r="A903" i="76"/>
  <c r="C903" i="76"/>
  <c r="AR904" i="76"/>
  <c r="AD903" i="76"/>
  <c r="H902" i="76"/>
  <c r="N902" i="76"/>
  <c r="G902" i="76"/>
  <c r="M902" i="76"/>
  <c r="J902" i="76"/>
  <c r="P902" i="76"/>
  <c r="O902" i="76"/>
  <c r="Q902" i="76"/>
  <c r="L902" i="76"/>
  <c r="K902" i="76"/>
  <c r="I902" i="76"/>
  <c r="F904" i="76" l="1"/>
  <c r="R904" i="76"/>
  <c r="M903" i="76"/>
  <c r="N903" i="76"/>
  <c r="K903" i="76"/>
  <c r="I903" i="76"/>
  <c r="O903" i="76"/>
  <c r="L903" i="76"/>
  <c r="P903" i="76"/>
  <c r="G903" i="76"/>
  <c r="Q903" i="76"/>
  <c r="H903" i="76"/>
  <c r="J903" i="76"/>
  <c r="A904" i="76"/>
  <c r="C904" i="76"/>
  <c r="E904" i="76"/>
  <c r="AD904" i="76"/>
  <c r="AR905" i="76"/>
  <c r="B904" i="76"/>
  <c r="AE904" i="76"/>
  <c r="D904" i="76"/>
  <c r="U903" i="76"/>
  <c r="AA903" i="76"/>
  <c r="X903" i="76"/>
  <c r="AB903" i="76"/>
  <c r="S903" i="76"/>
  <c r="AC903" i="76"/>
  <c r="T903" i="76"/>
  <c r="Z903" i="76"/>
  <c r="Y903" i="76"/>
  <c r="V903" i="76"/>
  <c r="W903" i="76"/>
  <c r="AJ903" i="76"/>
  <c r="AI903" i="76"/>
  <c r="AO903" i="76"/>
  <c r="AP903" i="76"/>
  <c r="AN903" i="76"/>
  <c r="AK903" i="76"/>
  <c r="AL903" i="76"/>
  <c r="AF903" i="76"/>
  <c r="AG903" i="76"/>
  <c r="AM903" i="76"/>
  <c r="AH903" i="76"/>
  <c r="F905" i="76" l="1"/>
  <c r="R905" i="76"/>
  <c r="P904" i="76"/>
  <c r="M904" i="76"/>
  <c r="O904" i="76"/>
  <c r="L904" i="76"/>
  <c r="I904" i="76"/>
  <c r="G904" i="76"/>
  <c r="H904" i="76"/>
  <c r="N904" i="76"/>
  <c r="Q904" i="76"/>
  <c r="K904" i="76"/>
  <c r="J904" i="76"/>
  <c r="AM904" i="76"/>
  <c r="AJ904" i="76"/>
  <c r="AP904" i="76"/>
  <c r="AK904" i="76"/>
  <c r="AF904" i="76"/>
  <c r="AL904" i="76"/>
  <c r="AG904" i="76"/>
  <c r="AI904" i="76"/>
  <c r="AH904" i="76"/>
  <c r="AN904" i="76"/>
  <c r="AO904" i="76"/>
  <c r="AD905" i="76"/>
  <c r="E905" i="76"/>
  <c r="A905" i="76"/>
  <c r="B905" i="76"/>
  <c r="C905" i="76"/>
  <c r="AR906" i="76"/>
  <c r="D905" i="76"/>
  <c r="AE905" i="76"/>
  <c r="S904" i="76"/>
  <c r="AC904" i="76"/>
  <c r="Z904" i="76"/>
  <c r="U904" i="76"/>
  <c r="X904" i="76"/>
  <c r="V904" i="76"/>
  <c r="AB904" i="76"/>
  <c r="W904" i="76"/>
  <c r="AA904" i="76"/>
  <c r="T904" i="76"/>
  <c r="Y904" i="76"/>
  <c r="F906" i="76" l="1"/>
  <c r="R906" i="76"/>
  <c r="AH905" i="76"/>
  <c r="AG905" i="76"/>
  <c r="AM905" i="76"/>
  <c r="AF905" i="76"/>
  <c r="AL905" i="76"/>
  <c r="AI905" i="76"/>
  <c r="AO905" i="76"/>
  <c r="AN905" i="76"/>
  <c r="AP905" i="76"/>
  <c r="AK905" i="76"/>
  <c r="AJ905" i="76"/>
  <c r="C906" i="76"/>
  <c r="AD906" i="76"/>
  <c r="B906" i="76"/>
  <c r="A906" i="76"/>
  <c r="E906" i="76"/>
  <c r="AR907" i="76"/>
  <c r="D906" i="76"/>
  <c r="AE906" i="76"/>
  <c r="J905" i="76"/>
  <c r="L905" i="76"/>
  <c r="O905" i="76"/>
  <c r="H905" i="76"/>
  <c r="Q905" i="76"/>
  <c r="K905" i="76"/>
  <c r="M905" i="76"/>
  <c r="I905" i="76"/>
  <c r="G905" i="76"/>
  <c r="N905" i="76"/>
  <c r="P905" i="76"/>
  <c r="AC905" i="76"/>
  <c r="X905" i="76"/>
  <c r="S905" i="76"/>
  <c r="Y905" i="76"/>
  <c r="T905" i="76"/>
  <c r="V905" i="76"/>
  <c r="U905" i="76"/>
  <c r="AA905" i="76"/>
  <c r="AB905" i="76"/>
  <c r="Z905" i="76"/>
  <c r="W905" i="76"/>
  <c r="F907" i="76" l="1"/>
  <c r="R907" i="76"/>
  <c r="H906" i="76"/>
  <c r="J906" i="76"/>
  <c r="O906" i="76"/>
  <c r="M906" i="76"/>
  <c r="I906" i="76"/>
  <c r="P906" i="76"/>
  <c r="K906" i="76"/>
  <c r="N906" i="76"/>
  <c r="L906" i="76"/>
  <c r="G906" i="76"/>
  <c r="Q906" i="76"/>
  <c r="AJ906" i="76"/>
  <c r="AL906" i="76"/>
  <c r="AH906" i="76"/>
  <c r="AF906" i="76"/>
  <c r="AO906" i="76"/>
  <c r="AG906" i="76"/>
  <c r="AK906" i="76"/>
  <c r="AM906" i="76"/>
  <c r="AN906" i="76"/>
  <c r="AI906" i="76"/>
  <c r="AP906" i="76"/>
  <c r="A907" i="76"/>
  <c r="D907" i="76"/>
  <c r="E907" i="76"/>
  <c r="C907" i="76"/>
  <c r="AE907" i="76"/>
  <c r="AR908" i="76"/>
  <c r="AD907" i="76"/>
  <c r="B907" i="76"/>
  <c r="Y906" i="76"/>
  <c r="V906" i="76"/>
  <c r="AB906" i="76"/>
  <c r="AA906" i="76"/>
  <c r="AC906" i="76"/>
  <c r="X906" i="76"/>
  <c r="W906" i="76"/>
  <c r="U906" i="76"/>
  <c r="T906" i="76"/>
  <c r="Z906" i="76"/>
  <c r="S906" i="76"/>
  <c r="F908" i="76" l="1"/>
  <c r="R908" i="76"/>
  <c r="K907" i="76"/>
  <c r="M907" i="76"/>
  <c r="I907" i="76"/>
  <c r="G907" i="76"/>
  <c r="P907" i="76"/>
  <c r="H907" i="76"/>
  <c r="L907" i="76"/>
  <c r="J907" i="76"/>
  <c r="O907" i="76"/>
  <c r="N907" i="76"/>
  <c r="Q907" i="76"/>
  <c r="X907" i="76"/>
  <c r="U907" i="76"/>
  <c r="AA907" i="76"/>
  <c r="V907" i="76"/>
  <c r="AB907" i="76"/>
  <c r="W907" i="76"/>
  <c r="AC907" i="76"/>
  <c r="T907" i="76"/>
  <c r="S907" i="76"/>
  <c r="Y907" i="76"/>
  <c r="Z907" i="76"/>
  <c r="AR909" i="76"/>
  <c r="B908" i="76"/>
  <c r="AD908" i="76"/>
  <c r="A908" i="76"/>
  <c r="C908" i="76"/>
  <c r="E908" i="76"/>
  <c r="D908" i="76"/>
  <c r="AE908" i="76"/>
  <c r="AG907" i="76"/>
  <c r="AM907" i="76"/>
  <c r="AP907" i="76"/>
  <c r="AJ907" i="76"/>
  <c r="AI907" i="76"/>
  <c r="AO907" i="76"/>
  <c r="AL907" i="76"/>
  <c r="AN907" i="76"/>
  <c r="AK907" i="76"/>
  <c r="AH907" i="76"/>
  <c r="AF907" i="76"/>
  <c r="F909" i="76" l="1"/>
  <c r="R909" i="76"/>
  <c r="AH908" i="76"/>
  <c r="AN908" i="76"/>
  <c r="AI908" i="76"/>
  <c r="AM908" i="76"/>
  <c r="AF908" i="76"/>
  <c r="AP908" i="76"/>
  <c r="AO908" i="76"/>
  <c r="AG908" i="76"/>
  <c r="AL908" i="76"/>
  <c r="AK908" i="76"/>
  <c r="AJ908" i="76"/>
  <c r="X908" i="76"/>
  <c r="U908" i="76"/>
  <c r="S908" i="76"/>
  <c r="T908" i="76"/>
  <c r="Z908" i="76"/>
  <c r="AC908" i="76"/>
  <c r="W908" i="76"/>
  <c r="V908" i="76"/>
  <c r="AB908" i="76"/>
  <c r="Y908" i="76"/>
  <c r="AA908" i="76"/>
  <c r="G908" i="76"/>
  <c r="H908" i="76"/>
  <c r="N908" i="76"/>
  <c r="I908" i="76"/>
  <c r="K908" i="76"/>
  <c r="J908" i="76"/>
  <c r="P908" i="76"/>
  <c r="Q908" i="76"/>
  <c r="O908" i="76"/>
  <c r="L908" i="76"/>
  <c r="M908" i="76"/>
  <c r="E909" i="76"/>
  <c r="AR910" i="76"/>
  <c r="AE909" i="76"/>
  <c r="AD909" i="76"/>
  <c r="B909" i="76"/>
  <c r="D909" i="76"/>
  <c r="A909" i="76"/>
  <c r="C909" i="76"/>
  <c r="F910" i="76" l="1"/>
  <c r="R910" i="76"/>
  <c r="AP909" i="76"/>
  <c r="AL909" i="76"/>
  <c r="AJ909" i="76"/>
  <c r="AH909" i="76"/>
  <c r="AF909" i="76"/>
  <c r="AM909" i="76"/>
  <c r="AN909" i="76"/>
  <c r="AO909" i="76"/>
  <c r="AI909" i="76"/>
  <c r="AK909" i="76"/>
  <c r="AG909" i="76"/>
  <c r="D910" i="76"/>
  <c r="AR911" i="76"/>
  <c r="C910" i="76"/>
  <c r="AD910" i="76"/>
  <c r="B910" i="76"/>
  <c r="A910" i="76"/>
  <c r="AE910" i="76"/>
  <c r="E910" i="76"/>
  <c r="K909" i="76"/>
  <c r="Q909" i="76"/>
  <c r="L909" i="76"/>
  <c r="G909" i="76"/>
  <c r="M909" i="76"/>
  <c r="H909" i="76"/>
  <c r="J909" i="76"/>
  <c r="I909" i="76"/>
  <c r="O909" i="76"/>
  <c r="P909" i="76"/>
  <c r="N909" i="76"/>
  <c r="Z909" i="76"/>
  <c r="W909" i="76"/>
  <c r="AC909" i="76"/>
  <c r="AB909" i="76"/>
  <c r="S909" i="76"/>
  <c r="Y909" i="76"/>
  <c r="X909" i="76"/>
  <c r="V909" i="76"/>
  <c r="U909" i="76"/>
  <c r="AA909" i="76"/>
  <c r="T909" i="76"/>
  <c r="F911" i="76" l="1"/>
  <c r="R911" i="76"/>
  <c r="AL910" i="76"/>
  <c r="AI910" i="76"/>
  <c r="AF910" i="76"/>
  <c r="AH910" i="76"/>
  <c r="AJ910" i="76"/>
  <c r="AM910" i="76"/>
  <c r="AO910" i="76"/>
  <c r="AK910" i="76"/>
  <c r="AP910" i="76"/>
  <c r="AG910" i="76"/>
  <c r="AN910" i="76"/>
  <c r="A911" i="76"/>
  <c r="D911" i="76"/>
  <c r="E911" i="76"/>
  <c r="C911" i="76"/>
  <c r="AE911" i="76"/>
  <c r="AR912" i="76"/>
  <c r="AD911" i="76"/>
  <c r="B911" i="76"/>
  <c r="Y910" i="76"/>
  <c r="V910" i="76"/>
  <c r="AB910" i="76"/>
  <c r="W910" i="76"/>
  <c r="AC910" i="76"/>
  <c r="X910" i="76"/>
  <c r="S910" i="76"/>
  <c r="U910" i="76"/>
  <c r="T910" i="76"/>
  <c r="Z910" i="76"/>
  <c r="AA910" i="76"/>
  <c r="Q910" i="76"/>
  <c r="L910" i="76"/>
  <c r="K910" i="76"/>
  <c r="I910" i="76"/>
  <c r="H910" i="76"/>
  <c r="N910" i="76"/>
  <c r="G910" i="76"/>
  <c r="M910" i="76"/>
  <c r="J910" i="76"/>
  <c r="P910" i="76"/>
  <c r="O910" i="76"/>
  <c r="F912" i="76" l="1"/>
  <c r="R912" i="76"/>
  <c r="AN911" i="76"/>
  <c r="AK911" i="76"/>
  <c r="AL911" i="76"/>
  <c r="AF911" i="76"/>
  <c r="AG911" i="76"/>
  <c r="AM911" i="76"/>
  <c r="AH911" i="76"/>
  <c r="AJ911" i="76"/>
  <c r="AI911" i="76"/>
  <c r="AO911" i="76"/>
  <c r="AP911" i="76"/>
  <c r="M911" i="76"/>
  <c r="N911" i="76"/>
  <c r="L911" i="76"/>
  <c r="I911" i="76"/>
  <c r="O911" i="76"/>
  <c r="J911" i="76"/>
  <c r="P911" i="76"/>
  <c r="K911" i="76"/>
  <c r="Q911" i="76"/>
  <c r="H911" i="76"/>
  <c r="G911" i="76"/>
  <c r="X911" i="76"/>
  <c r="U911" i="76"/>
  <c r="AA911" i="76"/>
  <c r="Z911" i="76"/>
  <c r="AB911" i="76"/>
  <c r="W911" i="76"/>
  <c r="AC911" i="76"/>
  <c r="T911" i="76"/>
  <c r="S911" i="76"/>
  <c r="Y911" i="76"/>
  <c r="V911" i="76"/>
  <c r="E912" i="76"/>
  <c r="AD912" i="76"/>
  <c r="D912" i="76"/>
  <c r="C912" i="76"/>
  <c r="B912" i="76"/>
  <c r="AR913" i="76"/>
  <c r="A912" i="76"/>
  <c r="AE912" i="76"/>
  <c r="F913" i="76" l="1"/>
  <c r="R913" i="76"/>
  <c r="H912" i="76"/>
  <c r="N912" i="76"/>
  <c r="Q912" i="76"/>
  <c r="K912" i="76"/>
  <c r="J912" i="76"/>
  <c r="P912" i="76"/>
  <c r="M912" i="76"/>
  <c r="O912" i="76"/>
  <c r="L912" i="76"/>
  <c r="I912" i="76"/>
  <c r="G912" i="76"/>
  <c r="AL912" i="76"/>
  <c r="AG912" i="76"/>
  <c r="AI912" i="76"/>
  <c r="AH912" i="76"/>
  <c r="AN912" i="76"/>
  <c r="AO912" i="76"/>
  <c r="AM912" i="76"/>
  <c r="AJ912" i="76"/>
  <c r="AP912" i="76"/>
  <c r="AK912" i="76"/>
  <c r="AF912" i="76"/>
  <c r="D913" i="76"/>
  <c r="A913" i="76"/>
  <c r="C913" i="76"/>
  <c r="E913" i="76"/>
  <c r="AE913" i="76"/>
  <c r="AR914" i="76"/>
  <c r="AD913" i="76"/>
  <c r="B913" i="76"/>
  <c r="W912" i="76"/>
  <c r="AA912" i="76"/>
  <c r="AB912" i="76"/>
  <c r="AC912" i="76"/>
  <c r="U912" i="76"/>
  <c r="X912" i="76"/>
  <c r="Y912" i="76"/>
  <c r="V912" i="76"/>
  <c r="T912" i="76"/>
  <c r="Z912" i="76"/>
  <c r="S912" i="76"/>
  <c r="F914" i="76" l="1"/>
  <c r="R914" i="76"/>
  <c r="AR915" i="76"/>
  <c r="B914" i="76"/>
  <c r="E914" i="76"/>
  <c r="AD914" i="76"/>
  <c r="C914" i="76"/>
  <c r="D914" i="76"/>
  <c r="A914" i="76"/>
  <c r="AE914" i="76"/>
  <c r="I913" i="76"/>
  <c r="G913" i="76"/>
  <c r="M913" i="76"/>
  <c r="L913" i="76"/>
  <c r="J913" i="76"/>
  <c r="P913" i="76"/>
  <c r="O913" i="76"/>
  <c r="H913" i="76"/>
  <c r="N913" i="76"/>
  <c r="K913" i="76"/>
  <c r="Q913" i="76"/>
  <c r="V913" i="76"/>
  <c r="U913" i="76"/>
  <c r="AA913" i="76"/>
  <c r="AB913" i="76"/>
  <c r="Z913" i="76"/>
  <c r="W913" i="76"/>
  <c r="AC913" i="76"/>
  <c r="X913" i="76"/>
  <c r="S913" i="76"/>
  <c r="Y913" i="76"/>
  <c r="T913" i="76"/>
  <c r="AJ913" i="76"/>
  <c r="AI913" i="76"/>
  <c r="AO913" i="76"/>
  <c r="AL913" i="76"/>
  <c r="AN913" i="76"/>
  <c r="AK913" i="76"/>
  <c r="AF913" i="76"/>
  <c r="AP913" i="76"/>
  <c r="AG913" i="76"/>
  <c r="AM913" i="76"/>
  <c r="AH913" i="76"/>
  <c r="F915" i="76" l="1"/>
  <c r="R915" i="76"/>
  <c r="AJ914" i="76"/>
  <c r="AP914" i="76"/>
  <c r="AO914" i="76"/>
  <c r="AF914" i="76"/>
  <c r="AL914" i="76"/>
  <c r="AG914" i="76"/>
  <c r="AI914" i="76"/>
  <c r="AH914" i="76"/>
  <c r="AN914" i="76"/>
  <c r="AK914" i="76"/>
  <c r="AM914" i="76"/>
  <c r="G914" i="76"/>
  <c r="Q914" i="76"/>
  <c r="N914" i="76"/>
  <c r="M914" i="76"/>
  <c r="L914" i="76"/>
  <c r="J914" i="76"/>
  <c r="P914" i="76"/>
  <c r="K914" i="76"/>
  <c r="O914" i="76"/>
  <c r="H914" i="76"/>
  <c r="I914" i="76"/>
  <c r="AA914" i="76"/>
  <c r="X914" i="76"/>
  <c r="U914" i="76"/>
  <c r="S914" i="76"/>
  <c r="T914" i="76"/>
  <c r="Z914" i="76"/>
  <c r="Y914" i="76"/>
  <c r="W914" i="76"/>
  <c r="V914" i="76"/>
  <c r="AB914" i="76"/>
  <c r="AC914" i="76"/>
  <c r="AR916" i="76"/>
  <c r="A915" i="76"/>
  <c r="AE915" i="76"/>
  <c r="C915" i="76"/>
  <c r="B915" i="76"/>
  <c r="D915" i="76"/>
  <c r="AD915" i="76"/>
  <c r="E915" i="76"/>
  <c r="F916" i="76" l="1"/>
  <c r="R916" i="76"/>
  <c r="G915" i="76"/>
  <c r="N915" i="76"/>
  <c r="P915" i="76"/>
  <c r="J915" i="76"/>
  <c r="H915" i="76"/>
  <c r="O915" i="76"/>
  <c r="L915" i="76"/>
  <c r="Q915" i="76"/>
  <c r="K915" i="76"/>
  <c r="M915" i="76"/>
  <c r="I915" i="76"/>
  <c r="AO915" i="76"/>
  <c r="AN915" i="76"/>
  <c r="AM915" i="76"/>
  <c r="AK915" i="76"/>
  <c r="AF915" i="76"/>
  <c r="AI915" i="76"/>
  <c r="AG915" i="76"/>
  <c r="AH915" i="76"/>
  <c r="AP915" i="76"/>
  <c r="AL915" i="76"/>
  <c r="AJ915" i="76"/>
  <c r="D916" i="76"/>
  <c r="C916" i="76"/>
  <c r="E916" i="76"/>
  <c r="AE916" i="76"/>
  <c r="AR917" i="76"/>
  <c r="A916" i="76"/>
  <c r="AD916" i="76"/>
  <c r="B916" i="76"/>
  <c r="W915" i="76"/>
  <c r="AC915" i="76"/>
  <c r="AB915" i="76"/>
  <c r="S915" i="76"/>
  <c r="Y915" i="76"/>
  <c r="T915" i="76"/>
  <c r="V915" i="76"/>
  <c r="U915" i="76"/>
  <c r="AA915" i="76"/>
  <c r="X915" i="76"/>
  <c r="Z915" i="76"/>
  <c r="F917" i="76" l="1"/>
  <c r="R917" i="76"/>
  <c r="AD917" i="76"/>
  <c r="AE917" i="76"/>
  <c r="C917" i="76"/>
  <c r="E917" i="76"/>
  <c r="D917" i="76"/>
  <c r="A917" i="76"/>
  <c r="AR918" i="76"/>
  <c r="B917" i="76"/>
  <c r="AC916" i="76"/>
  <c r="X916" i="76"/>
  <c r="S916" i="76"/>
  <c r="U916" i="76"/>
  <c r="T916" i="76"/>
  <c r="Z916" i="76"/>
  <c r="W916" i="76"/>
  <c r="Y916" i="76"/>
  <c r="V916" i="76"/>
  <c r="AB916" i="76"/>
  <c r="AA916" i="76"/>
  <c r="AO916" i="76"/>
  <c r="AJ916" i="76"/>
  <c r="AP916" i="76"/>
  <c r="AG916" i="76"/>
  <c r="AF916" i="76"/>
  <c r="AL916" i="76"/>
  <c r="AI916" i="76"/>
  <c r="AK916" i="76"/>
  <c r="AH916" i="76"/>
  <c r="AN916" i="76"/>
  <c r="AM916" i="76"/>
  <c r="L916" i="76"/>
  <c r="G916" i="76"/>
  <c r="I916" i="76"/>
  <c r="H916" i="76"/>
  <c r="N916" i="76"/>
  <c r="K916" i="76"/>
  <c r="M916" i="76"/>
  <c r="J916" i="76"/>
  <c r="P916" i="76"/>
  <c r="O916" i="76"/>
  <c r="Q916" i="76"/>
  <c r="F918" i="76" l="1"/>
  <c r="R918" i="76"/>
  <c r="E918" i="76"/>
  <c r="AE918" i="76"/>
  <c r="D918" i="76"/>
  <c r="C918" i="76"/>
  <c r="B918" i="76"/>
  <c r="AR919" i="76"/>
  <c r="A918" i="76"/>
  <c r="AD918" i="76"/>
  <c r="AA917" i="76"/>
  <c r="Z917" i="76"/>
  <c r="Y917" i="76"/>
  <c r="W917" i="76"/>
  <c r="AC917" i="76"/>
  <c r="AB917" i="76"/>
  <c r="S917" i="76"/>
  <c r="U917" i="76"/>
  <c r="V917" i="76"/>
  <c r="X917" i="76"/>
  <c r="T917" i="76"/>
  <c r="P917" i="76"/>
  <c r="K917" i="76"/>
  <c r="Q917" i="76"/>
  <c r="H917" i="76"/>
  <c r="G917" i="76"/>
  <c r="M917" i="76"/>
  <c r="J917" i="76"/>
  <c r="L917" i="76"/>
  <c r="I917" i="76"/>
  <c r="O917" i="76"/>
  <c r="N917" i="76"/>
  <c r="AJ917" i="76"/>
  <c r="AF917" i="76"/>
  <c r="AO917" i="76"/>
  <c r="AP917" i="76"/>
  <c r="AM917" i="76"/>
  <c r="AK917" i="76"/>
  <c r="AH917" i="76"/>
  <c r="AN917" i="76"/>
  <c r="AG917" i="76"/>
  <c r="AI917" i="76"/>
  <c r="AL917" i="76"/>
  <c r="F919" i="76" l="1"/>
  <c r="R919" i="76"/>
  <c r="A919" i="76"/>
  <c r="E919" i="76"/>
  <c r="D919" i="76"/>
  <c r="AD919" i="76"/>
  <c r="AR920" i="76"/>
  <c r="C919" i="76"/>
  <c r="AE919" i="76"/>
  <c r="B919" i="76"/>
  <c r="T918" i="76"/>
  <c r="V918" i="76"/>
  <c r="Y918" i="76"/>
  <c r="W918" i="76"/>
  <c r="S918" i="76"/>
  <c r="AB918" i="76"/>
  <c r="AC918" i="76"/>
  <c r="Z918" i="76"/>
  <c r="X918" i="76"/>
  <c r="U918" i="76"/>
  <c r="AA918" i="76"/>
  <c r="AJ918" i="76"/>
  <c r="AL918" i="76"/>
  <c r="AH918" i="76"/>
  <c r="AF918" i="76"/>
  <c r="AM918" i="76"/>
  <c r="AO918" i="76"/>
  <c r="AI918" i="76"/>
  <c r="AG918" i="76"/>
  <c r="AN918" i="76"/>
  <c r="AK918" i="76"/>
  <c r="AP918" i="76"/>
  <c r="K918" i="76"/>
  <c r="J918" i="76"/>
  <c r="P918" i="76"/>
  <c r="Q918" i="76"/>
  <c r="O918" i="76"/>
  <c r="L918" i="76"/>
  <c r="I918" i="76"/>
  <c r="G918" i="76"/>
  <c r="H918" i="76"/>
  <c r="N918" i="76"/>
  <c r="M918" i="76"/>
  <c r="F920" i="76" l="1"/>
  <c r="R920" i="76"/>
  <c r="V919" i="76"/>
  <c r="T919" i="76"/>
  <c r="AA919" i="76"/>
  <c r="X919" i="76"/>
  <c r="AC919" i="76"/>
  <c r="W919" i="76"/>
  <c r="Y919" i="76"/>
  <c r="U919" i="76"/>
  <c r="S919" i="76"/>
  <c r="Z919" i="76"/>
  <c r="AB919" i="76"/>
  <c r="AI919" i="76"/>
  <c r="AO919" i="76"/>
  <c r="AL919" i="76"/>
  <c r="AP919" i="76"/>
  <c r="AG919" i="76"/>
  <c r="AF919" i="76"/>
  <c r="AH919" i="76"/>
  <c r="AN919" i="76"/>
  <c r="AM919" i="76"/>
  <c r="AJ919" i="76"/>
  <c r="AK919" i="76"/>
  <c r="AD920" i="76"/>
  <c r="AE920" i="76"/>
  <c r="B920" i="76"/>
  <c r="C920" i="76"/>
  <c r="D920" i="76"/>
  <c r="AR921" i="76"/>
  <c r="E920" i="76"/>
  <c r="A920" i="76"/>
  <c r="I919" i="76"/>
  <c r="O919" i="76"/>
  <c r="L919" i="76"/>
  <c r="N919" i="76"/>
  <c r="K919" i="76"/>
  <c r="Q919" i="76"/>
  <c r="P919" i="76"/>
  <c r="G919" i="76"/>
  <c r="M919" i="76"/>
  <c r="H919" i="76"/>
  <c r="J919" i="76"/>
  <c r="F921" i="76" l="1"/>
  <c r="R921" i="76"/>
  <c r="AR922" i="76"/>
  <c r="AD921" i="76"/>
  <c r="B921" i="76"/>
  <c r="D921" i="76"/>
  <c r="A921" i="76"/>
  <c r="C921" i="76"/>
  <c r="E921" i="76"/>
  <c r="AE921" i="76"/>
  <c r="AC920" i="76"/>
  <c r="Y920" i="76"/>
  <c r="AA920" i="76"/>
  <c r="U920" i="76"/>
  <c r="S920" i="76"/>
  <c r="Z920" i="76"/>
  <c r="W920" i="76"/>
  <c r="AB920" i="76"/>
  <c r="V920" i="76"/>
  <c r="X920" i="76"/>
  <c r="T920" i="76"/>
  <c r="M920" i="76"/>
  <c r="Q920" i="76"/>
  <c r="P920" i="76"/>
  <c r="O920" i="76"/>
  <c r="K920" i="76"/>
  <c r="L920" i="76"/>
  <c r="G920" i="76"/>
  <c r="J920" i="76"/>
  <c r="H920" i="76"/>
  <c r="N920" i="76"/>
  <c r="I920" i="76"/>
  <c r="AJ920" i="76"/>
  <c r="AP920" i="76"/>
  <c r="AG920" i="76"/>
  <c r="AF920" i="76"/>
  <c r="AL920" i="76"/>
  <c r="AI920" i="76"/>
  <c r="AK920" i="76"/>
  <c r="AH920" i="76"/>
  <c r="AN920" i="76"/>
  <c r="AM920" i="76"/>
  <c r="AO920" i="76"/>
  <c r="F922" i="76" l="1"/>
  <c r="R922" i="76"/>
  <c r="AI921" i="76"/>
  <c r="AO921" i="76"/>
  <c r="AP921" i="76"/>
  <c r="AN921" i="76"/>
  <c r="AK921" i="76"/>
  <c r="AH921" i="76"/>
  <c r="AF921" i="76"/>
  <c r="AG921" i="76"/>
  <c r="AM921" i="76"/>
  <c r="AL921" i="76"/>
  <c r="AJ921" i="76"/>
  <c r="I921" i="76"/>
  <c r="K921" i="76"/>
  <c r="N921" i="76"/>
  <c r="P921" i="76"/>
  <c r="L921" i="76"/>
  <c r="Q921" i="76"/>
  <c r="H921" i="76"/>
  <c r="O921" i="76"/>
  <c r="M921" i="76"/>
  <c r="J921" i="76"/>
  <c r="G921" i="76"/>
  <c r="AB921" i="76"/>
  <c r="W921" i="76"/>
  <c r="AC921" i="76"/>
  <c r="T921" i="76"/>
  <c r="S921" i="76"/>
  <c r="Y921" i="76"/>
  <c r="V921" i="76"/>
  <c r="X921" i="76"/>
  <c r="U921" i="76"/>
  <c r="AA921" i="76"/>
  <c r="Z921" i="76"/>
  <c r="D922" i="76"/>
  <c r="B922" i="76"/>
  <c r="AD922" i="76"/>
  <c r="E922" i="76"/>
  <c r="A922" i="76"/>
  <c r="AR923" i="76"/>
  <c r="C922" i="76"/>
  <c r="AE922" i="76"/>
  <c r="F923" i="76" l="1"/>
  <c r="R923" i="76"/>
  <c r="S922" i="76"/>
  <c r="T922" i="76"/>
  <c r="Z922" i="76"/>
  <c r="Y922" i="76"/>
  <c r="W922" i="76"/>
  <c r="V922" i="76"/>
  <c r="AB922" i="76"/>
  <c r="AC922" i="76"/>
  <c r="AA922" i="76"/>
  <c r="X922" i="76"/>
  <c r="U922" i="76"/>
  <c r="K922" i="76"/>
  <c r="O922" i="76"/>
  <c r="P922" i="76"/>
  <c r="Q922" i="76"/>
  <c r="M922" i="76"/>
  <c r="L922" i="76"/>
  <c r="I922" i="76"/>
  <c r="J922" i="76"/>
  <c r="H922" i="76"/>
  <c r="N922" i="76"/>
  <c r="G922" i="76"/>
  <c r="AP922" i="76"/>
  <c r="AO922" i="76"/>
  <c r="AF922" i="76"/>
  <c r="AL922" i="76"/>
  <c r="AG922" i="76"/>
  <c r="AI922" i="76"/>
  <c r="AH922" i="76"/>
  <c r="AN922" i="76"/>
  <c r="AK922" i="76"/>
  <c r="AM922" i="76"/>
  <c r="AJ922" i="76"/>
  <c r="D923" i="76"/>
  <c r="C923" i="76"/>
  <c r="B923" i="76"/>
  <c r="AE923" i="76"/>
  <c r="AR924" i="76"/>
  <c r="A923" i="76"/>
  <c r="AD923" i="76"/>
  <c r="E923" i="76"/>
  <c r="F924" i="76" l="1"/>
  <c r="R924" i="76"/>
  <c r="AP923" i="76"/>
  <c r="AL923" i="76"/>
  <c r="AN923" i="76"/>
  <c r="AH923" i="76"/>
  <c r="AF923" i="76"/>
  <c r="AM923" i="76"/>
  <c r="AJ923" i="76"/>
  <c r="AO923" i="76"/>
  <c r="AI923" i="76"/>
  <c r="AK923" i="76"/>
  <c r="AG923" i="76"/>
  <c r="Z923" i="76"/>
  <c r="W923" i="76"/>
  <c r="AC923" i="76"/>
  <c r="AB923" i="76"/>
  <c r="S923" i="76"/>
  <c r="Y923" i="76"/>
  <c r="T923" i="76"/>
  <c r="V923" i="76"/>
  <c r="U923" i="76"/>
  <c r="AA923" i="76"/>
  <c r="X923" i="76"/>
  <c r="C924" i="76"/>
  <c r="AD924" i="76"/>
  <c r="B924" i="76"/>
  <c r="A924" i="76"/>
  <c r="E924" i="76"/>
  <c r="AR925" i="76"/>
  <c r="D924" i="76"/>
  <c r="AE924" i="76"/>
  <c r="M923" i="76"/>
  <c r="H923" i="76"/>
  <c r="G923" i="76"/>
  <c r="I923" i="76"/>
  <c r="K923" i="76"/>
  <c r="L923" i="76"/>
  <c r="N923" i="76"/>
  <c r="J923" i="76"/>
  <c r="Q923" i="76"/>
  <c r="P923" i="76"/>
  <c r="O923" i="76"/>
  <c r="F925" i="76" l="1"/>
  <c r="R925" i="76"/>
  <c r="AJ924" i="76"/>
  <c r="AL924" i="76"/>
  <c r="AH924" i="76"/>
  <c r="AF924" i="76"/>
  <c r="AO924" i="76"/>
  <c r="AG924" i="76"/>
  <c r="AK924" i="76"/>
  <c r="AI924" i="76"/>
  <c r="AN924" i="76"/>
  <c r="AM924" i="76"/>
  <c r="AP924" i="76"/>
  <c r="C925" i="76"/>
  <c r="E925" i="76"/>
  <c r="AR926" i="76"/>
  <c r="AE925" i="76"/>
  <c r="AD925" i="76"/>
  <c r="B925" i="76"/>
  <c r="D925" i="76"/>
  <c r="A925" i="76"/>
  <c r="Y924" i="76"/>
  <c r="V924" i="76"/>
  <c r="AB924" i="76"/>
  <c r="AA924" i="76"/>
  <c r="AC924" i="76"/>
  <c r="X924" i="76"/>
  <c r="S924" i="76"/>
  <c r="U924" i="76"/>
  <c r="T924" i="76"/>
  <c r="Z924" i="76"/>
  <c r="W924" i="76"/>
  <c r="H924" i="76"/>
  <c r="N924" i="76"/>
  <c r="K924" i="76"/>
  <c r="M924" i="76"/>
  <c r="J924" i="76"/>
  <c r="P924" i="76"/>
  <c r="O924" i="76"/>
  <c r="Q924" i="76"/>
  <c r="L924" i="76"/>
  <c r="G924" i="76"/>
  <c r="I924" i="76"/>
  <c r="F926" i="76" l="1"/>
  <c r="R926" i="76"/>
  <c r="L925" i="76"/>
  <c r="I925" i="76"/>
  <c r="O925" i="76"/>
  <c r="N925" i="76"/>
  <c r="P925" i="76"/>
  <c r="K925" i="76"/>
  <c r="Q925" i="76"/>
  <c r="H925" i="76"/>
  <c r="G925" i="76"/>
  <c r="M925" i="76"/>
  <c r="J925" i="76"/>
  <c r="AN925" i="76"/>
  <c r="AG925" i="76"/>
  <c r="AH925" i="76"/>
  <c r="AF925" i="76"/>
  <c r="AP925" i="76"/>
  <c r="AM925" i="76"/>
  <c r="AL925" i="76"/>
  <c r="AK925" i="76"/>
  <c r="AI925" i="76"/>
  <c r="AO925" i="76"/>
  <c r="AJ925" i="76"/>
  <c r="C926" i="76"/>
  <c r="A926" i="76"/>
  <c r="B926" i="76"/>
  <c r="D926" i="76"/>
  <c r="AE926" i="76"/>
  <c r="AR927" i="76"/>
  <c r="AD926" i="76"/>
  <c r="E926" i="76"/>
  <c r="W925" i="76"/>
  <c r="AC925" i="76"/>
  <c r="T925" i="76"/>
  <c r="S925" i="76"/>
  <c r="Y925" i="76"/>
  <c r="V925" i="76"/>
  <c r="X925" i="76"/>
  <c r="U925" i="76"/>
  <c r="AA925" i="76"/>
  <c r="Z925" i="76"/>
  <c r="AB925" i="76"/>
  <c r="F927" i="76" l="1"/>
  <c r="R927" i="76"/>
  <c r="V926" i="76"/>
  <c r="X926" i="76"/>
  <c r="T926" i="76"/>
  <c r="AA926" i="76"/>
  <c r="W926" i="76"/>
  <c r="AC926" i="76"/>
  <c r="S926" i="76"/>
  <c r="U926" i="76"/>
  <c r="Z926" i="76"/>
  <c r="Y926" i="76"/>
  <c r="AB926" i="76"/>
  <c r="AR928" i="76"/>
  <c r="C927" i="76"/>
  <c r="AE927" i="76"/>
  <c r="B927" i="76"/>
  <c r="A927" i="76"/>
  <c r="E927" i="76"/>
  <c r="D927" i="76"/>
  <c r="AD927" i="76"/>
  <c r="G926" i="76"/>
  <c r="H926" i="76"/>
  <c r="N926" i="76"/>
  <c r="M926" i="76"/>
  <c r="K926" i="76"/>
  <c r="J926" i="76"/>
  <c r="P926" i="76"/>
  <c r="Q926" i="76"/>
  <c r="O926" i="76"/>
  <c r="L926" i="76"/>
  <c r="I926" i="76"/>
  <c r="AH926" i="76"/>
  <c r="AN926" i="76"/>
  <c r="AI926" i="76"/>
  <c r="AM926" i="76"/>
  <c r="AF926" i="76"/>
  <c r="AP926" i="76"/>
  <c r="AO926" i="76"/>
  <c r="AK926" i="76"/>
  <c r="AL926" i="76"/>
  <c r="AG926" i="76"/>
  <c r="AJ926" i="76"/>
  <c r="F928" i="76" l="1"/>
  <c r="R928" i="76"/>
  <c r="G927" i="76"/>
  <c r="M927" i="76"/>
  <c r="H927" i="76"/>
  <c r="J927" i="76"/>
  <c r="I927" i="76"/>
  <c r="O927" i="76"/>
  <c r="L927" i="76"/>
  <c r="N927" i="76"/>
  <c r="K927" i="76"/>
  <c r="Q927" i="76"/>
  <c r="P927" i="76"/>
  <c r="Y927" i="76"/>
  <c r="T927" i="76"/>
  <c r="S927" i="76"/>
  <c r="U927" i="76"/>
  <c r="W927" i="76"/>
  <c r="X927" i="76"/>
  <c r="Z927" i="76"/>
  <c r="V927" i="76"/>
  <c r="AC927" i="76"/>
  <c r="AB927" i="76"/>
  <c r="AA927" i="76"/>
  <c r="AL927" i="76"/>
  <c r="AH927" i="76"/>
  <c r="AO927" i="76"/>
  <c r="AN927" i="76"/>
  <c r="AM927" i="76"/>
  <c r="AK927" i="76"/>
  <c r="AF927" i="76"/>
  <c r="AP927" i="76"/>
  <c r="AG927" i="76"/>
  <c r="AI927" i="76"/>
  <c r="AJ927" i="76"/>
  <c r="D928" i="76"/>
  <c r="AD928" i="76"/>
  <c r="E928" i="76"/>
  <c r="C928" i="76"/>
  <c r="A928" i="76"/>
  <c r="AR929" i="76"/>
  <c r="B928" i="76"/>
  <c r="AE928" i="76"/>
  <c r="F929" i="76" l="1"/>
  <c r="R929" i="76"/>
  <c r="J928" i="76"/>
  <c r="P928" i="76"/>
  <c r="M928" i="76"/>
  <c r="Q928" i="76"/>
  <c r="H928" i="76"/>
  <c r="G928" i="76"/>
  <c r="I928" i="76"/>
  <c r="O928" i="76"/>
  <c r="N928" i="76"/>
  <c r="K928" i="76"/>
  <c r="L928" i="76"/>
  <c r="AO928" i="76"/>
  <c r="AJ928" i="76"/>
  <c r="AP928" i="76"/>
  <c r="AG928" i="76"/>
  <c r="AF928" i="76"/>
  <c r="AL928" i="76"/>
  <c r="AI928" i="76"/>
  <c r="AK928" i="76"/>
  <c r="AH928" i="76"/>
  <c r="AN928" i="76"/>
  <c r="AM928" i="76"/>
  <c r="AR930" i="76"/>
  <c r="AD929" i="76"/>
  <c r="B929" i="76"/>
  <c r="D929" i="76"/>
  <c r="A929" i="76"/>
  <c r="C929" i="76"/>
  <c r="E929" i="76"/>
  <c r="AE929" i="76"/>
  <c r="T928" i="76"/>
  <c r="V928" i="76"/>
  <c r="W928" i="76"/>
  <c r="Y928" i="76"/>
  <c r="U928" i="76"/>
  <c r="AB928" i="76"/>
  <c r="AA928" i="76"/>
  <c r="Z928" i="76"/>
  <c r="X928" i="76"/>
  <c r="S928" i="76"/>
  <c r="AC928" i="76"/>
  <c r="F930" i="76" l="1"/>
  <c r="R930" i="76"/>
  <c r="AG929" i="76"/>
  <c r="AM929" i="76"/>
  <c r="AL929" i="76"/>
  <c r="AJ929" i="76"/>
  <c r="AI929" i="76"/>
  <c r="AO929" i="76"/>
  <c r="AP929" i="76"/>
  <c r="AN929" i="76"/>
  <c r="AK929" i="76"/>
  <c r="AH929" i="76"/>
  <c r="AF929" i="76"/>
  <c r="Q929" i="76"/>
  <c r="M929" i="76"/>
  <c r="J929" i="76"/>
  <c r="L929" i="76"/>
  <c r="I929" i="76"/>
  <c r="O929" i="76"/>
  <c r="N929" i="76"/>
  <c r="P929" i="76"/>
  <c r="K929" i="76"/>
  <c r="H929" i="76"/>
  <c r="G929" i="76"/>
  <c r="AA929" i="76"/>
  <c r="W929" i="76"/>
  <c r="AC929" i="76"/>
  <c r="T929" i="76"/>
  <c r="S929" i="76"/>
  <c r="Y929" i="76"/>
  <c r="V929" i="76"/>
  <c r="X929" i="76"/>
  <c r="U929" i="76"/>
  <c r="Z929" i="76"/>
  <c r="AB929" i="76"/>
  <c r="B930" i="76"/>
  <c r="E930" i="76"/>
  <c r="AR931" i="76"/>
  <c r="D930" i="76"/>
  <c r="AD930" i="76"/>
  <c r="C930" i="76"/>
  <c r="AE930" i="76"/>
  <c r="A930" i="76"/>
  <c r="F931" i="76" l="1"/>
  <c r="R931" i="76"/>
  <c r="AI930" i="76"/>
  <c r="AH930" i="76"/>
  <c r="AN930" i="76"/>
  <c r="AK930" i="76"/>
  <c r="AM930" i="76"/>
  <c r="AJ930" i="76"/>
  <c r="AP930" i="76"/>
  <c r="AO930" i="76"/>
  <c r="AF930" i="76"/>
  <c r="AL930" i="76"/>
  <c r="AG930" i="76"/>
  <c r="J930" i="76"/>
  <c r="L930" i="76"/>
  <c r="H930" i="76"/>
  <c r="O930" i="76"/>
  <c r="K930" i="76"/>
  <c r="Q930" i="76"/>
  <c r="G930" i="76"/>
  <c r="I930" i="76"/>
  <c r="N930" i="76"/>
  <c r="M930" i="76"/>
  <c r="P930" i="76"/>
  <c r="AD931" i="76"/>
  <c r="A931" i="76"/>
  <c r="AR932" i="76"/>
  <c r="E931" i="76"/>
  <c r="AE931" i="76"/>
  <c r="D931" i="76"/>
  <c r="C931" i="76"/>
  <c r="B931" i="76"/>
  <c r="AA930" i="76"/>
  <c r="X930" i="76"/>
  <c r="U930" i="76"/>
  <c r="S930" i="76"/>
  <c r="T930" i="76"/>
  <c r="Z930" i="76"/>
  <c r="Y930" i="76"/>
  <c r="W930" i="76"/>
  <c r="V930" i="76"/>
  <c r="AB930" i="76"/>
  <c r="AC930" i="76"/>
  <c r="F932" i="76" l="1"/>
  <c r="R932" i="76"/>
  <c r="K931" i="76"/>
  <c r="Q931" i="76"/>
  <c r="N931" i="76"/>
  <c r="G931" i="76"/>
  <c r="I931" i="76"/>
  <c r="H931" i="76"/>
  <c r="J931" i="76"/>
  <c r="P931" i="76"/>
  <c r="O931" i="76"/>
  <c r="L931" i="76"/>
  <c r="M931" i="76"/>
  <c r="AG931" i="76"/>
  <c r="AM931" i="76"/>
  <c r="AH931" i="76"/>
  <c r="AL931" i="76"/>
  <c r="AP931" i="76"/>
  <c r="AO931" i="76"/>
  <c r="AN931" i="76"/>
  <c r="AJ931" i="76"/>
  <c r="AK931" i="76"/>
  <c r="AF931" i="76"/>
  <c r="AI931" i="76"/>
  <c r="V931" i="76"/>
  <c r="U931" i="76"/>
  <c r="AA931" i="76"/>
  <c r="X931" i="76"/>
  <c r="Z931" i="76"/>
  <c r="W931" i="76"/>
  <c r="AC931" i="76"/>
  <c r="AB931" i="76"/>
  <c r="S931" i="76"/>
  <c r="Y931" i="76"/>
  <c r="T931" i="76"/>
  <c r="AR933" i="76"/>
  <c r="AE932" i="76"/>
  <c r="A932" i="76"/>
  <c r="C932" i="76"/>
  <c r="E932" i="76"/>
  <c r="B932" i="76"/>
  <c r="D932" i="76"/>
  <c r="AD932" i="76"/>
  <c r="F933" i="76" l="1"/>
  <c r="R933" i="76"/>
  <c r="M932" i="76"/>
  <c r="J932" i="76"/>
  <c r="P932" i="76"/>
  <c r="O932" i="76"/>
  <c r="Q932" i="76"/>
  <c r="L932" i="76"/>
  <c r="G932" i="76"/>
  <c r="I932" i="76"/>
  <c r="H932" i="76"/>
  <c r="N932" i="76"/>
  <c r="K932" i="76"/>
  <c r="AK932" i="76"/>
  <c r="AH932" i="76"/>
  <c r="AN932" i="76"/>
  <c r="AM932" i="76"/>
  <c r="AO932" i="76"/>
  <c r="AJ932" i="76"/>
  <c r="AP932" i="76"/>
  <c r="AG932" i="76"/>
  <c r="AF932" i="76"/>
  <c r="AL932" i="76"/>
  <c r="AI932" i="76"/>
  <c r="E933" i="76"/>
  <c r="AR934" i="76"/>
  <c r="A933" i="76"/>
  <c r="AD933" i="76"/>
  <c r="C933" i="76"/>
  <c r="B933" i="76"/>
  <c r="AE933" i="76"/>
  <c r="D933" i="76"/>
  <c r="Z932" i="76"/>
  <c r="W932" i="76"/>
  <c r="Y932" i="76"/>
  <c r="V932" i="76"/>
  <c r="AB932" i="76"/>
  <c r="AA932" i="76"/>
  <c r="AC932" i="76"/>
  <c r="X932" i="76"/>
  <c r="S932" i="76"/>
  <c r="U932" i="76"/>
  <c r="T932" i="76"/>
  <c r="F934" i="76" l="1"/>
  <c r="R934" i="76"/>
  <c r="M933" i="76"/>
  <c r="J933" i="76"/>
  <c r="L933" i="76"/>
  <c r="I933" i="76"/>
  <c r="O933" i="76"/>
  <c r="N933" i="76"/>
  <c r="P933" i="76"/>
  <c r="K933" i="76"/>
  <c r="Q933" i="76"/>
  <c r="H933" i="76"/>
  <c r="G933" i="76"/>
  <c r="AJ933" i="76"/>
  <c r="AN933" i="76"/>
  <c r="AO933" i="76"/>
  <c r="AP933" i="76"/>
  <c r="AL933" i="76"/>
  <c r="AK933" i="76"/>
  <c r="AH933" i="76"/>
  <c r="AI933" i="76"/>
  <c r="AG933" i="76"/>
  <c r="AM933" i="76"/>
  <c r="AF933" i="76"/>
  <c r="U933" i="76"/>
  <c r="AA933" i="76"/>
  <c r="X933" i="76"/>
  <c r="AB933" i="76"/>
  <c r="S933" i="76"/>
  <c r="AC933" i="76"/>
  <c r="T933" i="76"/>
  <c r="Z933" i="76"/>
  <c r="Y933" i="76"/>
  <c r="V933" i="76"/>
  <c r="W933" i="76"/>
  <c r="B934" i="76"/>
  <c r="E934" i="76"/>
  <c r="C934" i="76"/>
  <c r="AD934" i="76"/>
  <c r="AR935" i="76"/>
  <c r="D934" i="76"/>
  <c r="AE934" i="76"/>
  <c r="A934" i="76"/>
  <c r="F935" i="76" l="1"/>
  <c r="R935" i="76"/>
  <c r="X934" i="76"/>
  <c r="U934" i="76"/>
  <c r="V934" i="76"/>
  <c r="T934" i="76"/>
  <c r="Z934" i="76"/>
  <c r="S934" i="76"/>
  <c r="W934" i="76"/>
  <c r="AA934" i="76"/>
  <c r="AB934" i="76"/>
  <c r="AC934" i="76"/>
  <c r="Y934" i="76"/>
  <c r="AI934" i="76"/>
  <c r="AO934" i="76"/>
  <c r="AN934" i="76"/>
  <c r="AK934" i="76"/>
  <c r="AL934" i="76"/>
  <c r="AJ934" i="76"/>
  <c r="AP934" i="76"/>
  <c r="AM934" i="76"/>
  <c r="AF934" i="76"/>
  <c r="AH934" i="76"/>
  <c r="AG934" i="76"/>
  <c r="AR936" i="76"/>
  <c r="D935" i="76"/>
  <c r="AE935" i="76"/>
  <c r="AD935" i="76"/>
  <c r="E935" i="76"/>
  <c r="B935" i="76"/>
  <c r="C935" i="76"/>
  <c r="A935" i="76"/>
  <c r="H934" i="76"/>
  <c r="N934" i="76"/>
  <c r="M934" i="76"/>
  <c r="K934" i="76"/>
  <c r="J934" i="76"/>
  <c r="P934" i="76"/>
  <c r="Q934" i="76"/>
  <c r="O934" i="76"/>
  <c r="L934" i="76"/>
  <c r="I934" i="76"/>
  <c r="G934" i="76"/>
  <c r="F936" i="76" l="1"/>
  <c r="R936" i="76"/>
  <c r="AA935" i="76"/>
  <c r="Z935" i="76"/>
  <c r="U935" i="76"/>
  <c r="W935" i="76"/>
  <c r="AC935" i="76"/>
  <c r="V935" i="76"/>
  <c r="X935" i="76"/>
  <c r="Y935" i="76"/>
  <c r="T935" i="76"/>
  <c r="S935" i="76"/>
  <c r="AB935" i="76"/>
  <c r="N935" i="76"/>
  <c r="K935" i="76"/>
  <c r="Q935" i="76"/>
  <c r="P935" i="76"/>
  <c r="G935" i="76"/>
  <c r="M935" i="76"/>
  <c r="H935" i="76"/>
  <c r="J935" i="76"/>
  <c r="I935" i="76"/>
  <c r="O935" i="76"/>
  <c r="L935" i="76"/>
  <c r="AJ935" i="76"/>
  <c r="AI935" i="76"/>
  <c r="AO935" i="76"/>
  <c r="AL935" i="76"/>
  <c r="AN935" i="76"/>
  <c r="AK935" i="76"/>
  <c r="AH935" i="76"/>
  <c r="AF935" i="76"/>
  <c r="AG935" i="76"/>
  <c r="AM935" i="76"/>
  <c r="AP935" i="76"/>
  <c r="D936" i="76"/>
  <c r="AD936" i="76"/>
  <c r="A936" i="76"/>
  <c r="E936" i="76"/>
  <c r="B936" i="76"/>
  <c r="AR937" i="76"/>
  <c r="C936" i="76"/>
  <c r="AE936" i="76"/>
  <c r="F937" i="76" l="1"/>
  <c r="R937" i="76"/>
  <c r="W936" i="76"/>
  <c r="V936" i="76"/>
  <c r="AB936" i="76"/>
  <c r="Y936" i="76"/>
  <c r="AA936" i="76"/>
  <c r="X936" i="76"/>
  <c r="U936" i="76"/>
  <c r="S936" i="76"/>
  <c r="T936" i="76"/>
  <c r="Z936" i="76"/>
  <c r="AC936" i="76"/>
  <c r="J936" i="76"/>
  <c r="L936" i="76"/>
  <c r="H936" i="76"/>
  <c r="O936" i="76"/>
  <c r="K936" i="76"/>
  <c r="Q936" i="76"/>
  <c r="G936" i="76"/>
  <c r="M936" i="76"/>
  <c r="N936" i="76"/>
  <c r="I936" i="76"/>
  <c r="P936" i="76"/>
  <c r="AF936" i="76"/>
  <c r="AL936" i="76"/>
  <c r="AK936" i="76"/>
  <c r="AI936" i="76"/>
  <c r="AH936" i="76"/>
  <c r="AN936" i="76"/>
  <c r="AG936" i="76"/>
  <c r="AM936" i="76"/>
  <c r="AJ936" i="76"/>
  <c r="AP936" i="76"/>
  <c r="AO936" i="76"/>
  <c r="AR938" i="76"/>
  <c r="AD937" i="76"/>
  <c r="A937" i="76"/>
  <c r="C937" i="76"/>
  <c r="E937" i="76"/>
  <c r="D937" i="76"/>
  <c r="B937" i="76"/>
  <c r="AE937" i="76"/>
  <c r="F938" i="76" l="1"/>
  <c r="R938" i="76"/>
  <c r="J937" i="76"/>
  <c r="H937" i="76"/>
  <c r="O937" i="76"/>
  <c r="P937" i="76"/>
  <c r="Q937" i="76"/>
  <c r="K937" i="76"/>
  <c r="M937" i="76"/>
  <c r="I937" i="76"/>
  <c r="G937" i="76"/>
  <c r="N937" i="76"/>
  <c r="L937" i="76"/>
  <c r="Y937" i="76"/>
  <c r="X937" i="76"/>
  <c r="W937" i="76"/>
  <c r="U937" i="76"/>
  <c r="AA937" i="76"/>
  <c r="V937" i="76"/>
  <c r="Z937" i="76"/>
  <c r="S937" i="76"/>
  <c r="AC937" i="76"/>
  <c r="AB937" i="76"/>
  <c r="T937" i="76"/>
  <c r="E938" i="76"/>
  <c r="C938" i="76"/>
  <c r="AR939" i="76"/>
  <c r="AD938" i="76"/>
  <c r="B938" i="76"/>
  <c r="AE938" i="76"/>
  <c r="A938" i="76"/>
  <c r="D938" i="76"/>
  <c r="AG937" i="76"/>
  <c r="AM937" i="76"/>
  <c r="AH937" i="76"/>
  <c r="AL937" i="76"/>
  <c r="AP937" i="76"/>
  <c r="AO937" i="76"/>
  <c r="AJ937" i="76"/>
  <c r="AN937" i="76"/>
  <c r="AK937" i="76"/>
  <c r="AF937" i="76"/>
  <c r="AI937" i="76"/>
  <c r="F939" i="76" l="1"/>
  <c r="R939" i="76"/>
  <c r="AL938" i="76"/>
  <c r="AI938" i="76"/>
  <c r="AF938" i="76"/>
  <c r="AH938" i="76"/>
  <c r="AJ938" i="76"/>
  <c r="AM938" i="76"/>
  <c r="AO938" i="76"/>
  <c r="AK938" i="76"/>
  <c r="AP938" i="76"/>
  <c r="AG938" i="76"/>
  <c r="AN938" i="76"/>
  <c r="Q938" i="76"/>
  <c r="L938" i="76"/>
  <c r="K938" i="76"/>
  <c r="I938" i="76"/>
  <c r="H938" i="76"/>
  <c r="N938" i="76"/>
  <c r="G938" i="76"/>
  <c r="M938" i="76"/>
  <c r="J938" i="76"/>
  <c r="P938" i="76"/>
  <c r="O938" i="76"/>
  <c r="U938" i="76"/>
  <c r="T938" i="76"/>
  <c r="Z938" i="76"/>
  <c r="AA938" i="76"/>
  <c r="Y938" i="76"/>
  <c r="V938" i="76"/>
  <c r="AB938" i="76"/>
  <c r="W938" i="76"/>
  <c r="AC938" i="76"/>
  <c r="X938" i="76"/>
  <c r="S938" i="76"/>
  <c r="C939" i="76"/>
  <c r="AD939" i="76"/>
  <c r="E939" i="76"/>
  <c r="A939" i="76"/>
  <c r="D939" i="76"/>
  <c r="B939" i="76"/>
  <c r="AR940" i="76"/>
  <c r="AE939" i="76"/>
  <c r="F940" i="76" l="1"/>
  <c r="R940" i="76"/>
  <c r="X939" i="76"/>
  <c r="U939" i="76"/>
  <c r="AA939" i="76"/>
  <c r="Z939" i="76"/>
  <c r="AB939" i="76"/>
  <c r="W939" i="76"/>
  <c r="AC939" i="76"/>
  <c r="T939" i="76"/>
  <c r="S939" i="76"/>
  <c r="Y939" i="76"/>
  <c r="V939" i="76"/>
  <c r="L939" i="76"/>
  <c r="H939" i="76"/>
  <c r="O939" i="76"/>
  <c r="J939" i="76"/>
  <c r="M939" i="76"/>
  <c r="K939" i="76"/>
  <c r="Q939" i="76"/>
  <c r="P939" i="76"/>
  <c r="G939" i="76"/>
  <c r="I939" i="76"/>
  <c r="N939" i="76"/>
  <c r="AO939" i="76"/>
  <c r="AP939" i="76"/>
  <c r="AH939" i="76"/>
  <c r="AK939" i="76"/>
  <c r="AL939" i="76"/>
  <c r="AI939" i="76"/>
  <c r="AG939" i="76"/>
  <c r="AM939" i="76"/>
  <c r="AF939" i="76"/>
  <c r="AJ939" i="76"/>
  <c r="AN939" i="76"/>
  <c r="D940" i="76"/>
  <c r="AE940" i="76"/>
  <c r="A940" i="76"/>
  <c r="E940" i="76"/>
  <c r="B940" i="76"/>
  <c r="AR941" i="76"/>
  <c r="C940" i="76"/>
  <c r="AD940" i="76"/>
  <c r="F941" i="76" l="1"/>
  <c r="R941" i="76"/>
  <c r="W940" i="76"/>
  <c r="AA940" i="76"/>
  <c r="AB940" i="76"/>
  <c r="AC940" i="76"/>
  <c r="U940" i="76"/>
  <c r="X940" i="76"/>
  <c r="Y940" i="76"/>
  <c r="V940" i="76"/>
  <c r="T940" i="76"/>
  <c r="Z940" i="76"/>
  <c r="S940" i="76"/>
  <c r="AJ940" i="76"/>
  <c r="AP940" i="76"/>
  <c r="AM940" i="76"/>
  <c r="AF940" i="76"/>
  <c r="AH940" i="76"/>
  <c r="AG940" i="76"/>
  <c r="AI940" i="76"/>
  <c r="AK940" i="76"/>
  <c r="AN940" i="76"/>
  <c r="AO940" i="76"/>
  <c r="AL940" i="76"/>
  <c r="O940" i="76"/>
  <c r="L940" i="76"/>
  <c r="I940" i="76"/>
  <c r="G940" i="76"/>
  <c r="H940" i="76"/>
  <c r="N940" i="76"/>
  <c r="Q940" i="76"/>
  <c r="K940" i="76"/>
  <c r="J940" i="76"/>
  <c r="P940" i="76"/>
  <c r="M940" i="76"/>
  <c r="AR942" i="76"/>
  <c r="E941" i="76"/>
  <c r="A941" i="76"/>
  <c r="B941" i="76"/>
  <c r="C941" i="76"/>
  <c r="AD941" i="76"/>
  <c r="D941" i="76"/>
  <c r="AE941" i="76"/>
  <c r="F942" i="76" l="1"/>
  <c r="R942" i="76"/>
  <c r="V941" i="76"/>
  <c r="U941" i="76"/>
  <c r="AA941" i="76"/>
  <c r="AB941" i="76"/>
  <c r="Z941" i="76"/>
  <c r="W941" i="76"/>
  <c r="AC941" i="76"/>
  <c r="X941" i="76"/>
  <c r="S941" i="76"/>
  <c r="Y941" i="76"/>
  <c r="T941" i="76"/>
  <c r="C942" i="76"/>
  <c r="A942" i="76"/>
  <c r="D942" i="76"/>
  <c r="B942" i="76"/>
  <c r="AR943" i="76"/>
  <c r="AD942" i="76"/>
  <c r="AE942" i="76"/>
  <c r="E942" i="76"/>
  <c r="AH941" i="76"/>
  <c r="AJ941" i="76"/>
  <c r="AM941" i="76"/>
  <c r="AF941" i="76"/>
  <c r="AO941" i="76"/>
  <c r="AI941" i="76"/>
  <c r="AK941" i="76"/>
  <c r="AG941" i="76"/>
  <c r="AP941" i="76"/>
  <c r="AL941" i="76"/>
  <c r="AN941" i="76"/>
  <c r="O941" i="76"/>
  <c r="H941" i="76"/>
  <c r="Q941" i="76"/>
  <c r="K941" i="76"/>
  <c r="M941" i="76"/>
  <c r="I941" i="76"/>
  <c r="G941" i="76"/>
  <c r="N941" i="76"/>
  <c r="P941" i="76"/>
  <c r="J941" i="76"/>
  <c r="L941" i="76"/>
  <c r="F943" i="76" l="1"/>
  <c r="R943" i="76"/>
  <c r="D943" i="76"/>
  <c r="AD943" i="76"/>
  <c r="A943" i="76"/>
  <c r="B943" i="76"/>
  <c r="C943" i="76"/>
  <c r="AR944" i="76"/>
  <c r="E943" i="76"/>
  <c r="AE943" i="76"/>
  <c r="AN942" i="76"/>
  <c r="AI942" i="76"/>
  <c r="AP942" i="76"/>
  <c r="AJ942" i="76"/>
  <c r="AL942" i="76"/>
  <c r="AH942" i="76"/>
  <c r="AF942" i="76"/>
  <c r="AO942" i="76"/>
  <c r="AG942" i="76"/>
  <c r="AK942" i="76"/>
  <c r="AM942" i="76"/>
  <c r="U942" i="76"/>
  <c r="AA942" i="76"/>
  <c r="Z942" i="76"/>
  <c r="S942" i="76"/>
  <c r="X942" i="76"/>
  <c r="V942" i="76"/>
  <c r="AB942" i="76"/>
  <c r="Y942" i="76"/>
  <c r="AC942" i="76"/>
  <c r="T942" i="76"/>
  <c r="W942" i="76"/>
  <c r="M942" i="76"/>
  <c r="I942" i="76"/>
  <c r="P942" i="76"/>
  <c r="K942" i="76"/>
  <c r="N942" i="76"/>
  <c r="L942" i="76"/>
  <c r="G942" i="76"/>
  <c r="Q942" i="76"/>
  <c r="H942" i="76"/>
  <c r="J942" i="76"/>
  <c r="O942" i="76"/>
  <c r="F944" i="76" l="1"/>
  <c r="R944" i="76"/>
  <c r="X943" i="76"/>
  <c r="U943" i="76"/>
  <c r="AA943" i="76"/>
  <c r="V943" i="76"/>
  <c r="AB943" i="76"/>
  <c r="W943" i="76"/>
  <c r="AC943" i="76"/>
  <c r="T943" i="76"/>
  <c r="S943" i="76"/>
  <c r="Y943" i="76"/>
  <c r="Z943" i="76"/>
  <c r="M943" i="76"/>
  <c r="J943" i="76"/>
  <c r="L943" i="76"/>
  <c r="I943" i="76"/>
  <c r="O943" i="76"/>
  <c r="N943" i="76"/>
  <c r="P943" i="76"/>
  <c r="K943" i="76"/>
  <c r="Q943" i="76"/>
  <c r="H943" i="76"/>
  <c r="G943" i="76"/>
  <c r="AG943" i="76"/>
  <c r="AM943" i="76"/>
  <c r="AP943" i="76"/>
  <c r="AJ943" i="76"/>
  <c r="AI943" i="76"/>
  <c r="AO943" i="76"/>
  <c r="AL943" i="76"/>
  <c r="AN943" i="76"/>
  <c r="AK943" i="76"/>
  <c r="AH943" i="76"/>
  <c r="AF943" i="76"/>
  <c r="E944" i="76"/>
  <c r="AE944" i="76"/>
  <c r="B944" i="76"/>
  <c r="C944" i="76"/>
  <c r="D944" i="76"/>
  <c r="AR945" i="76"/>
  <c r="A944" i="76"/>
  <c r="AD944" i="76"/>
  <c r="F945" i="76" l="1"/>
  <c r="R945" i="76"/>
  <c r="S944" i="76"/>
  <c r="Y944" i="76"/>
  <c r="Z944" i="76"/>
  <c r="AC944" i="76"/>
  <c r="X944" i="76"/>
  <c r="V944" i="76"/>
  <c r="AB944" i="76"/>
  <c r="W944" i="76"/>
  <c r="AA944" i="76"/>
  <c r="T944" i="76"/>
  <c r="U944" i="76"/>
  <c r="AL944" i="76"/>
  <c r="AK944" i="76"/>
  <c r="AF944" i="76"/>
  <c r="AH944" i="76"/>
  <c r="AJ944" i="76"/>
  <c r="AG944" i="76"/>
  <c r="AM944" i="76"/>
  <c r="AI944" i="76"/>
  <c r="AP944" i="76"/>
  <c r="AO944" i="76"/>
  <c r="AN944" i="76"/>
  <c r="H944" i="76"/>
  <c r="J944" i="76"/>
  <c r="I944" i="76"/>
  <c r="K944" i="76"/>
  <c r="G944" i="76"/>
  <c r="P944" i="76"/>
  <c r="Q944" i="76"/>
  <c r="N944" i="76"/>
  <c r="L944" i="76"/>
  <c r="M944" i="76"/>
  <c r="O944" i="76"/>
  <c r="AR946" i="76"/>
  <c r="B945" i="76"/>
  <c r="AE945" i="76"/>
  <c r="A945" i="76"/>
  <c r="C945" i="76"/>
  <c r="D945" i="76"/>
  <c r="E945" i="76"/>
  <c r="AD945" i="76"/>
  <c r="F946" i="76" l="1"/>
  <c r="R946" i="76"/>
  <c r="I945" i="76"/>
  <c r="O945" i="76"/>
  <c r="P945" i="76"/>
  <c r="N945" i="76"/>
  <c r="K945" i="76"/>
  <c r="Q945" i="76"/>
  <c r="L945" i="76"/>
  <c r="G945" i="76"/>
  <c r="M945" i="76"/>
  <c r="H945" i="76"/>
  <c r="J945" i="76"/>
  <c r="V945" i="76"/>
  <c r="AB945" i="76"/>
  <c r="AA945" i="76"/>
  <c r="T945" i="76"/>
  <c r="Y945" i="76"/>
  <c r="W945" i="76"/>
  <c r="AC945" i="76"/>
  <c r="Z945" i="76"/>
  <c r="S945" i="76"/>
  <c r="U945" i="76"/>
  <c r="X945" i="76"/>
  <c r="AK945" i="76"/>
  <c r="AF945" i="76"/>
  <c r="AI945" i="76"/>
  <c r="AG945" i="76"/>
  <c r="AM945" i="76"/>
  <c r="AH945" i="76"/>
  <c r="AL945" i="76"/>
  <c r="AP945" i="76"/>
  <c r="AO945" i="76"/>
  <c r="AJ945" i="76"/>
  <c r="AN945" i="76"/>
  <c r="D946" i="76"/>
  <c r="B946" i="76"/>
  <c r="AR947" i="76"/>
  <c r="AE946" i="76"/>
  <c r="E946" i="76"/>
  <c r="AD946" i="76"/>
  <c r="C946" i="76"/>
  <c r="A946" i="76"/>
  <c r="F947" i="76" l="1"/>
  <c r="R947" i="76"/>
  <c r="AC946" i="76"/>
  <c r="X946" i="76"/>
  <c r="S946" i="76"/>
  <c r="U946" i="76"/>
  <c r="T946" i="76"/>
  <c r="Z946" i="76"/>
  <c r="AA946" i="76"/>
  <c r="Y946" i="76"/>
  <c r="V946" i="76"/>
  <c r="AB946" i="76"/>
  <c r="W946" i="76"/>
  <c r="D947" i="76"/>
  <c r="B947" i="76"/>
  <c r="AR948" i="76"/>
  <c r="AE947" i="76"/>
  <c r="C947" i="76"/>
  <c r="AD947" i="76"/>
  <c r="E947" i="76"/>
  <c r="A947" i="76"/>
  <c r="AK946" i="76"/>
  <c r="AH946" i="76"/>
  <c r="AN946" i="76"/>
  <c r="AM946" i="76"/>
  <c r="AO946" i="76"/>
  <c r="AJ946" i="76"/>
  <c r="AP946" i="76"/>
  <c r="AG946" i="76"/>
  <c r="AF946" i="76"/>
  <c r="AL946" i="76"/>
  <c r="AI946" i="76"/>
  <c r="J946" i="76"/>
  <c r="P946" i="76"/>
  <c r="O946" i="76"/>
  <c r="Q946" i="76"/>
  <c r="L946" i="76"/>
  <c r="K946" i="76"/>
  <c r="I946" i="76"/>
  <c r="H946" i="76"/>
  <c r="N946" i="76"/>
  <c r="G946" i="76"/>
  <c r="M946" i="76"/>
  <c r="F948" i="76" l="1"/>
  <c r="R948" i="76"/>
  <c r="AN947" i="76"/>
  <c r="AJ947" i="76"/>
  <c r="AP947" i="76"/>
  <c r="AF947" i="76"/>
  <c r="AL947" i="76"/>
  <c r="AM947" i="76"/>
  <c r="AH947" i="76"/>
  <c r="AO947" i="76"/>
  <c r="AI947" i="76"/>
  <c r="AK947" i="76"/>
  <c r="AG947" i="76"/>
  <c r="B948" i="76"/>
  <c r="C948" i="76"/>
  <c r="D948" i="76"/>
  <c r="AE948" i="76"/>
  <c r="AR949" i="76"/>
  <c r="A948" i="76"/>
  <c r="AD948" i="76"/>
  <c r="E948" i="76"/>
  <c r="P947" i="76"/>
  <c r="K947" i="76"/>
  <c r="Q947" i="76"/>
  <c r="H947" i="76"/>
  <c r="G947" i="76"/>
  <c r="M947" i="76"/>
  <c r="N947" i="76"/>
  <c r="L947" i="76"/>
  <c r="I947" i="76"/>
  <c r="O947" i="76"/>
  <c r="J947" i="76"/>
  <c r="Y947" i="76"/>
  <c r="V947" i="76"/>
  <c r="X947" i="76"/>
  <c r="U947" i="76"/>
  <c r="AA947" i="76"/>
  <c r="Z947" i="76"/>
  <c r="AB947" i="76"/>
  <c r="W947" i="76"/>
  <c r="AC947" i="76"/>
  <c r="T947" i="76"/>
  <c r="S947" i="76"/>
  <c r="F949" i="76" l="1"/>
  <c r="R949" i="76"/>
  <c r="AM948" i="76"/>
  <c r="AI948" i="76"/>
  <c r="AP948" i="76"/>
  <c r="AK948" i="76"/>
  <c r="AN948" i="76"/>
  <c r="AL948" i="76"/>
  <c r="AG948" i="76"/>
  <c r="AF948" i="76"/>
  <c r="AH948" i="76"/>
  <c r="AJ948" i="76"/>
  <c r="AO948" i="76"/>
  <c r="T948" i="76"/>
  <c r="Z948" i="76"/>
  <c r="U948" i="76"/>
  <c r="W948" i="76"/>
  <c r="V948" i="76"/>
  <c r="AB948" i="76"/>
  <c r="AC948" i="76"/>
  <c r="AA948" i="76"/>
  <c r="X948" i="76"/>
  <c r="Y948" i="76"/>
  <c r="S948" i="76"/>
  <c r="AR950" i="76"/>
  <c r="D949" i="76"/>
  <c r="AE949" i="76"/>
  <c r="C949" i="76"/>
  <c r="B949" i="76"/>
  <c r="AD949" i="76"/>
  <c r="A949" i="76"/>
  <c r="E949" i="76"/>
  <c r="P948" i="76"/>
  <c r="M948" i="76"/>
  <c r="O948" i="76"/>
  <c r="L948" i="76"/>
  <c r="I948" i="76"/>
  <c r="G948" i="76"/>
  <c r="H948" i="76"/>
  <c r="N948" i="76"/>
  <c r="Q948" i="76"/>
  <c r="K948" i="76"/>
  <c r="J948" i="76"/>
  <c r="F950" i="76" l="1"/>
  <c r="R950" i="76"/>
  <c r="N949" i="76"/>
  <c r="G949" i="76"/>
  <c r="Q949" i="76"/>
  <c r="P949" i="76"/>
  <c r="H949" i="76"/>
  <c r="M949" i="76"/>
  <c r="L949" i="76"/>
  <c r="K949" i="76"/>
  <c r="I949" i="76"/>
  <c r="O949" i="76"/>
  <c r="J949" i="76"/>
  <c r="AL949" i="76"/>
  <c r="AP949" i="76"/>
  <c r="AO949" i="76"/>
  <c r="AN949" i="76"/>
  <c r="AF949" i="76"/>
  <c r="AK949" i="76"/>
  <c r="AJ949" i="76"/>
  <c r="AI949" i="76"/>
  <c r="AG949" i="76"/>
  <c r="AM949" i="76"/>
  <c r="AH949" i="76"/>
  <c r="AC949" i="76"/>
  <c r="X949" i="76"/>
  <c r="S949" i="76"/>
  <c r="Y949" i="76"/>
  <c r="T949" i="76"/>
  <c r="V949" i="76"/>
  <c r="U949" i="76"/>
  <c r="AA949" i="76"/>
  <c r="AB949" i="76"/>
  <c r="Z949" i="76"/>
  <c r="W949" i="76"/>
  <c r="AR951" i="76"/>
  <c r="B950" i="76"/>
  <c r="C950" i="76"/>
  <c r="A950" i="76"/>
  <c r="E950" i="76"/>
  <c r="D950" i="76"/>
  <c r="AD950" i="76"/>
  <c r="AE950" i="76"/>
  <c r="F951" i="76" l="1"/>
  <c r="R951" i="76"/>
  <c r="E951" i="76"/>
  <c r="A951" i="76"/>
  <c r="C951" i="76"/>
  <c r="AR952" i="76"/>
  <c r="AD951" i="76"/>
  <c r="AE951" i="76"/>
  <c r="D951" i="76"/>
  <c r="B951" i="76"/>
  <c r="AK950" i="76"/>
  <c r="AH950" i="76"/>
  <c r="AN950" i="76"/>
  <c r="AI950" i="76"/>
  <c r="AO950" i="76"/>
  <c r="AJ950" i="76"/>
  <c r="AP950" i="76"/>
  <c r="AG950" i="76"/>
  <c r="AF950" i="76"/>
  <c r="AL950" i="76"/>
  <c r="AM950" i="76"/>
  <c r="Y950" i="76"/>
  <c r="AC950" i="76"/>
  <c r="AB950" i="76"/>
  <c r="AA950" i="76"/>
  <c r="S950" i="76"/>
  <c r="X950" i="76"/>
  <c r="W950" i="76"/>
  <c r="V950" i="76"/>
  <c r="T950" i="76"/>
  <c r="Z950" i="76"/>
  <c r="U950" i="76"/>
  <c r="N950" i="76"/>
  <c r="O950" i="76"/>
  <c r="P950" i="76"/>
  <c r="J950" i="76"/>
  <c r="L950" i="76"/>
  <c r="H950" i="76"/>
  <c r="Q950" i="76"/>
  <c r="M950" i="76"/>
  <c r="K950" i="76"/>
  <c r="I950" i="76"/>
  <c r="G950" i="76"/>
  <c r="F952" i="76" l="1"/>
  <c r="R952" i="76"/>
  <c r="AF951" i="76"/>
  <c r="AG951" i="76"/>
  <c r="AM951" i="76"/>
  <c r="AP951" i="76"/>
  <c r="AJ951" i="76"/>
  <c r="AI951" i="76"/>
  <c r="AO951" i="76"/>
  <c r="AL951" i="76"/>
  <c r="AN951" i="76"/>
  <c r="AK951" i="76"/>
  <c r="AH951" i="76"/>
  <c r="AR953" i="76"/>
  <c r="AE952" i="76"/>
  <c r="D952" i="76"/>
  <c r="A952" i="76"/>
  <c r="B952" i="76"/>
  <c r="E952" i="76"/>
  <c r="C952" i="76"/>
  <c r="AD952" i="76"/>
  <c r="U951" i="76"/>
  <c r="W951" i="76"/>
  <c r="V951" i="76"/>
  <c r="AB951" i="76"/>
  <c r="X951" i="76"/>
  <c r="AC951" i="76"/>
  <c r="T951" i="76"/>
  <c r="AA951" i="76"/>
  <c r="Y951" i="76"/>
  <c r="Z951" i="76"/>
  <c r="S951" i="76"/>
  <c r="K951" i="76"/>
  <c r="M951" i="76"/>
  <c r="I951" i="76"/>
  <c r="G951" i="76"/>
  <c r="P951" i="76"/>
  <c r="H951" i="76"/>
  <c r="L951" i="76"/>
  <c r="J951" i="76"/>
  <c r="O951" i="76"/>
  <c r="N951" i="76"/>
  <c r="Q951" i="76"/>
  <c r="F953" i="76" l="1"/>
  <c r="R953" i="76"/>
  <c r="AA952" i="76"/>
  <c r="W952" i="76"/>
  <c r="AB952" i="76"/>
  <c r="S952" i="76"/>
  <c r="Z952" i="76"/>
  <c r="X952" i="76"/>
  <c r="U952" i="76"/>
  <c r="AC952" i="76"/>
  <c r="T952" i="76"/>
  <c r="V952" i="76"/>
  <c r="Y952" i="76"/>
  <c r="AJ952" i="76"/>
  <c r="AL952" i="76"/>
  <c r="AH952" i="76"/>
  <c r="AF952" i="76"/>
  <c r="AO952" i="76"/>
  <c r="AG952" i="76"/>
  <c r="AK952" i="76"/>
  <c r="AI952" i="76"/>
  <c r="AN952" i="76"/>
  <c r="AM952" i="76"/>
  <c r="AP952" i="76"/>
  <c r="D953" i="76"/>
  <c r="B953" i="76"/>
  <c r="AD953" i="76"/>
  <c r="C953" i="76"/>
  <c r="E953" i="76"/>
  <c r="A953" i="76"/>
  <c r="AR954" i="76"/>
  <c r="AE953" i="76"/>
  <c r="O952" i="76"/>
  <c r="H952" i="76"/>
  <c r="M952" i="76"/>
  <c r="G952" i="76"/>
  <c r="Q952" i="76"/>
  <c r="N952" i="76"/>
  <c r="I952" i="76"/>
  <c r="L952" i="76"/>
  <c r="J952" i="76"/>
  <c r="P952" i="76"/>
  <c r="K952" i="76"/>
  <c r="F954" i="76" l="1"/>
  <c r="R954" i="76"/>
  <c r="U953" i="76"/>
  <c r="W953" i="76"/>
  <c r="Z953" i="76"/>
  <c r="AB953" i="76"/>
  <c r="X953" i="76"/>
  <c r="AC953" i="76"/>
  <c r="T953" i="76"/>
  <c r="AA953" i="76"/>
  <c r="Y953" i="76"/>
  <c r="V953" i="76"/>
  <c r="S953" i="76"/>
  <c r="E954" i="76"/>
  <c r="C954" i="76"/>
  <c r="AR955" i="76"/>
  <c r="AE954" i="76"/>
  <c r="B954" i="76"/>
  <c r="AD954" i="76"/>
  <c r="A954" i="76"/>
  <c r="D954" i="76"/>
  <c r="AI953" i="76"/>
  <c r="AO953" i="76"/>
  <c r="AJ953" i="76"/>
  <c r="AN953" i="76"/>
  <c r="AG953" i="76"/>
  <c r="AH953" i="76"/>
  <c r="AF953" i="76"/>
  <c r="AP953" i="76"/>
  <c r="AM953" i="76"/>
  <c r="AL953" i="76"/>
  <c r="AK953" i="76"/>
  <c r="L953" i="76"/>
  <c r="I953" i="76"/>
  <c r="O953" i="76"/>
  <c r="N953" i="76"/>
  <c r="P953" i="76"/>
  <c r="K953" i="76"/>
  <c r="Q953" i="76"/>
  <c r="H953" i="76"/>
  <c r="G953" i="76"/>
  <c r="M953" i="76"/>
  <c r="J953" i="76"/>
  <c r="F955" i="76" l="1"/>
  <c r="R955" i="76"/>
  <c r="AH954" i="76"/>
  <c r="AN954" i="76"/>
  <c r="AK954" i="76"/>
  <c r="AG954" i="76"/>
  <c r="AI954" i="76"/>
  <c r="AP954" i="76"/>
  <c r="AO954" i="76"/>
  <c r="AF954" i="76"/>
  <c r="AL954" i="76"/>
  <c r="AJ954" i="76"/>
  <c r="AM954" i="76"/>
  <c r="B955" i="76"/>
  <c r="E955" i="76"/>
  <c r="A955" i="76"/>
  <c r="C955" i="76"/>
  <c r="AE955" i="76"/>
  <c r="AD955" i="76"/>
  <c r="D955" i="76"/>
  <c r="AR956" i="76"/>
  <c r="G954" i="76"/>
  <c r="H954" i="76"/>
  <c r="N954" i="76"/>
  <c r="L954" i="76"/>
  <c r="I954" i="76"/>
  <c r="J954" i="76"/>
  <c r="P954" i="76"/>
  <c r="Q954" i="76"/>
  <c r="O954" i="76"/>
  <c r="K954" i="76"/>
  <c r="M954" i="76"/>
  <c r="X954" i="76"/>
  <c r="U954" i="76"/>
  <c r="S954" i="76"/>
  <c r="AC954" i="76"/>
  <c r="Y954" i="76"/>
  <c r="Z954" i="76"/>
  <c r="W954" i="76"/>
  <c r="V954" i="76"/>
  <c r="T954" i="76"/>
  <c r="AA954" i="76"/>
  <c r="AB954" i="76"/>
  <c r="F956" i="76" l="1"/>
  <c r="R956" i="76"/>
  <c r="AC955" i="76"/>
  <c r="AB955" i="76"/>
  <c r="AA955" i="76"/>
  <c r="Y955" i="76"/>
  <c r="T955" i="76"/>
  <c r="S955" i="76"/>
  <c r="U955" i="76"/>
  <c r="W955" i="76"/>
  <c r="X955" i="76"/>
  <c r="Z955" i="76"/>
  <c r="V955" i="76"/>
  <c r="AL955" i="76"/>
  <c r="AH955" i="76"/>
  <c r="AO955" i="76"/>
  <c r="AN955" i="76"/>
  <c r="AM955" i="76"/>
  <c r="AK955" i="76"/>
  <c r="AF955" i="76"/>
  <c r="AP955" i="76"/>
  <c r="AG955" i="76"/>
  <c r="AI955" i="76"/>
  <c r="AJ955" i="76"/>
  <c r="D956" i="76"/>
  <c r="AE956" i="76"/>
  <c r="A956" i="76"/>
  <c r="E956" i="76"/>
  <c r="B956" i="76"/>
  <c r="AR957" i="76"/>
  <c r="C956" i="76"/>
  <c r="AD956" i="76"/>
  <c r="J955" i="76"/>
  <c r="P955" i="76"/>
  <c r="O955" i="76"/>
  <c r="L955" i="76"/>
  <c r="M955" i="76"/>
  <c r="K955" i="76"/>
  <c r="Q955" i="76"/>
  <c r="N955" i="76"/>
  <c r="G955" i="76"/>
  <c r="I955" i="76"/>
  <c r="H955" i="76"/>
  <c r="F957" i="76" l="1"/>
  <c r="R957" i="76"/>
  <c r="AR958" i="76"/>
  <c r="E957" i="76"/>
  <c r="AD957" i="76"/>
  <c r="D957" i="76"/>
  <c r="B957" i="76"/>
  <c r="C957" i="76"/>
  <c r="A957" i="76"/>
  <c r="AE957" i="76"/>
  <c r="Y956" i="76"/>
  <c r="V956" i="76"/>
  <c r="AB956" i="76"/>
  <c r="AA956" i="76"/>
  <c r="AC956" i="76"/>
  <c r="X956" i="76"/>
  <c r="S956" i="76"/>
  <c r="U956" i="76"/>
  <c r="T956" i="76"/>
  <c r="Z956" i="76"/>
  <c r="W956" i="76"/>
  <c r="AJ956" i="76"/>
  <c r="AL956" i="76"/>
  <c r="AH956" i="76"/>
  <c r="AF956" i="76"/>
  <c r="AO956" i="76"/>
  <c r="AG956" i="76"/>
  <c r="AK956" i="76"/>
  <c r="AI956" i="76"/>
  <c r="AN956" i="76"/>
  <c r="AM956" i="76"/>
  <c r="AP956" i="76"/>
  <c r="H956" i="76"/>
  <c r="N956" i="76"/>
  <c r="K956" i="76"/>
  <c r="M956" i="76"/>
  <c r="J956" i="76"/>
  <c r="P956" i="76"/>
  <c r="O956" i="76"/>
  <c r="Q956" i="76"/>
  <c r="L956" i="76"/>
  <c r="G956" i="76"/>
  <c r="I956" i="76"/>
  <c r="F958" i="76" l="1"/>
  <c r="R958" i="76"/>
  <c r="AN957" i="76"/>
  <c r="AG957" i="76"/>
  <c r="AH957" i="76"/>
  <c r="AF957" i="76"/>
  <c r="AP957" i="76"/>
  <c r="AM957" i="76"/>
  <c r="AL957" i="76"/>
  <c r="AK957" i="76"/>
  <c r="AI957" i="76"/>
  <c r="AO957" i="76"/>
  <c r="AJ957" i="76"/>
  <c r="O957" i="76"/>
  <c r="N957" i="76"/>
  <c r="M957" i="76"/>
  <c r="K957" i="76"/>
  <c r="Q957" i="76"/>
  <c r="P957" i="76"/>
  <c r="G957" i="76"/>
  <c r="I957" i="76"/>
  <c r="J957" i="76"/>
  <c r="L957" i="76"/>
  <c r="H957" i="76"/>
  <c r="X957" i="76"/>
  <c r="U957" i="76"/>
  <c r="AA957" i="76"/>
  <c r="Z957" i="76"/>
  <c r="AB957" i="76"/>
  <c r="W957" i="76"/>
  <c r="AC957" i="76"/>
  <c r="T957" i="76"/>
  <c r="S957" i="76"/>
  <c r="Y957" i="76"/>
  <c r="V957" i="76"/>
  <c r="C958" i="76"/>
  <c r="B958" i="76"/>
  <c r="A958" i="76"/>
  <c r="AE958" i="76"/>
  <c r="AR959" i="76"/>
  <c r="E958" i="76"/>
  <c r="AD958" i="76"/>
  <c r="D958" i="76"/>
  <c r="F959" i="76" l="1"/>
  <c r="R959" i="76"/>
  <c r="AH958" i="76"/>
  <c r="AJ958" i="76"/>
  <c r="AK958" i="76"/>
  <c r="AM958" i="76"/>
  <c r="AI958" i="76"/>
  <c r="AP958" i="76"/>
  <c r="AO958" i="76"/>
  <c r="AN958" i="76"/>
  <c r="AL958" i="76"/>
  <c r="AG958" i="76"/>
  <c r="AF958" i="76"/>
  <c r="S958" i="76"/>
  <c r="U958" i="76"/>
  <c r="Z958" i="76"/>
  <c r="Y958" i="76"/>
  <c r="AB958" i="76"/>
  <c r="V958" i="76"/>
  <c r="X958" i="76"/>
  <c r="T958" i="76"/>
  <c r="AA958" i="76"/>
  <c r="W958" i="76"/>
  <c r="AC958" i="76"/>
  <c r="AR960" i="76"/>
  <c r="B959" i="76"/>
  <c r="AE959" i="76"/>
  <c r="AD959" i="76"/>
  <c r="E959" i="76"/>
  <c r="C959" i="76"/>
  <c r="A959" i="76"/>
  <c r="D959" i="76"/>
  <c r="P958" i="76"/>
  <c r="Q958" i="76"/>
  <c r="M958" i="76"/>
  <c r="L958" i="76"/>
  <c r="I958" i="76"/>
  <c r="J958" i="76"/>
  <c r="H958" i="76"/>
  <c r="N958" i="76"/>
  <c r="G958" i="76"/>
  <c r="K958" i="76"/>
  <c r="O958" i="76"/>
  <c r="F960" i="76" l="1"/>
  <c r="R960" i="76"/>
  <c r="G959" i="76"/>
  <c r="I959" i="76"/>
  <c r="H959" i="76"/>
  <c r="J959" i="76"/>
  <c r="P959" i="76"/>
  <c r="O959" i="76"/>
  <c r="L959" i="76"/>
  <c r="M959" i="76"/>
  <c r="K959" i="76"/>
  <c r="Q959" i="76"/>
  <c r="N959" i="76"/>
  <c r="V959" i="76"/>
  <c r="U959" i="76"/>
  <c r="AA959" i="76"/>
  <c r="X959" i="76"/>
  <c r="Z959" i="76"/>
  <c r="W959" i="76"/>
  <c r="AC959" i="76"/>
  <c r="AB959" i="76"/>
  <c r="S959" i="76"/>
  <c r="Y959" i="76"/>
  <c r="T959" i="76"/>
  <c r="AI959" i="76"/>
  <c r="AO959" i="76"/>
  <c r="AN959" i="76"/>
  <c r="AP959" i="76"/>
  <c r="AK959" i="76"/>
  <c r="AF959" i="76"/>
  <c r="AH959" i="76"/>
  <c r="AG959" i="76"/>
  <c r="AM959" i="76"/>
  <c r="AJ959" i="76"/>
  <c r="AL959" i="76"/>
  <c r="B960" i="76"/>
  <c r="A960" i="76"/>
  <c r="AR961" i="76"/>
  <c r="E960" i="76"/>
  <c r="AD960" i="76"/>
  <c r="D960" i="76"/>
  <c r="AE960" i="76"/>
  <c r="C960" i="76"/>
  <c r="F961" i="76" l="1"/>
  <c r="R961" i="76"/>
  <c r="A961" i="76"/>
  <c r="E961" i="76"/>
  <c r="D961" i="76"/>
  <c r="AD961" i="76"/>
  <c r="AR962" i="76"/>
  <c r="C961" i="76"/>
  <c r="AE961" i="76"/>
  <c r="B961" i="76"/>
  <c r="U960" i="76"/>
  <c r="S960" i="76"/>
  <c r="Z960" i="76"/>
  <c r="W960" i="76"/>
  <c r="AB960" i="76"/>
  <c r="V960" i="76"/>
  <c r="X960" i="76"/>
  <c r="T960" i="76"/>
  <c r="AC960" i="76"/>
  <c r="Y960" i="76"/>
  <c r="AA960" i="76"/>
  <c r="AL960" i="76"/>
  <c r="AI960" i="76"/>
  <c r="AJ960" i="76"/>
  <c r="AH960" i="76"/>
  <c r="AN960" i="76"/>
  <c r="AK960" i="76"/>
  <c r="AO960" i="76"/>
  <c r="AF960" i="76"/>
  <c r="AP960" i="76"/>
  <c r="AG960" i="76"/>
  <c r="AM960" i="76"/>
  <c r="H960" i="76"/>
  <c r="N960" i="76"/>
  <c r="I960" i="76"/>
  <c r="M960" i="76"/>
  <c r="Q960" i="76"/>
  <c r="P960" i="76"/>
  <c r="O960" i="76"/>
  <c r="K960" i="76"/>
  <c r="L960" i="76"/>
  <c r="G960" i="76"/>
  <c r="J960" i="76"/>
  <c r="F962" i="76" l="1"/>
  <c r="R962" i="76"/>
  <c r="X961" i="76"/>
  <c r="V961" i="76"/>
  <c r="AA961" i="76"/>
  <c r="Z961" i="76"/>
  <c r="AC961" i="76"/>
  <c r="W961" i="76"/>
  <c r="Y961" i="76"/>
  <c r="U961" i="76"/>
  <c r="S961" i="76"/>
  <c r="AB961" i="76"/>
  <c r="T961" i="76"/>
  <c r="AK961" i="76"/>
  <c r="AH961" i="76"/>
  <c r="AN961" i="76"/>
  <c r="AG961" i="76"/>
  <c r="AI961" i="76"/>
  <c r="AL961" i="76"/>
  <c r="AJ961" i="76"/>
  <c r="AF961" i="76"/>
  <c r="AO961" i="76"/>
  <c r="AP961" i="76"/>
  <c r="AM961" i="76"/>
  <c r="C962" i="76"/>
  <c r="A962" i="76"/>
  <c r="AE962" i="76"/>
  <c r="AR963" i="76"/>
  <c r="D962" i="76"/>
  <c r="AD962" i="76"/>
  <c r="B962" i="76"/>
  <c r="E962" i="76"/>
  <c r="I961" i="76"/>
  <c r="O961" i="76"/>
  <c r="N961" i="76"/>
  <c r="P961" i="76"/>
  <c r="K961" i="76"/>
  <c r="Q961" i="76"/>
  <c r="H961" i="76"/>
  <c r="G961" i="76"/>
  <c r="M961" i="76"/>
  <c r="J961" i="76"/>
  <c r="L961" i="76"/>
  <c r="F963" i="76" l="1"/>
  <c r="R963" i="76"/>
  <c r="D963" i="76"/>
  <c r="B963" i="76"/>
  <c r="AD963" i="76"/>
  <c r="AR964" i="76"/>
  <c r="E963" i="76"/>
  <c r="AE963" i="76"/>
  <c r="C963" i="76"/>
  <c r="A963" i="76"/>
  <c r="Z962" i="76"/>
  <c r="Y962" i="76"/>
  <c r="W962" i="76"/>
  <c r="V962" i="76"/>
  <c r="AB962" i="76"/>
  <c r="AC962" i="76"/>
  <c r="AA962" i="76"/>
  <c r="X962" i="76"/>
  <c r="U962" i="76"/>
  <c r="S962" i="76"/>
  <c r="T962" i="76"/>
  <c r="AI962" i="76"/>
  <c r="AH962" i="76"/>
  <c r="AN962" i="76"/>
  <c r="AK962" i="76"/>
  <c r="AM962" i="76"/>
  <c r="AJ962" i="76"/>
  <c r="AP962" i="76"/>
  <c r="AO962" i="76"/>
  <c r="AF962" i="76"/>
  <c r="AL962" i="76"/>
  <c r="AG962" i="76"/>
  <c r="G962" i="76"/>
  <c r="H962" i="76"/>
  <c r="N962" i="76"/>
  <c r="M962" i="76"/>
  <c r="K962" i="76"/>
  <c r="J962" i="76"/>
  <c r="P962" i="76"/>
  <c r="Q962" i="76"/>
  <c r="O962" i="76"/>
  <c r="L962" i="76"/>
  <c r="I962" i="76"/>
  <c r="F964" i="76" l="1"/>
  <c r="R964" i="76"/>
  <c r="M963" i="76"/>
  <c r="H963" i="76"/>
  <c r="J963" i="76"/>
  <c r="I963" i="76"/>
  <c r="O963" i="76"/>
  <c r="L963" i="76"/>
  <c r="N963" i="76"/>
  <c r="K963" i="76"/>
  <c r="Q963" i="76"/>
  <c r="P963" i="76"/>
  <c r="G963" i="76"/>
  <c r="AH963" i="76"/>
  <c r="AN963" i="76"/>
  <c r="AM963" i="76"/>
  <c r="AJ963" i="76"/>
  <c r="AK963" i="76"/>
  <c r="AI963" i="76"/>
  <c r="AO963" i="76"/>
  <c r="AL963" i="76"/>
  <c r="AP963" i="76"/>
  <c r="AG963" i="76"/>
  <c r="AF963" i="76"/>
  <c r="AR965" i="76"/>
  <c r="AD964" i="76"/>
  <c r="A964" i="76"/>
  <c r="E964" i="76"/>
  <c r="C964" i="76"/>
  <c r="D964" i="76"/>
  <c r="B964" i="76"/>
  <c r="AE964" i="76"/>
  <c r="S963" i="76"/>
  <c r="U963" i="76"/>
  <c r="T963" i="76"/>
  <c r="V963" i="76"/>
  <c r="AB963" i="76"/>
  <c r="AA963" i="76"/>
  <c r="X963" i="76"/>
  <c r="Y963" i="76"/>
  <c r="W963" i="76"/>
  <c r="AC963" i="76"/>
  <c r="Z963" i="76"/>
  <c r="F965" i="76" l="1"/>
  <c r="R965" i="76"/>
  <c r="AH964" i="76"/>
  <c r="AN964" i="76"/>
  <c r="AK964" i="76"/>
  <c r="AO964" i="76"/>
  <c r="AF964" i="76"/>
  <c r="AP964" i="76"/>
  <c r="AG964" i="76"/>
  <c r="AM964" i="76"/>
  <c r="AL964" i="76"/>
  <c r="AI964" i="76"/>
  <c r="AJ964" i="76"/>
  <c r="L964" i="76"/>
  <c r="G964" i="76"/>
  <c r="I964" i="76"/>
  <c r="H964" i="76"/>
  <c r="N964" i="76"/>
  <c r="K964" i="76"/>
  <c r="M964" i="76"/>
  <c r="J964" i="76"/>
  <c r="P964" i="76"/>
  <c r="O964" i="76"/>
  <c r="Q964" i="76"/>
  <c r="Y964" i="76"/>
  <c r="V964" i="76"/>
  <c r="AB964" i="76"/>
  <c r="AA964" i="76"/>
  <c r="AC964" i="76"/>
  <c r="X964" i="76"/>
  <c r="S964" i="76"/>
  <c r="U964" i="76"/>
  <c r="T964" i="76"/>
  <c r="Z964" i="76"/>
  <c r="W964" i="76"/>
  <c r="A965" i="76"/>
  <c r="C965" i="76"/>
  <c r="E965" i="76"/>
  <c r="AE965" i="76"/>
  <c r="AD965" i="76"/>
  <c r="AR966" i="76"/>
  <c r="B965" i="76"/>
  <c r="D965" i="76"/>
  <c r="F966" i="76" l="1"/>
  <c r="R966" i="76"/>
  <c r="Q965" i="76"/>
  <c r="J965" i="76"/>
  <c r="G965" i="76"/>
  <c r="M965" i="76"/>
  <c r="K965" i="76"/>
  <c r="P965" i="76"/>
  <c r="I965" i="76"/>
  <c r="N965" i="76"/>
  <c r="L965" i="76"/>
  <c r="H965" i="76"/>
  <c r="O965" i="76"/>
  <c r="X965" i="76"/>
  <c r="S965" i="76"/>
  <c r="AA965" i="76"/>
  <c r="Y965" i="76"/>
  <c r="Z965" i="76"/>
  <c r="U965" i="76"/>
  <c r="T965" i="76"/>
  <c r="AC965" i="76"/>
  <c r="AB965" i="76"/>
  <c r="W965" i="76"/>
  <c r="V965" i="76"/>
  <c r="AR967" i="76"/>
  <c r="AD966" i="76"/>
  <c r="D966" i="76"/>
  <c r="B966" i="76"/>
  <c r="E966" i="76"/>
  <c r="C966" i="76"/>
  <c r="A966" i="76"/>
  <c r="AE966" i="76"/>
  <c r="AO965" i="76"/>
  <c r="AK965" i="76"/>
  <c r="AP965" i="76"/>
  <c r="AG965" i="76"/>
  <c r="AN965" i="76"/>
  <c r="AL965" i="76"/>
  <c r="AI965" i="76"/>
  <c r="AF965" i="76"/>
  <c r="AH965" i="76"/>
  <c r="AJ965" i="76"/>
  <c r="AM965" i="76"/>
  <c r="F967" i="76" l="1"/>
  <c r="R967" i="76"/>
  <c r="AI966" i="76"/>
  <c r="AJ966" i="76"/>
  <c r="AO966" i="76"/>
  <c r="AF966" i="76"/>
  <c r="AH966" i="76"/>
  <c r="AG966" i="76"/>
  <c r="AM966" i="76"/>
  <c r="AK966" i="76"/>
  <c r="AN966" i="76"/>
  <c r="AL966" i="76"/>
  <c r="AP966" i="76"/>
  <c r="K966" i="76"/>
  <c r="L966" i="76"/>
  <c r="J966" i="76"/>
  <c r="P966" i="76"/>
  <c r="O966" i="76"/>
  <c r="Q966" i="76"/>
  <c r="H966" i="76"/>
  <c r="G966" i="76"/>
  <c r="M966" i="76"/>
  <c r="N966" i="76"/>
  <c r="I966" i="76"/>
  <c r="AA966" i="76"/>
  <c r="Y966" i="76"/>
  <c r="AB966" i="76"/>
  <c r="W966" i="76"/>
  <c r="Z966" i="76"/>
  <c r="X966" i="76"/>
  <c r="S966" i="76"/>
  <c r="AC966" i="76"/>
  <c r="T966" i="76"/>
  <c r="V966" i="76"/>
  <c r="U966" i="76"/>
  <c r="AR968" i="76"/>
  <c r="C967" i="76"/>
  <c r="B967" i="76"/>
  <c r="AD967" i="76"/>
  <c r="A967" i="76"/>
  <c r="AE967" i="76"/>
  <c r="E967" i="76"/>
  <c r="D967" i="76"/>
  <c r="F968" i="76" l="1"/>
  <c r="R968" i="76"/>
  <c r="M967" i="76"/>
  <c r="H967" i="76"/>
  <c r="K967" i="76"/>
  <c r="I967" i="76"/>
  <c r="O967" i="76"/>
  <c r="N967" i="76"/>
  <c r="P967" i="76"/>
  <c r="G967" i="76"/>
  <c r="Q967" i="76"/>
  <c r="L967" i="76"/>
  <c r="J967" i="76"/>
  <c r="AR969" i="76"/>
  <c r="E968" i="76"/>
  <c r="AD968" i="76"/>
  <c r="D968" i="76"/>
  <c r="C968" i="76"/>
  <c r="B968" i="76"/>
  <c r="A968" i="76"/>
  <c r="AE968" i="76"/>
  <c r="AM967" i="76"/>
  <c r="AH967" i="76"/>
  <c r="AK967" i="76"/>
  <c r="AI967" i="76"/>
  <c r="AO967" i="76"/>
  <c r="AN967" i="76"/>
  <c r="AP967" i="76"/>
  <c r="AG967" i="76"/>
  <c r="AF967" i="76"/>
  <c r="AL967" i="76"/>
  <c r="AJ967" i="76"/>
  <c r="AB967" i="76"/>
  <c r="W967" i="76"/>
  <c r="AC967" i="76"/>
  <c r="X967" i="76"/>
  <c r="S967" i="76"/>
  <c r="Y967" i="76"/>
  <c r="T967" i="76"/>
  <c r="Z967" i="76"/>
  <c r="U967" i="76"/>
  <c r="AA967" i="76"/>
  <c r="V967" i="76"/>
  <c r="F969" i="76" l="1"/>
  <c r="R969" i="76"/>
  <c r="L968" i="76"/>
  <c r="G968" i="76"/>
  <c r="M968" i="76"/>
  <c r="H968" i="76"/>
  <c r="N968" i="76"/>
  <c r="I968" i="76"/>
  <c r="O968" i="76"/>
  <c r="J968" i="76"/>
  <c r="P968" i="76"/>
  <c r="K968" i="76"/>
  <c r="Q968" i="76"/>
  <c r="AA968" i="76"/>
  <c r="V968" i="76"/>
  <c r="AB968" i="76"/>
  <c r="W968" i="76"/>
  <c r="AC968" i="76"/>
  <c r="X968" i="76"/>
  <c r="S968" i="76"/>
  <c r="Y968" i="76"/>
  <c r="T968" i="76"/>
  <c r="Z968" i="76"/>
  <c r="U968" i="76"/>
  <c r="B969" i="76"/>
  <c r="AD969" i="76"/>
  <c r="A969" i="76"/>
  <c r="E969" i="76"/>
  <c r="D969" i="76"/>
  <c r="AR970" i="76"/>
  <c r="C969" i="76"/>
  <c r="AE969" i="76"/>
  <c r="AF968" i="76"/>
  <c r="AL968" i="76"/>
  <c r="AG968" i="76"/>
  <c r="AM968" i="76"/>
  <c r="AH968" i="76"/>
  <c r="AN968" i="76"/>
  <c r="AI968" i="76"/>
  <c r="AO968" i="76"/>
  <c r="AJ968" i="76"/>
  <c r="AP968" i="76"/>
  <c r="AK968" i="76"/>
  <c r="F970" i="76" l="1"/>
  <c r="R970" i="76"/>
  <c r="AG969" i="76"/>
  <c r="AI969" i="76"/>
  <c r="AH969" i="76"/>
  <c r="AN969" i="76"/>
  <c r="AL969" i="76"/>
  <c r="AO969" i="76"/>
  <c r="AJ969" i="76"/>
  <c r="AM969" i="76"/>
  <c r="AK969" i="76"/>
  <c r="AF969" i="76"/>
  <c r="AP969" i="76"/>
  <c r="A970" i="76"/>
  <c r="C970" i="76"/>
  <c r="E970" i="76"/>
  <c r="B970" i="76"/>
  <c r="D970" i="76"/>
  <c r="AE970" i="76"/>
  <c r="AR971" i="76"/>
  <c r="AD970" i="76"/>
  <c r="Z969" i="76"/>
  <c r="T969" i="76"/>
  <c r="AA969" i="76"/>
  <c r="V969" i="76"/>
  <c r="AC969" i="76"/>
  <c r="W969" i="76"/>
  <c r="Y969" i="76"/>
  <c r="U969" i="76"/>
  <c r="S969" i="76"/>
  <c r="AB969" i="76"/>
  <c r="X969" i="76"/>
  <c r="M969" i="76"/>
  <c r="H969" i="76"/>
  <c r="G969" i="76"/>
  <c r="I969" i="76"/>
  <c r="K969" i="76"/>
  <c r="J969" i="76"/>
  <c r="P969" i="76"/>
  <c r="N969" i="76"/>
  <c r="Q969" i="76"/>
  <c r="L969" i="76"/>
  <c r="O969" i="76"/>
  <c r="F971" i="76" l="1"/>
  <c r="R971" i="76"/>
  <c r="V970" i="76"/>
  <c r="AB970" i="76"/>
  <c r="AA970" i="76"/>
  <c r="AC970" i="76"/>
  <c r="T970" i="76"/>
  <c r="S970" i="76"/>
  <c r="Y970" i="76"/>
  <c r="W970" i="76"/>
  <c r="Z970" i="76"/>
  <c r="U970" i="76"/>
  <c r="X970" i="76"/>
  <c r="AO970" i="76"/>
  <c r="AM970" i="76"/>
  <c r="AP970" i="76"/>
  <c r="AK970" i="76"/>
  <c r="AN970" i="76"/>
  <c r="AG970" i="76"/>
  <c r="AH970" i="76"/>
  <c r="AJ970" i="76"/>
  <c r="AL970" i="76"/>
  <c r="AF970" i="76"/>
  <c r="AI970" i="76"/>
  <c r="Q970" i="76"/>
  <c r="L970" i="76"/>
  <c r="G970" i="76"/>
  <c r="M970" i="76"/>
  <c r="H970" i="76"/>
  <c r="N970" i="76"/>
  <c r="I970" i="76"/>
  <c r="O970" i="76"/>
  <c r="J970" i="76"/>
  <c r="P970" i="76"/>
  <c r="K970" i="76"/>
  <c r="A971" i="76"/>
  <c r="D971" i="76"/>
  <c r="E971" i="76"/>
  <c r="C971" i="76"/>
  <c r="AD971" i="76"/>
  <c r="AR972" i="76"/>
  <c r="AE971" i="76"/>
  <c r="B971" i="76"/>
  <c r="F972" i="76" l="1"/>
  <c r="R972" i="76"/>
  <c r="G971" i="76"/>
  <c r="I971" i="76"/>
  <c r="H971" i="76"/>
  <c r="N971" i="76"/>
  <c r="L971" i="76"/>
  <c r="O971" i="76"/>
  <c r="J971" i="76"/>
  <c r="M971" i="76"/>
  <c r="K971" i="76"/>
  <c r="Q971" i="76"/>
  <c r="P971" i="76"/>
  <c r="AK971" i="76"/>
  <c r="AF971" i="76"/>
  <c r="AI971" i="76"/>
  <c r="AG971" i="76"/>
  <c r="AM971" i="76"/>
  <c r="AL971" i="76"/>
  <c r="AN971" i="76"/>
  <c r="AP971" i="76"/>
  <c r="AO971" i="76"/>
  <c r="AJ971" i="76"/>
  <c r="AH971" i="76"/>
  <c r="Z971" i="76"/>
  <c r="U971" i="76"/>
  <c r="AA971" i="76"/>
  <c r="V971" i="76"/>
  <c r="AB971" i="76"/>
  <c r="W971" i="76"/>
  <c r="AC971" i="76"/>
  <c r="X971" i="76"/>
  <c r="S971" i="76"/>
  <c r="Y971" i="76"/>
  <c r="T971" i="76"/>
  <c r="D972" i="76"/>
  <c r="B972" i="76"/>
  <c r="AD972" i="76"/>
  <c r="E972" i="76"/>
  <c r="C972" i="76"/>
  <c r="A972" i="76"/>
  <c r="AR973" i="76"/>
  <c r="AE972" i="76"/>
  <c r="F973" i="76" l="1"/>
  <c r="R973" i="76"/>
  <c r="J972" i="76"/>
  <c r="P972" i="76"/>
  <c r="K972" i="76"/>
  <c r="Q972" i="76"/>
  <c r="L972" i="76"/>
  <c r="G972" i="76"/>
  <c r="M972" i="76"/>
  <c r="H972" i="76"/>
  <c r="N972" i="76"/>
  <c r="I972" i="76"/>
  <c r="O972" i="76"/>
  <c r="Y972" i="76"/>
  <c r="S972" i="76"/>
  <c r="Z972" i="76"/>
  <c r="U972" i="76"/>
  <c r="AB972" i="76"/>
  <c r="V972" i="76"/>
  <c r="X972" i="76"/>
  <c r="T972" i="76"/>
  <c r="AC972" i="76"/>
  <c r="AA972" i="76"/>
  <c r="W972" i="76"/>
  <c r="AF972" i="76"/>
  <c r="AO972" i="76"/>
  <c r="AK972" i="76"/>
  <c r="AM972" i="76"/>
  <c r="AG972" i="76"/>
  <c r="AN972" i="76"/>
  <c r="AI972" i="76"/>
  <c r="AP972" i="76"/>
  <c r="AJ972" i="76"/>
  <c r="AL972" i="76"/>
  <c r="AH972" i="76"/>
  <c r="C973" i="76"/>
  <c r="B973" i="76"/>
  <c r="AR974" i="76"/>
  <c r="A973" i="76"/>
  <c r="AE973" i="76"/>
  <c r="E973" i="76"/>
  <c r="AD973" i="76"/>
  <c r="D973" i="76"/>
  <c r="F974" i="76" l="1"/>
  <c r="R974" i="76"/>
  <c r="AG973" i="76"/>
  <c r="AM973" i="76"/>
  <c r="AH973" i="76"/>
  <c r="AN973" i="76"/>
  <c r="AI973" i="76"/>
  <c r="AO973" i="76"/>
  <c r="AJ973" i="76"/>
  <c r="AP973" i="76"/>
  <c r="AK973" i="76"/>
  <c r="AF973" i="76"/>
  <c r="AL973" i="76"/>
  <c r="AE974" i="76"/>
  <c r="C974" i="76"/>
  <c r="A974" i="76"/>
  <c r="B974" i="76"/>
  <c r="E974" i="76"/>
  <c r="AR975" i="76"/>
  <c r="D974" i="76"/>
  <c r="AD974" i="76"/>
  <c r="Y973" i="76"/>
  <c r="T973" i="76"/>
  <c r="W973" i="76"/>
  <c r="U973" i="76"/>
  <c r="AA973" i="76"/>
  <c r="Z973" i="76"/>
  <c r="AB973" i="76"/>
  <c r="S973" i="76"/>
  <c r="AC973" i="76"/>
  <c r="X973" i="76"/>
  <c r="V973" i="76"/>
  <c r="P973" i="76"/>
  <c r="K973" i="76"/>
  <c r="Q973" i="76"/>
  <c r="L973" i="76"/>
  <c r="G973" i="76"/>
  <c r="M973" i="76"/>
  <c r="H973" i="76"/>
  <c r="N973" i="76"/>
  <c r="I973" i="76"/>
  <c r="O973" i="76"/>
  <c r="J973" i="76"/>
  <c r="F975" i="76" l="1"/>
  <c r="R975" i="76"/>
  <c r="AM974" i="76"/>
  <c r="AG974" i="76"/>
  <c r="AN974" i="76"/>
  <c r="AI974" i="76"/>
  <c r="AP974" i="76"/>
  <c r="AJ974" i="76"/>
  <c r="AL974" i="76"/>
  <c r="AH974" i="76"/>
  <c r="AF974" i="76"/>
  <c r="AO974" i="76"/>
  <c r="AK974" i="76"/>
  <c r="O974" i="76"/>
  <c r="Q974" i="76"/>
  <c r="P974" i="76"/>
  <c r="K974" i="76"/>
  <c r="I974" i="76"/>
  <c r="L974" i="76"/>
  <c r="G974" i="76"/>
  <c r="J974" i="76"/>
  <c r="H974" i="76"/>
  <c r="N974" i="76"/>
  <c r="M974" i="76"/>
  <c r="AR976" i="76"/>
  <c r="A975" i="76"/>
  <c r="AD975" i="76"/>
  <c r="E975" i="76"/>
  <c r="D975" i="76"/>
  <c r="C975" i="76"/>
  <c r="B975" i="76"/>
  <c r="AE975" i="76"/>
  <c r="AB974" i="76"/>
  <c r="W974" i="76"/>
  <c r="U974" i="76"/>
  <c r="X974" i="76"/>
  <c r="S974" i="76"/>
  <c r="V974" i="76"/>
  <c r="T974" i="76"/>
  <c r="Z974" i="76"/>
  <c r="Y974" i="76"/>
  <c r="AA974" i="76"/>
  <c r="AC974" i="76"/>
  <c r="F976" i="76" l="1"/>
  <c r="R976" i="76"/>
  <c r="AM975" i="76"/>
  <c r="AH975" i="76"/>
  <c r="AO975" i="76"/>
  <c r="AI975" i="76"/>
  <c r="AK975" i="76"/>
  <c r="AG975" i="76"/>
  <c r="AP975" i="76"/>
  <c r="AN975" i="76"/>
  <c r="AJ975" i="76"/>
  <c r="AL975" i="76"/>
  <c r="AF975" i="76"/>
  <c r="P975" i="76"/>
  <c r="N975" i="76"/>
  <c r="Q975" i="76"/>
  <c r="L975" i="76"/>
  <c r="O975" i="76"/>
  <c r="M975" i="76"/>
  <c r="H975" i="76"/>
  <c r="G975" i="76"/>
  <c r="I975" i="76"/>
  <c r="K975" i="76"/>
  <c r="J975" i="76"/>
  <c r="AB975" i="76"/>
  <c r="W975" i="76"/>
  <c r="AC975" i="76"/>
  <c r="X975" i="76"/>
  <c r="S975" i="76"/>
  <c r="Y975" i="76"/>
  <c r="T975" i="76"/>
  <c r="Z975" i="76"/>
  <c r="U975" i="76"/>
  <c r="AA975" i="76"/>
  <c r="V975" i="76"/>
  <c r="AR977" i="76"/>
  <c r="E976" i="76"/>
  <c r="AD976" i="76"/>
  <c r="D976" i="76"/>
  <c r="C976" i="76"/>
  <c r="B976" i="76"/>
  <c r="A976" i="76"/>
  <c r="AE976" i="76"/>
  <c r="F977" i="76" l="1"/>
  <c r="R977" i="76"/>
  <c r="Y976" i="76"/>
  <c r="T976" i="76"/>
  <c r="Z976" i="76"/>
  <c r="U976" i="76"/>
  <c r="AA976" i="76"/>
  <c r="V976" i="76"/>
  <c r="AB976" i="76"/>
  <c r="W976" i="76"/>
  <c r="AC976" i="76"/>
  <c r="X976" i="76"/>
  <c r="S976" i="76"/>
  <c r="M976" i="76"/>
  <c r="H976" i="76"/>
  <c r="N976" i="76"/>
  <c r="I976" i="76"/>
  <c r="O976" i="76"/>
  <c r="J976" i="76"/>
  <c r="P976" i="76"/>
  <c r="K976" i="76"/>
  <c r="Q976" i="76"/>
  <c r="L976" i="76"/>
  <c r="G976" i="76"/>
  <c r="B977" i="76"/>
  <c r="AD977" i="76"/>
  <c r="A977" i="76"/>
  <c r="E977" i="76"/>
  <c r="D977" i="76"/>
  <c r="AR978" i="76"/>
  <c r="C977" i="76"/>
  <c r="AE977" i="76"/>
  <c r="AN976" i="76"/>
  <c r="AI976" i="76"/>
  <c r="AO976" i="76"/>
  <c r="AJ976" i="76"/>
  <c r="AP976" i="76"/>
  <c r="AK976" i="76"/>
  <c r="AF976" i="76"/>
  <c r="AL976" i="76"/>
  <c r="AG976" i="76"/>
  <c r="AM976" i="76"/>
  <c r="AH976" i="76"/>
  <c r="F978" i="76" l="1"/>
  <c r="R978" i="76"/>
  <c r="AP977" i="76"/>
  <c r="AG977" i="76"/>
  <c r="AF977" i="76"/>
  <c r="AL977" i="76"/>
  <c r="AJ977" i="76"/>
  <c r="AM977" i="76"/>
  <c r="AH977" i="76"/>
  <c r="AK977" i="76"/>
  <c r="AI977" i="76"/>
  <c r="AO977" i="76"/>
  <c r="AN977" i="76"/>
  <c r="A978" i="76"/>
  <c r="B978" i="76"/>
  <c r="C978" i="76"/>
  <c r="AE978" i="76"/>
  <c r="E978" i="76"/>
  <c r="AR979" i="76"/>
  <c r="D978" i="76"/>
  <c r="AD978" i="76"/>
  <c r="P977" i="76"/>
  <c r="G977" i="76"/>
  <c r="Q977" i="76"/>
  <c r="L977" i="76"/>
  <c r="J977" i="76"/>
  <c r="M977" i="76"/>
  <c r="H977" i="76"/>
  <c r="K977" i="76"/>
  <c r="I977" i="76"/>
  <c r="O977" i="76"/>
  <c r="N977" i="76"/>
  <c r="W977" i="76"/>
  <c r="AC977" i="76"/>
  <c r="AB977" i="76"/>
  <c r="S977" i="76"/>
  <c r="U977" i="76"/>
  <c r="T977" i="76"/>
  <c r="Z977" i="76"/>
  <c r="X977" i="76"/>
  <c r="AA977" i="76"/>
  <c r="V977" i="76"/>
  <c r="Y977" i="76"/>
  <c r="F979" i="76" l="1"/>
  <c r="R979" i="76"/>
  <c r="O978" i="76"/>
  <c r="J978" i="76"/>
  <c r="P978" i="76"/>
  <c r="K978" i="76"/>
  <c r="Q978" i="76"/>
  <c r="L978" i="76"/>
  <c r="G978" i="76"/>
  <c r="M978" i="76"/>
  <c r="H978" i="76"/>
  <c r="N978" i="76"/>
  <c r="I978" i="76"/>
  <c r="V978" i="76"/>
  <c r="X978" i="76"/>
  <c r="T978" i="76"/>
  <c r="AC978" i="76"/>
  <c r="AA978" i="76"/>
  <c r="W978" i="76"/>
  <c r="Y978" i="76"/>
  <c r="S978" i="76"/>
  <c r="Z978" i="76"/>
  <c r="U978" i="76"/>
  <c r="AB978" i="76"/>
  <c r="A979" i="76"/>
  <c r="B979" i="76"/>
  <c r="E979" i="76"/>
  <c r="C979" i="76"/>
  <c r="AD979" i="76"/>
  <c r="AR980" i="76"/>
  <c r="AE979" i="76"/>
  <c r="D979" i="76"/>
  <c r="AH978" i="76"/>
  <c r="AN978" i="76"/>
  <c r="AM978" i="76"/>
  <c r="AO978" i="76"/>
  <c r="AF978" i="76"/>
  <c r="AP978" i="76"/>
  <c r="AK978" i="76"/>
  <c r="AI978" i="76"/>
  <c r="AL978" i="76"/>
  <c r="AG978" i="76"/>
  <c r="AJ978" i="76"/>
  <c r="F980" i="76" l="1"/>
  <c r="R980" i="76"/>
  <c r="N979" i="76"/>
  <c r="H979" i="76"/>
  <c r="O979" i="76"/>
  <c r="J979" i="76"/>
  <c r="Q979" i="76"/>
  <c r="K979" i="76"/>
  <c r="M979" i="76"/>
  <c r="I979" i="76"/>
  <c r="G979" i="76"/>
  <c r="P979" i="76"/>
  <c r="L979" i="76"/>
  <c r="AK979" i="76"/>
  <c r="AF979" i="76"/>
  <c r="AP979" i="76"/>
  <c r="AG979" i="76"/>
  <c r="AI979" i="76"/>
  <c r="AH979" i="76"/>
  <c r="AN979" i="76"/>
  <c r="AL979" i="76"/>
  <c r="AO979" i="76"/>
  <c r="AJ979" i="76"/>
  <c r="AM979" i="76"/>
  <c r="AR981" i="76"/>
  <c r="C980" i="76"/>
  <c r="AE980" i="76"/>
  <c r="B980" i="76"/>
  <c r="A980" i="76"/>
  <c r="E980" i="76"/>
  <c r="D980" i="76"/>
  <c r="AD980" i="76"/>
  <c r="S979" i="76"/>
  <c r="Y979" i="76"/>
  <c r="T979" i="76"/>
  <c r="Z979" i="76"/>
  <c r="U979" i="76"/>
  <c r="AA979" i="76"/>
  <c r="V979" i="76"/>
  <c r="AB979" i="76"/>
  <c r="W979" i="76"/>
  <c r="AC979" i="76"/>
  <c r="X979" i="76"/>
  <c r="F981" i="76" l="1"/>
  <c r="R981" i="76"/>
  <c r="X980" i="76"/>
  <c r="U980" i="76"/>
  <c r="V980" i="76"/>
  <c r="T980" i="76"/>
  <c r="Z980" i="76"/>
  <c r="S980" i="76"/>
  <c r="W980" i="76"/>
  <c r="AA980" i="76"/>
  <c r="AB980" i="76"/>
  <c r="AC980" i="76"/>
  <c r="Y980" i="76"/>
  <c r="Q980" i="76"/>
  <c r="H980" i="76"/>
  <c r="G980" i="76"/>
  <c r="M980" i="76"/>
  <c r="K980" i="76"/>
  <c r="N980" i="76"/>
  <c r="I980" i="76"/>
  <c r="L980" i="76"/>
  <c r="J980" i="76"/>
  <c r="P980" i="76"/>
  <c r="O980" i="76"/>
  <c r="AM980" i="76"/>
  <c r="AI980" i="76"/>
  <c r="AP980" i="76"/>
  <c r="AO980" i="76"/>
  <c r="AN980" i="76"/>
  <c r="AL980" i="76"/>
  <c r="AG980" i="76"/>
  <c r="AF980" i="76"/>
  <c r="AH980" i="76"/>
  <c r="AJ980" i="76"/>
  <c r="AK980" i="76"/>
  <c r="AR982" i="76"/>
  <c r="E981" i="76"/>
  <c r="AD981" i="76"/>
  <c r="C981" i="76"/>
  <c r="A981" i="76"/>
  <c r="D981" i="76"/>
  <c r="B981" i="76"/>
  <c r="AE981" i="76"/>
  <c r="F982" i="76" l="1"/>
  <c r="R982" i="76"/>
  <c r="P981" i="76"/>
  <c r="K981" i="76"/>
  <c r="I981" i="76"/>
  <c r="L981" i="76"/>
  <c r="G981" i="76"/>
  <c r="J981" i="76"/>
  <c r="H981" i="76"/>
  <c r="N981" i="76"/>
  <c r="M981" i="76"/>
  <c r="O981" i="76"/>
  <c r="Q981" i="76"/>
  <c r="A982" i="76"/>
  <c r="C982" i="76"/>
  <c r="AR983" i="76"/>
  <c r="AE982" i="76"/>
  <c r="D982" i="76"/>
  <c r="AD982" i="76"/>
  <c r="B982" i="76"/>
  <c r="E982" i="76"/>
  <c r="AM981" i="76"/>
  <c r="AG981" i="76"/>
  <c r="AN981" i="76"/>
  <c r="AI981" i="76"/>
  <c r="AP981" i="76"/>
  <c r="AJ981" i="76"/>
  <c r="AL981" i="76"/>
  <c r="AH981" i="76"/>
  <c r="AF981" i="76"/>
  <c r="AO981" i="76"/>
  <c r="AK981" i="76"/>
  <c r="AA981" i="76"/>
  <c r="Y981" i="76"/>
  <c r="AB981" i="76"/>
  <c r="W981" i="76"/>
  <c r="Z981" i="76"/>
  <c r="X981" i="76"/>
  <c r="S981" i="76"/>
  <c r="AC981" i="76"/>
  <c r="T981" i="76"/>
  <c r="V981" i="76"/>
  <c r="U981" i="76"/>
  <c r="F983" i="76" l="1"/>
  <c r="R983" i="76"/>
  <c r="I982" i="76"/>
  <c r="K982" i="76"/>
  <c r="J982" i="76"/>
  <c r="P982" i="76"/>
  <c r="N982" i="76"/>
  <c r="Q982" i="76"/>
  <c r="L982" i="76"/>
  <c r="O982" i="76"/>
  <c r="M982" i="76"/>
  <c r="H982" i="76"/>
  <c r="G982" i="76"/>
  <c r="B983" i="76"/>
  <c r="C983" i="76"/>
  <c r="D983" i="76"/>
  <c r="AE983" i="76"/>
  <c r="AR984" i="76"/>
  <c r="A983" i="76"/>
  <c r="AD983" i="76"/>
  <c r="E983" i="76"/>
  <c r="AL982" i="76"/>
  <c r="AJ982" i="76"/>
  <c r="AM982" i="76"/>
  <c r="AH982" i="76"/>
  <c r="AK982" i="76"/>
  <c r="AI982" i="76"/>
  <c r="AO982" i="76"/>
  <c r="AN982" i="76"/>
  <c r="AP982" i="76"/>
  <c r="AG982" i="76"/>
  <c r="AF982" i="76"/>
  <c r="W982" i="76"/>
  <c r="AC982" i="76"/>
  <c r="X982" i="76"/>
  <c r="S982" i="76"/>
  <c r="Y982" i="76"/>
  <c r="T982" i="76"/>
  <c r="Z982" i="76"/>
  <c r="U982" i="76"/>
  <c r="AA982" i="76"/>
  <c r="V982" i="76"/>
  <c r="AB982" i="76"/>
  <c r="F984" i="76" l="1"/>
  <c r="R984" i="76"/>
  <c r="AF983" i="76"/>
  <c r="AO983" i="76"/>
  <c r="AK983" i="76"/>
  <c r="AM983" i="76"/>
  <c r="AG983" i="76"/>
  <c r="AN983" i="76"/>
  <c r="AI983" i="76"/>
  <c r="AP983" i="76"/>
  <c r="AJ983" i="76"/>
  <c r="AL983" i="76"/>
  <c r="AH983" i="76"/>
  <c r="O983" i="76"/>
  <c r="J983" i="76"/>
  <c r="P983" i="76"/>
  <c r="K983" i="76"/>
  <c r="Q983" i="76"/>
  <c r="L983" i="76"/>
  <c r="G983" i="76"/>
  <c r="M983" i="76"/>
  <c r="H983" i="76"/>
  <c r="N983" i="76"/>
  <c r="I983" i="76"/>
  <c r="A984" i="76"/>
  <c r="AE984" i="76"/>
  <c r="C984" i="76"/>
  <c r="D984" i="76"/>
  <c r="E984" i="76"/>
  <c r="AR985" i="76"/>
  <c r="B984" i="76"/>
  <c r="AD984" i="76"/>
  <c r="X983" i="76"/>
  <c r="S983" i="76"/>
  <c r="Y983" i="76"/>
  <c r="T983" i="76"/>
  <c r="Z983" i="76"/>
  <c r="U983" i="76"/>
  <c r="AA983" i="76"/>
  <c r="V983" i="76"/>
  <c r="AB983" i="76"/>
  <c r="W983" i="76"/>
  <c r="AC983" i="76"/>
  <c r="F985" i="76" l="1"/>
  <c r="R985" i="76"/>
  <c r="A985" i="76"/>
  <c r="AE985" i="76"/>
  <c r="E985" i="76"/>
  <c r="D985" i="76"/>
  <c r="C985" i="76"/>
  <c r="AR986" i="76"/>
  <c r="B985" i="76"/>
  <c r="AD985" i="76"/>
  <c r="N984" i="76"/>
  <c r="I984" i="76"/>
  <c r="O984" i="76"/>
  <c r="J984" i="76"/>
  <c r="P984" i="76"/>
  <c r="K984" i="76"/>
  <c r="Q984" i="76"/>
  <c r="L984" i="76"/>
  <c r="G984" i="76"/>
  <c r="M984" i="76"/>
  <c r="H984" i="76"/>
  <c r="AI984" i="76"/>
  <c r="AO984" i="76"/>
  <c r="AN984" i="76"/>
  <c r="AP984" i="76"/>
  <c r="AG984" i="76"/>
  <c r="AF984" i="76"/>
  <c r="AL984" i="76"/>
  <c r="AJ984" i="76"/>
  <c r="AM984" i="76"/>
  <c r="AH984" i="76"/>
  <c r="AK984" i="76"/>
  <c r="S984" i="76"/>
  <c r="U984" i="76"/>
  <c r="T984" i="76"/>
  <c r="Z984" i="76"/>
  <c r="X984" i="76"/>
  <c r="AA984" i="76"/>
  <c r="V984" i="76"/>
  <c r="Y984" i="76"/>
  <c r="W984" i="76"/>
  <c r="AC984" i="76"/>
  <c r="AB984" i="76"/>
  <c r="F986" i="76" l="1"/>
  <c r="R986" i="76"/>
  <c r="A986" i="76"/>
  <c r="AE986" i="76"/>
  <c r="E986" i="76"/>
  <c r="D986" i="76"/>
  <c r="AR987" i="76"/>
  <c r="C986" i="76"/>
  <c r="B986" i="76"/>
  <c r="AD986" i="76"/>
  <c r="AC985" i="76"/>
  <c r="T985" i="76"/>
  <c r="S985" i="76"/>
  <c r="Y985" i="76"/>
  <c r="W985" i="76"/>
  <c r="Z985" i="76"/>
  <c r="U985" i="76"/>
  <c r="X985" i="76"/>
  <c r="V985" i="76"/>
  <c r="AB985" i="76"/>
  <c r="AA985" i="76"/>
  <c r="AO985" i="76"/>
  <c r="AF985" i="76"/>
  <c r="AP985" i="76"/>
  <c r="AK985" i="76"/>
  <c r="AI985" i="76"/>
  <c r="AL985" i="76"/>
  <c r="AG985" i="76"/>
  <c r="AJ985" i="76"/>
  <c r="AH985" i="76"/>
  <c r="AN985" i="76"/>
  <c r="AM985" i="76"/>
  <c r="J985" i="76"/>
  <c r="P985" i="76"/>
  <c r="K985" i="76"/>
  <c r="Q985" i="76"/>
  <c r="L985" i="76"/>
  <c r="G985" i="76"/>
  <c r="M985" i="76"/>
  <c r="H985" i="76"/>
  <c r="N985" i="76"/>
  <c r="I985" i="76"/>
  <c r="O985" i="76"/>
  <c r="F987" i="76" l="1"/>
  <c r="R987" i="76"/>
  <c r="N986" i="76"/>
  <c r="H986" i="76"/>
  <c r="O986" i="76"/>
  <c r="J986" i="76"/>
  <c r="Q986" i="76"/>
  <c r="K986" i="76"/>
  <c r="M986" i="76"/>
  <c r="I986" i="76"/>
  <c r="G986" i="76"/>
  <c r="P986" i="76"/>
  <c r="L986" i="76"/>
  <c r="AD987" i="76"/>
  <c r="D987" i="76"/>
  <c r="AE987" i="76"/>
  <c r="B987" i="76"/>
  <c r="E987" i="76"/>
  <c r="C987" i="76"/>
  <c r="A987" i="76"/>
  <c r="AR988" i="76"/>
  <c r="AO986" i="76"/>
  <c r="AJ986" i="76"/>
  <c r="AH986" i="76"/>
  <c r="AK986" i="76"/>
  <c r="AF986" i="76"/>
  <c r="AI986" i="76"/>
  <c r="AG986" i="76"/>
  <c r="AM986" i="76"/>
  <c r="AL986" i="76"/>
  <c r="AN986" i="76"/>
  <c r="AP986" i="76"/>
  <c r="AB986" i="76"/>
  <c r="W986" i="76"/>
  <c r="AC986" i="76"/>
  <c r="X986" i="76"/>
  <c r="S986" i="76"/>
  <c r="Y986" i="76"/>
  <c r="T986" i="76"/>
  <c r="Z986" i="76"/>
  <c r="U986" i="76"/>
  <c r="AA986" i="76"/>
  <c r="V986" i="76"/>
  <c r="F988" i="76" l="1"/>
  <c r="R988" i="76"/>
  <c r="M987" i="76"/>
  <c r="G987" i="76"/>
  <c r="N987" i="76"/>
  <c r="I987" i="76"/>
  <c r="P987" i="76"/>
  <c r="J987" i="76"/>
  <c r="L987" i="76"/>
  <c r="H987" i="76"/>
  <c r="Q987" i="76"/>
  <c r="O987" i="76"/>
  <c r="K987" i="76"/>
  <c r="AM987" i="76"/>
  <c r="AI987" i="76"/>
  <c r="AP987" i="76"/>
  <c r="AO987" i="76"/>
  <c r="AN987" i="76"/>
  <c r="AL987" i="76"/>
  <c r="AG987" i="76"/>
  <c r="AF987" i="76"/>
  <c r="AH987" i="76"/>
  <c r="AJ987" i="76"/>
  <c r="AK987" i="76"/>
  <c r="AB987" i="76"/>
  <c r="W987" i="76"/>
  <c r="Z987" i="76"/>
  <c r="X987" i="76"/>
  <c r="S987" i="76"/>
  <c r="AC987" i="76"/>
  <c r="T987" i="76"/>
  <c r="V987" i="76"/>
  <c r="U987" i="76"/>
  <c r="AA987" i="76"/>
  <c r="Y987" i="76"/>
  <c r="AR989" i="76"/>
  <c r="A988" i="76"/>
  <c r="AD988" i="76"/>
  <c r="E988" i="76"/>
  <c r="D988" i="76"/>
  <c r="C988" i="76"/>
  <c r="B988" i="76"/>
  <c r="AE988" i="76"/>
  <c r="F989" i="76" l="1"/>
  <c r="R989" i="76"/>
  <c r="J988" i="76"/>
  <c r="I988" i="76"/>
  <c r="O988" i="76"/>
  <c r="L988" i="76"/>
  <c r="N988" i="76"/>
  <c r="K988" i="76"/>
  <c r="Q988" i="76"/>
  <c r="P988" i="76"/>
  <c r="G988" i="76"/>
  <c r="M988" i="76"/>
  <c r="H988" i="76"/>
  <c r="V988" i="76"/>
  <c r="AB988" i="76"/>
  <c r="AA988" i="76"/>
  <c r="X988" i="76"/>
  <c r="Y988" i="76"/>
  <c r="W988" i="76"/>
  <c r="AC988" i="76"/>
  <c r="Z988" i="76"/>
  <c r="S988" i="76"/>
  <c r="U988" i="76"/>
  <c r="T988" i="76"/>
  <c r="AR990" i="76"/>
  <c r="D989" i="76"/>
  <c r="AE989" i="76"/>
  <c r="C989" i="76"/>
  <c r="A989" i="76"/>
  <c r="B989" i="76"/>
  <c r="E989" i="76"/>
  <c r="AD989" i="76"/>
  <c r="AO988" i="76"/>
  <c r="AN988" i="76"/>
  <c r="AP988" i="76"/>
  <c r="AK988" i="76"/>
  <c r="AF988" i="76"/>
  <c r="AH988" i="76"/>
  <c r="AG988" i="76"/>
  <c r="AM988" i="76"/>
  <c r="AJ988" i="76"/>
  <c r="AL988" i="76"/>
  <c r="AI988" i="76"/>
  <c r="F990" i="76" l="1"/>
  <c r="R990" i="76"/>
  <c r="Y989" i="76"/>
  <c r="T989" i="76"/>
  <c r="W989" i="76"/>
  <c r="U989" i="76"/>
  <c r="AA989" i="76"/>
  <c r="Z989" i="76"/>
  <c r="AB989" i="76"/>
  <c r="S989" i="76"/>
  <c r="AC989" i="76"/>
  <c r="X989" i="76"/>
  <c r="V989" i="76"/>
  <c r="H989" i="76"/>
  <c r="N989" i="76"/>
  <c r="K989" i="76"/>
  <c r="M989" i="76"/>
  <c r="J989" i="76"/>
  <c r="P989" i="76"/>
  <c r="O989" i="76"/>
  <c r="Q989" i="76"/>
  <c r="L989" i="76"/>
  <c r="G989" i="76"/>
  <c r="I989" i="76"/>
  <c r="AL989" i="76"/>
  <c r="AJ989" i="76"/>
  <c r="AM989" i="76"/>
  <c r="AH989" i="76"/>
  <c r="AK989" i="76"/>
  <c r="AI989" i="76"/>
  <c r="AO989" i="76"/>
  <c r="AN989" i="76"/>
  <c r="AP989" i="76"/>
  <c r="AG989" i="76"/>
  <c r="AF989" i="76"/>
  <c r="AR991" i="76"/>
  <c r="B990" i="76"/>
  <c r="A990" i="76"/>
  <c r="D990" i="76"/>
  <c r="E990" i="76"/>
  <c r="C990" i="76"/>
  <c r="AD990" i="76"/>
  <c r="AE990" i="76"/>
  <c r="F991" i="76" l="1"/>
  <c r="R991" i="76"/>
  <c r="AI990" i="76"/>
  <c r="AK990" i="76"/>
  <c r="AG990" i="76"/>
  <c r="AP990" i="76"/>
  <c r="AL990" i="76"/>
  <c r="AN990" i="76"/>
  <c r="AH990" i="76"/>
  <c r="AF990" i="76"/>
  <c r="AM990" i="76"/>
  <c r="AJ990" i="76"/>
  <c r="AO990" i="76"/>
  <c r="L990" i="76"/>
  <c r="G990" i="76"/>
  <c r="J990" i="76"/>
  <c r="H990" i="76"/>
  <c r="N990" i="76"/>
  <c r="M990" i="76"/>
  <c r="O990" i="76"/>
  <c r="Q990" i="76"/>
  <c r="P990" i="76"/>
  <c r="K990" i="76"/>
  <c r="I990" i="76"/>
  <c r="AD991" i="76"/>
  <c r="D991" i="76"/>
  <c r="AE991" i="76"/>
  <c r="AR992" i="76"/>
  <c r="C991" i="76"/>
  <c r="A991" i="76"/>
  <c r="B991" i="76"/>
  <c r="E991" i="76"/>
  <c r="S990" i="76"/>
  <c r="Y990" i="76"/>
  <c r="T990" i="76"/>
  <c r="V990" i="76"/>
  <c r="U990" i="76"/>
  <c r="AA990" i="76"/>
  <c r="X990" i="76"/>
  <c r="Z990" i="76"/>
  <c r="W990" i="76"/>
  <c r="AC990" i="76"/>
  <c r="AB990" i="76"/>
  <c r="F992" i="76" l="1"/>
  <c r="R992" i="76"/>
  <c r="AR993" i="76"/>
  <c r="C992" i="76"/>
  <c r="AD992" i="76"/>
  <c r="B992" i="76"/>
  <c r="A992" i="76"/>
  <c r="E992" i="76"/>
  <c r="D992" i="76"/>
  <c r="AE992" i="76"/>
  <c r="M991" i="76"/>
  <c r="I991" i="76"/>
  <c r="P991" i="76"/>
  <c r="O991" i="76"/>
  <c r="N991" i="76"/>
  <c r="L991" i="76"/>
  <c r="G991" i="76"/>
  <c r="Q991" i="76"/>
  <c r="H991" i="76"/>
  <c r="J991" i="76"/>
  <c r="K991" i="76"/>
  <c r="AB991" i="76"/>
  <c r="AA991" i="76"/>
  <c r="AC991" i="76"/>
  <c r="X991" i="76"/>
  <c r="S991" i="76"/>
  <c r="U991" i="76"/>
  <c r="T991" i="76"/>
  <c r="Z991" i="76"/>
  <c r="W991" i="76"/>
  <c r="Y991" i="76"/>
  <c r="V991" i="76"/>
  <c r="AN991" i="76"/>
  <c r="AM991" i="76"/>
  <c r="AP991" i="76"/>
  <c r="AJ991" i="76"/>
  <c r="AL991" i="76"/>
  <c r="AH991" i="76"/>
  <c r="AF991" i="76"/>
  <c r="AO991" i="76"/>
  <c r="AG991" i="76"/>
  <c r="AK991" i="76"/>
  <c r="AI991" i="76"/>
  <c r="F993" i="76" l="1"/>
  <c r="R993" i="76"/>
  <c r="AN992" i="76"/>
  <c r="AJ992" i="76"/>
  <c r="AP992" i="76"/>
  <c r="AF992" i="76"/>
  <c r="AH992" i="76"/>
  <c r="AM992" i="76"/>
  <c r="AL992" i="76"/>
  <c r="AO992" i="76"/>
  <c r="AI992" i="76"/>
  <c r="AK992" i="76"/>
  <c r="AG992" i="76"/>
  <c r="O992" i="76"/>
  <c r="N992" i="76"/>
  <c r="P992" i="76"/>
  <c r="K992" i="76"/>
  <c r="Q992" i="76"/>
  <c r="H992" i="76"/>
  <c r="G992" i="76"/>
  <c r="M992" i="76"/>
  <c r="J992" i="76"/>
  <c r="L992" i="76"/>
  <c r="I992" i="76"/>
  <c r="AB992" i="76"/>
  <c r="X992" i="76"/>
  <c r="AC992" i="76"/>
  <c r="T992" i="76"/>
  <c r="AA992" i="76"/>
  <c r="Y992" i="76"/>
  <c r="V992" i="76"/>
  <c r="S992" i="76"/>
  <c r="U992" i="76"/>
  <c r="W992" i="76"/>
  <c r="Z992" i="76"/>
  <c r="AR994" i="76"/>
  <c r="A993" i="76"/>
  <c r="AE993" i="76"/>
  <c r="B993" i="76"/>
  <c r="D993" i="76"/>
  <c r="C993" i="76"/>
  <c r="E993" i="76"/>
  <c r="AD993" i="76"/>
  <c r="F994" i="76" l="1"/>
  <c r="R994" i="76"/>
  <c r="AL993" i="76"/>
  <c r="AG993" i="76"/>
  <c r="AI993" i="76"/>
  <c r="AH993" i="76"/>
  <c r="AN993" i="76"/>
  <c r="AK993" i="76"/>
  <c r="AM993" i="76"/>
  <c r="AJ993" i="76"/>
  <c r="AP993" i="76"/>
  <c r="AO993" i="76"/>
  <c r="AF993" i="76"/>
  <c r="D994" i="76"/>
  <c r="AE994" i="76"/>
  <c r="C994" i="76"/>
  <c r="B994" i="76"/>
  <c r="AD994" i="76"/>
  <c r="AR995" i="76"/>
  <c r="A994" i="76"/>
  <c r="E994" i="76"/>
  <c r="O993" i="76"/>
  <c r="L993" i="76"/>
  <c r="I993" i="76"/>
  <c r="G993" i="76"/>
  <c r="H993" i="76"/>
  <c r="N993" i="76"/>
  <c r="M993" i="76"/>
  <c r="K993" i="76"/>
  <c r="J993" i="76"/>
  <c r="P993" i="76"/>
  <c r="Q993" i="76"/>
  <c r="S993" i="76"/>
  <c r="T993" i="76"/>
  <c r="Z993" i="76"/>
  <c r="Y993" i="76"/>
  <c r="W993" i="76"/>
  <c r="V993" i="76"/>
  <c r="AB993" i="76"/>
  <c r="AC993" i="76"/>
  <c r="AA993" i="76"/>
  <c r="X993" i="76"/>
  <c r="U993" i="76"/>
  <c r="F995" i="76" l="1"/>
  <c r="R995" i="76"/>
  <c r="M994" i="76"/>
  <c r="H994" i="76"/>
  <c r="J994" i="76"/>
  <c r="I994" i="76"/>
  <c r="O994" i="76"/>
  <c r="L994" i="76"/>
  <c r="N994" i="76"/>
  <c r="K994" i="76"/>
  <c r="Q994" i="76"/>
  <c r="P994" i="76"/>
  <c r="G994" i="76"/>
  <c r="Z994" i="76"/>
  <c r="S994" i="76"/>
  <c r="AC994" i="76"/>
  <c r="AB994" i="76"/>
  <c r="X994" i="76"/>
  <c r="Y994" i="76"/>
  <c r="T994" i="76"/>
  <c r="W994" i="76"/>
  <c r="U994" i="76"/>
  <c r="AA994" i="76"/>
  <c r="V994" i="76"/>
  <c r="AR996" i="76"/>
  <c r="C995" i="76"/>
  <c r="AE995" i="76"/>
  <c r="D995" i="76"/>
  <c r="AD995" i="76"/>
  <c r="E995" i="76"/>
  <c r="B995" i="76"/>
  <c r="A995" i="76"/>
  <c r="AP994" i="76"/>
  <c r="AG994" i="76"/>
  <c r="AF994" i="76"/>
  <c r="AH994" i="76"/>
  <c r="AN994" i="76"/>
  <c r="AM994" i="76"/>
  <c r="AJ994" i="76"/>
  <c r="AK994" i="76"/>
  <c r="AI994" i="76"/>
  <c r="AO994" i="76"/>
  <c r="AL994" i="76"/>
  <c r="F996" i="76" l="1"/>
  <c r="R996" i="76"/>
  <c r="M995" i="76"/>
  <c r="Q995" i="76"/>
  <c r="P995" i="76"/>
  <c r="O995" i="76"/>
  <c r="K995" i="76"/>
  <c r="L995" i="76"/>
  <c r="G995" i="76"/>
  <c r="J995" i="76"/>
  <c r="H995" i="76"/>
  <c r="N995" i="76"/>
  <c r="I995" i="76"/>
  <c r="AB995" i="76"/>
  <c r="AA995" i="76"/>
  <c r="W995" i="76"/>
  <c r="X995" i="76"/>
  <c r="S995" i="76"/>
  <c r="V995" i="76"/>
  <c r="T995" i="76"/>
  <c r="Z995" i="76"/>
  <c r="U995" i="76"/>
  <c r="Y995" i="76"/>
  <c r="AC995" i="76"/>
  <c r="AO995" i="76"/>
  <c r="AJ995" i="76"/>
  <c r="AP995" i="76"/>
  <c r="AG995" i="76"/>
  <c r="AF995" i="76"/>
  <c r="AL995" i="76"/>
  <c r="AI995" i="76"/>
  <c r="AK995" i="76"/>
  <c r="AH995" i="76"/>
  <c r="AN995" i="76"/>
  <c r="AM995" i="76"/>
  <c r="AR997" i="76"/>
  <c r="A996" i="76"/>
  <c r="AE996" i="76"/>
  <c r="E996" i="76"/>
  <c r="D996" i="76"/>
  <c r="C996" i="76"/>
  <c r="B996" i="76"/>
  <c r="AD996" i="76"/>
  <c r="F997" i="76" l="1"/>
  <c r="R997" i="76"/>
  <c r="H996" i="76"/>
  <c r="J996" i="76"/>
  <c r="I996" i="76"/>
  <c r="O996" i="76"/>
  <c r="M996" i="76"/>
  <c r="P996" i="76"/>
  <c r="K996" i="76"/>
  <c r="N996" i="76"/>
  <c r="L996" i="76"/>
  <c r="G996" i="76"/>
  <c r="Q996" i="76"/>
  <c r="AA996" i="76"/>
  <c r="V996" i="76"/>
  <c r="AB996" i="76"/>
  <c r="W996" i="76"/>
  <c r="AC996" i="76"/>
  <c r="X996" i="76"/>
  <c r="S996" i="76"/>
  <c r="Y996" i="76"/>
  <c r="T996" i="76"/>
  <c r="Z996" i="76"/>
  <c r="U996" i="76"/>
  <c r="AJ996" i="76"/>
  <c r="AP996" i="76"/>
  <c r="AK996" i="76"/>
  <c r="AF996" i="76"/>
  <c r="AL996" i="76"/>
  <c r="AG996" i="76"/>
  <c r="AM996" i="76"/>
  <c r="AH996" i="76"/>
  <c r="AN996" i="76"/>
  <c r="AI996" i="76"/>
  <c r="AO996" i="76"/>
  <c r="A997" i="76"/>
  <c r="AR998" i="76"/>
  <c r="AD997" i="76"/>
  <c r="D997" i="76"/>
  <c r="B997" i="76"/>
  <c r="AE997" i="76"/>
  <c r="E997" i="76"/>
  <c r="C997" i="76"/>
  <c r="F998" i="76" l="1"/>
  <c r="R998" i="76"/>
  <c r="E998" i="76"/>
  <c r="D998" i="76"/>
  <c r="AD998" i="76"/>
  <c r="C998" i="76"/>
  <c r="AE998" i="76"/>
  <c r="AR999" i="76"/>
  <c r="B998" i="76"/>
  <c r="A998" i="76"/>
  <c r="AF997" i="76"/>
  <c r="AH997" i="76"/>
  <c r="AM997" i="76"/>
  <c r="AL997" i="76"/>
  <c r="AO997" i="76"/>
  <c r="AI997" i="76"/>
  <c r="AK997" i="76"/>
  <c r="AG997" i="76"/>
  <c r="AN997" i="76"/>
  <c r="AJ997" i="76"/>
  <c r="AP997" i="76"/>
  <c r="X997" i="76"/>
  <c r="V997" i="76"/>
  <c r="AA997" i="76"/>
  <c r="Z997" i="76"/>
  <c r="AC997" i="76"/>
  <c r="W997" i="76"/>
  <c r="Y997" i="76"/>
  <c r="U997" i="76"/>
  <c r="S997" i="76"/>
  <c r="AB997" i="76"/>
  <c r="T997" i="76"/>
  <c r="O997" i="76"/>
  <c r="J997" i="76"/>
  <c r="M997" i="76"/>
  <c r="K997" i="76"/>
  <c r="Q997" i="76"/>
  <c r="I997" i="76"/>
  <c r="L997" i="76"/>
  <c r="P997" i="76"/>
  <c r="H997" i="76"/>
  <c r="G997" i="76"/>
  <c r="N997" i="76"/>
  <c r="F999" i="76" l="1"/>
  <c r="R999" i="76"/>
  <c r="J998" i="76"/>
  <c r="P998" i="76"/>
  <c r="Q998" i="76"/>
  <c r="O998" i="76"/>
  <c r="L998" i="76"/>
  <c r="I998" i="76"/>
  <c r="G998" i="76"/>
  <c r="H998" i="76"/>
  <c r="N998" i="76"/>
  <c r="M998" i="76"/>
  <c r="K998" i="76"/>
  <c r="S998" i="76"/>
  <c r="AC998" i="76"/>
  <c r="Z998" i="76"/>
  <c r="Y998" i="76"/>
  <c r="X998" i="76"/>
  <c r="V998" i="76"/>
  <c r="AB998" i="76"/>
  <c r="W998" i="76"/>
  <c r="AA998" i="76"/>
  <c r="T998" i="76"/>
  <c r="U998" i="76"/>
  <c r="AR1000" i="76"/>
  <c r="D999" i="76"/>
  <c r="AE999" i="76"/>
  <c r="C999" i="76"/>
  <c r="A999" i="76"/>
  <c r="B999" i="76"/>
  <c r="E999" i="76"/>
  <c r="AD999" i="76"/>
  <c r="AG998" i="76"/>
  <c r="AI998" i="76"/>
  <c r="AH998" i="76"/>
  <c r="AN998" i="76"/>
  <c r="AL998" i="76"/>
  <c r="AO998" i="76"/>
  <c r="AJ998" i="76"/>
  <c r="AM998" i="76"/>
  <c r="AK998" i="76"/>
  <c r="AF998" i="76"/>
  <c r="AP998" i="76"/>
  <c r="F1000" i="76" l="1"/>
  <c r="R1000" i="76"/>
  <c r="P999" i="76"/>
  <c r="K999" i="76"/>
  <c r="N999" i="76"/>
  <c r="L999" i="76"/>
  <c r="G999" i="76"/>
  <c r="Q999" i="76"/>
  <c r="H999" i="76"/>
  <c r="J999" i="76"/>
  <c r="I999" i="76"/>
  <c r="O999" i="76"/>
  <c r="M999" i="76"/>
  <c r="AA999" i="76"/>
  <c r="V999" i="76"/>
  <c r="AB999" i="76"/>
  <c r="W999" i="76"/>
  <c r="AC999" i="76"/>
  <c r="X999" i="76"/>
  <c r="S999" i="76"/>
  <c r="Y999" i="76"/>
  <c r="T999" i="76"/>
  <c r="Z999" i="76"/>
  <c r="U999" i="76"/>
  <c r="AO999" i="76"/>
  <c r="AF999" i="76"/>
  <c r="AP999" i="76"/>
  <c r="AK999" i="76"/>
  <c r="AI999" i="76"/>
  <c r="AL999" i="76"/>
  <c r="AG999" i="76"/>
  <c r="AJ999" i="76"/>
  <c r="AH999" i="76"/>
  <c r="AN999" i="76"/>
  <c r="AM999" i="76"/>
  <c r="E1000" i="76"/>
  <c r="D1000" i="76"/>
  <c r="AE1000" i="76"/>
  <c r="C1000" i="76"/>
  <c r="AD1000" i="76"/>
  <c r="B1000" i="76"/>
  <c r="A1000" i="76"/>
  <c r="K1000" i="76" l="1"/>
  <c r="M1000" i="76"/>
  <c r="I1000" i="76"/>
  <c r="G1000" i="76"/>
  <c r="P1000" i="76"/>
  <c r="L1000" i="76"/>
  <c r="N1000" i="76"/>
  <c r="H1000" i="76"/>
  <c r="O1000" i="76"/>
  <c r="J1000" i="76"/>
  <c r="Q1000" i="76"/>
  <c r="U1000" i="76"/>
  <c r="AA1000" i="76"/>
  <c r="V1000" i="76"/>
  <c r="AB1000" i="76"/>
  <c r="W1000" i="76"/>
  <c r="AC1000" i="76"/>
  <c r="X1000" i="76"/>
  <c r="S1000" i="76"/>
  <c r="Y1000" i="76"/>
  <c r="T1000" i="76"/>
  <c r="Z1000" i="76"/>
  <c r="AN1000" i="76"/>
  <c r="AP1000" i="76"/>
  <c r="AO1000" i="76"/>
  <c r="AJ1000" i="76"/>
  <c r="AH1000" i="76"/>
  <c r="AK1000" i="76"/>
  <c r="AF1000" i="76"/>
  <c r="AI1000" i="76"/>
  <c r="AG1000" i="76"/>
  <c r="AM1000" i="76"/>
  <c r="AL1000" i="76"/>
</calcChain>
</file>

<file path=xl/sharedStrings.xml><?xml version="1.0" encoding="utf-8"?>
<sst xmlns="http://schemas.openxmlformats.org/spreadsheetml/2006/main" count="7055" uniqueCount="1005">
  <si>
    <t>借</t>
  </si>
  <si>
    <t>无形资产</t>
  </si>
  <si>
    <t>贷</t>
  </si>
  <si>
    <t>应付票据</t>
  </si>
  <si>
    <t>应付账款</t>
  </si>
  <si>
    <t>应付职工薪酬</t>
  </si>
  <si>
    <t>工资</t>
  </si>
  <si>
    <t>职工福利</t>
  </si>
  <si>
    <t>社会保险费</t>
  </si>
  <si>
    <t>住房公积金</t>
  </si>
  <si>
    <t>工会经费</t>
  </si>
  <si>
    <t>职工教育经费</t>
  </si>
  <si>
    <t>应交税费</t>
  </si>
  <si>
    <t>应交增值税</t>
  </si>
  <si>
    <t>应付利息</t>
  </si>
  <si>
    <t>应付股利</t>
  </si>
  <si>
    <t>其他应付款</t>
  </si>
  <si>
    <t>预计负债</t>
  </si>
  <si>
    <t>资本公积</t>
  </si>
  <si>
    <t>盈余公积</t>
  </si>
  <si>
    <t>营业税金及附加</t>
  </si>
  <si>
    <t>销售费用</t>
  </si>
  <si>
    <t>管理费用</t>
  </si>
  <si>
    <t>金额</t>
    <phoneticPr fontId="2" type="noConversion"/>
  </si>
  <si>
    <t>银收</t>
  </si>
  <si>
    <t>库存现金</t>
  </si>
  <si>
    <t>转</t>
  </si>
  <si>
    <t>银行存款余额调节表</t>
    <phoneticPr fontId="2" type="noConversion"/>
  </si>
  <si>
    <t>项目</t>
    <phoneticPr fontId="2" type="noConversion"/>
  </si>
  <si>
    <t>企业银行存款账面余额</t>
    <phoneticPr fontId="2" type="noConversion"/>
  </si>
  <si>
    <t>银行对账单存款余额</t>
    <phoneticPr fontId="2" type="noConversion"/>
  </si>
  <si>
    <t>加：企业未入账的</t>
    <phoneticPr fontId="2" type="noConversion"/>
  </si>
  <si>
    <t>加：银行未入账的收入款项</t>
    <phoneticPr fontId="2" type="noConversion"/>
  </si>
  <si>
    <t>收入款项</t>
    <phoneticPr fontId="2" type="noConversion"/>
  </si>
  <si>
    <t>（1）存入转账支票</t>
    <phoneticPr fontId="2" type="noConversion"/>
  </si>
  <si>
    <t>（1）银行代收货款</t>
    <phoneticPr fontId="2" type="noConversion"/>
  </si>
  <si>
    <t>减：银行未入账的支出款项</t>
    <phoneticPr fontId="2" type="noConversion"/>
  </si>
  <si>
    <t>（2）存款利息</t>
    <phoneticPr fontId="2" type="noConversion"/>
  </si>
  <si>
    <t>（1）开出的转账支票</t>
    <phoneticPr fontId="2" type="noConversion"/>
  </si>
  <si>
    <t>减：企业未入账的</t>
    <phoneticPr fontId="2" type="noConversion"/>
  </si>
  <si>
    <t>（2）开出的现金支票</t>
    <phoneticPr fontId="2" type="noConversion"/>
  </si>
  <si>
    <t>支出款项</t>
    <phoneticPr fontId="2" type="noConversion"/>
  </si>
  <si>
    <t>（1）代扣电费</t>
    <phoneticPr fontId="2" type="noConversion"/>
  </si>
  <si>
    <t>调整后的存款余额</t>
    <phoneticPr fontId="2" type="noConversion"/>
  </si>
  <si>
    <t>调整后的余额</t>
    <phoneticPr fontId="2" type="noConversion"/>
  </si>
  <si>
    <t>账户名称</t>
    <phoneticPr fontId="11" type="noConversion"/>
  </si>
  <si>
    <t>月</t>
    <phoneticPr fontId="11" type="noConversion"/>
  </si>
  <si>
    <t>日</t>
    <phoneticPr fontId="11" type="noConversion"/>
  </si>
  <si>
    <t>借贷方差额</t>
    <phoneticPr fontId="11" type="noConversion"/>
  </si>
  <si>
    <t>管理费用_办公费</t>
  </si>
  <si>
    <t>应交税费_应交营业税</t>
  </si>
  <si>
    <t>应交税费_应交城建税</t>
  </si>
  <si>
    <t>本年利润</t>
  </si>
  <si>
    <t>科目代码</t>
    <phoneticPr fontId="11" type="noConversion"/>
  </si>
  <si>
    <t>总账科目</t>
    <phoneticPr fontId="11" type="noConversion"/>
  </si>
  <si>
    <t>明细科目</t>
    <phoneticPr fontId="11" type="noConversion"/>
  </si>
  <si>
    <t>科目级次</t>
    <phoneticPr fontId="11" type="noConversion"/>
  </si>
  <si>
    <t>余额方向</t>
    <phoneticPr fontId="11" type="noConversion"/>
  </si>
  <si>
    <t>期初余额(借)</t>
    <phoneticPr fontId="11" type="noConversion"/>
  </si>
  <si>
    <t>期初余额(贷)</t>
    <phoneticPr fontId="11" type="noConversion"/>
  </si>
  <si>
    <t>账户查询</t>
    <phoneticPr fontId="11" type="noConversion"/>
  </si>
  <si>
    <t>期末余额</t>
    <phoneticPr fontId="2" type="noConversion"/>
  </si>
  <si>
    <t>贷方</t>
    <phoneticPr fontId="2" type="noConversion"/>
  </si>
  <si>
    <t>科目代码</t>
    <phoneticPr fontId="2" type="noConversion"/>
  </si>
  <si>
    <t>摘要</t>
    <phoneticPr fontId="2" type="noConversion"/>
  </si>
  <si>
    <t>借方金额</t>
    <phoneticPr fontId="11" type="noConversion"/>
  </si>
  <si>
    <t>贷方金额</t>
    <phoneticPr fontId="11" type="noConversion"/>
  </si>
  <si>
    <t>凭证序号</t>
    <phoneticPr fontId="11" type="noConversion"/>
  </si>
  <si>
    <t>凭证种类、号数</t>
    <phoneticPr fontId="2" type="noConversion"/>
  </si>
  <si>
    <t>合计</t>
    <phoneticPr fontId="2" type="noConversion"/>
  </si>
  <si>
    <t>期初余额(借)</t>
    <phoneticPr fontId="2" type="noConversion"/>
  </si>
  <si>
    <t>期初余额(贷)</t>
    <phoneticPr fontId="2" type="noConversion"/>
  </si>
  <si>
    <t>科目编号</t>
    <phoneticPr fontId="2" type="noConversion"/>
  </si>
  <si>
    <t>期末余额(借)</t>
  </si>
  <si>
    <t>期末余额(贷)</t>
  </si>
  <si>
    <t>资 产 负 债 表</t>
    <phoneticPr fontId="2" type="noConversion"/>
  </si>
  <si>
    <t>会企01表</t>
    <phoneticPr fontId="2" type="noConversion"/>
  </si>
  <si>
    <t>单位：元</t>
    <phoneticPr fontId="2" type="noConversion"/>
  </si>
  <si>
    <t>资 产</t>
  </si>
  <si>
    <t>行次</t>
  </si>
  <si>
    <t>期末余额</t>
    <phoneticPr fontId="2" type="noConversion"/>
  </si>
  <si>
    <t>期初余额</t>
    <phoneticPr fontId="2" type="noConversion"/>
  </si>
  <si>
    <t>负债和所有者权益（或股东权益）</t>
  </si>
  <si>
    <t xml:space="preserve">行次  </t>
    <phoneticPr fontId="2" type="noConversion"/>
  </si>
  <si>
    <t>流动资产：</t>
  </si>
  <si>
    <t>流动负债：</t>
  </si>
  <si>
    <t>货币资金</t>
    <phoneticPr fontId="2" type="noConversion"/>
  </si>
  <si>
    <t>短期借款</t>
    <phoneticPr fontId="2" type="noConversion"/>
  </si>
  <si>
    <t>交易性金融资产</t>
    <phoneticPr fontId="2" type="noConversion"/>
  </si>
  <si>
    <t>应收票据</t>
    <phoneticPr fontId="2" type="noConversion"/>
  </si>
  <si>
    <t>应付票据</t>
    <phoneticPr fontId="2" type="noConversion"/>
  </si>
  <si>
    <t>应收账款</t>
    <phoneticPr fontId="2" type="noConversion"/>
  </si>
  <si>
    <t>应付账款</t>
    <phoneticPr fontId="2" type="noConversion"/>
  </si>
  <si>
    <t>应付职工薪酬</t>
    <phoneticPr fontId="2" type="noConversion"/>
  </si>
  <si>
    <t>应交税费</t>
    <phoneticPr fontId="2" type="noConversion"/>
  </si>
  <si>
    <t>其他应收款</t>
    <phoneticPr fontId="2" type="noConversion"/>
  </si>
  <si>
    <t>应付利息</t>
    <phoneticPr fontId="2" type="noConversion"/>
  </si>
  <si>
    <t>存货</t>
    <phoneticPr fontId="2" type="noConversion"/>
  </si>
  <si>
    <t>应付股利</t>
    <phoneticPr fontId="2" type="noConversion"/>
  </si>
  <si>
    <t>其他应付款</t>
    <phoneticPr fontId="2" type="noConversion"/>
  </si>
  <si>
    <t>其他流动资产</t>
    <phoneticPr fontId="2" type="noConversion"/>
  </si>
  <si>
    <t>其他流动负债</t>
    <phoneticPr fontId="2" type="noConversion"/>
  </si>
  <si>
    <t>流动资产合计</t>
  </si>
  <si>
    <t>流动负债合计</t>
  </si>
  <si>
    <t>非流动资产：</t>
  </si>
  <si>
    <t>非流动负债：</t>
  </si>
  <si>
    <t>可供出售金融资产</t>
    <phoneticPr fontId="2" type="noConversion"/>
  </si>
  <si>
    <t>长期借款</t>
    <phoneticPr fontId="2" type="noConversion"/>
  </si>
  <si>
    <t>持有至到期投资</t>
    <phoneticPr fontId="2" type="noConversion"/>
  </si>
  <si>
    <t>应付债券</t>
    <phoneticPr fontId="2" type="noConversion"/>
  </si>
  <si>
    <t>投资性房地产</t>
    <phoneticPr fontId="2" type="noConversion"/>
  </si>
  <si>
    <t>长期应付款</t>
    <phoneticPr fontId="2" type="noConversion"/>
  </si>
  <si>
    <t>专项应付款</t>
    <phoneticPr fontId="2" type="noConversion"/>
  </si>
  <si>
    <t>预计负债</t>
    <phoneticPr fontId="2" type="noConversion"/>
  </si>
  <si>
    <t>固定资产</t>
    <phoneticPr fontId="2" type="noConversion"/>
  </si>
  <si>
    <t>递延所得税负债</t>
    <phoneticPr fontId="2" type="noConversion"/>
  </si>
  <si>
    <t>在建工程</t>
    <phoneticPr fontId="2" type="noConversion"/>
  </si>
  <si>
    <t>其他非流动负债</t>
    <phoneticPr fontId="2" type="noConversion"/>
  </si>
  <si>
    <t>工程物资</t>
    <phoneticPr fontId="2" type="noConversion"/>
  </si>
  <si>
    <t xml:space="preserve">  非流动负债合计</t>
    <phoneticPr fontId="2" type="noConversion"/>
  </si>
  <si>
    <t>固定资产清理</t>
    <phoneticPr fontId="2" type="noConversion"/>
  </si>
  <si>
    <t>负债合计</t>
  </si>
  <si>
    <t>无形资产</t>
    <phoneticPr fontId="2" type="noConversion"/>
  </si>
  <si>
    <t>资本公积</t>
    <phoneticPr fontId="2" type="noConversion"/>
  </si>
  <si>
    <t>开发支出</t>
    <phoneticPr fontId="2" type="noConversion"/>
  </si>
  <si>
    <t>商誉</t>
    <phoneticPr fontId="2" type="noConversion"/>
  </si>
  <si>
    <t>盈余公积</t>
    <phoneticPr fontId="2" type="noConversion"/>
  </si>
  <si>
    <t>长期待摊费用</t>
    <phoneticPr fontId="2" type="noConversion"/>
  </si>
  <si>
    <t>未分配利润</t>
    <phoneticPr fontId="2" type="noConversion"/>
  </si>
  <si>
    <t>递延所得税资产</t>
    <phoneticPr fontId="2" type="noConversion"/>
  </si>
  <si>
    <t>其他非流动资产</t>
    <phoneticPr fontId="2" type="noConversion"/>
  </si>
  <si>
    <t>非流动资产合计</t>
  </si>
  <si>
    <t>资产总计</t>
  </si>
  <si>
    <t>利　 润　 表</t>
    <phoneticPr fontId="2" type="noConversion"/>
  </si>
  <si>
    <t>会企02表</t>
    <phoneticPr fontId="2" type="noConversion"/>
  </si>
  <si>
    <t>单位：元</t>
    <phoneticPr fontId="2" type="noConversion"/>
  </si>
  <si>
    <t>项　　目</t>
    <phoneticPr fontId="2" type="noConversion"/>
  </si>
  <si>
    <t>行次</t>
    <phoneticPr fontId="2" type="noConversion"/>
  </si>
  <si>
    <t>本期金额</t>
    <phoneticPr fontId="2" type="noConversion"/>
  </si>
  <si>
    <t>上期金额</t>
    <phoneticPr fontId="2" type="noConversion"/>
  </si>
  <si>
    <t>（一）基本每股收益</t>
  </si>
  <si>
    <t xml:space="preserve">× </t>
  </si>
  <si>
    <t>（二）稀释每股收益</t>
  </si>
  <si>
    <t>材料采购</t>
    <phoneticPr fontId="2" type="noConversion"/>
  </si>
  <si>
    <t>在途物资</t>
    <phoneticPr fontId="2" type="noConversion"/>
  </si>
  <si>
    <t>原材料</t>
    <phoneticPr fontId="2" type="noConversion"/>
  </si>
  <si>
    <t>材料成本差异</t>
    <phoneticPr fontId="2" type="noConversion"/>
  </si>
  <si>
    <t>电脑</t>
    <phoneticPr fontId="2" type="noConversion"/>
  </si>
  <si>
    <t>经纬仪</t>
    <phoneticPr fontId="2" type="noConversion"/>
  </si>
  <si>
    <t>保险柜</t>
    <phoneticPr fontId="2" type="noConversion"/>
  </si>
  <si>
    <t>车棚</t>
    <phoneticPr fontId="2" type="noConversion"/>
  </si>
  <si>
    <t>汽车</t>
    <phoneticPr fontId="2" type="noConversion"/>
  </si>
  <si>
    <t>测定仪</t>
    <phoneticPr fontId="2" type="noConversion"/>
  </si>
  <si>
    <t>污水泵</t>
    <phoneticPr fontId="2" type="noConversion"/>
  </si>
  <si>
    <t>活动房</t>
    <phoneticPr fontId="2" type="noConversion"/>
  </si>
  <si>
    <t>发电机</t>
    <phoneticPr fontId="2" type="noConversion"/>
  </si>
  <si>
    <t>附件张数</t>
    <phoneticPr fontId="39" type="noConversion"/>
  </si>
  <si>
    <t>库存现金</t>
    <phoneticPr fontId="2" type="noConversion"/>
  </si>
  <si>
    <t>银行存款</t>
    <phoneticPr fontId="2" type="noConversion"/>
  </si>
  <si>
    <t>其他货币资金</t>
    <phoneticPr fontId="2" type="noConversion"/>
  </si>
  <si>
    <t>交易性金融资产</t>
    <phoneticPr fontId="2" type="noConversion"/>
  </si>
  <si>
    <t>成本</t>
    <phoneticPr fontId="2" type="noConversion"/>
  </si>
  <si>
    <t>公允价值变动</t>
    <phoneticPr fontId="2" type="noConversion"/>
  </si>
  <si>
    <t>应收票据</t>
    <phoneticPr fontId="2" type="noConversion"/>
  </si>
  <si>
    <t>应收账款</t>
    <phoneticPr fontId="2" type="noConversion"/>
  </si>
  <si>
    <t>应收账款</t>
    <phoneticPr fontId="2" type="noConversion"/>
  </si>
  <si>
    <t>应收股利</t>
    <phoneticPr fontId="2" type="noConversion"/>
  </si>
  <si>
    <t>其他应收款</t>
    <phoneticPr fontId="2" type="noConversion"/>
  </si>
  <si>
    <t>坏账准备</t>
    <phoneticPr fontId="2" type="noConversion"/>
  </si>
  <si>
    <t>周转材料</t>
    <phoneticPr fontId="2" type="noConversion"/>
  </si>
  <si>
    <t>持有至到期投资</t>
    <phoneticPr fontId="2" type="noConversion"/>
  </si>
  <si>
    <t>利息调整</t>
    <phoneticPr fontId="2" type="noConversion"/>
  </si>
  <si>
    <t>应计利息</t>
    <phoneticPr fontId="2" type="noConversion"/>
  </si>
  <si>
    <t>长期股权投资</t>
    <phoneticPr fontId="2" type="noConversion"/>
  </si>
  <si>
    <t>损益调整</t>
    <phoneticPr fontId="2" type="noConversion"/>
  </si>
  <si>
    <t>其他权益变动</t>
    <phoneticPr fontId="2" type="noConversion"/>
  </si>
  <si>
    <t>投资性房地产</t>
    <phoneticPr fontId="2" type="noConversion"/>
  </si>
  <si>
    <t>长期应收款</t>
    <phoneticPr fontId="2" type="noConversion"/>
  </si>
  <si>
    <t>固定资产</t>
    <phoneticPr fontId="2" type="noConversion"/>
  </si>
  <si>
    <t>固定资产</t>
    <phoneticPr fontId="2" type="noConversion"/>
  </si>
  <si>
    <t>累计折旧</t>
    <phoneticPr fontId="2" type="noConversion"/>
  </si>
  <si>
    <t>固定资产减值准备</t>
    <phoneticPr fontId="2" type="noConversion"/>
  </si>
  <si>
    <t>在建工程</t>
    <phoneticPr fontId="2" type="noConversion"/>
  </si>
  <si>
    <t>工程物资</t>
    <phoneticPr fontId="2" type="noConversion"/>
  </si>
  <si>
    <t>固定资产清理</t>
    <phoneticPr fontId="2" type="noConversion"/>
  </si>
  <si>
    <t>长期待摊费用</t>
    <phoneticPr fontId="2" type="noConversion"/>
  </si>
  <si>
    <t>递延所得税资产</t>
    <phoneticPr fontId="2" type="noConversion"/>
  </si>
  <si>
    <t>待处理财产损溢</t>
    <phoneticPr fontId="2" type="noConversion"/>
  </si>
  <si>
    <t>短期借款</t>
    <phoneticPr fontId="2" type="noConversion"/>
  </si>
  <si>
    <t>非货币性福利</t>
    <phoneticPr fontId="2" type="noConversion"/>
  </si>
  <si>
    <t>辞退福利</t>
    <phoneticPr fontId="2" type="noConversion"/>
  </si>
  <si>
    <t>应交增值税(进项税额)</t>
    <phoneticPr fontId="2" type="noConversion"/>
  </si>
  <si>
    <t>应交增值税(已交税金)</t>
    <phoneticPr fontId="2" type="noConversion"/>
  </si>
  <si>
    <t>应交增值税(转出未交增值税)</t>
    <phoneticPr fontId="2" type="noConversion"/>
  </si>
  <si>
    <t>应交增值税(减免税款)</t>
    <phoneticPr fontId="2" type="noConversion"/>
  </si>
  <si>
    <t>应交增值税(销项税额)</t>
    <phoneticPr fontId="2" type="noConversion"/>
  </si>
  <si>
    <t>应交增值税(出口退税)</t>
    <phoneticPr fontId="2" type="noConversion"/>
  </si>
  <si>
    <t>应交增值税(进项税额转出)</t>
    <phoneticPr fontId="2" type="noConversion"/>
  </si>
  <si>
    <t>应交增值税(出口抵减内销产品应纳税额)</t>
    <phoneticPr fontId="2" type="noConversion"/>
  </si>
  <si>
    <t>应交增值税(转出多交增值税)</t>
    <phoneticPr fontId="2" type="noConversion"/>
  </si>
  <si>
    <t>未交增值税</t>
    <phoneticPr fontId="2" type="noConversion"/>
  </si>
  <si>
    <t>应交营业税</t>
    <phoneticPr fontId="2" type="noConversion"/>
  </si>
  <si>
    <t>应交城建税</t>
    <phoneticPr fontId="2" type="noConversion"/>
  </si>
  <si>
    <t>应交个人所得税</t>
    <phoneticPr fontId="2" type="noConversion"/>
  </si>
  <si>
    <t>长期借款</t>
    <phoneticPr fontId="2" type="noConversion"/>
  </si>
  <si>
    <t>应付债券</t>
    <phoneticPr fontId="2" type="noConversion"/>
  </si>
  <si>
    <t>长期应付款</t>
    <phoneticPr fontId="2" type="noConversion"/>
  </si>
  <si>
    <t>专项应付款</t>
    <phoneticPr fontId="2" type="noConversion"/>
  </si>
  <si>
    <t>递延所得税负债</t>
    <phoneticPr fontId="2" type="noConversion"/>
  </si>
  <si>
    <r>
      <t>实收资本(或股本</t>
    </r>
    <r>
      <rPr>
        <sz val="12"/>
        <rFont val="宋体"/>
        <family val="3"/>
        <charset val="134"/>
      </rPr>
      <t>)</t>
    </r>
    <phoneticPr fontId="2" type="noConversion"/>
  </si>
  <si>
    <t>资本溢价</t>
    <phoneticPr fontId="2" type="noConversion"/>
  </si>
  <si>
    <t>其他资本公积</t>
    <phoneticPr fontId="2" type="noConversion"/>
  </si>
  <si>
    <t>法定盈余公积</t>
    <phoneticPr fontId="2" type="noConversion"/>
  </si>
  <si>
    <t>任意盈余公积</t>
    <phoneticPr fontId="2" type="noConversion"/>
  </si>
  <si>
    <t>盈余公积补亏</t>
    <phoneticPr fontId="2" type="noConversion"/>
  </si>
  <si>
    <t>本年利润</t>
    <phoneticPr fontId="2" type="noConversion"/>
  </si>
  <si>
    <t>利润分配</t>
    <phoneticPr fontId="2" type="noConversion"/>
  </si>
  <si>
    <t>未分配利润</t>
    <phoneticPr fontId="2" type="noConversion"/>
  </si>
  <si>
    <t>提取法定盈余公积</t>
    <phoneticPr fontId="2" type="noConversion"/>
  </si>
  <si>
    <t>提取任意盈余公积</t>
    <phoneticPr fontId="2" type="noConversion"/>
  </si>
  <si>
    <t>主营业务收入</t>
    <phoneticPr fontId="2" type="noConversion"/>
  </si>
  <si>
    <t>其他业务收入</t>
    <phoneticPr fontId="2" type="noConversion"/>
  </si>
  <si>
    <t>出租固定资产</t>
    <phoneticPr fontId="2" type="noConversion"/>
  </si>
  <si>
    <t>出租无形资产</t>
    <phoneticPr fontId="2" type="noConversion"/>
  </si>
  <si>
    <t>出租包装物和商品</t>
    <phoneticPr fontId="2" type="noConversion"/>
  </si>
  <si>
    <t xml:space="preserve">销售材料 </t>
    <phoneticPr fontId="2" type="noConversion"/>
  </si>
  <si>
    <t>投资收益</t>
    <phoneticPr fontId="2" type="noConversion"/>
  </si>
  <si>
    <t>营业外收入</t>
    <phoneticPr fontId="2" type="noConversion"/>
  </si>
  <si>
    <t>处置非流动资产利得</t>
    <phoneticPr fontId="2" type="noConversion"/>
  </si>
  <si>
    <t>非货币性资产交换利得</t>
    <phoneticPr fontId="2" type="noConversion"/>
  </si>
  <si>
    <t>债务重组利得</t>
    <phoneticPr fontId="2" type="noConversion"/>
  </si>
  <si>
    <t>罚没利得</t>
    <phoneticPr fontId="2" type="noConversion"/>
  </si>
  <si>
    <t>政府补助利得</t>
    <phoneticPr fontId="2" type="noConversion"/>
  </si>
  <si>
    <t>主营业务成本</t>
    <phoneticPr fontId="2" type="noConversion"/>
  </si>
  <si>
    <t xml:space="preserve">销售材料的成本 </t>
    <phoneticPr fontId="2" type="noConversion"/>
  </si>
  <si>
    <t>出租固定资产的累计折旧</t>
    <phoneticPr fontId="2" type="noConversion"/>
  </si>
  <si>
    <t>出租无形资产的累计摊销</t>
    <phoneticPr fontId="2" type="noConversion"/>
  </si>
  <si>
    <t>出租包装物的成本</t>
    <phoneticPr fontId="2" type="noConversion"/>
  </si>
  <si>
    <t>办公费</t>
    <phoneticPr fontId="2" type="noConversion"/>
  </si>
  <si>
    <t>差旅费</t>
    <phoneticPr fontId="2" type="noConversion"/>
  </si>
  <si>
    <t>折旧费</t>
    <phoneticPr fontId="2" type="noConversion"/>
  </si>
  <si>
    <t>车船使用税</t>
    <phoneticPr fontId="2" type="noConversion"/>
  </si>
  <si>
    <t>财务费用</t>
    <phoneticPr fontId="2" type="noConversion"/>
  </si>
  <si>
    <t>手续费</t>
    <phoneticPr fontId="2" type="noConversion"/>
  </si>
  <si>
    <t>资产减值损失</t>
    <phoneticPr fontId="2" type="noConversion"/>
  </si>
  <si>
    <t>营业外支出</t>
    <phoneticPr fontId="2" type="noConversion"/>
  </si>
  <si>
    <t>处置非流动资产损失</t>
    <phoneticPr fontId="2" type="noConversion"/>
  </si>
  <si>
    <t>非货币性资产交换损失</t>
    <phoneticPr fontId="2" type="noConversion"/>
  </si>
  <si>
    <t>债务重组损失</t>
    <phoneticPr fontId="2" type="noConversion"/>
  </si>
  <si>
    <t>罚款支出</t>
    <phoneticPr fontId="2" type="noConversion"/>
  </si>
  <si>
    <t>捐赠支出</t>
    <phoneticPr fontId="2" type="noConversion"/>
  </si>
  <si>
    <t>非常损失</t>
    <phoneticPr fontId="2" type="noConversion"/>
  </si>
  <si>
    <t>所得税费用</t>
    <phoneticPr fontId="2" type="noConversion"/>
  </si>
  <si>
    <t>当期所得税费用</t>
    <phoneticPr fontId="2" type="noConversion"/>
  </si>
  <si>
    <t>递延所得税费用</t>
    <phoneticPr fontId="2" type="noConversion"/>
  </si>
  <si>
    <t>以前年度损益调整</t>
    <phoneticPr fontId="2" type="noConversion"/>
  </si>
  <si>
    <t>现付</t>
  </si>
  <si>
    <t>银付</t>
  </si>
  <si>
    <t>应交税费_应交个人所得税</t>
  </si>
  <si>
    <t>所得税费用_当期所得税费用</t>
  </si>
  <si>
    <t>现金存行</t>
    <phoneticPr fontId="39" type="noConversion"/>
  </si>
  <si>
    <t>管理费用_水电费</t>
  </si>
  <si>
    <t>利息支出</t>
    <phoneticPr fontId="2" type="noConversion"/>
  </si>
  <si>
    <t>预付账款</t>
    <phoneticPr fontId="2" type="noConversion"/>
  </si>
  <si>
    <t>预付账款</t>
    <phoneticPr fontId="2" type="noConversion"/>
  </si>
  <si>
    <t>应收利息</t>
    <phoneticPr fontId="2" type="noConversion"/>
  </si>
  <si>
    <t>应收股利</t>
    <phoneticPr fontId="2" type="noConversion"/>
  </si>
  <si>
    <t>委托加工物资</t>
    <phoneticPr fontId="2" type="noConversion"/>
  </si>
  <si>
    <t>存货跌价准备</t>
    <phoneticPr fontId="2" type="noConversion"/>
  </si>
  <si>
    <t>持有至到期投资减值准备</t>
    <phoneticPr fontId="2" type="noConversion"/>
  </si>
  <si>
    <t>长期股权投资减值准备</t>
    <phoneticPr fontId="2" type="noConversion"/>
  </si>
  <si>
    <t>累计摊销</t>
    <phoneticPr fontId="2" type="noConversion"/>
  </si>
  <si>
    <t>无形资产减值准备</t>
    <phoneticPr fontId="2" type="noConversion"/>
  </si>
  <si>
    <t>工程结算</t>
    <phoneticPr fontId="2" type="noConversion"/>
  </si>
  <si>
    <t>预收账款</t>
    <phoneticPr fontId="2" type="noConversion"/>
  </si>
  <si>
    <t>1年内到期的非流动资产</t>
    <phoneticPr fontId="2" type="noConversion"/>
  </si>
  <si>
    <t>1年内到期的非流动负债</t>
    <phoneticPr fontId="2" type="noConversion"/>
  </si>
  <si>
    <t>长期应收款</t>
    <phoneticPr fontId="2" type="noConversion"/>
  </si>
  <si>
    <t>长期股权投资</t>
    <phoneticPr fontId="2" type="noConversion"/>
  </si>
  <si>
    <t>其他材料</t>
    <phoneticPr fontId="2" type="noConversion"/>
  </si>
  <si>
    <t>交易性金融负债</t>
    <phoneticPr fontId="2" type="noConversion"/>
  </si>
  <si>
    <t>库存股</t>
    <phoneticPr fontId="2" type="noConversion"/>
  </si>
  <si>
    <t>负债和所有者权益(或股东权益)总计</t>
    <phoneticPr fontId="2" type="noConversion"/>
  </si>
  <si>
    <t>所有者权益(或股东权益)合计</t>
  </si>
  <si>
    <t>所有者权益(或股东权益)：</t>
  </si>
  <si>
    <t>实收资本(或股本)</t>
    <phoneticPr fontId="2" type="noConversion"/>
  </si>
  <si>
    <t>减：库存股</t>
  </si>
  <si>
    <t>交易性金融负债</t>
    <phoneticPr fontId="2" type="noConversion"/>
  </si>
  <si>
    <t>其他业务成本</t>
    <phoneticPr fontId="2" type="noConversion"/>
  </si>
  <si>
    <t>在库_模板</t>
    <phoneticPr fontId="2" type="noConversion"/>
  </si>
  <si>
    <t>在库_挡板</t>
    <phoneticPr fontId="2" type="noConversion"/>
  </si>
  <si>
    <t>在库_架料</t>
    <phoneticPr fontId="2" type="noConversion"/>
  </si>
  <si>
    <t>在库_安全网</t>
    <phoneticPr fontId="2" type="noConversion"/>
  </si>
  <si>
    <t>在库_管理用具</t>
    <phoneticPr fontId="2" type="noConversion"/>
  </si>
  <si>
    <t>在库_工具用具</t>
    <phoneticPr fontId="2" type="noConversion"/>
  </si>
  <si>
    <t>在用_模板</t>
    <phoneticPr fontId="2" type="noConversion"/>
  </si>
  <si>
    <t>在用_挡板</t>
    <phoneticPr fontId="2" type="noConversion"/>
  </si>
  <si>
    <t>在用_架料</t>
    <phoneticPr fontId="2" type="noConversion"/>
  </si>
  <si>
    <t>在用_安全网</t>
    <phoneticPr fontId="2" type="noConversion"/>
  </si>
  <si>
    <t>在用_管理用具</t>
    <phoneticPr fontId="2" type="noConversion"/>
  </si>
  <si>
    <t>在用_工具用具</t>
    <phoneticPr fontId="2" type="noConversion"/>
  </si>
  <si>
    <t>工程款</t>
    <phoneticPr fontId="2" type="noConversion"/>
  </si>
  <si>
    <t>结转1月利润</t>
  </si>
  <si>
    <t>计提1月税费</t>
  </si>
  <si>
    <t>本年累计</t>
    <phoneticPr fontId="2" type="noConversion"/>
  </si>
  <si>
    <t>办公桌</t>
    <phoneticPr fontId="2" type="noConversion"/>
  </si>
  <si>
    <t>空调</t>
    <phoneticPr fontId="2" type="noConversion"/>
  </si>
  <si>
    <t>打印机</t>
    <phoneticPr fontId="2" type="noConversion"/>
  </si>
  <si>
    <t>架库房</t>
    <phoneticPr fontId="2" type="noConversion"/>
  </si>
  <si>
    <t>其他应收款_社会保险费</t>
  </si>
  <si>
    <t>开发产品</t>
    <phoneticPr fontId="2" type="noConversion"/>
  </si>
  <si>
    <t>融资租赁资产</t>
    <phoneticPr fontId="2" type="noConversion"/>
  </si>
  <si>
    <t>投资性房地产减值准备</t>
    <phoneticPr fontId="2" type="noConversion"/>
  </si>
  <si>
    <t>递延收益</t>
    <phoneticPr fontId="2" type="noConversion"/>
  </si>
  <si>
    <t>开发成本</t>
    <phoneticPr fontId="2" type="noConversion"/>
  </si>
  <si>
    <t>开发间接费用</t>
    <phoneticPr fontId="2" type="noConversion"/>
  </si>
  <si>
    <t>应交企业所得税</t>
    <phoneticPr fontId="2" type="noConversion"/>
  </si>
  <si>
    <t>应交土地增值税</t>
    <phoneticPr fontId="2" type="noConversion"/>
  </si>
  <si>
    <t>应交税费_应交企业所得税</t>
  </si>
  <si>
    <t>购房款</t>
    <phoneticPr fontId="2" type="noConversion"/>
  </si>
  <si>
    <t>劳务费</t>
    <phoneticPr fontId="2" type="noConversion"/>
  </si>
  <si>
    <t>租金</t>
    <phoneticPr fontId="2" type="noConversion"/>
  </si>
  <si>
    <t>工程款_宜之居装饰</t>
  </si>
  <si>
    <t>工程款_易百通科技</t>
  </si>
  <si>
    <t>购货款</t>
    <phoneticPr fontId="2" type="noConversion"/>
  </si>
  <si>
    <t>购货款_义泰钢结构</t>
    <phoneticPr fontId="2" type="noConversion"/>
  </si>
  <si>
    <t>工程款_南恒制冷</t>
    <phoneticPr fontId="2" type="noConversion"/>
  </si>
  <si>
    <t>工程款_星宇建材</t>
    <phoneticPr fontId="2" type="noConversion"/>
  </si>
  <si>
    <t>工程款_金思维美工</t>
    <phoneticPr fontId="2" type="noConversion"/>
  </si>
  <si>
    <t>购货款_重庆基辅涂料</t>
    <phoneticPr fontId="2" type="noConversion"/>
  </si>
  <si>
    <t>关联单位往来</t>
    <phoneticPr fontId="2" type="noConversion"/>
  </si>
  <si>
    <t>其他单位往来</t>
    <phoneticPr fontId="2" type="noConversion"/>
  </si>
  <si>
    <t>社会保险费</t>
    <phoneticPr fontId="2" type="noConversion"/>
  </si>
  <si>
    <t>内部员工往来</t>
    <phoneticPr fontId="2" type="noConversion"/>
  </si>
  <si>
    <t>代垫代付款项</t>
    <phoneticPr fontId="2" type="noConversion"/>
  </si>
  <si>
    <t>库存材料</t>
    <phoneticPr fontId="2" type="noConversion"/>
  </si>
  <si>
    <t>土建工程材料</t>
    <phoneticPr fontId="2" type="noConversion"/>
  </si>
  <si>
    <t>安装工程材料</t>
    <phoneticPr fontId="2" type="noConversion"/>
  </si>
  <si>
    <t>装饰工程材料</t>
    <phoneticPr fontId="2" type="noConversion"/>
  </si>
  <si>
    <t>库存设备</t>
    <phoneticPr fontId="2" type="noConversion"/>
  </si>
  <si>
    <t>物业管理材料</t>
    <phoneticPr fontId="2" type="noConversion"/>
  </si>
  <si>
    <t>库存商品</t>
    <phoneticPr fontId="2" type="noConversion"/>
  </si>
  <si>
    <t>发出商品</t>
    <phoneticPr fontId="2" type="noConversion"/>
  </si>
  <si>
    <t>出售开发产品</t>
    <phoneticPr fontId="2" type="noConversion"/>
  </si>
  <si>
    <t>出租开发产品</t>
    <phoneticPr fontId="2" type="noConversion"/>
  </si>
  <si>
    <t>包装物</t>
    <phoneticPr fontId="2" type="noConversion"/>
  </si>
  <si>
    <t>低值易耗品</t>
    <phoneticPr fontId="2" type="noConversion"/>
  </si>
  <si>
    <t>未实现融资收益</t>
    <phoneticPr fontId="2" type="noConversion"/>
  </si>
  <si>
    <t>专利权</t>
    <phoneticPr fontId="2" type="noConversion"/>
  </si>
  <si>
    <t>非专利技术</t>
    <phoneticPr fontId="2" type="noConversion"/>
  </si>
  <si>
    <t>土地使用权</t>
    <phoneticPr fontId="2" type="noConversion"/>
  </si>
  <si>
    <t>固定资产修理支出</t>
    <phoneticPr fontId="2" type="noConversion"/>
  </si>
  <si>
    <t>租入固定资产改良</t>
    <phoneticPr fontId="2" type="noConversion"/>
  </si>
  <si>
    <t>购房款_中国水电七局</t>
  </si>
  <si>
    <t>购房款_中国化工七建</t>
  </si>
  <si>
    <t>预收账款结转</t>
    <phoneticPr fontId="2" type="noConversion"/>
  </si>
  <si>
    <t>应交消费税</t>
    <phoneticPr fontId="2" type="noConversion"/>
  </si>
  <si>
    <t>应交房产税</t>
    <phoneticPr fontId="2" type="noConversion"/>
  </si>
  <si>
    <t>教育费附加</t>
    <phoneticPr fontId="2" type="noConversion"/>
  </si>
  <si>
    <t>土地使用税</t>
    <phoneticPr fontId="2" type="noConversion"/>
  </si>
  <si>
    <t>代扣代缴税费</t>
    <phoneticPr fontId="2" type="noConversion"/>
  </si>
  <si>
    <t>保险保障基金</t>
    <phoneticPr fontId="2" type="noConversion"/>
  </si>
  <si>
    <t>代收代付款项</t>
    <phoneticPr fontId="2" type="noConversion"/>
  </si>
  <si>
    <t>保证金</t>
    <phoneticPr fontId="2" type="noConversion"/>
  </si>
  <si>
    <t>其他单位往来_畅畅公司</t>
    <phoneticPr fontId="2" type="noConversion"/>
  </si>
  <si>
    <t>代理业务负债</t>
    <phoneticPr fontId="2" type="noConversion"/>
  </si>
  <si>
    <t>劳务成本</t>
  </si>
  <si>
    <t>劳务成本</t>
    <phoneticPr fontId="2" type="noConversion"/>
  </si>
  <si>
    <t>工程监理成本</t>
    <phoneticPr fontId="2" type="noConversion"/>
  </si>
  <si>
    <t>工程施工成本</t>
  </si>
  <si>
    <t>工程施工成本</t>
    <phoneticPr fontId="2" type="noConversion"/>
  </si>
  <si>
    <t>代理开发成本</t>
    <phoneticPr fontId="2" type="noConversion"/>
  </si>
  <si>
    <t>其他</t>
    <phoneticPr fontId="2" type="noConversion"/>
  </si>
  <si>
    <t>劳务成本结转</t>
    <phoneticPr fontId="2" type="noConversion"/>
  </si>
  <si>
    <t>研发支出</t>
    <phoneticPr fontId="2" type="noConversion"/>
  </si>
  <si>
    <t>工程施工</t>
    <phoneticPr fontId="2" type="noConversion"/>
  </si>
  <si>
    <t>不动产销售收入</t>
    <phoneticPr fontId="2" type="noConversion"/>
  </si>
  <si>
    <t>不动产租赁收入</t>
    <phoneticPr fontId="2" type="noConversion"/>
  </si>
  <si>
    <t>物业收入</t>
    <phoneticPr fontId="2" type="noConversion"/>
  </si>
  <si>
    <t>产品销售收入</t>
    <phoneticPr fontId="2" type="noConversion"/>
  </si>
  <si>
    <t>工程施工收入</t>
    <phoneticPr fontId="2" type="noConversion"/>
  </si>
  <si>
    <t>劳务收入</t>
    <phoneticPr fontId="2" type="noConversion"/>
  </si>
  <si>
    <t>其他经营收入</t>
    <phoneticPr fontId="2" type="noConversion"/>
  </si>
  <si>
    <t>公允价值变动损益</t>
    <phoneticPr fontId="2" type="noConversion"/>
  </si>
  <si>
    <t>不动产销售成本</t>
  </si>
  <si>
    <t>不动产租赁成本</t>
  </si>
  <si>
    <t>物业成本</t>
  </si>
  <si>
    <t>产品销售成本</t>
  </si>
  <si>
    <t>其他经营成本</t>
  </si>
  <si>
    <t>职工薪酬</t>
    <phoneticPr fontId="2" type="noConversion"/>
  </si>
  <si>
    <t>业务经费</t>
    <phoneticPr fontId="2" type="noConversion"/>
  </si>
  <si>
    <t>车辆费用</t>
    <phoneticPr fontId="2" type="noConversion"/>
  </si>
  <si>
    <t>通讯费</t>
    <phoneticPr fontId="2" type="noConversion"/>
  </si>
  <si>
    <t>会务费</t>
    <phoneticPr fontId="2" type="noConversion"/>
  </si>
  <si>
    <t>包装费</t>
    <phoneticPr fontId="2" type="noConversion"/>
  </si>
  <si>
    <t>运输费</t>
    <phoneticPr fontId="2" type="noConversion"/>
  </si>
  <si>
    <t>装卸费</t>
    <phoneticPr fontId="2" type="noConversion"/>
  </si>
  <si>
    <t>仓储保管费</t>
    <phoneticPr fontId="2" type="noConversion"/>
  </si>
  <si>
    <t>保险费</t>
    <phoneticPr fontId="2" type="noConversion"/>
  </si>
  <si>
    <t>销售服务费</t>
    <phoneticPr fontId="2" type="noConversion"/>
  </si>
  <si>
    <t>广告费</t>
    <phoneticPr fontId="2" type="noConversion"/>
  </si>
  <si>
    <t>样品及产品损耗</t>
    <phoneticPr fontId="2" type="noConversion"/>
  </si>
  <si>
    <t>委托代销手续费</t>
    <phoneticPr fontId="2" type="noConversion"/>
  </si>
  <si>
    <t>宣传展览费</t>
    <phoneticPr fontId="2" type="noConversion"/>
  </si>
  <si>
    <t>产权交易税费</t>
    <phoneticPr fontId="2" type="noConversion"/>
  </si>
  <si>
    <t>卖场装修费</t>
    <phoneticPr fontId="2" type="noConversion"/>
  </si>
  <si>
    <t>低值易耗品摊销</t>
    <phoneticPr fontId="2" type="noConversion"/>
  </si>
  <si>
    <t>其他</t>
    <phoneticPr fontId="2" type="noConversion"/>
  </si>
  <si>
    <t>业务招待费</t>
    <phoneticPr fontId="2" type="noConversion"/>
  </si>
  <si>
    <t>筹建费</t>
    <phoneticPr fontId="2" type="noConversion"/>
  </si>
  <si>
    <t>物管费</t>
    <phoneticPr fontId="2" type="noConversion"/>
  </si>
  <si>
    <t>修理费</t>
    <phoneticPr fontId="2" type="noConversion"/>
  </si>
  <si>
    <t>资产摊销</t>
    <phoneticPr fontId="2" type="noConversion"/>
  </si>
  <si>
    <t>存货盘亏及毁损</t>
    <phoneticPr fontId="2" type="noConversion"/>
  </si>
  <si>
    <t>水电费</t>
    <phoneticPr fontId="2" type="noConversion"/>
  </si>
  <si>
    <t>租赁费</t>
    <phoneticPr fontId="2" type="noConversion"/>
  </si>
  <si>
    <t>诉讼仲裁费</t>
    <phoneticPr fontId="2" type="noConversion"/>
  </si>
  <si>
    <t>聘请中介机构费</t>
  </si>
  <si>
    <t>咨询费</t>
  </si>
  <si>
    <t>研究与开发费用</t>
  </si>
  <si>
    <t>技术转让费</t>
  </si>
  <si>
    <t>董事会费</t>
  </si>
  <si>
    <t>排污费</t>
  </si>
  <si>
    <t>税费</t>
    <phoneticPr fontId="2" type="noConversion"/>
  </si>
  <si>
    <t>企业宣传费</t>
  </si>
  <si>
    <t>利息收入</t>
    <phoneticPr fontId="2" type="noConversion"/>
  </si>
  <si>
    <t>汇总差额</t>
    <phoneticPr fontId="2" type="noConversion"/>
  </si>
  <si>
    <t>现金折扣</t>
    <phoneticPr fontId="2" type="noConversion"/>
  </si>
  <si>
    <t>税费_印花税</t>
    <phoneticPr fontId="2" type="noConversion"/>
  </si>
  <si>
    <t>税费_车船使用税</t>
    <phoneticPr fontId="2" type="noConversion"/>
  </si>
  <si>
    <t>税费_土地使用税</t>
    <phoneticPr fontId="2" type="noConversion"/>
  </si>
  <si>
    <t>税费_房产税</t>
    <phoneticPr fontId="2" type="noConversion"/>
  </si>
  <si>
    <t>管理费用_税费_印花税</t>
  </si>
  <si>
    <t>应交税费_教育费附加</t>
    <phoneticPr fontId="2" type="noConversion"/>
  </si>
  <si>
    <t>应交税费_保险保障基金</t>
  </si>
  <si>
    <t>管理费用_企业宣传费</t>
  </si>
  <si>
    <t>主营业务收入_不动产销售收入</t>
  </si>
  <si>
    <t>主营业务收入_不动产租赁收入</t>
  </si>
  <si>
    <t>主营业务成本_不动产销售成本</t>
  </si>
  <si>
    <t>职工薪酬_工资</t>
    <phoneticPr fontId="2" type="noConversion"/>
  </si>
  <si>
    <t>职工薪酬_福利费用</t>
    <phoneticPr fontId="2" type="noConversion"/>
  </si>
  <si>
    <t>管理费用_职工薪酬_工资</t>
  </si>
  <si>
    <t>支付1月社保</t>
    <phoneticPr fontId="39" type="noConversion"/>
  </si>
  <si>
    <t>管理费用_保险费</t>
  </si>
  <si>
    <t>财务费用_手续费</t>
  </si>
  <si>
    <t>票据交换费</t>
    <phoneticPr fontId="39" type="noConversion"/>
  </si>
  <si>
    <t>企业网银费</t>
    <phoneticPr fontId="39" type="noConversion"/>
  </si>
  <si>
    <t>收一季度利息</t>
    <phoneticPr fontId="2" type="noConversion"/>
  </si>
  <si>
    <t>财务费用_利息收入</t>
  </si>
  <si>
    <t>电话银行年费</t>
    <phoneticPr fontId="39" type="noConversion"/>
  </si>
  <si>
    <t>支付3月社保</t>
    <phoneticPr fontId="39" type="noConversion"/>
  </si>
  <si>
    <t>支付增值税费</t>
    <phoneticPr fontId="2" type="noConversion"/>
  </si>
  <si>
    <t>应交税费_未交增值税</t>
  </si>
  <si>
    <t>增值税滞纳金</t>
    <phoneticPr fontId="2" type="noConversion"/>
  </si>
  <si>
    <t>营业外支出_罚款支出</t>
  </si>
  <si>
    <t>计提增值税费</t>
    <phoneticPr fontId="2" type="noConversion"/>
  </si>
  <si>
    <t>营业税金及附加</t>
    <phoneticPr fontId="2" type="noConversion"/>
  </si>
  <si>
    <t>支付5月税费</t>
    <phoneticPr fontId="2" type="noConversion"/>
  </si>
  <si>
    <t>收二季度利息</t>
    <phoneticPr fontId="2" type="noConversion"/>
  </si>
  <si>
    <t>支付6月税费</t>
    <phoneticPr fontId="2" type="noConversion"/>
  </si>
  <si>
    <t>支付7月税费</t>
    <phoneticPr fontId="2" type="noConversion"/>
  </si>
  <si>
    <t>支付8月税费</t>
    <phoneticPr fontId="2" type="noConversion"/>
  </si>
  <si>
    <t>收三季度利息</t>
    <phoneticPr fontId="2" type="noConversion"/>
  </si>
  <si>
    <t>结转2月利润</t>
    <phoneticPr fontId="2" type="noConversion"/>
  </si>
  <si>
    <t>结转3月利润</t>
    <phoneticPr fontId="2" type="noConversion"/>
  </si>
  <si>
    <t>结转4月利润</t>
    <phoneticPr fontId="2" type="noConversion"/>
  </si>
  <si>
    <t>结转5月利润</t>
    <phoneticPr fontId="2" type="noConversion"/>
  </si>
  <si>
    <t>计提5月税费</t>
    <phoneticPr fontId="2" type="noConversion"/>
  </si>
  <si>
    <t>结转6月利润</t>
    <phoneticPr fontId="2" type="noConversion"/>
  </si>
  <si>
    <t>结转7月利润</t>
    <phoneticPr fontId="2" type="noConversion"/>
  </si>
  <si>
    <t>计提6月税费</t>
    <phoneticPr fontId="2" type="noConversion"/>
  </si>
  <si>
    <t>计提7月税费</t>
    <phoneticPr fontId="2" type="noConversion"/>
  </si>
  <si>
    <t>结转8月利润</t>
    <phoneticPr fontId="2" type="noConversion"/>
  </si>
  <si>
    <t>计提8月税费</t>
    <phoneticPr fontId="2" type="noConversion"/>
  </si>
  <si>
    <t>结转9月利润</t>
    <phoneticPr fontId="2" type="noConversion"/>
  </si>
  <si>
    <t>结转10月利润</t>
    <phoneticPr fontId="2" type="noConversion"/>
  </si>
  <si>
    <t>记 账 凭 证</t>
    <phoneticPr fontId="43" type="noConversion"/>
  </si>
  <si>
    <t>凭证编号:</t>
  </si>
  <si>
    <t>摘    要</t>
    <phoneticPr fontId="43" type="noConversion"/>
  </si>
  <si>
    <t>科目代码</t>
    <phoneticPr fontId="43" type="noConversion"/>
  </si>
  <si>
    <t>会  计  科  目</t>
    <phoneticPr fontId="43" type="noConversion"/>
  </si>
  <si>
    <t>总账科目</t>
    <phoneticPr fontId="43" type="noConversion"/>
  </si>
  <si>
    <t>明细科目</t>
    <phoneticPr fontId="43" type="noConversion"/>
  </si>
  <si>
    <t>借方金额</t>
    <phoneticPr fontId="43" type="noConversion"/>
  </si>
  <si>
    <t>贷方金额</t>
    <phoneticPr fontId="43" type="noConversion"/>
  </si>
  <si>
    <t>合计:</t>
  </si>
  <si>
    <t>核准:</t>
  </si>
  <si>
    <t>过账:</t>
  </si>
  <si>
    <t>出纳:</t>
  </si>
  <si>
    <t>审核:</t>
  </si>
  <si>
    <t>附</t>
  </si>
  <si>
    <t>件</t>
  </si>
  <si>
    <t>张</t>
  </si>
  <si>
    <t>记 账 凭 证</t>
  </si>
  <si>
    <t>摘    要</t>
  </si>
  <si>
    <t>科目代码</t>
  </si>
  <si>
    <t>会  计  科  目</t>
  </si>
  <si>
    <t>总账科目</t>
  </si>
  <si>
    <t>明细科目</t>
  </si>
  <si>
    <t>借方金额</t>
  </si>
  <si>
    <t>贷方金额</t>
  </si>
  <si>
    <t>农业银行</t>
    <phoneticPr fontId="2" type="noConversion"/>
  </si>
  <si>
    <t>建设银行</t>
    <phoneticPr fontId="2" type="noConversion"/>
  </si>
  <si>
    <t>工商银行</t>
    <phoneticPr fontId="2" type="noConversion"/>
  </si>
  <si>
    <t>制单</t>
  </si>
  <si>
    <t>购房款_</t>
    <phoneticPr fontId="2" type="noConversion"/>
  </si>
  <si>
    <t>购房款_</t>
    <phoneticPr fontId="2" type="noConversion"/>
  </si>
  <si>
    <t>工程款_汽车城</t>
    <phoneticPr fontId="2" type="noConversion"/>
  </si>
  <si>
    <t>工程款_黄金总队</t>
    <phoneticPr fontId="2" type="noConversion"/>
  </si>
  <si>
    <t>工程款_</t>
    <phoneticPr fontId="2" type="noConversion"/>
  </si>
  <si>
    <t>关联单位往来_华西投资</t>
    <phoneticPr fontId="2" type="noConversion"/>
  </si>
  <si>
    <t>关联单位往来_青少年宫</t>
    <phoneticPr fontId="2" type="noConversion"/>
  </si>
  <si>
    <t>关联单位往来_日报咨询</t>
    <phoneticPr fontId="2" type="noConversion"/>
  </si>
  <si>
    <t>其他单位往来_建云工程</t>
    <phoneticPr fontId="2" type="noConversion"/>
  </si>
  <si>
    <t>其他单位往来_建浩工程</t>
    <phoneticPr fontId="2" type="noConversion"/>
  </si>
  <si>
    <t>其他单位往来_网动器材</t>
    <phoneticPr fontId="2" type="noConversion"/>
  </si>
  <si>
    <t>其他单位往来_联华工程</t>
    <phoneticPr fontId="2" type="noConversion"/>
  </si>
  <si>
    <t>其他单位往来_建工五司</t>
    <phoneticPr fontId="2" type="noConversion"/>
  </si>
  <si>
    <t>内部员工往来_张三</t>
    <phoneticPr fontId="2" type="noConversion"/>
  </si>
  <si>
    <t>内部员工往来_李四</t>
    <phoneticPr fontId="2" type="noConversion"/>
  </si>
  <si>
    <t>工程款_天源建材</t>
    <phoneticPr fontId="2" type="noConversion"/>
  </si>
  <si>
    <t>工程款_振豪水暖</t>
    <phoneticPr fontId="2" type="noConversion"/>
  </si>
  <si>
    <t>购房款_</t>
    <phoneticPr fontId="2" type="noConversion"/>
  </si>
  <si>
    <t>其他单位往来_乘风房开</t>
    <phoneticPr fontId="2" type="noConversion"/>
  </si>
  <si>
    <t>其他单位往来_天诚设备</t>
    <phoneticPr fontId="2" type="noConversion"/>
  </si>
  <si>
    <t>其他单位往来_铁明建材</t>
    <phoneticPr fontId="2" type="noConversion"/>
  </si>
  <si>
    <t>其他单位往来_山利建材</t>
    <phoneticPr fontId="2" type="noConversion"/>
  </si>
  <si>
    <t>其他单位往来_</t>
    <phoneticPr fontId="2" type="noConversion"/>
  </si>
  <si>
    <t>公司1</t>
    <phoneticPr fontId="2" type="noConversion"/>
  </si>
  <si>
    <t>公司2</t>
  </si>
  <si>
    <t>公司3</t>
  </si>
  <si>
    <t>四季花城</t>
  </si>
  <si>
    <t>四季花城</t>
    <phoneticPr fontId="2" type="noConversion"/>
  </si>
  <si>
    <t>四季花城_土地征用及拆迁费</t>
  </si>
  <si>
    <t>四季花城_前期工程费</t>
  </si>
  <si>
    <t>四季花城_基础设施费</t>
  </si>
  <si>
    <t>四季花城_建安工程费</t>
  </si>
  <si>
    <t>四季花城_园林环境费</t>
  </si>
  <si>
    <t>四季花城_公共配套费</t>
  </si>
  <si>
    <t>四季花城_开发间接费</t>
  </si>
  <si>
    <t>四季花城_资金成本</t>
  </si>
  <si>
    <t>四季花城_成本结转</t>
  </si>
  <si>
    <t>四季花城_职工薪酬</t>
  </si>
  <si>
    <t>四季花城_职工薪酬_工资</t>
  </si>
  <si>
    <t>四季花城_职工薪酬_福利费用</t>
  </si>
  <si>
    <t>四季花城_办公费</t>
  </si>
  <si>
    <t>四季花城_差旅费</t>
  </si>
  <si>
    <t>四季花城_业务招待费</t>
  </si>
  <si>
    <t>四季花城_车辆费用</t>
  </si>
  <si>
    <t>四季花城_通讯费</t>
  </si>
  <si>
    <t>四季花城_折旧费</t>
  </si>
  <si>
    <t>四季花城_会务费</t>
  </si>
  <si>
    <t>四季花城_租赁费</t>
  </si>
  <si>
    <t>四季花城_维修费</t>
  </si>
  <si>
    <t>四季花城_保险费</t>
  </si>
  <si>
    <t>四季花城_资产摊销</t>
  </si>
  <si>
    <t>四季花城_水电物管费</t>
  </si>
  <si>
    <t>四季花城_其他</t>
  </si>
  <si>
    <t>开发成本_四季花城_前期工程费</t>
  </si>
  <si>
    <t>目  录</t>
    <phoneticPr fontId="2" type="noConversion"/>
  </si>
  <si>
    <t>序号</t>
    <phoneticPr fontId="2" type="noConversion"/>
  </si>
  <si>
    <t>工作表名称</t>
    <phoneticPr fontId="2" type="noConversion"/>
  </si>
  <si>
    <t>科目余额表</t>
    <phoneticPr fontId="2" type="noConversion"/>
  </si>
  <si>
    <t>科目代码</t>
    <phoneticPr fontId="2" type="noConversion"/>
  </si>
  <si>
    <t>会计科目</t>
    <phoneticPr fontId="2" type="noConversion"/>
  </si>
  <si>
    <t>科目级次</t>
    <phoneticPr fontId="2" type="noConversion"/>
  </si>
  <si>
    <t>期初余额</t>
    <phoneticPr fontId="2" type="noConversion"/>
  </si>
  <si>
    <t>本期发生额</t>
    <phoneticPr fontId="2" type="noConversion"/>
  </si>
  <si>
    <t>本年发生额</t>
    <phoneticPr fontId="2" type="noConversion"/>
  </si>
  <si>
    <t>期末余额</t>
    <phoneticPr fontId="2" type="noConversion"/>
  </si>
  <si>
    <t>借方</t>
    <phoneticPr fontId="2" type="noConversion"/>
  </si>
  <si>
    <t>贷方</t>
    <phoneticPr fontId="2" type="noConversion"/>
  </si>
  <si>
    <t>借方</t>
    <phoneticPr fontId="2" type="noConversion"/>
  </si>
  <si>
    <t>查询年度</t>
    <phoneticPr fontId="2" type="noConversion"/>
  </si>
  <si>
    <t>年</t>
    <phoneticPr fontId="2" type="noConversion"/>
  </si>
  <si>
    <t>月</t>
    <phoneticPr fontId="2" type="noConversion"/>
  </si>
  <si>
    <t>记 账 凭 证</t>
    <phoneticPr fontId="2" type="noConversion"/>
  </si>
  <si>
    <t>记 账 凭 证</t>
    <phoneticPr fontId="2" type="noConversion"/>
  </si>
  <si>
    <t>日期:</t>
    <phoneticPr fontId="2" type="noConversion"/>
  </si>
  <si>
    <t>日期:</t>
    <phoneticPr fontId="2" type="noConversion"/>
  </si>
  <si>
    <t>年</t>
    <phoneticPr fontId="2" type="noConversion"/>
  </si>
  <si>
    <t>月</t>
    <phoneticPr fontId="2" type="noConversion"/>
  </si>
  <si>
    <r>
      <t xml:space="preserve">核算单位 </t>
    </r>
    <r>
      <rPr>
        <sz val="10"/>
        <rFont val="宋体"/>
        <family val="3"/>
        <charset val="134"/>
      </rPr>
      <t>Unit</t>
    </r>
    <phoneticPr fontId="2" type="noConversion"/>
  </si>
  <si>
    <r>
      <t xml:space="preserve">核算单位 </t>
    </r>
    <r>
      <rPr>
        <sz val="10"/>
        <rFont val="宋体"/>
        <family val="3"/>
        <charset val="134"/>
      </rPr>
      <t>Unit</t>
    </r>
    <phoneticPr fontId="2" type="noConversion"/>
  </si>
  <si>
    <t>编号:</t>
    <phoneticPr fontId="2" type="noConversion"/>
  </si>
  <si>
    <t>摘   要</t>
    <phoneticPr fontId="2" type="noConversion"/>
  </si>
  <si>
    <t>摘   要</t>
    <phoneticPr fontId="2" type="noConversion"/>
  </si>
  <si>
    <t>科目代码</t>
    <phoneticPr fontId="2" type="noConversion"/>
  </si>
  <si>
    <t>总账科目</t>
    <phoneticPr fontId="2" type="noConversion"/>
  </si>
  <si>
    <t>总账科目</t>
    <phoneticPr fontId="2" type="noConversion"/>
  </si>
  <si>
    <t>明细科目</t>
    <phoneticPr fontId="2" type="noConversion"/>
  </si>
  <si>
    <t>明细科目</t>
    <phoneticPr fontId="2" type="noConversion"/>
  </si>
  <si>
    <t>借方金额</t>
    <phoneticPr fontId="2" type="noConversion"/>
  </si>
  <si>
    <t>借方金额</t>
    <phoneticPr fontId="2" type="noConversion"/>
  </si>
  <si>
    <t>贷方金额</t>
    <phoneticPr fontId="2" type="noConversion"/>
  </si>
  <si>
    <t>贷方金额</t>
    <phoneticPr fontId="2" type="noConversion"/>
  </si>
  <si>
    <t>借  方  金  额</t>
    <phoneticPr fontId="2" type="noConversion"/>
  </si>
  <si>
    <t>借  方  金  额</t>
    <phoneticPr fontId="2" type="noConversion"/>
  </si>
  <si>
    <t>贷  方  金  额</t>
    <phoneticPr fontId="2" type="noConversion"/>
  </si>
  <si>
    <t>贷  方  金  额</t>
    <phoneticPr fontId="2" type="noConversion"/>
  </si>
  <si>
    <t>Summary</t>
    <phoneticPr fontId="2" type="noConversion"/>
  </si>
  <si>
    <t>Summary</t>
    <phoneticPr fontId="2" type="noConversion"/>
  </si>
  <si>
    <t>Account</t>
    <phoneticPr fontId="2" type="noConversion"/>
  </si>
  <si>
    <t>Account</t>
    <phoneticPr fontId="2" type="noConversion"/>
  </si>
  <si>
    <t>亿</t>
    <phoneticPr fontId="2" type="noConversion"/>
  </si>
  <si>
    <t>亿</t>
    <phoneticPr fontId="2" type="noConversion"/>
  </si>
  <si>
    <t>千</t>
    <phoneticPr fontId="2" type="noConversion"/>
  </si>
  <si>
    <t>千</t>
    <phoneticPr fontId="2" type="noConversion"/>
  </si>
  <si>
    <t>百</t>
    <phoneticPr fontId="2" type="noConversion"/>
  </si>
  <si>
    <t>百</t>
    <phoneticPr fontId="2" type="noConversion"/>
  </si>
  <si>
    <t>十</t>
    <phoneticPr fontId="2" type="noConversion"/>
  </si>
  <si>
    <t>十</t>
    <phoneticPr fontId="2" type="noConversion"/>
  </si>
  <si>
    <t>万</t>
    <phoneticPr fontId="2" type="noConversion"/>
  </si>
  <si>
    <t>万</t>
    <phoneticPr fontId="2" type="noConversion"/>
  </si>
  <si>
    <t>千</t>
    <phoneticPr fontId="2" type="noConversion"/>
  </si>
  <si>
    <t>百</t>
    <phoneticPr fontId="2" type="noConversion"/>
  </si>
  <si>
    <t>元</t>
    <phoneticPr fontId="2" type="noConversion"/>
  </si>
  <si>
    <t>元</t>
    <phoneticPr fontId="2" type="noConversion"/>
  </si>
  <si>
    <t>角</t>
    <phoneticPr fontId="2" type="noConversion"/>
  </si>
  <si>
    <t>角</t>
    <phoneticPr fontId="2" type="noConversion"/>
  </si>
  <si>
    <t>分</t>
    <phoneticPr fontId="2" type="noConversion"/>
  </si>
  <si>
    <t>分</t>
    <phoneticPr fontId="2" type="noConversion"/>
  </si>
  <si>
    <t>亿</t>
    <phoneticPr fontId="2" type="noConversion"/>
  </si>
  <si>
    <t>Number of Notes</t>
    <phoneticPr fontId="2" type="noConversion"/>
  </si>
  <si>
    <r>
      <t>合计</t>
    </r>
    <r>
      <rPr>
        <sz val="10"/>
        <rFont val="宋体"/>
        <family val="3"/>
        <charset val="134"/>
      </rPr>
      <t>Total</t>
    </r>
    <phoneticPr fontId="2" type="noConversion"/>
  </si>
  <si>
    <r>
      <t>合计</t>
    </r>
    <r>
      <rPr>
        <sz val="10"/>
        <rFont val="宋体"/>
        <family val="3"/>
        <charset val="134"/>
      </rPr>
      <t>Total</t>
    </r>
    <phoneticPr fontId="2" type="noConversion"/>
  </si>
  <si>
    <r>
      <t>记账人</t>
    </r>
    <r>
      <rPr>
        <sz val="9"/>
        <color rgb="FFFF0000"/>
        <rFont val="宋体"/>
        <family val="3"/>
        <charset val="134"/>
      </rPr>
      <t>Recorded by</t>
    </r>
    <phoneticPr fontId="2" type="noConversion"/>
  </si>
  <si>
    <r>
      <t>记账人</t>
    </r>
    <r>
      <rPr>
        <sz val="9"/>
        <color rgb="FFFF0000"/>
        <rFont val="宋体"/>
        <family val="3"/>
        <charset val="134"/>
      </rPr>
      <t>Recorded by</t>
    </r>
    <phoneticPr fontId="2" type="noConversion"/>
  </si>
  <si>
    <r>
      <t>复核人</t>
    </r>
    <r>
      <rPr>
        <sz val="9"/>
        <color rgb="FFFF0000"/>
        <rFont val="宋体"/>
        <family val="3"/>
        <charset val="134"/>
      </rPr>
      <t>Checked by</t>
    </r>
    <phoneticPr fontId="2" type="noConversion"/>
  </si>
  <si>
    <r>
      <t>复核人</t>
    </r>
    <r>
      <rPr>
        <sz val="9"/>
        <color rgb="FFFF0000"/>
        <rFont val="宋体"/>
        <family val="3"/>
        <charset val="134"/>
      </rPr>
      <t>Checked by</t>
    </r>
    <phoneticPr fontId="2" type="noConversion"/>
  </si>
  <si>
    <r>
      <t>制单人</t>
    </r>
    <r>
      <rPr>
        <sz val="9"/>
        <color rgb="FFFF0000"/>
        <rFont val="宋体"/>
        <family val="3"/>
        <charset val="134"/>
      </rPr>
      <t>Produced by</t>
    </r>
    <phoneticPr fontId="2" type="noConversion"/>
  </si>
  <si>
    <r>
      <t>制单人</t>
    </r>
    <r>
      <rPr>
        <sz val="9"/>
        <color rgb="FFFF0000"/>
        <rFont val="宋体"/>
        <family val="3"/>
        <charset val="134"/>
      </rPr>
      <t>Produced by</t>
    </r>
    <phoneticPr fontId="2" type="noConversion"/>
  </si>
  <si>
    <t>记 账 凭 证</t>
    <phoneticPr fontId="2" type="noConversion"/>
  </si>
  <si>
    <t>日期:</t>
    <phoneticPr fontId="2" type="noConversion"/>
  </si>
  <si>
    <r>
      <t xml:space="preserve">核算单位 </t>
    </r>
    <r>
      <rPr>
        <sz val="10"/>
        <rFont val="宋体"/>
        <family val="3"/>
        <charset val="134"/>
      </rPr>
      <t>Unit</t>
    </r>
    <phoneticPr fontId="2" type="noConversion"/>
  </si>
  <si>
    <t>编号:</t>
    <phoneticPr fontId="2" type="noConversion"/>
  </si>
  <si>
    <t>借方金额</t>
    <phoneticPr fontId="2" type="noConversion"/>
  </si>
  <si>
    <t>贷方金额</t>
    <phoneticPr fontId="2" type="noConversion"/>
  </si>
  <si>
    <t>借  方  金  额</t>
    <phoneticPr fontId="2" type="noConversion"/>
  </si>
  <si>
    <t>十</t>
    <phoneticPr fontId="2" type="noConversion"/>
  </si>
  <si>
    <t>万</t>
    <phoneticPr fontId="2" type="noConversion"/>
  </si>
  <si>
    <t>元</t>
    <phoneticPr fontId="2" type="noConversion"/>
  </si>
  <si>
    <t>角</t>
    <phoneticPr fontId="2" type="noConversion"/>
  </si>
  <si>
    <t>分</t>
    <phoneticPr fontId="2" type="noConversion"/>
  </si>
  <si>
    <r>
      <t>记账人</t>
    </r>
    <r>
      <rPr>
        <sz val="9"/>
        <color rgb="FFFF0000"/>
        <rFont val="宋体"/>
        <family val="3"/>
        <charset val="134"/>
      </rPr>
      <t>Recorded by</t>
    </r>
    <phoneticPr fontId="2" type="noConversion"/>
  </si>
  <si>
    <r>
      <t>复核人</t>
    </r>
    <r>
      <rPr>
        <sz val="9"/>
        <color rgb="FFFF0000"/>
        <rFont val="宋体"/>
        <family val="3"/>
        <charset val="134"/>
      </rPr>
      <t>Checked by</t>
    </r>
    <phoneticPr fontId="2" type="noConversion"/>
  </si>
  <si>
    <r>
      <t>制单人</t>
    </r>
    <r>
      <rPr>
        <sz val="9"/>
        <color rgb="FFFF0000"/>
        <rFont val="宋体"/>
        <family val="3"/>
        <charset val="134"/>
      </rPr>
      <t>Produced by</t>
    </r>
    <phoneticPr fontId="2" type="noConversion"/>
  </si>
  <si>
    <t>记 账 凭 证</t>
    <phoneticPr fontId="2" type="noConversion"/>
  </si>
  <si>
    <t>日期:</t>
    <phoneticPr fontId="2" type="noConversion"/>
  </si>
  <si>
    <r>
      <t xml:space="preserve">核算单位 </t>
    </r>
    <r>
      <rPr>
        <sz val="10"/>
        <rFont val="宋体"/>
        <family val="3"/>
        <charset val="134"/>
      </rPr>
      <t>Unit</t>
    </r>
    <phoneticPr fontId="2" type="noConversion"/>
  </si>
  <si>
    <t>编号:</t>
    <phoneticPr fontId="2" type="noConversion"/>
  </si>
  <si>
    <t>摘   要</t>
    <phoneticPr fontId="2" type="noConversion"/>
  </si>
  <si>
    <t>科目代码</t>
    <phoneticPr fontId="2" type="noConversion"/>
  </si>
  <si>
    <t>总账科目</t>
    <phoneticPr fontId="2" type="noConversion"/>
  </si>
  <si>
    <t>明细科目</t>
    <phoneticPr fontId="2" type="noConversion"/>
  </si>
  <si>
    <t>借方金额</t>
    <phoneticPr fontId="2" type="noConversion"/>
  </si>
  <si>
    <t>贷方金额</t>
    <phoneticPr fontId="2" type="noConversion"/>
  </si>
  <si>
    <t>借  方  金  额</t>
    <phoneticPr fontId="2" type="noConversion"/>
  </si>
  <si>
    <t>贷  方  金  额</t>
    <phoneticPr fontId="2" type="noConversion"/>
  </si>
  <si>
    <t>Summary</t>
    <phoneticPr fontId="2" type="noConversion"/>
  </si>
  <si>
    <t>Account</t>
    <phoneticPr fontId="2" type="noConversion"/>
  </si>
  <si>
    <t>亿</t>
    <phoneticPr fontId="2" type="noConversion"/>
  </si>
  <si>
    <t>千</t>
    <phoneticPr fontId="2" type="noConversion"/>
  </si>
  <si>
    <t>百</t>
    <phoneticPr fontId="2" type="noConversion"/>
  </si>
  <si>
    <t>十</t>
    <phoneticPr fontId="2" type="noConversion"/>
  </si>
  <si>
    <t>万</t>
    <phoneticPr fontId="2" type="noConversion"/>
  </si>
  <si>
    <t>元</t>
    <phoneticPr fontId="2" type="noConversion"/>
  </si>
  <si>
    <t>角</t>
    <phoneticPr fontId="2" type="noConversion"/>
  </si>
  <si>
    <t>分</t>
    <phoneticPr fontId="2" type="noConversion"/>
  </si>
  <si>
    <t>Number of Notes</t>
    <phoneticPr fontId="2" type="noConversion"/>
  </si>
  <si>
    <r>
      <t>合计</t>
    </r>
    <r>
      <rPr>
        <sz val="10"/>
        <rFont val="宋体"/>
        <family val="3"/>
        <charset val="134"/>
      </rPr>
      <t>Total</t>
    </r>
    <phoneticPr fontId="2" type="noConversion"/>
  </si>
  <si>
    <r>
      <t>合计</t>
    </r>
    <r>
      <rPr>
        <sz val="10"/>
        <rFont val="宋体"/>
        <family val="3"/>
        <charset val="134"/>
      </rPr>
      <t>Total</t>
    </r>
    <phoneticPr fontId="2" type="noConversion"/>
  </si>
  <si>
    <r>
      <t>记账人</t>
    </r>
    <r>
      <rPr>
        <sz val="9"/>
        <color rgb="FFFF0000"/>
        <rFont val="宋体"/>
        <family val="3"/>
        <charset val="134"/>
      </rPr>
      <t>Recorded by</t>
    </r>
    <phoneticPr fontId="2" type="noConversion"/>
  </si>
  <si>
    <r>
      <t>复核人</t>
    </r>
    <r>
      <rPr>
        <sz val="9"/>
        <color rgb="FFFF0000"/>
        <rFont val="宋体"/>
        <family val="3"/>
        <charset val="134"/>
      </rPr>
      <t>Checked by</t>
    </r>
    <phoneticPr fontId="2" type="noConversion"/>
  </si>
  <si>
    <r>
      <t>制单人</t>
    </r>
    <r>
      <rPr>
        <sz val="9"/>
        <color rgb="FFFF0000"/>
        <rFont val="宋体"/>
        <family val="3"/>
        <charset val="134"/>
      </rPr>
      <t>Produced by</t>
    </r>
    <phoneticPr fontId="2" type="noConversion"/>
  </si>
  <si>
    <t>记 账 凭 证</t>
    <phoneticPr fontId="2" type="noConversion"/>
  </si>
  <si>
    <t>日期:</t>
    <phoneticPr fontId="2" type="noConversion"/>
  </si>
  <si>
    <r>
      <t xml:space="preserve">核算单位 </t>
    </r>
    <r>
      <rPr>
        <sz val="10"/>
        <rFont val="宋体"/>
        <family val="3"/>
        <charset val="134"/>
      </rPr>
      <t>Unit</t>
    </r>
    <phoneticPr fontId="2" type="noConversion"/>
  </si>
  <si>
    <t>编号:</t>
    <phoneticPr fontId="2" type="noConversion"/>
  </si>
  <si>
    <t>摘   要</t>
    <phoneticPr fontId="2" type="noConversion"/>
  </si>
  <si>
    <t>科目代码</t>
    <phoneticPr fontId="2" type="noConversion"/>
  </si>
  <si>
    <t>总账科目</t>
    <phoneticPr fontId="2" type="noConversion"/>
  </si>
  <si>
    <t>明细科目</t>
    <phoneticPr fontId="2" type="noConversion"/>
  </si>
  <si>
    <t>借方金额</t>
    <phoneticPr fontId="2" type="noConversion"/>
  </si>
  <si>
    <t>贷方金额</t>
    <phoneticPr fontId="2" type="noConversion"/>
  </si>
  <si>
    <t>借  方  金  额</t>
    <phoneticPr fontId="2" type="noConversion"/>
  </si>
  <si>
    <t>贷  方  金  额</t>
    <phoneticPr fontId="2" type="noConversion"/>
  </si>
  <si>
    <t>Summary</t>
    <phoneticPr fontId="2" type="noConversion"/>
  </si>
  <si>
    <t>Account</t>
    <phoneticPr fontId="2" type="noConversion"/>
  </si>
  <si>
    <t>亿</t>
    <phoneticPr fontId="2" type="noConversion"/>
  </si>
  <si>
    <t>千</t>
    <phoneticPr fontId="2" type="noConversion"/>
  </si>
  <si>
    <t>百</t>
    <phoneticPr fontId="2" type="noConversion"/>
  </si>
  <si>
    <t>十</t>
    <phoneticPr fontId="2" type="noConversion"/>
  </si>
  <si>
    <t>万</t>
    <phoneticPr fontId="2" type="noConversion"/>
  </si>
  <si>
    <t>元</t>
    <phoneticPr fontId="2" type="noConversion"/>
  </si>
  <si>
    <t>角</t>
    <phoneticPr fontId="2" type="noConversion"/>
  </si>
  <si>
    <t>分</t>
    <phoneticPr fontId="2" type="noConversion"/>
  </si>
  <si>
    <t>Number of Notes</t>
    <phoneticPr fontId="2" type="noConversion"/>
  </si>
  <si>
    <r>
      <t>合计</t>
    </r>
    <r>
      <rPr>
        <sz val="10"/>
        <rFont val="宋体"/>
        <family val="3"/>
        <charset val="134"/>
      </rPr>
      <t>Total</t>
    </r>
    <phoneticPr fontId="2" type="noConversion"/>
  </si>
  <si>
    <r>
      <t>记账人</t>
    </r>
    <r>
      <rPr>
        <sz val="9"/>
        <color rgb="FFFF0000"/>
        <rFont val="宋体"/>
        <family val="3"/>
        <charset val="134"/>
      </rPr>
      <t>Recorded by</t>
    </r>
    <phoneticPr fontId="2" type="noConversion"/>
  </si>
  <si>
    <r>
      <t>复核人</t>
    </r>
    <r>
      <rPr>
        <sz val="9"/>
        <color rgb="FFFF0000"/>
        <rFont val="宋体"/>
        <family val="3"/>
        <charset val="134"/>
      </rPr>
      <t>Checked by</t>
    </r>
    <phoneticPr fontId="2" type="noConversion"/>
  </si>
  <si>
    <r>
      <t>制单人</t>
    </r>
    <r>
      <rPr>
        <sz val="9"/>
        <color rgb="FFFF0000"/>
        <rFont val="宋体"/>
        <family val="3"/>
        <charset val="134"/>
      </rPr>
      <t>Produced by</t>
    </r>
    <phoneticPr fontId="2" type="noConversion"/>
  </si>
  <si>
    <t>记 账 凭 证</t>
    <phoneticPr fontId="2" type="noConversion"/>
  </si>
  <si>
    <t>日期:</t>
    <phoneticPr fontId="2" type="noConversion"/>
  </si>
  <si>
    <r>
      <t xml:space="preserve">核算单位 </t>
    </r>
    <r>
      <rPr>
        <sz val="10"/>
        <rFont val="宋体"/>
        <family val="3"/>
        <charset val="134"/>
      </rPr>
      <t>Unit</t>
    </r>
    <phoneticPr fontId="2" type="noConversion"/>
  </si>
  <si>
    <t>编号:</t>
    <phoneticPr fontId="2" type="noConversion"/>
  </si>
  <si>
    <t>摘   要</t>
    <phoneticPr fontId="2" type="noConversion"/>
  </si>
  <si>
    <t>科目代码</t>
    <phoneticPr fontId="2" type="noConversion"/>
  </si>
  <si>
    <t>总账科目</t>
    <phoneticPr fontId="2" type="noConversion"/>
  </si>
  <si>
    <t>明细科目</t>
    <phoneticPr fontId="2" type="noConversion"/>
  </si>
  <si>
    <t>借方金额</t>
    <phoneticPr fontId="2" type="noConversion"/>
  </si>
  <si>
    <t>贷方金额</t>
    <phoneticPr fontId="2" type="noConversion"/>
  </si>
  <si>
    <t>借  方  金  额</t>
    <phoneticPr fontId="2" type="noConversion"/>
  </si>
  <si>
    <t>贷  方  金  额</t>
    <phoneticPr fontId="2" type="noConversion"/>
  </si>
  <si>
    <t>Summary</t>
    <phoneticPr fontId="2" type="noConversion"/>
  </si>
  <si>
    <t>Account</t>
    <phoneticPr fontId="2" type="noConversion"/>
  </si>
  <si>
    <t>亿</t>
    <phoneticPr fontId="2" type="noConversion"/>
  </si>
  <si>
    <t>千</t>
    <phoneticPr fontId="2" type="noConversion"/>
  </si>
  <si>
    <t>百</t>
    <phoneticPr fontId="2" type="noConversion"/>
  </si>
  <si>
    <t>十</t>
    <phoneticPr fontId="2" type="noConversion"/>
  </si>
  <si>
    <t>万</t>
    <phoneticPr fontId="2" type="noConversion"/>
  </si>
  <si>
    <t>元</t>
    <phoneticPr fontId="2" type="noConversion"/>
  </si>
  <si>
    <t>角</t>
    <phoneticPr fontId="2" type="noConversion"/>
  </si>
  <si>
    <t>分</t>
    <phoneticPr fontId="2" type="noConversion"/>
  </si>
  <si>
    <t>Number of Notes</t>
    <phoneticPr fontId="2" type="noConversion"/>
  </si>
  <si>
    <r>
      <t>合计</t>
    </r>
    <r>
      <rPr>
        <sz val="10"/>
        <rFont val="宋体"/>
        <family val="3"/>
        <charset val="134"/>
      </rPr>
      <t>Total</t>
    </r>
    <phoneticPr fontId="2" type="noConversion"/>
  </si>
  <si>
    <r>
      <t>记账人</t>
    </r>
    <r>
      <rPr>
        <sz val="9"/>
        <color rgb="FFFF0000"/>
        <rFont val="宋体"/>
        <family val="3"/>
        <charset val="134"/>
      </rPr>
      <t>Recorded by</t>
    </r>
    <phoneticPr fontId="2" type="noConversion"/>
  </si>
  <si>
    <r>
      <t>复核人</t>
    </r>
    <r>
      <rPr>
        <sz val="9"/>
        <color rgb="FFFF0000"/>
        <rFont val="宋体"/>
        <family val="3"/>
        <charset val="134"/>
      </rPr>
      <t>Checked by</t>
    </r>
    <phoneticPr fontId="2" type="noConversion"/>
  </si>
  <si>
    <r>
      <t>制单人</t>
    </r>
    <r>
      <rPr>
        <sz val="9"/>
        <color rgb="FFFF0000"/>
        <rFont val="宋体"/>
        <family val="3"/>
        <charset val="134"/>
      </rPr>
      <t>Produced by</t>
    </r>
    <phoneticPr fontId="2" type="noConversion"/>
  </si>
  <si>
    <t>记 账 凭 证</t>
    <phoneticPr fontId="2" type="noConversion"/>
  </si>
  <si>
    <t>日期:</t>
    <phoneticPr fontId="2" type="noConversion"/>
  </si>
  <si>
    <r>
      <t xml:space="preserve">核算单位 </t>
    </r>
    <r>
      <rPr>
        <sz val="10"/>
        <rFont val="宋体"/>
        <family val="3"/>
        <charset val="134"/>
      </rPr>
      <t>Unit</t>
    </r>
    <phoneticPr fontId="2" type="noConversion"/>
  </si>
  <si>
    <t>编号:</t>
    <phoneticPr fontId="2" type="noConversion"/>
  </si>
  <si>
    <t>摘   要</t>
    <phoneticPr fontId="2" type="noConversion"/>
  </si>
  <si>
    <t>科目代码</t>
    <phoneticPr fontId="2" type="noConversion"/>
  </si>
  <si>
    <t>总账科目</t>
    <phoneticPr fontId="2" type="noConversion"/>
  </si>
  <si>
    <t>明细科目</t>
    <phoneticPr fontId="2" type="noConversion"/>
  </si>
  <si>
    <t>借方金额</t>
    <phoneticPr fontId="2" type="noConversion"/>
  </si>
  <si>
    <t>贷方金额</t>
    <phoneticPr fontId="2" type="noConversion"/>
  </si>
  <si>
    <t>借  方  金  额</t>
    <phoneticPr fontId="2" type="noConversion"/>
  </si>
  <si>
    <t>贷  方  金  额</t>
    <phoneticPr fontId="2" type="noConversion"/>
  </si>
  <si>
    <t>Summary</t>
    <phoneticPr fontId="2" type="noConversion"/>
  </si>
  <si>
    <t>Account</t>
    <phoneticPr fontId="2" type="noConversion"/>
  </si>
  <si>
    <t>亿</t>
    <phoneticPr fontId="2" type="noConversion"/>
  </si>
  <si>
    <t>千</t>
    <phoneticPr fontId="2" type="noConversion"/>
  </si>
  <si>
    <t>百</t>
    <phoneticPr fontId="2" type="noConversion"/>
  </si>
  <si>
    <t>十</t>
    <phoneticPr fontId="2" type="noConversion"/>
  </si>
  <si>
    <t>万</t>
    <phoneticPr fontId="2" type="noConversion"/>
  </si>
  <si>
    <t>元</t>
    <phoneticPr fontId="2" type="noConversion"/>
  </si>
  <si>
    <t>角</t>
    <phoneticPr fontId="2" type="noConversion"/>
  </si>
  <si>
    <t>分</t>
    <phoneticPr fontId="2" type="noConversion"/>
  </si>
  <si>
    <r>
      <t>合计</t>
    </r>
    <r>
      <rPr>
        <sz val="10"/>
        <rFont val="宋体"/>
        <family val="3"/>
        <charset val="134"/>
      </rPr>
      <t>Total</t>
    </r>
    <phoneticPr fontId="2" type="noConversion"/>
  </si>
  <si>
    <r>
      <t>记账人</t>
    </r>
    <r>
      <rPr>
        <sz val="9"/>
        <color rgb="FFFF0000"/>
        <rFont val="宋体"/>
        <family val="3"/>
        <charset val="134"/>
      </rPr>
      <t>Recorded by</t>
    </r>
    <phoneticPr fontId="2" type="noConversion"/>
  </si>
  <si>
    <r>
      <t>复核人</t>
    </r>
    <r>
      <rPr>
        <sz val="9"/>
        <color rgb="FFFF0000"/>
        <rFont val="宋体"/>
        <family val="3"/>
        <charset val="134"/>
      </rPr>
      <t>Checked by</t>
    </r>
    <phoneticPr fontId="2" type="noConversion"/>
  </si>
  <si>
    <r>
      <t>制单人</t>
    </r>
    <r>
      <rPr>
        <sz val="9"/>
        <color rgb="FFFF0000"/>
        <rFont val="宋体"/>
        <family val="3"/>
        <charset val="134"/>
      </rPr>
      <t>Produced by</t>
    </r>
    <phoneticPr fontId="2" type="noConversion"/>
  </si>
  <si>
    <t>记 账 凭 证</t>
    <phoneticPr fontId="2" type="noConversion"/>
  </si>
  <si>
    <t>日期:</t>
    <phoneticPr fontId="2" type="noConversion"/>
  </si>
  <si>
    <r>
      <t xml:space="preserve">核算单位 </t>
    </r>
    <r>
      <rPr>
        <sz val="10"/>
        <rFont val="宋体"/>
        <family val="3"/>
        <charset val="134"/>
      </rPr>
      <t>Unit</t>
    </r>
    <phoneticPr fontId="2" type="noConversion"/>
  </si>
  <si>
    <t>编号:</t>
    <phoneticPr fontId="2" type="noConversion"/>
  </si>
  <si>
    <t>摘   要</t>
    <phoneticPr fontId="2" type="noConversion"/>
  </si>
  <si>
    <t>科目代码</t>
    <phoneticPr fontId="2" type="noConversion"/>
  </si>
  <si>
    <t>总账科目</t>
    <phoneticPr fontId="2" type="noConversion"/>
  </si>
  <si>
    <t>明细科目</t>
    <phoneticPr fontId="2" type="noConversion"/>
  </si>
  <si>
    <t>借方金额</t>
    <phoneticPr fontId="2" type="noConversion"/>
  </si>
  <si>
    <t>贷方金额</t>
    <phoneticPr fontId="2" type="noConversion"/>
  </si>
  <si>
    <t>借  方  金  额</t>
    <phoneticPr fontId="2" type="noConversion"/>
  </si>
  <si>
    <t>贷  方  金  额</t>
    <phoneticPr fontId="2" type="noConversion"/>
  </si>
  <si>
    <t>Summary</t>
    <phoneticPr fontId="2" type="noConversion"/>
  </si>
  <si>
    <t>Account</t>
    <phoneticPr fontId="2" type="noConversion"/>
  </si>
  <si>
    <t>亿</t>
    <phoneticPr fontId="2" type="noConversion"/>
  </si>
  <si>
    <t>千</t>
    <phoneticPr fontId="2" type="noConversion"/>
  </si>
  <si>
    <t>百</t>
    <phoneticPr fontId="2" type="noConversion"/>
  </si>
  <si>
    <t>十</t>
    <phoneticPr fontId="2" type="noConversion"/>
  </si>
  <si>
    <t>万</t>
    <phoneticPr fontId="2" type="noConversion"/>
  </si>
  <si>
    <t>元</t>
    <phoneticPr fontId="2" type="noConversion"/>
  </si>
  <si>
    <t>角</t>
    <phoneticPr fontId="2" type="noConversion"/>
  </si>
  <si>
    <t>分</t>
    <phoneticPr fontId="2" type="noConversion"/>
  </si>
  <si>
    <t>Number of Notes</t>
    <phoneticPr fontId="2" type="noConversion"/>
  </si>
  <si>
    <r>
      <t>合计</t>
    </r>
    <r>
      <rPr>
        <sz val="10"/>
        <rFont val="宋体"/>
        <family val="3"/>
        <charset val="134"/>
      </rPr>
      <t>Total</t>
    </r>
    <phoneticPr fontId="2" type="noConversion"/>
  </si>
  <si>
    <r>
      <t>记账人</t>
    </r>
    <r>
      <rPr>
        <sz val="9"/>
        <color rgb="FFFF0000"/>
        <rFont val="宋体"/>
        <family val="3"/>
        <charset val="134"/>
      </rPr>
      <t>Recorded by</t>
    </r>
    <phoneticPr fontId="2" type="noConversion"/>
  </si>
  <si>
    <r>
      <t>复核人</t>
    </r>
    <r>
      <rPr>
        <sz val="9"/>
        <color rgb="FFFF0000"/>
        <rFont val="宋体"/>
        <family val="3"/>
        <charset val="134"/>
      </rPr>
      <t>Checked by</t>
    </r>
    <phoneticPr fontId="2" type="noConversion"/>
  </si>
  <si>
    <r>
      <t>制单人</t>
    </r>
    <r>
      <rPr>
        <sz val="9"/>
        <color rgb="FFFF0000"/>
        <rFont val="宋体"/>
        <family val="3"/>
        <charset val="134"/>
      </rPr>
      <t>Produced by</t>
    </r>
    <phoneticPr fontId="2" type="noConversion"/>
  </si>
  <si>
    <t>记 账 凭 证</t>
    <phoneticPr fontId="2" type="noConversion"/>
  </si>
  <si>
    <t>日期:</t>
    <phoneticPr fontId="2" type="noConversion"/>
  </si>
  <si>
    <r>
      <t xml:space="preserve">核算单位 </t>
    </r>
    <r>
      <rPr>
        <sz val="10"/>
        <rFont val="宋体"/>
        <family val="3"/>
        <charset val="134"/>
      </rPr>
      <t>Unit</t>
    </r>
    <phoneticPr fontId="2" type="noConversion"/>
  </si>
  <si>
    <t>编号:</t>
    <phoneticPr fontId="2" type="noConversion"/>
  </si>
  <si>
    <t>摘   要</t>
    <phoneticPr fontId="2" type="noConversion"/>
  </si>
  <si>
    <t>科目代码</t>
    <phoneticPr fontId="2" type="noConversion"/>
  </si>
  <si>
    <t>总账科目</t>
    <phoneticPr fontId="2" type="noConversion"/>
  </si>
  <si>
    <t>明细科目</t>
    <phoneticPr fontId="2" type="noConversion"/>
  </si>
  <si>
    <t>借方金额</t>
    <phoneticPr fontId="2" type="noConversion"/>
  </si>
  <si>
    <t>贷方金额</t>
    <phoneticPr fontId="2" type="noConversion"/>
  </si>
  <si>
    <t>借  方  金  额</t>
    <phoneticPr fontId="2" type="noConversion"/>
  </si>
  <si>
    <t>贷  方  金  额</t>
    <phoneticPr fontId="2" type="noConversion"/>
  </si>
  <si>
    <t>Summary</t>
    <phoneticPr fontId="2" type="noConversion"/>
  </si>
  <si>
    <t>Account</t>
    <phoneticPr fontId="2" type="noConversion"/>
  </si>
  <si>
    <t>亿</t>
    <phoneticPr fontId="2" type="noConversion"/>
  </si>
  <si>
    <t>千</t>
    <phoneticPr fontId="2" type="noConversion"/>
  </si>
  <si>
    <t>百</t>
    <phoneticPr fontId="2" type="noConversion"/>
  </si>
  <si>
    <t>十</t>
    <phoneticPr fontId="2" type="noConversion"/>
  </si>
  <si>
    <t>万</t>
    <phoneticPr fontId="2" type="noConversion"/>
  </si>
  <si>
    <t>元</t>
    <phoneticPr fontId="2" type="noConversion"/>
  </si>
  <si>
    <t>角</t>
    <phoneticPr fontId="2" type="noConversion"/>
  </si>
  <si>
    <t>分</t>
    <phoneticPr fontId="2" type="noConversion"/>
  </si>
  <si>
    <t>Number of Notes</t>
    <phoneticPr fontId="2" type="noConversion"/>
  </si>
  <si>
    <r>
      <t>合计</t>
    </r>
    <r>
      <rPr>
        <sz val="10"/>
        <rFont val="宋体"/>
        <family val="3"/>
        <charset val="134"/>
      </rPr>
      <t>Total</t>
    </r>
    <phoneticPr fontId="2" type="noConversion"/>
  </si>
  <si>
    <r>
      <t>记账人</t>
    </r>
    <r>
      <rPr>
        <sz val="9"/>
        <color rgb="FFFF0000"/>
        <rFont val="宋体"/>
        <family val="3"/>
        <charset val="134"/>
      </rPr>
      <t>Recorded by</t>
    </r>
    <phoneticPr fontId="2" type="noConversion"/>
  </si>
  <si>
    <r>
      <t>复核人</t>
    </r>
    <r>
      <rPr>
        <sz val="9"/>
        <color rgb="FFFF0000"/>
        <rFont val="宋体"/>
        <family val="3"/>
        <charset val="134"/>
      </rPr>
      <t>Checked by</t>
    </r>
    <phoneticPr fontId="2" type="noConversion"/>
  </si>
  <si>
    <r>
      <t>制单人</t>
    </r>
    <r>
      <rPr>
        <sz val="9"/>
        <color rgb="FFFF0000"/>
        <rFont val="宋体"/>
        <family val="3"/>
        <charset val="134"/>
      </rPr>
      <t>Produced by</t>
    </r>
    <phoneticPr fontId="2" type="noConversion"/>
  </si>
  <si>
    <t>记 账 凭 证</t>
    <phoneticPr fontId="2" type="noConversion"/>
  </si>
  <si>
    <t>日期:</t>
    <phoneticPr fontId="2" type="noConversion"/>
  </si>
  <si>
    <r>
      <t xml:space="preserve">核算单位 </t>
    </r>
    <r>
      <rPr>
        <sz val="10"/>
        <rFont val="宋体"/>
        <family val="3"/>
        <charset val="134"/>
      </rPr>
      <t>Unit</t>
    </r>
    <phoneticPr fontId="2" type="noConversion"/>
  </si>
  <si>
    <t>编号:</t>
    <phoneticPr fontId="2" type="noConversion"/>
  </si>
  <si>
    <t>摘   要</t>
    <phoneticPr fontId="2" type="noConversion"/>
  </si>
  <si>
    <t>科目代码</t>
    <phoneticPr fontId="2" type="noConversion"/>
  </si>
  <si>
    <t>总账科目</t>
    <phoneticPr fontId="2" type="noConversion"/>
  </si>
  <si>
    <t>明细科目</t>
    <phoneticPr fontId="2" type="noConversion"/>
  </si>
  <si>
    <t>借方金额</t>
    <phoneticPr fontId="2" type="noConversion"/>
  </si>
  <si>
    <t>贷方金额</t>
    <phoneticPr fontId="2" type="noConversion"/>
  </si>
  <si>
    <t>借  方  金  额</t>
    <phoneticPr fontId="2" type="noConversion"/>
  </si>
  <si>
    <t>贷  方  金  额</t>
    <phoneticPr fontId="2" type="noConversion"/>
  </si>
  <si>
    <t>Summary</t>
    <phoneticPr fontId="2" type="noConversion"/>
  </si>
  <si>
    <t>Account</t>
    <phoneticPr fontId="2" type="noConversion"/>
  </si>
  <si>
    <t>亿</t>
    <phoneticPr fontId="2" type="noConversion"/>
  </si>
  <si>
    <t>千</t>
    <phoneticPr fontId="2" type="noConversion"/>
  </si>
  <si>
    <t>百</t>
    <phoneticPr fontId="2" type="noConversion"/>
  </si>
  <si>
    <t>十</t>
    <phoneticPr fontId="2" type="noConversion"/>
  </si>
  <si>
    <t>万</t>
    <phoneticPr fontId="2" type="noConversion"/>
  </si>
  <si>
    <t>元</t>
    <phoneticPr fontId="2" type="noConversion"/>
  </si>
  <si>
    <t>角</t>
    <phoneticPr fontId="2" type="noConversion"/>
  </si>
  <si>
    <t>分</t>
    <phoneticPr fontId="2" type="noConversion"/>
  </si>
  <si>
    <t>Number of Notes</t>
    <phoneticPr fontId="2" type="noConversion"/>
  </si>
  <si>
    <r>
      <t>合计</t>
    </r>
    <r>
      <rPr>
        <sz val="10"/>
        <rFont val="宋体"/>
        <family val="3"/>
        <charset val="134"/>
      </rPr>
      <t>Total</t>
    </r>
    <phoneticPr fontId="2" type="noConversion"/>
  </si>
  <si>
    <t>一、营业收入</t>
    <phoneticPr fontId="2" type="noConversion"/>
  </si>
  <si>
    <r>
      <t>财务费用</t>
    </r>
    <r>
      <rPr>
        <sz val="10"/>
        <color rgb="FFFF0000"/>
        <rFont val="宋体"/>
        <family val="3"/>
        <charset val="134"/>
      </rPr>
      <t>(收益以“－”号填列)</t>
    </r>
    <phoneticPr fontId="2" type="noConversion"/>
  </si>
  <si>
    <t>资产减值损失</t>
    <phoneticPr fontId="2" type="noConversion"/>
  </si>
  <si>
    <r>
      <t>加:公允价值变动收益</t>
    </r>
    <r>
      <rPr>
        <sz val="10"/>
        <color rgb="FFFF0000"/>
        <rFont val="宋体"/>
        <family val="3"/>
        <charset val="134"/>
      </rPr>
      <t>(损失以“－”号填列)</t>
    </r>
    <phoneticPr fontId="2" type="noConversion"/>
  </si>
  <si>
    <r>
      <t>投资收益</t>
    </r>
    <r>
      <rPr>
        <sz val="10"/>
        <color rgb="FFFF0000"/>
        <rFont val="宋体"/>
        <family val="3"/>
        <charset val="134"/>
      </rPr>
      <t>(损失以“－”号填列)</t>
    </r>
    <phoneticPr fontId="2" type="noConversion"/>
  </si>
  <si>
    <t>其中:对联营企业和合营企业的投资收益</t>
    <phoneticPr fontId="2" type="noConversion"/>
  </si>
  <si>
    <r>
      <rPr>
        <sz val="14"/>
        <rFont val="宋体"/>
        <family val="3"/>
        <charset val="134"/>
      </rPr>
      <t>二、营业利润</t>
    </r>
    <r>
      <rPr>
        <sz val="12"/>
        <color rgb="FFFF0000"/>
        <rFont val="宋体"/>
        <family val="3"/>
        <charset val="134"/>
      </rPr>
      <t>(</t>
    </r>
    <r>
      <rPr>
        <sz val="10"/>
        <color rgb="FFFF0000"/>
        <rFont val="宋体"/>
        <family val="3"/>
        <charset val="134"/>
      </rPr>
      <t>亏损以“－”号填列)</t>
    </r>
    <phoneticPr fontId="2" type="noConversion"/>
  </si>
  <si>
    <t>加:营业外收入</t>
    <phoneticPr fontId="2" type="noConversion"/>
  </si>
  <si>
    <t>减:营业外支出</t>
    <phoneticPr fontId="2" type="noConversion"/>
  </si>
  <si>
    <r>
      <t>其中:非流动资产处置净损失</t>
    </r>
    <r>
      <rPr>
        <sz val="10"/>
        <color rgb="FFFF0000"/>
        <rFont val="宋体"/>
        <family val="3"/>
        <charset val="134"/>
      </rPr>
      <t>(净收益以“—”号填列)</t>
    </r>
    <phoneticPr fontId="2" type="noConversion"/>
  </si>
  <si>
    <r>
      <t>三、利润总额</t>
    </r>
    <r>
      <rPr>
        <sz val="10"/>
        <color rgb="FFFF0000"/>
        <rFont val="宋体"/>
        <family val="3"/>
        <charset val="134"/>
      </rPr>
      <t>(亏损总额以“－”号填列)</t>
    </r>
    <phoneticPr fontId="2" type="noConversion"/>
  </si>
  <si>
    <t>减:所得税费用</t>
    <phoneticPr fontId="2" type="noConversion"/>
  </si>
  <si>
    <r>
      <t>四、净利润</t>
    </r>
    <r>
      <rPr>
        <sz val="10"/>
        <color rgb="FFFF0000"/>
        <rFont val="宋体"/>
        <family val="3"/>
        <charset val="134"/>
      </rPr>
      <t>(净亏损以“－”号填列)</t>
    </r>
    <phoneticPr fontId="2" type="noConversion"/>
  </si>
  <si>
    <t>五、每股收益:</t>
    <phoneticPr fontId="2" type="noConversion"/>
  </si>
  <si>
    <t>六、其他综合收益:</t>
    <phoneticPr fontId="2" type="noConversion"/>
  </si>
  <si>
    <t>七、综合收益总额:</t>
    <phoneticPr fontId="2" type="noConversion"/>
  </si>
  <si>
    <t>减:营业成本</t>
    <phoneticPr fontId="2" type="noConversion"/>
  </si>
  <si>
    <t>营业税金及附加</t>
    <phoneticPr fontId="2" type="noConversion"/>
  </si>
  <si>
    <t>销售费用</t>
    <phoneticPr fontId="2" type="noConversion"/>
  </si>
  <si>
    <t>管理费用</t>
    <phoneticPr fontId="2" type="noConversion"/>
  </si>
  <si>
    <t>汇   总   凭   证</t>
    <phoneticPr fontId="2" type="noConversion"/>
  </si>
  <si>
    <t>编号</t>
    <phoneticPr fontId="2" type="noConversion"/>
  </si>
  <si>
    <t>字</t>
    <phoneticPr fontId="2" type="noConversion"/>
  </si>
  <si>
    <t>第</t>
    <phoneticPr fontId="2" type="noConversion"/>
  </si>
  <si>
    <t>号</t>
    <phoneticPr fontId="2" type="noConversion"/>
  </si>
  <si>
    <t>查询年度</t>
    <phoneticPr fontId="2" type="noConversion"/>
  </si>
  <si>
    <t>年</t>
    <phoneticPr fontId="2" type="noConversion"/>
  </si>
  <si>
    <t>月</t>
    <phoneticPr fontId="2" type="noConversion"/>
  </si>
  <si>
    <t>页</t>
    <phoneticPr fontId="2" type="noConversion"/>
  </si>
  <si>
    <t>共</t>
    <phoneticPr fontId="2" type="noConversion"/>
  </si>
  <si>
    <t xml:space="preserve">   金             额</t>
    <phoneticPr fontId="2" type="noConversion"/>
  </si>
  <si>
    <t>凭证</t>
    <phoneticPr fontId="2" type="noConversion"/>
  </si>
  <si>
    <t>借方</t>
    <phoneticPr fontId="2" type="noConversion"/>
  </si>
  <si>
    <t>科    目    名    称</t>
  </si>
  <si>
    <t>贷方</t>
    <phoneticPr fontId="2" type="noConversion"/>
  </si>
  <si>
    <t>过      账</t>
    <phoneticPr fontId="2" type="noConversion"/>
  </si>
  <si>
    <t xml:space="preserve">   金             额</t>
    <phoneticPr fontId="2" type="noConversion"/>
  </si>
  <si>
    <t>是否</t>
    <phoneticPr fontId="2" type="noConversion"/>
  </si>
  <si>
    <t>亿</t>
    <phoneticPr fontId="2" type="noConversion"/>
  </si>
  <si>
    <t>千</t>
    <phoneticPr fontId="2" type="noConversion"/>
  </si>
  <si>
    <t>百</t>
    <phoneticPr fontId="2" type="noConversion"/>
  </si>
  <si>
    <t>十</t>
    <phoneticPr fontId="2" type="noConversion"/>
  </si>
  <si>
    <t>千</t>
    <phoneticPr fontId="2" type="noConversion"/>
  </si>
  <si>
    <t>角</t>
    <phoneticPr fontId="2" type="noConversion"/>
  </si>
  <si>
    <t>分</t>
    <phoneticPr fontId="2" type="noConversion"/>
  </si>
  <si>
    <t>张数</t>
    <phoneticPr fontId="2" type="noConversion"/>
  </si>
  <si>
    <t>金额</t>
    <phoneticPr fontId="2" type="noConversion"/>
  </si>
  <si>
    <t>金额</t>
    <phoneticPr fontId="2" type="noConversion"/>
  </si>
  <si>
    <t>册</t>
    <phoneticPr fontId="2" type="noConversion"/>
  </si>
  <si>
    <t>筛选</t>
    <phoneticPr fontId="2" type="noConversion"/>
  </si>
  <si>
    <t>本月合计</t>
    <phoneticPr fontId="2" type="noConversion"/>
  </si>
  <si>
    <t>总      账</t>
    <phoneticPr fontId="2" type="noConversion"/>
  </si>
  <si>
    <t>一级科目</t>
    <phoneticPr fontId="2" type="noConversion"/>
  </si>
  <si>
    <t>银行存款</t>
  </si>
  <si>
    <t>科目代码</t>
    <phoneticPr fontId="2" type="noConversion"/>
  </si>
  <si>
    <t>总账科目</t>
    <phoneticPr fontId="2" type="noConversion"/>
  </si>
  <si>
    <t>凭</t>
    <phoneticPr fontId="2" type="noConversion"/>
  </si>
  <si>
    <t>证</t>
    <phoneticPr fontId="2" type="noConversion"/>
  </si>
  <si>
    <r>
      <t xml:space="preserve"> 摘                    </t>
    </r>
    <r>
      <rPr>
        <sz val="12"/>
        <rFont val="宋体"/>
        <family val="3"/>
        <charset val="134"/>
      </rPr>
      <t>要</t>
    </r>
    <phoneticPr fontId="2" type="noConversion"/>
  </si>
  <si>
    <t>借方</t>
    <phoneticPr fontId="2" type="noConversion"/>
  </si>
  <si>
    <t>借</t>
    <phoneticPr fontId="2" type="noConversion"/>
  </si>
  <si>
    <t>贷方</t>
    <phoneticPr fontId="2" type="noConversion"/>
  </si>
  <si>
    <t>贷</t>
    <phoneticPr fontId="2" type="noConversion"/>
  </si>
  <si>
    <t>借或贷</t>
  </si>
  <si>
    <t>余额</t>
    <phoneticPr fontId="2" type="noConversion"/>
  </si>
  <si>
    <t>余      额</t>
    <phoneticPr fontId="2" type="noConversion"/>
  </si>
  <si>
    <t>月</t>
    <phoneticPr fontId="2" type="noConversion"/>
  </si>
  <si>
    <t>日</t>
    <phoneticPr fontId="2" type="noConversion"/>
  </si>
  <si>
    <t>种类</t>
    <phoneticPr fontId="2" type="noConversion"/>
  </si>
  <si>
    <t>号数</t>
    <phoneticPr fontId="2" type="noConversion"/>
  </si>
  <si>
    <t>(外汇收支应说明原币及汇率)</t>
    <phoneticPr fontId="2" type="noConversion"/>
  </si>
  <si>
    <t>亿</t>
    <phoneticPr fontId="2" type="noConversion"/>
  </si>
  <si>
    <t>千</t>
    <phoneticPr fontId="2" type="noConversion"/>
  </si>
  <si>
    <t>百</t>
    <phoneticPr fontId="2" type="noConversion"/>
  </si>
  <si>
    <t>十</t>
    <phoneticPr fontId="2" type="noConversion"/>
  </si>
  <si>
    <t>万</t>
    <phoneticPr fontId="2" type="noConversion"/>
  </si>
  <si>
    <t>元</t>
    <phoneticPr fontId="2" type="noConversion"/>
  </si>
  <si>
    <t>角</t>
    <phoneticPr fontId="2" type="noConversion"/>
  </si>
  <si>
    <t>分</t>
    <phoneticPr fontId="2" type="noConversion"/>
  </si>
  <si>
    <t>上年结转</t>
  </si>
  <si>
    <t>其他货币资金</t>
  </si>
  <si>
    <t>本月合计</t>
  </si>
  <si>
    <t>交易性金融资产</t>
  </si>
  <si>
    <t>本年累计</t>
  </si>
  <si>
    <t>应收票据</t>
  </si>
  <si>
    <t>本月合计</t>
    <phoneticPr fontId="2" type="noConversion"/>
  </si>
  <si>
    <t>应收账款</t>
  </si>
  <si>
    <t>本年累计</t>
    <phoneticPr fontId="2" type="noConversion"/>
  </si>
  <si>
    <t>预付账款</t>
  </si>
  <si>
    <t>本月合计</t>
    <phoneticPr fontId="2" type="noConversion"/>
  </si>
  <si>
    <t>应收股利</t>
  </si>
  <si>
    <t>应收利息</t>
  </si>
  <si>
    <t>其他应收款</t>
  </si>
  <si>
    <t>内部往来</t>
  </si>
  <si>
    <t>坏账准备</t>
  </si>
  <si>
    <t>材料采购</t>
  </si>
  <si>
    <t>在途物资</t>
  </si>
  <si>
    <t>库存材料</t>
  </si>
  <si>
    <t>材料成本差异</t>
  </si>
  <si>
    <t>委托加工物资</t>
  </si>
  <si>
    <t>周转材料</t>
  </si>
  <si>
    <t>存货跌价准备</t>
  </si>
  <si>
    <t>持有至到期投资</t>
  </si>
  <si>
    <t>持有至到期投资减值准备</t>
  </si>
  <si>
    <t>长期股权投资</t>
  </si>
  <si>
    <t>长期股权投资减值准备</t>
  </si>
  <si>
    <t>本月合计</t>
    <phoneticPr fontId="2" type="noConversion"/>
  </si>
  <si>
    <t>投资性房地产</t>
  </si>
  <si>
    <t>长期应收款</t>
  </si>
  <si>
    <t>未实现融资收益</t>
  </si>
  <si>
    <t>固定资产</t>
  </si>
  <si>
    <t>累计折旧</t>
  </si>
  <si>
    <t>固定资产减值准备</t>
  </si>
  <si>
    <t>在建工程</t>
  </si>
  <si>
    <t>工程物资</t>
  </si>
  <si>
    <t>固定资产清理</t>
  </si>
  <si>
    <t>累计摊销</t>
  </si>
  <si>
    <t>无形资产减值准备</t>
  </si>
  <si>
    <t>长期待摊费用</t>
  </si>
  <si>
    <t>递延所得税资产</t>
  </si>
  <si>
    <t>待处理财产损溢</t>
  </si>
  <si>
    <t>短期借款</t>
  </si>
  <si>
    <t>交易性金融负债</t>
  </si>
  <si>
    <t>预收账款</t>
  </si>
  <si>
    <t>长期借款</t>
  </si>
  <si>
    <t>应付债券</t>
  </si>
  <si>
    <t>长期应付款</t>
  </si>
  <si>
    <t>专项应付款</t>
  </si>
  <si>
    <t>递延所得税负债</t>
  </si>
  <si>
    <t>实收资本(或股本)</t>
  </si>
  <si>
    <t>利润分配</t>
  </si>
  <si>
    <t>库存股</t>
  </si>
  <si>
    <t>工程施工</t>
  </si>
  <si>
    <t>工程结算</t>
  </si>
  <si>
    <t>机械作业</t>
  </si>
  <si>
    <t>营业收入</t>
  </si>
  <si>
    <t>其他业务收入</t>
  </si>
  <si>
    <t>公允价值变动收益</t>
  </si>
  <si>
    <t>投资收益</t>
  </si>
  <si>
    <t>营业外收入</t>
  </si>
  <si>
    <t>营业成本</t>
  </si>
  <si>
    <t>其他业务成本</t>
  </si>
  <si>
    <t>财务费用</t>
  </si>
  <si>
    <t>资产减值损失</t>
  </si>
  <si>
    <t>营业外支出</t>
  </si>
  <si>
    <t>所得税费用</t>
  </si>
  <si>
    <t>以前年度损益调整</t>
  </si>
  <si>
    <t>月份</t>
    <phoneticPr fontId="2" type="noConversion"/>
  </si>
  <si>
    <t>合计</t>
    <phoneticPr fontId="26" type="noConversion"/>
  </si>
  <si>
    <t>子目或户名</t>
    <phoneticPr fontId="2" type="noConversion"/>
  </si>
  <si>
    <t>笔数</t>
    <phoneticPr fontId="26" type="noConversion"/>
  </si>
  <si>
    <t>凭    证</t>
    <phoneticPr fontId="2" type="noConversion"/>
  </si>
  <si>
    <t>摘        要</t>
    <phoneticPr fontId="2" type="noConversion"/>
  </si>
  <si>
    <t>借      方</t>
    <phoneticPr fontId="2" type="noConversion"/>
  </si>
  <si>
    <t>借            方</t>
    <phoneticPr fontId="2" type="noConversion"/>
  </si>
  <si>
    <t>贷      方</t>
    <phoneticPr fontId="2" type="noConversion"/>
  </si>
  <si>
    <t>贷            方</t>
    <phoneticPr fontId="2" type="noConversion"/>
  </si>
  <si>
    <t>借或贷</t>
    <phoneticPr fontId="2" type="noConversion"/>
  </si>
  <si>
    <t>余      额</t>
    <phoneticPr fontId="2" type="noConversion"/>
  </si>
  <si>
    <t>余            额</t>
    <phoneticPr fontId="2" type="noConversion"/>
  </si>
  <si>
    <t>行数</t>
    <phoneticPr fontId="26" type="noConversion"/>
  </si>
  <si>
    <t>种类</t>
    <phoneticPr fontId="2" type="noConversion"/>
  </si>
  <si>
    <t>号数</t>
    <phoneticPr fontId="2" type="noConversion"/>
  </si>
  <si>
    <t>期初余额</t>
    <phoneticPr fontId="2" type="noConversion"/>
  </si>
  <si>
    <t>农业银行_人民支行</t>
  </si>
  <si>
    <t>银行存款_农业银行_人民支行</t>
  </si>
  <si>
    <t>购房款_中国集团有限公司</t>
    <phoneticPr fontId="2" type="noConversion"/>
  </si>
  <si>
    <t>购房款_中国股份有限公司</t>
    <phoneticPr fontId="2" type="noConversion"/>
  </si>
  <si>
    <r>
      <t>4</t>
    </r>
    <r>
      <rPr>
        <sz val="12"/>
        <rFont val="宋体"/>
        <family val="3"/>
        <charset val="134"/>
      </rPr>
      <t xml:space="preserve"> 1/2</t>
    </r>
    <phoneticPr fontId="2" type="noConversion"/>
  </si>
  <si>
    <t>4 2/2</t>
    <phoneticPr fontId="2" type="noConversion"/>
  </si>
  <si>
    <t>4 1/2</t>
    <phoneticPr fontId="43" type="noConversion"/>
  </si>
  <si>
    <t>4 2/2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</si>
</sst>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.00_ "/>
    <numFmt numFmtId="177" formatCode="#,##0_ "/>
    <numFmt numFmtId="178" formatCode="yyyy&quot;年&quot;m&quot;月&quot;;@"/>
    <numFmt numFmtId="179" formatCode="yyyy&quot;年&quot;m&quot;月&quot;d&quot;日&quot;;@"/>
    <numFmt numFmtId="180" formatCode="[DBNum1][$-804]yyyy&quot;年&quot;m&quot;月&quot;d&quot;日&quot;;@"/>
    <numFmt numFmtId="181" formatCode="_-* #,##0.00_-;\-* #,##0.00_-;_-* &quot;-&quot;??_-;_-@_-"/>
    <numFmt numFmtId="182" formatCode="[$-F800]dddd\,\ mmmm\ dd\,\ yyyy"/>
    <numFmt numFmtId="183" formatCode="0.00_ "/>
    <numFmt numFmtId="184" formatCode="_(* #,##0.00_);_(* \(#,##0.00\);_(* &quot;-&quot;??_);_(@_)"/>
  </numFmts>
  <fonts count="66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20"/>
      <name val="宋体"/>
      <family val="3"/>
      <charset val="134"/>
    </font>
    <font>
      <sz val="24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theme="1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indexed="12"/>
      <name val="宋体"/>
      <family val="3"/>
      <charset val="134"/>
    </font>
    <font>
      <sz val="12"/>
      <color rgb="FFFF000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2"/>
      <color rgb="FF0070C0"/>
      <name val="宋体"/>
      <family val="3"/>
      <charset val="134"/>
    </font>
    <font>
      <u val="doubleAccounting"/>
      <sz val="24"/>
      <color rgb="FF0070C0"/>
      <name val="宋体"/>
      <family val="3"/>
      <charset val="134"/>
    </font>
    <font>
      <u val="doubleAccounting"/>
      <sz val="12"/>
      <color rgb="FF0070C0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8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24"/>
      <color theme="10"/>
      <name val="宋体"/>
      <family val="3"/>
      <charset val="134"/>
    </font>
    <font>
      <sz val="10"/>
      <color rgb="FF000000"/>
      <name val="Tahoma"/>
      <family val="2"/>
    </font>
    <font>
      <u/>
      <sz val="18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b/>
      <sz val="18"/>
      <name val="宋体"/>
      <family val="3"/>
      <charset val="134"/>
    </font>
    <font>
      <b/>
      <sz val="20"/>
      <color rgb="FF00B0F0"/>
      <name val="宋体"/>
      <family val="3"/>
      <charset val="134"/>
    </font>
    <font>
      <sz val="11"/>
      <color indexed="8"/>
      <name val="宋体"/>
      <family val="3"/>
      <charset val="134"/>
    </font>
    <font>
      <sz val="14"/>
      <name val="宋体"/>
      <family val="3"/>
      <charset val="134"/>
    </font>
    <font>
      <b/>
      <sz val="12"/>
      <name val="宋体"/>
      <family val="3"/>
      <charset val="134"/>
    </font>
    <font>
      <sz val="10"/>
      <name val="Arial"/>
      <family val="2"/>
    </font>
    <font>
      <b/>
      <sz val="24"/>
      <color indexed="8"/>
      <name val="宋体"/>
      <family val="3"/>
      <charset val="134"/>
    </font>
    <font>
      <sz val="13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0"/>
      <name val="Arial Narrow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24"/>
      <color rgb="FF0070C0"/>
      <name val="宋体"/>
      <family val="3"/>
      <charset val="134"/>
    </font>
    <font>
      <sz val="9"/>
      <name val="宋体"/>
      <family val="3"/>
      <charset val="134"/>
    </font>
    <font>
      <sz val="24"/>
      <name val="宋体"/>
      <family val="3"/>
      <charset val="134"/>
    </font>
    <font>
      <sz val="16"/>
      <color rgb="FF0070C0"/>
      <name val="宋体"/>
      <family val="3"/>
      <charset val="134"/>
    </font>
    <font>
      <sz val="16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8"/>
      <color theme="10"/>
      <name val="宋体"/>
      <family val="3"/>
      <charset val="134"/>
    </font>
    <font>
      <sz val="16"/>
      <color theme="10"/>
      <name val="宋体"/>
      <family val="3"/>
      <charset val="134"/>
    </font>
    <font>
      <sz val="12"/>
      <color theme="10"/>
      <name val="宋体"/>
      <family val="3"/>
      <charset val="134"/>
    </font>
    <font>
      <sz val="22"/>
      <name val="宋体"/>
      <family val="3"/>
      <charset val="134"/>
    </font>
    <font>
      <b/>
      <sz val="22"/>
      <name val="宋体"/>
      <family val="3"/>
      <charset val="134"/>
    </font>
    <font>
      <sz val="10"/>
      <color theme="0"/>
      <name val="宋体"/>
      <family val="3"/>
      <charset val="134"/>
    </font>
    <font>
      <sz val="9"/>
      <name val="Arial"/>
      <family val="2"/>
    </font>
    <font>
      <sz val="12"/>
      <name val="Arial"/>
      <family val="2"/>
    </font>
    <font>
      <sz val="9"/>
      <color rgb="FFFF0000"/>
      <name val="宋体"/>
      <family val="3"/>
      <charset val="134"/>
    </font>
    <font>
      <sz val="11"/>
      <color rgb="FF0070C0"/>
      <name val="宋体"/>
      <family val="3"/>
      <charset val="134"/>
    </font>
    <font>
      <sz val="26"/>
      <name val="宋体"/>
      <family val="3"/>
      <charset val="134"/>
    </font>
    <font>
      <sz val="18"/>
      <color rgb="FF0070C0"/>
      <name val="宋体"/>
      <family val="3"/>
      <charset val="134"/>
    </font>
    <font>
      <u/>
      <sz val="14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12"/>
      <name val="宋体"/>
      <family val="3"/>
      <charset val="134"/>
    </font>
    <font>
      <sz val="11"/>
      <color theme="0"/>
      <name val="宋体"/>
      <family val="3"/>
      <charset val="134"/>
    </font>
  </fonts>
  <fills count="47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gradientFill type="path" left="0.5" right="0.5" top="0.5" bottom="0.5">
        <stop position="0">
          <color theme="9" tint="-0.25098422193060094"/>
        </stop>
        <stop position="1">
          <color theme="6" tint="0.40000610370189521"/>
        </stop>
      </gradient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12"/>
      </right>
      <top style="thin">
        <color indexed="12"/>
      </top>
      <bottom style="hair">
        <color indexed="12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rgb="FFFF0000"/>
      </left>
      <right style="hair">
        <color rgb="FFFF0000"/>
      </right>
      <top style="thin">
        <color rgb="FFFF0000"/>
      </top>
      <bottom style="hair">
        <color rgb="FFFF0000"/>
      </bottom>
      <diagonal/>
    </border>
    <border>
      <left style="hair">
        <color rgb="FFFF0000"/>
      </left>
      <right style="hair">
        <color rgb="FFFF0000"/>
      </right>
      <top style="thin">
        <color rgb="FFFF0000"/>
      </top>
      <bottom style="hair">
        <color rgb="FFFF0000"/>
      </bottom>
      <diagonal/>
    </border>
    <border>
      <left style="hair">
        <color rgb="FFFF0000"/>
      </left>
      <right/>
      <top style="thin">
        <color rgb="FFFF0000"/>
      </top>
      <bottom style="hair">
        <color rgb="FFFF0000"/>
      </bottom>
      <diagonal/>
    </border>
    <border>
      <left style="double">
        <color rgb="FFFF0000"/>
      </left>
      <right style="hair">
        <color rgb="FFFF0000"/>
      </right>
      <top style="thin">
        <color rgb="FFFF0000"/>
      </top>
      <bottom style="hair">
        <color rgb="FFFF0000"/>
      </bottom>
      <diagonal/>
    </border>
    <border>
      <left style="hair">
        <color rgb="FFFF0000"/>
      </left>
      <right style="double">
        <color rgb="FFFF0000"/>
      </right>
      <top style="thin">
        <color rgb="FFFF0000"/>
      </top>
      <bottom style="hair">
        <color rgb="FFFF0000"/>
      </bottom>
      <diagonal/>
    </border>
    <border>
      <left/>
      <right style="hair">
        <color rgb="FFFF0000"/>
      </right>
      <top style="thin">
        <color rgb="FFFF0000"/>
      </top>
      <bottom style="hair">
        <color rgb="FFFF0000"/>
      </bottom>
      <diagonal/>
    </border>
    <border>
      <left style="thin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>
      <left style="hair">
        <color rgb="FFFF0000"/>
      </left>
      <right/>
      <top style="hair">
        <color rgb="FFFF0000"/>
      </top>
      <bottom style="hair">
        <color rgb="FFFF0000"/>
      </bottom>
      <diagonal/>
    </border>
    <border>
      <left style="double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>
      <left style="hair">
        <color rgb="FFFF0000"/>
      </left>
      <right style="double">
        <color rgb="FFFF0000"/>
      </right>
      <top style="hair">
        <color rgb="FFFF0000"/>
      </top>
      <bottom style="hair">
        <color rgb="FFFF0000"/>
      </bottom>
      <diagonal/>
    </border>
    <border>
      <left/>
      <right style="hair">
        <color rgb="FFFF0000"/>
      </right>
      <top style="hair">
        <color rgb="FFFF0000"/>
      </top>
      <bottom style="hair">
        <color rgb="FFFF0000"/>
      </bottom>
      <diagonal/>
    </border>
    <border>
      <left style="hair">
        <color rgb="FFFF0000"/>
      </left>
      <right style="thin">
        <color rgb="FFFF0000"/>
      </right>
      <top style="hair">
        <color rgb="FFFF0000"/>
      </top>
      <bottom style="hair">
        <color rgb="FFFF0000"/>
      </bottom>
      <diagonal/>
    </border>
    <border>
      <left style="thin">
        <color rgb="FFFF0000"/>
      </left>
      <right style="hair">
        <color rgb="FFFF0000"/>
      </right>
      <top style="hair">
        <color rgb="FFFF0000"/>
      </top>
      <bottom style="thin">
        <color rgb="FFFF0000"/>
      </bottom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thin">
        <color rgb="FFFF0000"/>
      </bottom>
      <diagonal/>
    </border>
    <border>
      <left style="hair">
        <color rgb="FFFF0000"/>
      </left>
      <right/>
      <top style="hair">
        <color rgb="FFFF0000"/>
      </top>
      <bottom style="thin">
        <color rgb="FFFF0000"/>
      </bottom>
      <diagonal/>
    </border>
    <border>
      <left/>
      <right/>
      <top style="hair">
        <color rgb="FFFF0000"/>
      </top>
      <bottom style="thin">
        <color rgb="FFFF0000"/>
      </bottom>
      <diagonal/>
    </border>
    <border>
      <left style="double">
        <color rgb="FFFF0000"/>
      </left>
      <right style="hair">
        <color rgb="FFFF0000"/>
      </right>
      <top style="hair">
        <color rgb="FFFF0000"/>
      </top>
      <bottom style="thin">
        <color rgb="FFFF0000"/>
      </bottom>
      <diagonal/>
    </border>
    <border>
      <left style="hair">
        <color rgb="FFFF0000"/>
      </left>
      <right style="double">
        <color rgb="FFFF0000"/>
      </right>
      <top style="hair">
        <color rgb="FFFF0000"/>
      </top>
      <bottom style="thin">
        <color rgb="FFFF0000"/>
      </bottom>
      <diagonal/>
    </border>
    <border>
      <left/>
      <right style="hair">
        <color rgb="FFFF0000"/>
      </right>
      <top style="hair">
        <color rgb="FFFF0000"/>
      </top>
      <bottom style="thin">
        <color rgb="FFFF0000"/>
      </bottom>
      <diagonal/>
    </border>
    <border>
      <left style="hair">
        <color rgb="FFFF0000"/>
      </left>
      <right style="thin">
        <color rgb="FFFF0000"/>
      </right>
      <top style="hair">
        <color rgb="FFFF0000"/>
      </top>
      <bottom style="thin">
        <color rgb="FFFF000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double">
        <color theme="0"/>
      </left>
      <right style="double">
        <color indexed="64"/>
      </right>
      <top style="double">
        <color theme="0"/>
      </top>
      <bottom style="double">
        <color indexed="64"/>
      </bottom>
      <diagonal/>
    </border>
    <border>
      <left/>
      <right/>
      <top style="double">
        <color auto="1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hair">
        <color rgb="FFFF0000"/>
      </right>
      <top style="thin">
        <color rgb="FFFF0000"/>
      </top>
      <bottom/>
      <diagonal/>
    </border>
    <border>
      <left/>
      <right/>
      <top style="thin">
        <color rgb="FFFF0000"/>
      </top>
      <bottom style="hair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 style="hair">
        <color rgb="FFFF0000"/>
      </right>
      <top style="thin">
        <color rgb="FFFF0000"/>
      </top>
      <bottom/>
      <diagonal/>
    </border>
    <border>
      <left style="double">
        <color rgb="FFFF0000"/>
      </left>
      <right style="hair">
        <color rgb="FFFF0000"/>
      </right>
      <top style="thin">
        <color rgb="FFFF0000"/>
      </top>
      <bottom/>
      <diagonal/>
    </border>
    <border>
      <left style="hair">
        <color rgb="FFFF0000"/>
      </left>
      <right style="hair">
        <color rgb="FFFF0000"/>
      </right>
      <top style="thin">
        <color rgb="FFFF0000"/>
      </top>
      <bottom/>
      <diagonal/>
    </border>
    <border>
      <left style="hair">
        <color rgb="FFFF0000"/>
      </left>
      <right style="double">
        <color rgb="FFFF0000"/>
      </right>
      <top style="thin">
        <color rgb="FFFF0000"/>
      </top>
      <bottom/>
      <diagonal/>
    </border>
    <border>
      <left style="double">
        <color rgb="FFFF0000"/>
      </left>
      <right/>
      <top/>
      <bottom/>
      <diagonal/>
    </border>
    <border>
      <left style="thin">
        <color rgb="FFFF0000"/>
      </left>
      <right style="hair">
        <color rgb="FFFF0000"/>
      </right>
      <top/>
      <bottom/>
      <diagonal/>
    </border>
    <border>
      <left/>
      <right/>
      <top style="hair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 style="hair">
        <color rgb="FFFF0000"/>
      </right>
      <top/>
      <bottom/>
      <diagonal/>
    </border>
    <border>
      <left style="thin">
        <color rgb="FFFF0000"/>
      </left>
      <right style="hair">
        <color rgb="FFFF0000"/>
      </right>
      <top style="hair">
        <color rgb="FFFF0000"/>
      </top>
      <bottom/>
      <diagonal/>
    </border>
    <border>
      <left style="hair">
        <color rgb="FFFF0000"/>
      </left>
      <right style="thin">
        <color rgb="FFFF0000"/>
      </right>
      <top style="thin">
        <color rgb="FFFF0000"/>
      </top>
      <bottom style="hair">
        <color rgb="FFFF0000"/>
      </bottom>
      <diagonal/>
    </border>
    <border>
      <left style="thin">
        <color rgb="FFFF0000"/>
      </left>
      <right/>
      <top style="hair">
        <color rgb="FFFF0000"/>
      </top>
      <bottom style="hair">
        <color rgb="FFFF0000"/>
      </bottom>
      <diagonal/>
    </border>
    <border>
      <left style="thin">
        <color rgb="FFFF0000"/>
      </left>
      <right style="thin">
        <color rgb="FFFF0000"/>
      </right>
      <top style="hair">
        <color rgb="FFFF0000"/>
      </top>
      <bottom style="hair">
        <color rgb="FFFF0000"/>
      </bottom>
      <diagonal/>
    </border>
    <border>
      <left/>
      <right/>
      <top style="hair">
        <color rgb="FFFF0000"/>
      </top>
      <bottom style="hair">
        <color rgb="FFFF0000"/>
      </bottom>
      <diagonal/>
    </border>
    <border>
      <left style="thin">
        <color rgb="FFFF0000"/>
      </left>
      <right/>
      <top style="hair">
        <color rgb="FFFF0000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rgb="FFFF0000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thin">
        <color auto="1"/>
      </left>
      <right style="hair">
        <color rgb="FFFF0000"/>
      </right>
      <top style="thin">
        <color auto="1"/>
      </top>
      <bottom style="hair">
        <color rgb="FFFF0000"/>
      </bottom>
      <diagonal/>
    </border>
    <border>
      <left style="hair">
        <color rgb="FFFF0000"/>
      </left>
      <right style="hair">
        <color rgb="FFFF0000"/>
      </right>
      <top style="thin">
        <color auto="1"/>
      </top>
      <bottom style="hair">
        <color rgb="FFFF0000"/>
      </bottom>
      <diagonal/>
    </border>
    <border>
      <left style="hair">
        <color rgb="FFFF0000"/>
      </left>
      <right style="thin">
        <color rgb="FFFF0000"/>
      </right>
      <top style="thin">
        <color auto="1"/>
      </top>
      <bottom style="hair">
        <color rgb="FFFF0000"/>
      </bottom>
      <diagonal/>
    </border>
    <border>
      <left style="thin">
        <color rgb="FFFF0000"/>
      </left>
      <right style="hair">
        <color rgb="FFFF0000"/>
      </right>
      <top style="thin">
        <color auto="1"/>
      </top>
      <bottom style="thin">
        <color auto="1"/>
      </bottom>
      <diagonal/>
    </border>
    <border>
      <left style="hair">
        <color rgb="FFFF0000"/>
      </left>
      <right style="hair">
        <color rgb="FFFF0000"/>
      </right>
      <top style="thin">
        <color auto="1"/>
      </top>
      <bottom style="thin">
        <color auto="1"/>
      </bottom>
      <diagonal/>
    </border>
    <border>
      <left style="hair">
        <color rgb="FFFF0000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/>
      <right style="hair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hair">
        <color rgb="FFFF0000"/>
      </right>
      <top style="thin">
        <color auto="1"/>
      </top>
      <bottom style="hair">
        <color rgb="FFFF0000"/>
      </bottom>
      <diagonal/>
    </border>
    <border>
      <left style="hair">
        <color rgb="FFFF0000"/>
      </left>
      <right style="double">
        <color rgb="FFFF0000"/>
      </right>
      <top style="thin">
        <color auto="1"/>
      </top>
      <bottom style="hair">
        <color rgb="FFFF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hair">
        <color rgb="FFFF0000"/>
      </right>
      <top style="thin">
        <color auto="1"/>
      </top>
      <bottom style="hair">
        <color rgb="FFFF0000"/>
      </bottom>
      <diagonal/>
    </border>
    <border>
      <left style="double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>
      <left style="thin">
        <color auto="1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>
      <left style="thin">
        <color auto="1"/>
      </left>
      <right style="hair">
        <color rgb="FFFF0000"/>
      </right>
      <top style="hair">
        <color rgb="FFFF0000"/>
      </top>
      <bottom style="thin">
        <color auto="1"/>
      </bottom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thin">
        <color auto="1"/>
      </bottom>
      <diagonal/>
    </border>
    <border>
      <left style="hair">
        <color rgb="FFFF0000"/>
      </left>
      <right style="thin">
        <color rgb="FFFF0000"/>
      </right>
      <top style="hair">
        <color rgb="FFFF0000"/>
      </top>
      <bottom style="thin">
        <color auto="1"/>
      </bottom>
      <diagonal/>
    </border>
    <border>
      <left/>
      <right style="hair">
        <color rgb="FFFF0000"/>
      </right>
      <top style="hair">
        <color rgb="FFFF0000"/>
      </top>
      <bottom style="thin">
        <color auto="1"/>
      </bottom>
      <diagonal/>
    </border>
    <border>
      <left style="hair">
        <color rgb="FFFF0000"/>
      </left>
      <right/>
      <top style="hair">
        <color rgb="FFFF0000"/>
      </top>
      <bottom style="thin">
        <color auto="1"/>
      </bottom>
      <diagonal/>
    </border>
    <border>
      <left style="thin">
        <color rgb="FFFF0000"/>
      </left>
      <right style="hair">
        <color rgb="FFFF0000"/>
      </right>
      <top style="hair">
        <color rgb="FFFF0000"/>
      </top>
      <bottom style="thin">
        <color auto="1"/>
      </bottom>
      <diagonal/>
    </border>
    <border>
      <left style="hair">
        <color rgb="FFFF0000"/>
      </left>
      <right style="double">
        <color rgb="FFFF0000"/>
      </right>
      <top style="hair">
        <color rgb="FFFF0000"/>
      </top>
      <bottom style="thin">
        <color auto="1"/>
      </bottom>
      <diagonal/>
    </border>
    <border>
      <left style="double">
        <color auto="1"/>
      </left>
      <right style="hair">
        <color rgb="FFFF0000"/>
      </right>
      <top style="hair">
        <color rgb="FFFF0000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rgb="FFFF0000"/>
      </bottom>
      <diagonal/>
    </border>
    <border>
      <left/>
      <right/>
      <top style="thin">
        <color auto="1"/>
      </top>
      <bottom style="thin">
        <color rgb="FFFF0000"/>
      </bottom>
      <diagonal/>
    </border>
    <border>
      <left/>
      <right style="double">
        <color rgb="FFFF0000"/>
      </right>
      <top style="thin">
        <color auto="1"/>
      </top>
      <bottom style="thin">
        <color rgb="FFFF0000"/>
      </bottom>
      <diagonal/>
    </border>
    <border>
      <left style="double">
        <color rgb="FFFF0000"/>
      </left>
      <right style="double">
        <color rgb="FFFF0000"/>
      </right>
      <top style="thin">
        <color auto="1"/>
      </top>
      <bottom/>
      <diagonal/>
    </border>
    <border>
      <left style="double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hair">
        <color rgb="FFFF0000"/>
      </right>
      <top style="thin">
        <color auto="1"/>
      </top>
      <bottom style="thin">
        <color rgb="FFFF0000"/>
      </bottom>
      <diagonal/>
    </border>
    <border>
      <left style="hair">
        <color rgb="FFFF0000"/>
      </left>
      <right style="hair">
        <color rgb="FFFF0000"/>
      </right>
      <top style="thin">
        <color auto="1"/>
      </top>
      <bottom style="thin">
        <color rgb="FFFF0000"/>
      </bottom>
      <diagonal/>
    </border>
    <border>
      <left style="hair">
        <color rgb="FFFF0000"/>
      </left>
      <right style="double">
        <color rgb="FFFF0000"/>
      </right>
      <top style="thin">
        <color auto="1"/>
      </top>
      <bottom style="thin">
        <color rgb="FFFF0000"/>
      </bottom>
      <diagonal/>
    </border>
    <border>
      <left style="double">
        <color auto="1"/>
      </left>
      <right style="hair">
        <color rgb="FFFF0000"/>
      </right>
      <top style="thin">
        <color rgb="FFFF0000"/>
      </top>
      <bottom style="hair">
        <color rgb="FFFF0000"/>
      </bottom>
      <diagonal/>
    </border>
    <border>
      <left/>
      <right style="hair">
        <color rgb="FFFF0000"/>
      </right>
      <top style="thin">
        <color rgb="FFFF0000"/>
      </top>
      <bottom style="thin">
        <color rgb="FFFF0000"/>
      </bottom>
      <diagonal/>
    </border>
    <border>
      <left style="hair">
        <color rgb="FFFF0000"/>
      </left>
      <right style="hair">
        <color rgb="FFFF0000"/>
      </right>
      <top style="thin">
        <color rgb="FFFF0000"/>
      </top>
      <bottom style="thin">
        <color rgb="FFFF0000"/>
      </bottom>
      <diagonal/>
    </border>
    <border>
      <left style="hair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double">
        <color rgb="FFFF0000"/>
      </left>
      <right style="double">
        <color rgb="FFFF0000"/>
      </right>
      <top/>
      <bottom style="medium">
        <color rgb="FF00B0F0"/>
      </bottom>
      <diagonal/>
    </border>
    <border>
      <left style="double">
        <color rgb="FFFF0000"/>
      </left>
      <right style="hair">
        <color rgb="FFFF0000"/>
      </right>
      <top style="thin">
        <color rgb="FFFF0000"/>
      </top>
      <bottom style="thin">
        <color auto="1"/>
      </bottom>
      <diagonal/>
    </border>
    <border>
      <left style="hair">
        <color rgb="FFFF0000"/>
      </left>
      <right style="hair">
        <color rgb="FFFF0000"/>
      </right>
      <top style="thin">
        <color rgb="FFFF0000"/>
      </top>
      <bottom style="thin">
        <color auto="1"/>
      </bottom>
      <diagonal/>
    </border>
    <border>
      <left style="hair">
        <color rgb="FFFF0000"/>
      </left>
      <right/>
      <top style="thin">
        <color rgb="FFFF0000"/>
      </top>
      <bottom style="thin">
        <color auto="1"/>
      </bottom>
      <diagonal/>
    </border>
    <border>
      <left style="thin">
        <color rgb="FFFF0000"/>
      </left>
      <right style="hair">
        <color rgb="FFFF0000"/>
      </right>
      <top style="thin">
        <color rgb="FFFF0000"/>
      </top>
      <bottom style="thin">
        <color auto="1"/>
      </bottom>
      <diagonal/>
    </border>
    <border>
      <left style="hair">
        <color rgb="FFFF0000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hair">
        <color rgb="FFFF0000"/>
      </right>
      <top/>
      <bottom style="hair">
        <color rgb="FFFF0000"/>
      </bottom>
      <diagonal/>
    </border>
    <border>
      <left style="hair">
        <color rgb="FFFF0000"/>
      </left>
      <right style="double">
        <color rgb="FFFF0000"/>
      </right>
      <top/>
      <bottom style="hair">
        <color rgb="FFFF0000"/>
      </bottom>
      <diagonal/>
    </border>
    <border>
      <left style="double">
        <color rgb="FFFF0000"/>
      </left>
      <right style="medium">
        <color rgb="FF00B0F0"/>
      </right>
      <top style="medium">
        <color rgb="FF00B0F0"/>
      </top>
      <bottom style="hair">
        <color rgb="FFFF0000"/>
      </bottom>
      <diagonal/>
    </border>
    <border>
      <left style="double">
        <color rgb="FFFF0000"/>
      </left>
      <right/>
      <top style="hair">
        <color rgb="FFFF0000"/>
      </top>
      <bottom style="hair">
        <color rgb="FFFF0000"/>
      </bottom>
      <diagonal/>
    </border>
    <border>
      <left/>
      <right/>
      <top style="hair">
        <color rgb="FFFF0000"/>
      </top>
      <bottom style="thin">
        <color auto="1"/>
      </bottom>
      <diagonal/>
    </border>
    <border>
      <left style="double">
        <color rgb="FFFF0000"/>
      </left>
      <right/>
      <top style="hair">
        <color rgb="FFFF0000"/>
      </top>
      <bottom style="thin">
        <color auto="1"/>
      </bottom>
      <diagonal/>
    </border>
    <border>
      <left style="double">
        <color rgb="FFFF0000"/>
      </left>
      <right style="hair">
        <color rgb="FFFF0000"/>
      </right>
      <top style="hair">
        <color rgb="FFFF0000"/>
      </top>
      <bottom style="thin">
        <color auto="1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0070C0"/>
      </left>
      <right style="thin">
        <color rgb="FFFF0000"/>
      </right>
      <top style="thin">
        <color rgb="FFFF0000"/>
      </top>
      <bottom/>
      <diagonal/>
    </border>
    <border>
      <left/>
      <right style="double">
        <color rgb="FFFF0000"/>
      </right>
      <top style="thin">
        <color rgb="FFFF0000"/>
      </top>
      <bottom style="thin">
        <color rgb="FFFF000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double">
        <color rgb="FFFF0000"/>
      </right>
      <top style="thin">
        <color rgb="FFFF0000"/>
      </top>
      <bottom/>
      <diagonal/>
    </border>
    <border>
      <left style="double">
        <color rgb="FFFF0000"/>
      </left>
      <right style="double">
        <color rgb="FFFF0000"/>
      </right>
      <top style="thin">
        <color rgb="FFFF0000"/>
      </top>
      <bottom style="medium">
        <color rgb="FF00B0F0"/>
      </bottom>
      <diagonal/>
    </border>
    <border>
      <left style="thin">
        <color rgb="FFFF0000"/>
      </left>
      <right style="thin">
        <color rgb="FFFF0000"/>
      </right>
      <top style="thin">
        <color rgb="FF0070C0"/>
      </top>
      <bottom style="thin">
        <color rgb="FF0070C0"/>
      </bottom>
      <diagonal/>
    </border>
    <border>
      <left style="thin">
        <color rgb="FFFF0000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FF0000"/>
      </right>
      <top style="thin">
        <color rgb="FF0070C0"/>
      </top>
      <bottom style="thin">
        <color rgb="FF0070C0"/>
      </bottom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double">
        <color rgb="FFFF0000"/>
      </right>
      <top style="thin">
        <color rgb="FF0070C0"/>
      </top>
      <bottom style="thin">
        <color rgb="FF0070C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double">
        <color rgb="FFFF0000"/>
      </left>
      <right style="double">
        <color rgb="FFFF0000"/>
      </right>
      <top style="medium">
        <color rgb="FF00B0F0"/>
      </top>
      <bottom/>
      <diagonal/>
    </border>
    <border>
      <left style="thin">
        <color rgb="FFFF0000"/>
      </left>
      <right/>
      <top style="thin">
        <color rgb="FF0070C0"/>
      </top>
      <bottom/>
      <diagonal/>
    </border>
    <border>
      <left style="thin">
        <color rgb="FF0070C0"/>
      </left>
      <right style="thin">
        <color rgb="FFFF0000"/>
      </right>
      <top style="thin">
        <color rgb="FF0070C0"/>
      </top>
      <bottom/>
      <diagonal/>
    </border>
    <border>
      <left style="thin">
        <color rgb="FFFF0000"/>
      </left>
      <right style="thin">
        <color rgb="FFFF0000"/>
      </right>
      <top style="thin">
        <color rgb="FF0070C0"/>
      </top>
      <bottom/>
      <diagonal/>
    </border>
    <border>
      <left/>
      <right style="double">
        <color rgb="FFFF0000"/>
      </right>
      <top style="thin">
        <color rgb="FF0070C0"/>
      </top>
      <bottom/>
      <diagonal/>
    </border>
    <border>
      <left/>
      <right style="medium">
        <color rgb="FF00B0F0"/>
      </right>
      <top style="thin">
        <color rgb="FF0070C0"/>
      </top>
      <bottom/>
      <diagonal/>
    </border>
    <border>
      <left style="thin">
        <color rgb="FF0070C0"/>
      </left>
      <right style="double">
        <color rgb="FFFF0000"/>
      </right>
      <top style="thin">
        <color rgb="FF0070C0"/>
      </top>
      <bottom/>
      <diagonal/>
    </border>
    <border>
      <left style="medium">
        <color rgb="FF00B0F0"/>
      </left>
      <right style="medium">
        <color rgb="FF00B0F0"/>
      </right>
      <top style="thin">
        <color rgb="FF0070C0"/>
      </top>
      <bottom/>
      <diagonal/>
    </border>
    <border>
      <left style="double">
        <color rgb="FFFF0000"/>
      </left>
      <right style="double">
        <color rgb="FFFF0000"/>
      </right>
      <top style="thin">
        <color rgb="FF0070C0"/>
      </top>
      <bottom/>
      <diagonal/>
    </border>
    <border>
      <left/>
      <right style="double">
        <color rgb="FFFF0000"/>
      </right>
      <top style="thin">
        <color rgb="FF0070C0"/>
      </top>
      <bottom style="thin">
        <color rgb="FF0070C0"/>
      </bottom>
      <diagonal/>
    </border>
    <border>
      <left/>
      <right style="medium">
        <color rgb="FF00B0F0"/>
      </right>
      <top style="thin">
        <color rgb="FF0070C0"/>
      </top>
      <bottom style="thin">
        <color rgb="FF0070C0"/>
      </bottom>
      <diagonal/>
    </border>
    <border>
      <left style="medium">
        <color rgb="FF00B0F0"/>
      </left>
      <right style="medium">
        <color rgb="FF00B0F0"/>
      </right>
      <top style="thin">
        <color rgb="FF0070C0"/>
      </top>
      <bottom style="thin">
        <color rgb="FF0070C0"/>
      </bottom>
      <diagonal/>
    </border>
    <border>
      <left style="double">
        <color rgb="FFFF0000"/>
      </left>
      <right style="double">
        <color rgb="FFFF0000"/>
      </right>
      <top style="thin">
        <color rgb="FF0070C0"/>
      </top>
      <bottom style="thin">
        <color rgb="FF0070C0"/>
      </bottom>
      <diagonal/>
    </border>
  </borders>
  <cellStyleXfs count="55">
    <xf numFmtId="0" fontId="0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6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6" fillId="30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10" fillId="0" borderId="0">
      <alignment vertical="center"/>
    </xf>
    <xf numFmtId="0" fontId="1" fillId="0" borderId="0"/>
    <xf numFmtId="0" fontId="15" fillId="0" borderId="0">
      <alignment vertical="center"/>
    </xf>
    <xf numFmtId="0" fontId="1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30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1" fillId="0" borderId="0"/>
    <xf numFmtId="176" fontId="33" fillId="0" borderId="0" applyFont="0" applyFill="0" applyBorder="0" applyAlignment="0" applyProtection="0"/>
    <xf numFmtId="0" fontId="30" fillId="0" borderId="0">
      <alignment vertical="center"/>
    </xf>
    <xf numFmtId="0" fontId="38" fillId="0" borderId="0"/>
    <xf numFmtId="0" fontId="41" fillId="0" borderId="0"/>
    <xf numFmtId="0" fontId="41" fillId="0" borderId="0">
      <alignment vertical="center"/>
    </xf>
    <xf numFmtId="181" fontId="41" fillId="0" borderId="0" applyFont="0" applyFill="0" applyBorder="0" applyAlignment="0" applyProtection="0">
      <alignment vertical="center"/>
    </xf>
    <xf numFmtId="0" fontId="1" fillId="0" borderId="0"/>
    <xf numFmtId="44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33" fillId="0" borderId="0"/>
    <xf numFmtId="9" fontId="33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184" fontId="33" fillId="0" borderId="0" applyFont="0" applyFill="0" applyBorder="0" applyAlignment="0" applyProtection="0"/>
  </cellStyleXfs>
  <cellXfs count="551">
    <xf numFmtId="0" fontId="0" fillId="0" borderId="0" xfId="0"/>
    <xf numFmtId="0" fontId="0" fillId="0" borderId="0" xfId="0" applyAlignment="1">
      <alignment vertical="center"/>
    </xf>
    <xf numFmtId="43" fontId="0" fillId="2" borderId="0" xfId="0" applyNumberFormat="1" applyFill="1"/>
    <xf numFmtId="43" fontId="3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3" fontId="0" fillId="0" borderId="0" xfId="0" applyNumberFormat="1" applyAlignment="1">
      <alignment vertical="center"/>
    </xf>
    <xf numFmtId="43" fontId="0" fillId="0" borderId="0" xfId="0" applyNumberFormat="1"/>
    <xf numFmtId="43" fontId="0" fillId="4" borderId="0" xfId="0" applyNumberFormat="1" applyFill="1"/>
    <xf numFmtId="0" fontId="0" fillId="0" borderId="0" xfId="2" applyFont="1" applyAlignment="1">
      <alignment horizontal="center" vertical="center"/>
    </xf>
    <xf numFmtId="31" fontId="0" fillId="0" borderId="0" xfId="2" applyNumberFormat="1" applyFont="1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10" fillId="2" borderId="0" xfId="0" applyNumberFormat="1" applyFont="1" applyFill="1" applyAlignment="1">
      <alignment horizontal="right"/>
    </xf>
    <xf numFmtId="0" fontId="0" fillId="0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4" fillId="0" borderId="0" xfId="0" applyFont="1"/>
    <xf numFmtId="43" fontId="1" fillId="0" borderId="0" xfId="0" applyNumberFormat="1" applyFont="1"/>
    <xf numFmtId="49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1" fillId="0" borderId="0" xfId="32"/>
    <xf numFmtId="43" fontId="13" fillId="0" borderId="0" xfId="0" applyNumberFormat="1" applyFont="1"/>
    <xf numFmtId="43" fontId="13" fillId="0" borderId="0" xfId="0" applyNumberFormat="1" applyFont="1" applyFill="1"/>
    <xf numFmtId="43" fontId="13" fillId="0" borderId="0" xfId="0" applyNumberFormat="1" applyFont="1" applyFill="1" applyProtection="1">
      <protection hidden="1"/>
    </xf>
    <xf numFmtId="43" fontId="1" fillId="0" borderId="0" xfId="0" applyNumberFormat="1" applyFont="1" applyFill="1" applyBorder="1"/>
    <xf numFmtId="43" fontId="0" fillId="0" borderId="0" xfId="0" applyNumberFormat="1" applyFill="1"/>
    <xf numFmtId="43" fontId="0" fillId="0" borderId="0" xfId="0" applyNumberFormat="1" applyFill="1" applyAlignment="1">
      <alignment vertical="center"/>
    </xf>
    <xf numFmtId="43" fontId="1" fillId="0" borderId="0" xfId="34" applyNumberFormat="1" applyAlignment="1">
      <alignment vertical="center"/>
    </xf>
    <xf numFmtId="0" fontId="13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4" fillId="0" borderId="0" xfId="2" applyFont="1" applyAlignment="1">
      <alignment horizontal="center" vertical="center"/>
    </xf>
    <xf numFmtId="0" fontId="23" fillId="0" borderId="0" xfId="35" applyFont="1" applyAlignment="1" applyProtection="1">
      <alignment horizontal="center" vertical="center"/>
    </xf>
    <xf numFmtId="0" fontId="23" fillId="0" borderId="0" xfId="35" applyFont="1" applyAlignment="1" applyProtection="1">
      <alignment vertical="center"/>
    </xf>
    <xf numFmtId="0" fontId="24" fillId="0" borderId="0" xfId="0" applyFont="1" applyAlignment="1">
      <alignment vertical="center"/>
    </xf>
    <xf numFmtId="0" fontId="23" fillId="0" borderId="0" xfId="35" applyFont="1" applyAlignment="1" applyProtection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6" borderId="0" xfId="0" applyNumberFormat="1" applyFont="1" applyFill="1" applyAlignment="1"/>
    <xf numFmtId="0" fontId="0" fillId="6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NumberFormat="1" applyFill="1"/>
    <xf numFmtId="0" fontId="0" fillId="0" borderId="3" xfId="0" applyBorder="1" applyAlignment="1">
      <alignment horizontal="centerContinuous" vertical="center"/>
    </xf>
    <xf numFmtId="0" fontId="4" fillId="0" borderId="0" xfId="32" applyFont="1" applyAlignment="1">
      <alignment horizontal="centerContinuous" vertical="center"/>
    </xf>
    <xf numFmtId="0" fontId="1" fillId="0" borderId="0" xfId="32" applyAlignment="1">
      <alignment horizontal="centerContinuous" vertical="center"/>
    </xf>
    <xf numFmtId="0" fontId="0" fillId="0" borderId="6" xfId="0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16" fillId="0" borderId="1" xfId="0" applyNumberFormat="1" applyFont="1" applyBorder="1" applyAlignment="1">
      <alignment vertical="center"/>
    </xf>
    <xf numFmtId="43" fontId="1" fillId="0" borderId="1" xfId="1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0" xfId="32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17" fillId="36" borderId="0" xfId="32" applyFont="1" applyFill="1" applyAlignment="1">
      <alignment horizontal="centerContinuous" vertical="center"/>
    </xf>
    <xf numFmtId="0" fontId="0" fillId="36" borderId="0" xfId="0" applyFill="1"/>
    <xf numFmtId="0" fontId="0" fillId="36" borderId="0" xfId="0" applyFill="1" applyAlignment="1">
      <alignment horizontal="center"/>
    </xf>
    <xf numFmtId="43" fontId="1" fillId="36" borderId="0" xfId="0" applyNumberFormat="1" applyFont="1" applyFill="1"/>
    <xf numFmtId="0" fontId="21" fillId="0" borderId="0" xfId="34" applyFont="1"/>
    <xf numFmtId="0" fontId="28" fillId="0" borderId="0" xfId="34" applyFont="1" applyAlignment="1">
      <alignment horizontal="center" vertical="center"/>
    </xf>
    <xf numFmtId="0" fontId="29" fillId="0" borderId="0" xfId="34" applyFont="1" applyAlignment="1">
      <alignment horizontal="centerContinuous" vertical="center"/>
    </xf>
    <xf numFmtId="0" fontId="1" fillId="0" borderId="0" xfId="34" applyAlignment="1">
      <alignment horizontal="right"/>
    </xf>
    <xf numFmtId="178" fontId="1" fillId="0" borderId="0" xfId="34" applyNumberFormat="1" applyFont="1"/>
    <xf numFmtId="0" fontId="27" fillId="0" borderId="3" xfId="36" applyFont="1" applyBorder="1" applyAlignment="1" applyProtection="1">
      <alignment vertical="center"/>
      <protection locked="0"/>
    </xf>
    <xf numFmtId="0" fontId="30" fillId="0" borderId="3" xfId="36" applyBorder="1" applyAlignment="1">
      <alignment vertical="center"/>
    </xf>
    <xf numFmtId="179" fontId="27" fillId="0" borderId="3" xfId="36" applyNumberFormat="1" applyFont="1" applyBorder="1" applyAlignment="1" applyProtection="1">
      <alignment horizontal="center" vertical="center"/>
      <protection locked="0"/>
    </xf>
    <xf numFmtId="0" fontId="27" fillId="0" borderId="3" xfId="36" applyFont="1" applyBorder="1" applyAlignment="1" applyProtection="1">
      <alignment horizontal="center" vertical="center"/>
      <protection locked="0"/>
    </xf>
    <xf numFmtId="0" fontId="1" fillId="0" borderId="0" xfId="34"/>
    <xf numFmtId="0" fontId="27" fillId="0" borderId="0" xfId="36" applyFont="1" applyBorder="1" applyAlignment="1" applyProtection="1">
      <alignment horizontal="right" vertical="center"/>
      <protection locked="0"/>
    </xf>
    <xf numFmtId="0" fontId="31" fillId="0" borderId="0" xfId="34" applyFont="1"/>
    <xf numFmtId="0" fontId="1" fillId="38" borderId="1" xfId="34" applyFont="1" applyFill="1" applyBorder="1" applyAlignment="1">
      <alignment horizontal="center" vertical="center" wrapText="1"/>
    </xf>
    <xf numFmtId="0" fontId="1" fillId="38" borderId="14" xfId="34" applyFont="1" applyFill="1" applyBorder="1" applyAlignment="1">
      <alignment horizontal="center" vertical="center" wrapText="1"/>
    </xf>
    <xf numFmtId="0" fontId="1" fillId="38" borderId="15" xfId="34" applyFont="1" applyFill="1" applyBorder="1" applyAlignment="1">
      <alignment horizontal="center" vertical="center" wrapText="1"/>
    </xf>
    <xf numFmtId="0" fontId="23" fillId="0" borderId="0" xfId="37" applyFont="1" applyAlignment="1" applyProtection="1">
      <alignment vertical="center"/>
    </xf>
    <xf numFmtId="14" fontId="1" fillId="0" borderId="0" xfId="34" applyNumberFormat="1" applyFont="1"/>
    <xf numFmtId="0" fontId="1" fillId="0" borderId="0" xfId="34" applyFont="1"/>
    <xf numFmtId="0" fontId="1" fillId="38" borderId="1" xfId="34" applyFont="1" applyFill="1" applyBorder="1" applyAlignment="1">
      <alignment horizontal="left" vertical="center" wrapText="1"/>
    </xf>
    <xf numFmtId="43" fontId="1" fillId="38" borderId="1" xfId="34" applyNumberFormat="1" applyFont="1" applyFill="1" applyBorder="1" applyAlignment="1">
      <alignment vertical="center" wrapText="1"/>
    </xf>
    <xf numFmtId="0" fontId="27" fillId="0" borderId="14" xfId="36" applyFont="1" applyBorder="1" applyAlignment="1" applyProtection="1">
      <alignment vertical="center"/>
    </xf>
    <xf numFmtId="0" fontId="1" fillId="38" borderId="15" xfId="34" applyFont="1" applyFill="1" applyBorder="1" applyAlignment="1">
      <alignment horizontal="left" vertical="center" wrapText="1"/>
    </xf>
    <xf numFmtId="0" fontId="27" fillId="0" borderId="1" xfId="36" applyFont="1" applyBorder="1" applyAlignment="1" applyProtection="1">
      <alignment vertical="center"/>
    </xf>
    <xf numFmtId="0" fontId="1" fillId="0" borderId="1" xfId="34" applyFont="1" applyBorder="1" applyAlignment="1">
      <alignment horizontal="left" vertical="center" wrapText="1" indent="1"/>
    </xf>
    <xf numFmtId="0" fontId="1" fillId="0" borderId="1" xfId="34" applyFont="1" applyBorder="1" applyAlignment="1">
      <alignment horizontal="center" vertical="center" wrapText="1"/>
    </xf>
    <xf numFmtId="43" fontId="27" fillId="0" borderId="1" xfId="36" applyNumberFormat="1" applyFont="1" applyBorder="1" applyAlignment="1" applyProtection="1">
      <alignment vertical="center"/>
    </xf>
    <xf numFmtId="43" fontId="27" fillId="0" borderId="14" xfId="36" applyNumberFormat="1" applyFont="1" applyBorder="1" applyAlignment="1" applyProtection="1">
      <alignment vertical="center"/>
    </xf>
    <xf numFmtId="0" fontId="1" fillId="0" borderId="15" xfId="34" applyFont="1" applyBorder="1" applyAlignment="1">
      <alignment horizontal="left" vertical="center" wrapText="1" indent="1"/>
    </xf>
    <xf numFmtId="0" fontId="1" fillId="0" borderId="1" xfId="34" applyFont="1" applyBorder="1" applyAlignment="1">
      <alignment horizontal="left" vertical="center" wrapText="1"/>
    </xf>
    <xf numFmtId="0" fontId="32" fillId="0" borderId="1" xfId="34" applyFont="1" applyBorder="1" applyAlignment="1">
      <alignment horizontal="center" vertical="center" wrapText="1"/>
    </xf>
    <xf numFmtId="43" fontId="27" fillId="39" borderId="1" xfId="36" applyNumberFormat="1" applyFont="1" applyFill="1" applyBorder="1" applyAlignment="1" applyProtection="1">
      <alignment vertical="center"/>
    </xf>
    <xf numFmtId="43" fontId="27" fillId="39" borderId="14" xfId="36" applyNumberFormat="1" applyFont="1" applyFill="1" applyBorder="1" applyAlignment="1" applyProtection="1">
      <alignment vertical="center"/>
    </xf>
    <xf numFmtId="0" fontId="32" fillId="0" borderId="15" xfId="34" applyFont="1" applyBorder="1" applyAlignment="1">
      <alignment horizontal="center" vertical="center" wrapText="1"/>
    </xf>
    <xf numFmtId="43" fontId="27" fillId="40" borderId="1" xfId="36" applyNumberFormat="1" applyFont="1" applyFill="1" applyBorder="1" applyAlignment="1" applyProtection="1">
      <alignment vertical="center"/>
    </xf>
    <xf numFmtId="0" fontId="1" fillId="0" borderId="15" xfId="34" applyFont="1" applyBorder="1" applyAlignment="1">
      <alignment horizontal="left" vertical="center" wrapText="1"/>
    </xf>
    <xf numFmtId="43" fontId="27" fillId="0" borderId="1" xfId="36" applyNumberFormat="1" applyFont="1" applyFill="1" applyBorder="1" applyAlignment="1" applyProtection="1">
      <alignment vertical="center"/>
    </xf>
    <xf numFmtId="43" fontId="27" fillId="0" borderId="14" xfId="36" applyNumberFormat="1" applyFont="1" applyFill="1" applyBorder="1" applyAlignment="1" applyProtection="1">
      <alignment vertical="center"/>
    </xf>
    <xf numFmtId="0" fontId="16" fillId="0" borderId="15" xfId="34" applyFont="1" applyBorder="1" applyAlignment="1">
      <alignment horizontal="left" vertical="center" wrapText="1" indent="1"/>
    </xf>
    <xf numFmtId="43" fontId="1" fillId="41" borderId="1" xfId="38" applyNumberFormat="1" applyFont="1" applyFill="1" applyBorder="1" applyAlignment="1" applyProtection="1">
      <alignment vertical="center" wrapText="1"/>
    </xf>
    <xf numFmtId="43" fontId="27" fillId="42" borderId="1" xfId="36" applyNumberFormat="1" applyFont="1" applyFill="1" applyBorder="1" applyAlignment="1" applyProtection="1">
      <alignment vertical="center"/>
    </xf>
    <xf numFmtId="43" fontId="27" fillId="42" borderId="14" xfId="36" applyNumberFormat="1" applyFont="1" applyFill="1" applyBorder="1" applyAlignment="1" applyProtection="1">
      <alignment vertical="center"/>
    </xf>
    <xf numFmtId="0" fontId="32" fillId="0" borderId="15" xfId="34" applyFont="1" applyBorder="1" applyAlignment="1">
      <alignment horizontal="left" vertical="center" wrapText="1"/>
    </xf>
    <xf numFmtId="180" fontId="1" fillId="0" borderId="0" xfId="34" applyNumberFormat="1" applyFont="1"/>
    <xf numFmtId="0" fontId="34" fillId="0" borderId="0" xfId="40" applyFont="1" applyAlignment="1" applyProtection="1">
      <alignment horizontal="centerContinuous" vertical="center"/>
    </xf>
    <xf numFmtId="0" fontId="27" fillId="0" borderId="0" xfId="40" applyFont="1" applyAlignment="1" applyProtection="1">
      <alignment horizontal="right" vertical="center"/>
    </xf>
    <xf numFmtId="0" fontId="35" fillId="0" borderId="0" xfId="40" applyFont="1" applyAlignment="1" applyProtection="1">
      <alignment horizontal="right" vertical="center"/>
    </xf>
    <xf numFmtId="0" fontId="27" fillId="0" borderId="0" xfId="40" applyFont="1" applyBorder="1" applyAlignment="1" applyProtection="1">
      <alignment vertical="center"/>
      <protection locked="0"/>
    </xf>
    <xf numFmtId="0" fontId="27" fillId="0" borderId="0" xfId="40" applyFont="1" applyBorder="1" applyAlignment="1">
      <alignment vertical="center"/>
    </xf>
    <xf numFmtId="179" fontId="27" fillId="0" borderId="0" xfId="40" applyNumberFormat="1" applyFont="1" applyBorder="1" applyAlignment="1">
      <alignment horizontal="center" vertical="center"/>
    </xf>
    <xf numFmtId="0" fontId="27" fillId="0" borderId="0" xfId="40" applyFont="1" applyBorder="1" applyAlignment="1" applyProtection="1">
      <alignment horizontal="right" vertical="center"/>
      <protection locked="0"/>
    </xf>
    <xf numFmtId="0" fontId="36" fillId="0" borderId="1" xfId="40" applyFont="1" applyBorder="1" applyAlignment="1" applyProtection="1">
      <alignment horizontal="center" vertical="center"/>
    </xf>
    <xf numFmtId="0" fontId="36" fillId="0" borderId="1" xfId="40" applyFont="1" applyBorder="1" applyAlignment="1">
      <alignment horizontal="center" vertical="center"/>
    </xf>
    <xf numFmtId="0" fontId="37" fillId="0" borderId="0" xfId="0" applyFont="1" applyFill="1" applyBorder="1" applyAlignment="1" applyProtection="1">
      <protection hidden="1"/>
    </xf>
    <xf numFmtId="0" fontId="12" fillId="0" borderId="1" xfId="1" applyNumberFormat="1" applyFont="1" applyBorder="1" applyAlignment="1">
      <alignment vertical="center"/>
    </xf>
    <xf numFmtId="176" fontId="14" fillId="0" borderId="0" xfId="1" applyNumberFormat="1" applyFont="1"/>
    <xf numFmtId="0" fontId="0" fillId="0" borderId="6" xfId="0" applyBorder="1" applyAlignment="1">
      <alignment vertical="center"/>
    </xf>
    <xf numFmtId="0" fontId="0" fillId="0" borderId="0" xfId="0" applyAlignment="1">
      <alignment horizontal="center" vertical="center"/>
    </xf>
    <xf numFmtId="0" fontId="38" fillId="0" borderId="13" xfId="0" applyFont="1" applyBorder="1" applyAlignment="1">
      <alignment vertical="center"/>
    </xf>
    <xf numFmtId="43" fontId="1" fillId="0" borderId="0" xfId="0" applyNumberFormat="1" applyFont="1" applyFill="1" applyProtection="1">
      <protection hidden="1"/>
    </xf>
    <xf numFmtId="43" fontId="1" fillId="0" borderId="0" xfId="0" applyNumberFormat="1" applyFont="1" applyFill="1"/>
    <xf numFmtId="0" fontId="0" fillId="0" borderId="0" xfId="0" applyAlignment="1">
      <alignment horizontal="center" vertical="center"/>
    </xf>
    <xf numFmtId="0" fontId="38" fillId="0" borderId="1" xfId="0" applyNumberFormat="1" applyFont="1" applyFill="1" applyBorder="1" applyAlignment="1">
      <alignment horizontal="center" vertical="center"/>
    </xf>
    <xf numFmtId="0" fontId="38" fillId="0" borderId="1" xfId="0" applyFont="1" applyBorder="1" applyAlignment="1">
      <alignment horizontal="center"/>
    </xf>
    <xf numFmtId="0" fontId="38" fillId="0" borderId="1" xfId="0" applyFont="1" applyBorder="1" applyAlignment="1">
      <alignment horizontal="center" vertical="center"/>
    </xf>
    <xf numFmtId="177" fontId="38" fillId="0" borderId="1" xfId="1" applyNumberFormat="1" applyFont="1" applyBorder="1" applyAlignment="1">
      <alignment horizontal="center" vertical="center"/>
    </xf>
    <xf numFmtId="0" fontId="38" fillId="0" borderId="1" xfId="1" applyNumberFormat="1" applyFont="1" applyBorder="1" applyAlignment="1">
      <alignment horizontal="center" vertical="center"/>
    </xf>
    <xf numFmtId="0" fontId="40" fillId="0" borderId="1" xfId="0" applyNumberFormat="1" applyFont="1" applyBorder="1" applyAlignment="1">
      <alignment vertical="center"/>
    </xf>
    <xf numFmtId="0" fontId="40" fillId="0" borderId="1" xfId="0" applyFont="1" applyBorder="1" applyAlignment="1">
      <alignment vertical="center"/>
    </xf>
    <xf numFmtId="0" fontId="38" fillId="0" borderId="0" xfId="41" applyFont="1"/>
    <xf numFmtId="0" fontId="38" fillId="0" borderId="0" xfId="41" applyFont="1" applyAlignment="1">
      <alignment horizontal="center" vertical="center"/>
    </xf>
    <xf numFmtId="43" fontId="1" fillId="0" borderId="0" xfId="32" applyNumberFormat="1"/>
    <xf numFmtId="43" fontId="1" fillId="0" borderId="0" xfId="34" applyNumberFormat="1" applyFont="1"/>
    <xf numFmtId="0" fontId="0" fillId="0" borderId="0" xfId="0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3" borderId="0" xfId="0" applyFill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3" fontId="1" fillId="0" borderId="0" xfId="34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43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2" fillId="0" borderId="0" xfId="0" applyFont="1" applyAlignment="1">
      <alignment horizontal="centerContinuous" vertical="center"/>
    </xf>
    <xf numFmtId="0" fontId="44" fillId="0" borderId="0" xfId="0" applyFont="1" applyAlignment="1">
      <alignment horizontal="centerContinuous" vertical="center"/>
    </xf>
    <xf numFmtId="0" fontId="44" fillId="0" borderId="0" xfId="0" applyNumberFormat="1" applyFont="1" applyBorder="1" applyAlignment="1">
      <alignment horizontal="centerContinuous" vertical="center"/>
    </xf>
    <xf numFmtId="179" fontId="45" fillId="0" borderId="0" xfId="0" applyNumberFormat="1" applyFont="1" applyBorder="1" applyAlignment="1">
      <alignment horizontal="centerContinuous" vertical="center"/>
    </xf>
    <xf numFmtId="0" fontId="46" fillId="0" borderId="0" xfId="0" applyNumberFormat="1" applyFont="1" applyBorder="1" applyAlignment="1">
      <alignment horizontal="centerContinuous" vertical="center"/>
    </xf>
    <xf numFmtId="0" fontId="0" fillId="0" borderId="0" xfId="0" applyAlignment="1">
      <alignment horizontal="right" vertical="center"/>
    </xf>
    <xf numFmtId="0" fontId="41" fillId="0" borderId="0" xfId="42" applyFont="1" applyAlignment="1">
      <alignment horizontal="center" vertical="center"/>
    </xf>
    <xf numFmtId="0" fontId="41" fillId="0" borderId="0" xfId="0" applyFont="1" applyAlignment="1">
      <alignment vertical="center"/>
    </xf>
    <xf numFmtId="0" fontId="46" fillId="0" borderId="17" xfId="0" applyNumberFormat="1" applyFont="1" applyBorder="1" applyAlignment="1">
      <alignment horizontal="centerContinuous" vertical="center"/>
    </xf>
    <xf numFmtId="0" fontId="0" fillId="0" borderId="18" xfId="0" applyNumberFormat="1" applyBorder="1" applyAlignment="1">
      <alignment horizontal="centerContinuous" vertical="center"/>
    </xf>
    <xf numFmtId="0" fontId="0" fillId="0" borderId="16" xfId="0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47" fillId="0" borderId="16" xfId="0" applyNumberFormat="1" applyFont="1" applyBorder="1" applyAlignment="1">
      <alignment vertical="center"/>
    </xf>
    <xf numFmtId="0" fontId="47" fillId="0" borderId="16" xfId="0" applyFont="1" applyBorder="1" applyAlignment="1">
      <alignment vertical="center"/>
    </xf>
    <xf numFmtId="176" fontId="41" fillId="0" borderId="16" xfId="0" applyNumberFormat="1" applyFont="1" applyBorder="1" applyAlignment="1">
      <alignment vertical="center"/>
    </xf>
    <xf numFmtId="0" fontId="47" fillId="0" borderId="0" xfId="0" applyFont="1" applyAlignment="1">
      <alignment horizontal="center" vertical="center"/>
    </xf>
    <xf numFmtId="0" fontId="48" fillId="0" borderId="16" xfId="0" applyFont="1" applyBorder="1" applyAlignment="1">
      <alignment vertical="center"/>
    </xf>
    <xf numFmtId="0" fontId="41" fillId="0" borderId="16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48" fillId="0" borderId="18" xfId="0" applyFont="1" applyBorder="1" applyAlignment="1">
      <alignment vertical="center"/>
    </xf>
    <xf numFmtId="176" fontId="41" fillId="0" borderId="16" xfId="42" applyNumberFormat="1" applyBorder="1" applyAlignment="1">
      <alignment vertical="center"/>
    </xf>
    <xf numFmtId="0" fontId="41" fillId="0" borderId="0" xfId="42" applyFont="1" applyBorder="1" applyAlignment="1">
      <alignment horizontal="center" vertical="center"/>
    </xf>
    <xf numFmtId="0" fontId="41" fillId="0" borderId="0" xfId="42" applyFont="1" applyBorder="1" applyAlignment="1">
      <alignment vertical="center"/>
    </xf>
    <xf numFmtId="0" fontId="0" fillId="0" borderId="0" xfId="0" applyAlignment="1">
      <alignment horizontal="centerContinuous" vertical="center"/>
    </xf>
    <xf numFmtId="0" fontId="0" fillId="0" borderId="0" xfId="0" applyNumberFormat="1" applyAlignment="1">
      <alignment horizontal="centerContinuous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4" fillId="0" borderId="0" xfId="0" applyNumberFormat="1" applyFont="1" applyBorder="1" applyAlignment="1">
      <alignment horizontal="center" vertical="center"/>
    </xf>
    <xf numFmtId="179" fontId="45" fillId="0" borderId="0" xfId="0" applyNumberFormat="1" applyFont="1" applyBorder="1" applyAlignment="1">
      <alignment horizontal="center" vertical="center"/>
    </xf>
    <xf numFmtId="0" fontId="46" fillId="0" borderId="0" xfId="0" applyNumberFormat="1" applyFont="1" applyBorder="1" applyAlignment="1">
      <alignment horizontal="center" vertical="center"/>
    </xf>
    <xf numFmtId="0" fontId="46" fillId="0" borderId="17" xfId="0" applyNumberFormat="1" applyFon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36" borderId="0" xfId="32" applyFont="1" applyFill="1" applyAlignment="1">
      <alignment horizontal="center" vertical="center"/>
    </xf>
    <xf numFmtId="0" fontId="21" fillId="0" borderId="0" xfId="0" applyFont="1" applyAlignment="1">
      <alignment horizontal="centerContinuous" vertical="center"/>
    </xf>
    <xf numFmtId="0" fontId="1" fillId="0" borderId="0" xfId="0" applyFont="1" applyFill="1" applyAlignment="1">
      <alignment horizontal="center" vertical="center"/>
    </xf>
    <xf numFmtId="0" fontId="50" fillId="44" borderId="42" xfId="37" applyFont="1" applyFill="1" applyBorder="1" applyAlignment="1" applyProtection="1">
      <alignment horizontal="center" vertical="center"/>
    </xf>
    <xf numFmtId="0" fontId="51" fillId="44" borderId="42" xfId="37" applyFont="1" applyFill="1" applyBorder="1" applyAlignment="1" applyProtection="1">
      <alignment horizontal="center" vertical="center"/>
    </xf>
    <xf numFmtId="0" fontId="25" fillId="44" borderId="42" xfId="37" applyFont="1" applyFill="1" applyBorder="1" applyAlignment="1" applyProtection="1">
      <alignment horizontal="center" vertical="center"/>
    </xf>
    <xf numFmtId="0" fontId="20" fillId="0" borderId="0" xfId="37" applyFont="1" applyAlignment="1" applyProtection="1">
      <alignment horizontal="left" vertical="center"/>
    </xf>
    <xf numFmtId="0" fontId="52" fillId="0" borderId="0" xfId="37" applyFont="1" applyAlignment="1" applyProtection="1">
      <alignment horizontal="left" vertical="center"/>
    </xf>
    <xf numFmtId="0" fontId="1" fillId="0" borderId="0" xfId="0" applyFont="1" applyAlignment="1">
      <alignment horizontal="center" vertical="center"/>
    </xf>
    <xf numFmtId="0" fontId="1" fillId="45" borderId="0" xfId="0" applyFont="1" applyFill="1" applyAlignment="1">
      <alignment horizontal="center" vertical="center"/>
    </xf>
    <xf numFmtId="0" fontId="1" fillId="34" borderId="0" xfId="0" applyFont="1" applyFill="1" applyAlignment="1">
      <alignment horizontal="right" vertical="center"/>
    </xf>
    <xf numFmtId="0" fontId="5" fillId="45" borderId="0" xfId="0" applyFont="1" applyFill="1" applyAlignment="1">
      <alignment horizontal="center" vertical="center"/>
    </xf>
    <xf numFmtId="0" fontId="4" fillId="37" borderId="0" xfId="32" applyFont="1" applyFill="1" applyAlignment="1">
      <alignment horizontal="centerContinuous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Border="1" applyAlignment="1">
      <alignment horizontal="centerContinuous" vertical="center"/>
    </xf>
    <xf numFmtId="0" fontId="17" fillId="0" borderId="0" xfId="0" applyFont="1" applyBorder="1" applyAlignment="1">
      <alignment horizontal="centerContinuous" vertical="center"/>
    </xf>
    <xf numFmtId="0" fontId="16" fillId="0" borderId="0" xfId="0" applyFont="1" applyAlignment="1"/>
    <xf numFmtId="0" fontId="1" fillId="0" borderId="0" xfId="0" applyFont="1" applyAlignment="1"/>
    <xf numFmtId="182" fontId="0" fillId="0" borderId="0" xfId="0" applyNumberFormat="1" applyAlignment="1">
      <alignment horizontal="centerContinuous"/>
    </xf>
    <xf numFmtId="0" fontId="0" fillId="0" borderId="0" xfId="0" applyAlignment="1">
      <alignment horizontal="centerContinuous"/>
    </xf>
    <xf numFmtId="0" fontId="21" fillId="45" borderId="0" xfId="0" applyFont="1" applyFill="1" applyAlignment="1">
      <alignment horizontal="center" vertical="center"/>
    </xf>
    <xf numFmtId="0" fontId="21" fillId="34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43" xfId="0" applyFont="1" applyBorder="1" applyAlignment="1">
      <alignment vertical="center"/>
    </xf>
    <xf numFmtId="0" fontId="16" fillId="0" borderId="44" xfId="0" applyFont="1" applyBorder="1" applyAlignment="1">
      <alignment horizontal="centerContinuous"/>
    </xf>
    <xf numFmtId="0" fontId="1" fillId="0" borderId="44" xfId="0" applyFont="1" applyBorder="1" applyAlignment="1">
      <alignment horizontal="centerContinuous"/>
    </xf>
    <xf numFmtId="0" fontId="55" fillId="0" borderId="0" xfId="0" applyFont="1" applyAlignment="1">
      <alignment horizontal="center" vertical="center"/>
    </xf>
    <xf numFmtId="0" fontId="31" fillId="0" borderId="0" xfId="0" applyFont="1" applyAlignment="1">
      <alignment vertical="center"/>
    </xf>
    <xf numFmtId="43" fontId="1" fillId="46" borderId="45" xfId="0" applyNumberFormat="1" applyFont="1" applyFill="1" applyBorder="1" applyAlignment="1">
      <alignment horizontal="center"/>
    </xf>
    <xf numFmtId="0" fontId="1" fillId="46" borderId="47" xfId="0" applyFont="1" applyFill="1" applyBorder="1" applyAlignment="1">
      <alignment horizontal="center"/>
    </xf>
    <xf numFmtId="0" fontId="1" fillId="46" borderId="48" xfId="0" applyFont="1" applyFill="1" applyBorder="1" applyAlignment="1">
      <alignment horizontal="center"/>
    </xf>
    <xf numFmtId="0" fontId="1" fillId="46" borderId="49" xfId="0" applyFont="1" applyFill="1" applyBorder="1" applyAlignment="1">
      <alignment horizontal="centerContinuous" vertical="center"/>
    </xf>
    <xf numFmtId="0" fontId="1" fillId="46" borderId="50" xfId="0" applyFont="1" applyFill="1" applyBorder="1" applyAlignment="1">
      <alignment horizontal="centerContinuous" vertical="center"/>
    </xf>
    <xf numFmtId="0" fontId="1" fillId="46" borderId="51" xfId="0" applyFont="1" applyFill="1" applyBorder="1" applyAlignment="1">
      <alignment horizontal="centerContinuous" vertical="center"/>
    </xf>
    <xf numFmtId="0" fontId="1" fillId="46" borderId="48" xfId="0" applyFont="1" applyFill="1" applyBorder="1" applyAlignment="1">
      <alignment horizontal="centerContinuous" vertical="center"/>
    </xf>
    <xf numFmtId="43" fontId="14" fillId="46" borderId="53" xfId="0" applyNumberFormat="1" applyFont="1" applyFill="1" applyBorder="1" applyAlignment="1">
      <alignment horizontal="center" vertical="top"/>
    </xf>
    <xf numFmtId="0" fontId="14" fillId="46" borderId="55" xfId="0" applyFont="1" applyFill="1" applyBorder="1" applyAlignment="1">
      <alignment horizontal="center" vertical="top"/>
    </xf>
    <xf numFmtId="0" fontId="14" fillId="46" borderId="56" xfId="0" applyFont="1" applyFill="1" applyBorder="1" applyAlignment="1">
      <alignment horizontal="center" vertical="top"/>
    </xf>
    <xf numFmtId="0" fontId="14" fillId="46" borderId="22" xfId="0" applyFont="1" applyFill="1" applyBorder="1" applyAlignment="1">
      <alignment vertical="center"/>
    </xf>
    <xf numFmtId="0" fontId="14" fillId="46" borderId="20" xfId="0" applyFont="1" applyFill="1" applyBorder="1" applyAlignment="1">
      <alignment vertical="center"/>
    </xf>
    <xf numFmtId="0" fontId="14" fillId="46" borderId="21" xfId="0" applyFont="1" applyFill="1" applyBorder="1" applyAlignment="1">
      <alignment vertical="center"/>
    </xf>
    <xf numFmtId="0" fontId="14" fillId="46" borderId="19" xfId="0" applyFont="1" applyFill="1" applyBorder="1" applyAlignment="1">
      <alignment vertical="center"/>
    </xf>
    <xf numFmtId="0" fontId="14" fillId="46" borderId="23" xfId="0" applyFont="1" applyFill="1" applyBorder="1" applyAlignment="1">
      <alignment vertical="center"/>
    </xf>
    <xf numFmtId="0" fontId="14" fillId="46" borderId="24" xfId="0" applyFont="1" applyFill="1" applyBorder="1" applyAlignment="1">
      <alignment vertical="center"/>
    </xf>
    <xf numFmtId="0" fontId="14" fillId="46" borderId="58" xfId="0" applyFont="1" applyFill="1" applyBorder="1" applyAlignment="1">
      <alignment vertical="center"/>
    </xf>
    <xf numFmtId="0" fontId="16" fillId="0" borderId="59" xfId="0" applyFont="1" applyBorder="1" applyAlignment="1">
      <alignment vertical="center"/>
    </xf>
    <xf numFmtId="0" fontId="16" fillId="0" borderId="27" xfId="0" applyFont="1" applyBorder="1" applyAlignment="1">
      <alignment vertical="center"/>
    </xf>
    <xf numFmtId="0" fontId="16" fillId="0" borderId="60" xfId="0" applyFont="1" applyBorder="1" applyAlignment="1">
      <alignment vertical="center"/>
    </xf>
    <xf numFmtId="0" fontId="16" fillId="0" borderId="61" xfId="0" applyFont="1" applyBorder="1" applyAlignment="1">
      <alignment vertical="center" shrinkToFit="1"/>
    </xf>
    <xf numFmtId="176" fontId="16" fillId="0" borderId="26" xfId="0" applyNumberFormat="1" applyFont="1" applyBorder="1" applyAlignment="1">
      <alignment vertical="center"/>
    </xf>
    <xf numFmtId="0" fontId="16" fillId="0" borderId="28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" fillId="46" borderId="62" xfId="0" applyFont="1" applyFill="1" applyBorder="1" applyAlignment="1">
      <alignment horizontal="centerContinuous" vertical="center"/>
    </xf>
    <xf numFmtId="0" fontId="1" fillId="46" borderId="35" xfId="0" applyFont="1" applyFill="1" applyBorder="1" applyAlignment="1">
      <alignment horizontal="centerContinuous" vertical="center"/>
    </xf>
    <xf numFmtId="0" fontId="1" fillId="46" borderId="62" xfId="0" applyFont="1" applyFill="1" applyBorder="1" applyAlignment="1">
      <alignment vertical="center"/>
    </xf>
    <xf numFmtId="0" fontId="1" fillId="46" borderId="35" xfId="0" applyFont="1" applyFill="1" applyBorder="1" applyAlignment="1">
      <alignment vertical="center"/>
    </xf>
    <xf numFmtId="176" fontId="16" fillId="46" borderId="33" xfId="0" applyNumberFormat="1" applyFont="1" applyFill="1" applyBorder="1" applyAlignment="1">
      <alignment vertical="center"/>
    </xf>
    <xf numFmtId="176" fontId="16" fillId="46" borderId="37" xfId="0" applyNumberFormat="1" applyFont="1" applyFill="1" applyBorder="1" applyAlignment="1">
      <alignment vertical="center"/>
    </xf>
    <xf numFmtId="0" fontId="16" fillId="46" borderId="36" xfId="0" applyFont="1" applyFill="1" applyBorder="1" applyAlignment="1">
      <alignment horizontal="center" vertical="center"/>
    </xf>
    <xf numFmtId="0" fontId="16" fillId="46" borderId="33" xfId="0" applyFont="1" applyFill="1" applyBorder="1" applyAlignment="1">
      <alignment horizontal="center" vertical="center"/>
    </xf>
    <xf numFmtId="0" fontId="16" fillId="46" borderId="34" xfId="0" applyFont="1" applyFill="1" applyBorder="1" applyAlignment="1">
      <alignment horizontal="center" vertical="center"/>
    </xf>
    <xf numFmtId="0" fontId="16" fillId="46" borderId="32" xfId="0" applyFont="1" applyFill="1" applyBorder="1" applyAlignment="1">
      <alignment horizontal="center" vertical="center"/>
    </xf>
    <xf numFmtId="0" fontId="16" fillId="46" borderId="37" xfId="0" applyFont="1" applyFill="1" applyBorder="1" applyAlignment="1">
      <alignment horizontal="center" vertical="center"/>
    </xf>
    <xf numFmtId="0" fontId="16" fillId="46" borderId="38" xfId="0" applyFont="1" applyFill="1" applyBorder="1" applyAlignment="1">
      <alignment horizontal="center" vertical="center"/>
    </xf>
    <xf numFmtId="0" fontId="16" fillId="46" borderId="39" xfId="0" applyFont="1" applyFill="1" applyBorder="1" applyAlignment="1">
      <alignment horizontal="center" vertical="center"/>
    </xf>
    <xf numFmtId="0" fontId="1" fillId="0" borderId="52" xfId="0" applyFont="1" applyBorder="1" applyAlignment="1">
      <alignment vertical="center"/>
    </xf>
    <xf numFmtId="0" fontId="16" fillId="46" borderId="0" xfId="0" applyFont="1" applyFill="1" applyBorder="1" applyAlignment="1">
      <alignment vertical="center"/>
    </xf>
    <xf numFmtId="0" fontId="16" fillId="46" borderId="0" xfId="0" applyFont="1" applyFill="1" applyBorder="1"/>
    <xf numFmtId="0" fontId="13" fillId="0" borderId="0" xfId="0" applyFont="1" applyBorder="1"/>
    <xf numFmtId="0" fontId="31" fillId="38" borderId="1" xfId="0" applyFont="1" applyFill="1" applyBorder="1" applyAlignment="1">
      <alignment horizontal="left" vertical="center"/>
    </xf>
    <xf numFmtId="0" fontId="1" fillId="38" borderId="1" xfId="0" applyFont="1" applyFill="1" applyBorder="1" applyAlignment="1">
      <alignment horizontal="center" vertical="center" wrapText="1"/>
    </xf>
    <xf numFmtId="43" fontId="27" fillId="0" borderId="1" xfId="0" applyNumberFormat="1" applyFont="1" applyBorder="1" applyAlignment="1" applyProtection="1">
      <alignment horizontal="center" vertical="center"/>
      <protection locked="0"/>
    </xf>
    <xf numFmtId="43" fontId="27" fillId="0" borderId="1" xfId="0" applyNumberFormat="1" applyFont="1" applyBorder="1" applyAlignment="1" applyProtection="1">
      <alignment horizontal="center" vertical="center"/>
    </xf>
    <xf numFmtId="0" fontId="31" fillId="38" borderId="1" xfId="0" applyFont="1" applyFill="1" applyBorder="1" applyAlignment="1">
      <alignment horizontal="left" vertical="center" indent="1"/>
    </xf>
    <xf numFmtId="0" fontId="31" fillId="38" borderId="1" xfId="0" applyFont="1" applyFill="1" applyBorder="1" applyAlignment="1">
      <alignment vertical="center" wrapText="1"/>
    </xf>
    <xf numFmtId="0" fontId="3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vertical="center"/>
    </xf>
    <xf numFmtId="43" fontId="1" fillId="38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43" fontId="27" fillId="0" borderId="1" xfId="0" applyNumberFormat="1" applyFont="1" applyBorder="1" applyAlignment="1" applyProtection="1">
      <alignment horizontal="left" vertical="center"/>
      <protection locked="0"/>
    </xf>
    <xf numFmtId="0" fontId="31" fillId="0" borderId="1" xfId="0" applyFont="1" applyBorder="1" applyAlignment="1">
      <alignment horizontal="left" vertical="center" wrapText="1"/>
    </xf>
    <xf numFmtId="0" fontId="31" fillId="0" borderId="1" xfId="0" applyFont="1" applyBorder="1" applyAlignment="1">
      <alignment horizontal="left" vertical="center" wrapText="1" indent="1"/>
    </xf>
    <xf numFmtId="43" fontId="27" fillId="0" borderId="1" xfId="0" applyNumberFormat="1" applyFont="1" applyBorder="1" applyAlignment="1" applyProtection="1">
      <alignment horizontal="left" vertical="center"/>
    </xf>
    <xf numFmtId="43" fontId="27" fillId="0" borderId="1" xfId="0" applyNumberFormat="1" applyFont="1" applyFill="1" applyBorder="1" applyAlignment="1" applyProtection="1">
      <alignment horizontal="right" vertical="center"/>
    </xf>
    <xf numFmtId="43" fontId="27" fillId="0" borderId="1" xfId="0" applyNumberFormat="1" applyFont="1" applyFill="1" applyBorder="1" applyAlignment="1" applyProtection="1">
      <alignment vertical="center"/>
    </xf>
    <xf numFmtId="0" fontId="27" fillId="0" borderId="1" xfId="0" applyFont="1" applyBorder="1" applyAlignment="1" applyProtection="1">
      <alignment vertical="center"/>
      <protection locked="0"/>
    </xf>
    <xf numFmtId="0" fontId="27" fillId="0" borderId="1" xfId="0" applyFont="1" applyBorder="1" applyAlignment="1" applyProtection="1">
      <alignment horizontal="center" vertical="center"/>
      <protection locked="0"/>
    </xf>
    <xf numFmtId="43" fontId="27" fillId="0" borderId="1" xfId="0" applyNumberFormat="1" applyFont="1" applyBorder="1" applyAlignment="1" applyProtection="1">
      <alignment vertical="center"/>
      <protection locked="0"/>
    </xf>
    <xf numFmtId="0" fontId="4" fillId="0" borderId="0" xfId="49" applyFont="1" applyAlignment="1">
      <alignment vertical="center"/>
    </xf>
    <xf numFmtId="0" fontId="17" fillId="0" borderId="0" xfId="49" applyFont="1" applyBorder="1" applyAlignment="1">
      <alignment vertical="center"/>
    </xf>
    <xf numFmtId="0" fontId="14" fillId="0" borderId="0" xfId="49" applyFont="1" applyAlignment="1">
      <alignment horizontal="right" vertical="center"/>
    </xf>
    <xf numFmtId="0" fontId="14" fillId="0" borderId="0" xfId="49" applyFont="1" applyAlignment="1">
      <alignment vertical="center"/>
    </xf>
    <xf numFmtId="0" fontId="1" fillId="0" borderId="0" xfId="49" applyFont="1" applyAlignment="1">
      <alignment horizontal="center" vertical="center"/>
    </xf>
    <xf numFmtId="0" fontId="1" fillId="45" borderId="0" xfId="49" applyFont="1" applyFill="1" applyAlignment="1">
      <alignment horizontal="center" vertical="center"/>
    </xf>
    <xf numFmtId="0" fontId="1" fillId="34" borderId="0" xfId="49" applyFont="1" applyFill="1" applyAlignment="1">
      <alignment horizontal="right" vertical="center"/>
    </xf>
    <xf numFmtId="0" fontId="5" fillId="45" borderId="0" xfId="49" applyFont="1" applyFill="1" applyAlignment="1">
      <alignment horizontal="center" vertical="center"/>
    </xf>
    <xf numFmtId="0" fontId="1" fillId="0" borderId="0" xfId="49"/>
    <xf numFmtId="0" fontId="1" fillId="0" borderId="0" xfId="49" applyAlignment="1">
      <alignment horizontal="centerContinuous" vertical="center"/>
    </xf>
    <xf numFmtId="0" fontId="21" fillId="0" borderId="0" xfId="49" applyFont="1" applyAlignment="1">
      <alignment horizontal="centerContinuous" vertical="center"/>
    </xf>
    <xf numFmtId="0" fontId="1" fillId="0" borderId="0" xfId="49" applyAlignment="1">
      <alignment vertical="center"/>
    </xf>
    <xf numFmtId="0" fontId="23" fillId="0" borderId="0" xfId="37" applyFont="1" applyAlignment="1" applyProtection="1">
      <alignment horizontal="center" vertical="center"/>
    </xf>
    <xf numFmtId="0" fontId="1" fillId="0" borderId="0" xfId="49" applyFont="1"/>
    <xf numFmtId="0" fontId="21" fillId="0" borderId="0" xfId="49" applyFont="1"/>
    <xf numFmtId="0" fontId="14" fillId="46" borderId="67" xfId="49" applyFont="1" applyFill="1" applyBorder="1" applyAlignment="1">
      <alignment horizontal="center" vertical="center"/>
    </xf>
    <xf numFmtId="0" fontId="59" fillId="36" borderId="63" xfId="34" applyFont="1" applyFill="1" applyBorder="1" applyAlignment="1">
      <alignment horizontal="center" vertical="center"/>
    </xf>
    <xf numFmtId="0" fontId="59" fillId="36" borderId="68" xfId="49" applyFont="1" applyFill="1" applyBorder="1" applyAlignment="1">
      <alignment horizontal="centerContinuous" vertical="center"/>
    </xf>
    <xf numFmtId="0" fontId="59" fillId="36" borderId="69" xfId="49" applyFont="1" applyFill="1" applyBorder="1" applyAlignment="1">
      <alignment horizontal="centerContinuous" vertical="center"/>
    </xf>
    <xf numFmtId="0" fontId="59" fillId="36" borderId="70" xfId="49" applyFont="1" applyFill="1" applyBorder="1" applyAlignment="1">
      <alignment horizontal="centerContinuous" vertical="center"/>
    </xf>
    <xf numFmtId="0" fontId="59" fillId="36" borderId="63" xfId="49" applyFont="1" applyFill="1" applyBorder="1" applyAlignment="1">
      <alignment horizontal="center" vertical="center"/>
    </xf>
    <xf numFmtId="0" fontId="31" fillId="0" borderId="0" xfId="49" applyFont="1"/>
    <xf numFmtId="178" fontId="1" fillId="0" borderId="0" xfId="49" applyNumberFormat="1" applyFont="1"/>
    <xf numFmtId="0" fontId="14" fillId="46" borderId="72" xfId="49" applyFont="1" applyFill="1" applyBorder="1" applyAlignment="1">
      <alignment vertical="center"/>
    </xf>
    <xf numFmtId="0" fontId="14" fillId="46" borderId="73" xfId="49" applyFont="1" applyFill="1" applyBorder="1" applyAlignment="1">
      <alignment vertical="center"/>
    </xf>
    <xf numFmtId="0" fontId="14" fillId="46" borderId="74" xfId="49" applyFont="1" applyFill="1" applyBorder="1" applyAlignment="1">
      <alignment vertical="center"/>
    </xf>
    <xf numFmtId="0" fontId="14" fillId="46" borderId="75" xfId="49" applyFont="1" applyFill="1" applyBorder="1" applyAlignment="1">
      <alignment vertical="center"/>
    </xf>
    <xf numFmtId="0" fontId="14" fillId="46" borderId="76" xfId="49" applyFont="1" applyFill="1" applyBorder="1" applyAlignment="1">
      <alignment vertical="center"/>
    </xf>
    <xf numFmtId="0" fontId="14" fillId="46" borderId="77" xfId="49" applyFont="1" applyFill="1" applyBorder="1" applyAlignment="1">
      <alignment vertical="center"/>
    </xf>
    <xf numFmtId="0" fontId="14" fillId="46" borderId="78" xfId="49" applyFont="1" applyFill="1" applyBorder="1" applyAlignment="1">
      <alignment vertical="center"/>
    </xf>
    <xf numFmtId="0" fontId="14" fillId="46" borderId="79" xfId="49" applyFont="1" applyFill="1" applyBorder="1" applyAlignment="1">
      <alignment vertical="center"/>
    </xf>
    <xf numFmtId="0" fontId="14" fillId="46" borderId="80" xfId="49" applyFont="1" applyFill="1" applyBorder="1" applyAlignment="1">
      <alignment vertical="center"/>
    </xf>
    <xf numFmtId="0" fontId="59" fillId="36" borderId="83" xfId="34" applyFont="1" applyFill="1" applyBorder="1" applyAlignment="1">
      <alignment horizontal="center" vertical="center"/>
    </xf>
    <xf numFmtId="0" fontId="14" fillId="46" borderId="84" xfId="49" applyFont="1" applyFill="1" applyBorder="1" applyAlignment="1">
      <alignment vertical="center"/>
    </xf>
    <xf numFmtId="14" fontId="1" fillId="0" borderId="0" xfId="49" applyNumberFormat="1" applyFont="1"/>
    <xf numFmtId="0" fontId="16" fillId="0" borderId="72" xfId="49" applyFont="1" applyBorder="1" applyAlignment="1">
      <alignment horizontal="center" vertical="center"/>
    </xf>
    <xf numFmtId="0" fontId="16" fillId="0" borderId="73" xfId="49" applyFont="1" applyBorder="1" applyAlignment="1">
      <alignment horizontal="center" vertical="center"/>
    </xf>
    <xf numFmtId="0" fontId="16" fillId="0" borderId="74" xfId="49" applyFont="1" applyBorder="1" applyAlignment="1">
      <alignment horizontal="center" vertical="center"/>
    </xf>
    <xf numFmtId="0" fontId="16" fillId="0" borderId="30" xfId="49" applyFont="1" applyBorder="1" applyAlignment="1">
      <alignment horizontal="center" vertical="center"/>
    </xf>
    <xf numFmtId="0" fontId="16" fillId="0" borderId="26" xfId="49" applyFont="1" applyBorder="1" applyAlignment="1">
      <alignment horizontal="center" vertical="center"/>
    </xf>
    <xf numFmtId="0" fontId="16" fillId="0" borderId="27" xfId="49" applyFont="1" applyBorder="1" applyAlignment="1">
      <alignment horizontal="center" vertical="center"/>
    </xf>
    <xf numFmtId="0" fontId="16" fillId="0" borderId="25" xfId="49" applyFont="1" applyBorder="1" applyAlignment="1">
      <alignment horizontal="center" vertical="center"/>
    </xf>
    <xf numFmtId="0" fontId="16" fillId="0" borderId="29" xfId="49" applyFont="1" applyBorder="1" applyAlignment="1">
      <alignment horizontal="center" vertical="center"/>
    </xf>
    <xf numFmtId="0" fontId="16" fillId="0" borderId="85" xfId="49" applyFont="1" applyBorder="1" applyAlignment="1">
      <alignment horizontal="center" vertical="center"/>
    </xf>
    <xf numFmtId="43" fontId="16" fillId="0" borderId="63" xfId="34" applyNumberFormat="1" applyFont="1" applyFill="1" applyBorder="1" applyAlignment="1" applyProtection="1">
      <alignment vertical="center"/>
      <protection hidden="1"/>
    </xf>
    <xf numFmtId="0" fontId="16" fillId="0" borderId="68" xfId="34" applyNumberFormat="1" applyFont="1" applyFill="1" applyBorder="1" applyAlignment="1" applyProtection="1">
      <alignment vertical="center"/>
      <protection hidden="1"/>
    </xf>
    <xf numFmtId="0" fontId="16" fillId="0" borderId="83" xfId="34" applyFont="1" applyBorder="1" applyAlignment="1">
      <alignment vertical="center"/>
    </xf>
    <xf numFmtId="43" fontId="16" fillId="0" borderId="83" xfId="34" applyNumberFormat="1" applyFont="1" applyFill="1" applyBorder="1" applyAlignment="1" applyProtection="1">
      <alignment vertical="center"/>
      <protection hidden="1"/>
    </xf>
    <xf numFmtId="0" fontId="16" fillId="0" borderId="86" xfId="49" applyFont="1" applyBorder="1" applyAlignment="1">
      <alignment horizontal="center" vertical="center"/>
    </xf>
    <xf numFmtId="0" fontId="16" fillId="0" borderId="31" xfId="49" applyFont="1" applyBorder="1" applyAlignment="1">
      <alignment horizontal="center" vertical="center"/>
    </xf>
    <xf numFmtId="0" fontId="16" fillId="0" borderId="63" xfId="49" applyNumberFormat="1" applyFont="1" applyFill="1" applyBorder="1" applyAlignment="1" applyProtection="1">
      <alignment horizontal="center" vertical="center"/>
      <protection hidden="1"/>
    </xf>
    <xf numFmtId="0" fontId="16" fillId="0" borderId="87" xfId="49" applyFont="1" applyBorder="1" applyAlignment="1">
      <alignment horizontal="center" vertical="center"/>
    </xf>
    <xf numFmtId="0" fontId="1" fillId="0" borderId="85" xfId="49" applyBorder="1"/>
    <xf numFmtId="43" fontId="1" fillId="0" borderId="0" xfId="49" applyNumberFormat="1"/>
    <xf numFmtId="0" fontId="16" fillId="0" borderId="88" xfId="49" applyFont="1" applyBorder="1" applyAlignment="1">
      <alignment horizontal="center" vertical="center"/>
    </xf>
    <xf numFmtId="0" fontId="16" fillId="0" borderId="89" xfId="49" applyFont="1" applyBorder="1" applyAlignment="1">
      <alignment horizontal="center" vertical="center"/>
    </xf>
    <xf numFmtId="0" fontId="16" fillId="0" borderId="90" xfId="49" applyFont="1" applyBorder="1" applyAlignment="1">
      <alignment horizontal="center" vertical="center"/>
    </xf>
    <xf numFmtId="0" fontId="16" fillId="0" borderId="91" xfId="49" applyFont="1" applyBorder="1" applyAlignment="1">
      <alignment horizontal="center" vertical="center"/>
    </xf>
    <xf numFmtId="0" fontId="16" fillId="0" borderId="92" xfId="49" applyFont="1" applyBorder="1" applyAlignment="1">
      <alignment horizontal="center" vertical="center"/>
    </xf>
    <xf numFmtId="0" fontId="16" fillId="0" borderId="93" xfId="49" applyFont="1" applyBorder="1" applyAlignment="1">
      <alignment horizontal="center" vertical="center"/>
    </xf>
    <xf numFmtId="0" fontId="16" fillId="0" borderId="94" xfId="49" applyFont="1" applyBorder="1" applyAlignment="1">
      <alignment horizontal="center" vertical="center"/>
    </xf>
    <xf numFmtId="43" fontId="16" fillId="36" borderId="63" xfId="34" applyNumberFormat="1" applyFont="1" applyFill="1" applyBorder="1" applyAlignment="1">
      <alignment vertical="center"/>
    </xf>
    <xf numFmtId="43" fontId="16" fillId="0" borderId="68" xfId="49" applyNumberFormat="1" applyFont="1" applyFill="1" applyBorder="1" applyAlignment="1">
      <alignment vertical="center"/>
    </xf>
    <xf numFmtId="43" fontId="16" fillId="0" borderId="83" xfId="49" applyNumberFormat="1" applyFont="1" applyFill="1" applyBorder="1" applyAlignment="1">
      <alignment vertical="center"/>
    </xf>
    <xf numFmtId="0" fontId="16" fillId="0" borderId="95" xfId="49" applyFont="1" applyBorder="1" applyAlignment="1">
      <alignment horizontal="center" vertical="center"/>
    </xf>
    <xf numFmtId="0" fontId="60" fillId="0" borderId="0" xfId="49" applyFont="1" applyAlignment="1">
      <alignment horizontal="center" vertical="center"/>
    </xf>
    <xf numFmtId="0" fontId="4" fillId="0" borderId="0" xfId="49" applyFont="1"/>
    <xf numFmtId="0" fontId="17" fillId="0" borderId="0" xfId="49" applyFont="1" applyBorder="1" applyAlignment="1">
      <alignment horizontal="centerContinuous" vertical="center"/>
    </xf>
    <xf numFmtId="0" fontId="45" fillId="0" borderId="0" xfId="49" applyFont="1" applyBorder="1" applyAlignment="1">
      <alignment vertical="center"/>
    </xf>
    <xf numFmtId="0" fontId="1" fillId="0" borderId="63" xfId="49" applyFont="1" applyBorder="1" applyAlignment="1">
      <alignment horizontal="centerContinuous" vertical="center"/>
    </xf>
    <xf numFmtId="0" fontId="1" fillId="0" borderId="63" xfId="49" applyBorder="1" applyAlignment="1">
      <alignment horizontal="centerContinuous" vertical="center"/>
    </xf>
    <xf numFmtId="0" fontId="1" fillId="0" borderId="63" xfId="49" applyFont="1" applyBorder="1" applyAlignment="1">
      <alignment horizontal="center" vertical="center"/>
    </xf>
    <xf numFmtId="0" fontId="1" fillId="0" borderId="63" xfId="49" applyFont="1" applyBorder="1" applyAlignment="1">
      <alignment vertical="center"/>
    </xf>
    <xf numFmtId="0" fontId="1" fillId="0" borderId="0" xfId="49" applyFont="1" applyAlignment="1">
      <alignment horizontal="center"/>
    </xf>
    <xf numFmtId="0" fontId="1" fillId="46" borderId="96" xfId="49" applyFont="1" applyFill="1" applyBorder="1" applyAlignment="1">
      <alignment vertical="center"/>
    </xf>
    <xf numFmtId="0" fontId="1" fillId="46" borderId="97" xfId="49" applyFont="1" applyFill="1" applyBorder="1" applyAlignment="1">
      <alignment vertical="center"/>
    </xf>
    <xf numFmtId="0" fontId="1" fillId="46" borderId="98" xfId="49" applyFont="1" applyFill="1" applyBorder="1" applyAlignment="1">
      <alignment vertical="center"/>
    </xf>
    <xf numFmtId="0" fontId="1" fillId="46" borderId="65" xfId="49" applyFont="1" applyFill="1" applyBorder="1" applyAlignment="1">
      <alignment vertical="center"/>
    </xf>
    <xf numFmtId="0" fontId="1" fillId="0" borderId="65" xfId="49" applyFont="1" applyBorder="1" applyAlignment="1">
      <alignment horizontal="center" wrapText="1"/>
    </xf>
    <xf numFmtId="0" fontId="1" fillId="46" borderId="100" xfId="49" applyFont="1" applyFill="1" applyBorder="1" applyAlignment="1">
      <alignment horizontal="centerContinuous" vertical="center"/>
    </xf>
    <xf numFmtId="0" fontId="1" fillId="46" borderId="101" xfId="49" applyFont="1" applyFill="1" applyBorder="1" applyAlignment="1">
      <alignment horizontal="centerContinuous" vertical="center"/>
    </xf>
    <xf numFmtId="0" fontId="1" fillId="46" borderId="102" xfId="49" applyFont="1" applyFill="1" applyBorder="1" applyAlignment="1">
      <alignment horizontal="centerContinuous" vertical="center"/>
    </xf>
    <xf numFmtId="0" fontId="1" fillId="46" borderId="103" xfId="49" applyFont="1" applyFill="1" applyBorder="1" applyAlignment="1">
      <alignment horizontal="centerContinuous" vertical="center"/>
    </xf>
    <xf numFmtId="0" fontId="1" fillId="46" borderId="104" xfId="49" applyFont="1" applyFill="1" applyBorder="1" applyAlignment="1">
      <alignment horizontal="centerContinuous" vertical="center"/>
    </xf>
    <xf numFmtId="0" fontId="1" fillId="0" borderId="63" xfId="49" applyBorder="1" applyAlignment="1">
      <alignment horizontal="center" vertical="center"/>
    </xf>
    <xf numFmtId="0" fontId="14" fillId="0" borderId="63" xfId="49" applyFont="1" applyBorder="1" applyAlignment="1">
      <alignment horizontal="center" vertical="center"/>
    </xf>
    <xf numFmtId="0" fontId="14" fillId="0" borderId="0" xfId="49" applyFont="1" applyAlignment="1">
      <alignment horizontal="center"/>
    </xf>
    <xf numFmtId="0" fontId="14" fillId="46" borderId="105" xfId="49" applyFont="1" applyFill="1" applyBorder="1" applyAlignment="1">
      <alignment vertical="center"/>
    </xf>
    <xf numFmtId="0" fontId="14" fillId="46" borderId="20" xfId="49" applyFont="1" applyFill="1" applyBorder="1" applyAlignment="1">
      <alignment vertical="center"/>
    </xf>
    <xf numFmtId="0" fontId="14" fillId="46" borderId="58" xfId="49" applyFont="1" applyFill="1" applyBorder="1" applyAlignment="1">
      <alignment vertical="center"/>
    </xf>
    <xf numFmtId="0" fontId="14" fillId="46" borderId="106" xfId="49" applyFont="1" applyFill="1" applyBorder="1" applyAlignment="1">
      <alignment vertical="center"/>
    </xf>
    <xf numFmtId="0" fontId="14" fillId="46" borderId="107" xfId="49" applyFont="1" applyFill="1" applyBorder="1" applyAlignment="1">
      <alignment vertical="center"/>
    </xf>
    <xf numFmtId="0" fontId="14" fillId="46" borderId="108" xfId="49" applyFont="1" applyFill="1" applyBorder="1" applyAlignment="1">
      <alignment vertical="center"/>
    </xf>
    <xf numFmtId="0" fontId="14" fillId="46" borderId="19" xfId="49" applyFont="1" applyFill="1" applyBorder="1" applyAlignment="1">
      <alignment vertical="center"/>
    </xf>
    <xf numFmtId="0" fontId="14" fillId="46" borderId="109" xfId="49" applyFont="1" applyFill="1" applyBorder="1" applyAlignment="1">
      <alignment vertical="center"/>
    </xf>
    <xf numFmtId="0" fontId="14" fillId="46" borderId="23" xfId="49" applyFont="1" applyFill="1" applyBorder="1" applyAlignment="1">
      <alignment vertical="center"/>
    </xf>
    <xf numFmtId="0" fontId="14" fillId="46" borderId="46" xfId="49" applyFont="1" applyFill="1" applyBorder="1" applyAlignment="1">
      <alignment vertical="center"/>
    </xf>
    <xf numFmtId="0" fontId="14" fillId="46" borderId="24" xfId="49" applyFont="1" applyFill="1" applyBorder="1" applyAlignment="1">
      <alignment vertical="center"/>
    </xf>
    <xf numFmtId="0" fontId="14" fillId="46" borderId="21" xfId="49" applyFont="1" applyFill="1" applyBorder="1" applyAlignment="1">
      <alignment vertical="center"/>
    </xf>
    <xf numFmtId="0" fontId="1" fillId="0" borderId="0" xfId="49" applyBorder="1" applyAlignment="1">
      <alignment horizontal="center" wrapText="1"/>
    </xf>
    <xf numFmtId="0" fontId="14" fillId="46" borderId="111" xfId="49" applyFont="1" applyFill="1" applyBorder="1" applyAlignment="1">
      <alignment vertical="center"/>
    </xf>
    <xf numFmtId="0" fontId="14" fillId="46" borderId="112" xfId="49" applyFont="1" applyFill="1" applyBorder="1" applyAlignment="1">
      <alignment vertical="center"/>
    </xf>
    <xf numFmtId="0" fontId="14" fillId="46" borderId="113" xfId="49" applyFont="1" applyFill="1" applyBorder="1" applyAlignment="1">
      <alignment vertical="center"/>
    </xf>
    <xf numFmtId="0" fontId="14" fillId="46" borderId="114" xfId="49" applyFont="1" applyFill="1" applyBorder="1" applyAlignment="1">
      <alignment vertical="center"/>
    </xf>
    <xf numFmtId="0" fontId="14" fillId="46" borderId="115" xfId="49" applyFont="1" applyFill="1" applyBorder="1" applyAlignment="1">
      <alignment vertical="center"/>
    </xf>
    <xf numFmtId="0" fontId="14" fillId="46" borderId="116" xfId="49" applyFont="1" applyFill="1" applyBorder="1" applyAlignment="1">
      <alignment vertical="center"/>
    </xf>
    <xf numFmtId="0" fontId="14" fillId="46" borderId="117" xfId="49" applyFont="1" applyFill="1" applyBorder="1" applyAlignment="1">
      <alignment vertical="center"/>
    </xf>
    <xf numFmtId="0" fontId="1" fillId="0" borderId="63" xfId="49" applyBorder="1"/>
    <xf numFmtId="0" fontId="1" fillId="0" borderId="63" xfId="49" applyBorder="1" applyAlignment="1">
      <alignment vertical="center"/>
    </xf>
    <xf numFmtId="0" fontId="16" fillId="0" borderId="24" xfId="49" applyFont="1" applyBorder="1" applyAlignment="1">
      <alignment horizontal="center" vertical="center"/>
    </xf>
    <xf numFmtId="0" fontId="16" fillId="0" borderId="20" xfId="49" applyFont="1" applyBorder="1" applyAlignment="1">
      <alignment horizontal="center" vertical="center"/>
    </xf>
    <xf numFmtId="0" fontId="16" fillId="0" borderId="58" xfId="49" applyFont="1" applyBorder="1" applyAlignment="1">
      <alignment horizontal="center" vertical="center"/>
    </xf>
    <xf numFmtId="0" fontId="16" fillId="0" borderId="116" xfId="49" applyFont="1" applyBorder="1" applyAlignment="1">
      <alignment horizontal="center" vertical="center"/>
    </xf>
    <xf numFmtId="0" fontId="16" fillId="0" borderId="61" xfId="49" applyFont="1" applyBorder="1" applyAlignment="1">
      <alignment horizontal="center" vertical="center"/>
    </xf>
    <xf numFmtId="0" fontId="1" fillId="0" borderId="118" xfId="49" applyFont="1" applyBorder="1" applyAlignment="1">
      <alignment horizontal="center" vertical="center"/>
    </xf>
    <xf numFmtId="183" fontId="1" fillId="0" borderId="0" xfId="49" applyNumberFormat="1"/>
    <xf numFmtId="0" fontId="16" fillId="0" borderId="28" xfId="49" applyFont="1" applyBorder="1" applyAlignment="1">
      <alignment horizontal="center" vertical="center"/>
    </xf>
    <xf numFmtId="183" fontId="16" fillId="0" borderId="61" xfId="49" applyNumberFormat="1" applyFont="1" applyBorder="1" applyAlignment="1"/>
    <xf numFmtId="0" fontId="1" fillId="0" borderId="119" xfId="49" applyBorder="1" applyAlignment="1">
      <alignment horizontal="center" vertical="center"/>
    </xf>
    <xf numFmtId="183" fontId="16" fillId="0" borderId="120" xfId="49" applyNumberFormat="1" applyFont="1" applyBorder="1" applyAlignment="1"/>
    <xf numFmtId="0" fontId="1" fillId="0" borderId="121" xfId="49" applyBorder="1" applyAlignment="1">
      <alignment horizontal="center" vertical="center"/>
    </xf>
    <xf numFmtId="0" fontId="16" fillId="0" borderId="122" xfId="49" applyFont="1" applyBorder="1" applyAlignment="1">
      <alignment horizontal="center" vertical="center"/>
    </xf>
    <xf numFmtId="0" fontId="18" fillId="0" borderId="0" xfId="50" applyFont="1" applyAlignment="1">
      <alignment vertical="center"/>
    </xf>
    <xf numFmtId="0" fontId="19" fillId="0" borderId="0" xfId="50" applyFont="1" applyAlignment="1">
      <alignment horizontal="center" vertical="center"/>
    </xf>
    <xf numFmtId="0" fontId="1" fillId="0" borderId="0" xfId="50" applyAlignment="1">
      <alignment vertical="center"/>
    </xf>
    <xf numFmtId="0" fontId="1" fillId="0" borderId="0" xfId="50" applyAlignment="1"/>
    <xf numFmtId="0" fontId="1" fillId="0" borderId="0" xfId="50" applyFont="1"/>
    <xf numFmtId="0" fontId="62" fillId="0" borderId="0" xfId="37" applyFont="1" applyAlignment="1" applyProtection="1">
      <alignment horizontal="center" vertical="center"/>
    </xf>
    <xf numFmtId="0" fontId="63" fillId="0" borderId="0" xfId="50" applyFont="1" applyAlignment="1">
      <alignment vertical="center"/>
    </xf>
    <xf numFmtId="0" fontId="63" fillId="0" borderId="0" xfId="50" applyFont="1" applyAlignment="1">
      <alignment horizontal="center" vertical="center"/>
    </xf>
    <xf numFmtId="0" fontId="1" fillId="0" borderId="0" xfId="50" applyFont="1" applyBorder="1" applyAlignment="1">
      <alignment horizontal="centerContinuous" vertical="center"/>
    </xf>
    <xf numFmtId="0" fontId="1" fillId="0" borderId="0" xfId="50" applyFont="1" applyBorder="1" applyAlignment="1">
      <alignment vertical="center"/>
    </xf>
    <xf numFmtId="0" fontId="1" fillId="0" borderId="0" xfId="50" applyBorder="1" applyAlignment="1">
      <alignment vertical="center"/>
    </xf>
    <xf numFmtId="0" fontId="1" fillId="34" borderId="0" xfId="50" applyFont="1" applyFill="1" applyAlignment="1">
      <alignment vertical="center"/>
    </xf>
    <xf numFmtId="0" fontId="16" fillId="35" borderId="126" xfId="50" applyFont="1" applyFill="1" applyBorder="1" applyAlignment="1">
      <alignment horizontal="center" vertical="center"/>
    </xf>
    <xf numFmtId="0" fontId="16" fillId="35" borderId="11" xfId="50" applyFont="1" applyFill="1" applyBorder="1" applyAlignment="1">
      <alignment horizontal="center" vertical="center"/>
    </xf>
    <xf numFmtId="0" fontId="1" fillId="0" borderId="0" xfId="50" applyFont="1" applyBorder="1" applyAlignment="1">
      <alignment horizontal="center" vertical="center"/>
    </xf>
    <xf numFmtId="0" fontId="16" fillId="35" borderId="131" xfId="50" applyFont="1" applyFill="1" applyBorder="1" applyAlignment="1">
      <alignment horizontal="center" vertical="center"/>
    </xf>
    <xf numFmtId="0" fontId="16" fillId="35" borderId="132" xfId="50" applyFont="1" applyFill="1" applyBorder="1" applyAlignment="1">
      <alignment horizontal="center" vertical="center"/>
    </xf>
    <xf numFmtId="0" fontId="16" fillId="35" borderId="133" xfId="50" applyFont="1" applyFill="1" applyBorder="1" applyAlignment="1">
      <alignment horizontal="center" vertical="center"/>
    </xf>
    <xf numFmtId="0" fontId="16" fillId="35" borderId="134" xfId="50" applyFont="1" applyFill="1" applyBorder="1" applyAlignment="1">
      <alignment horizontal="center" vertical="center"/>
    </xf>
    <xf numFmtId="0" fontId="14" fillId="46" borderId="135" xfId="49" applyFont="1" applyFill="1" applyBorder="1" applyAlignment="1">
      <alignment vertical="center"/>
    </xf>
    <xf numFmtId="0" fontId="14" fillId="46" borderId="136" xfId="49" applyFont="1" applyFill="1" applyBorder="1" applyAlignment="1">
      <alignment vertical="center"/>
    </xf>
    <xf numFmtId="0" fontId="14" fillId="46" borderId="133" xfId="49" applyFont="1" applyFill="1" applyBorder="1" applyAlignment="1">
      <alignment vertical="center"/>
    </xf>
    <xf numFmtId="0" fontId="14" fillId="46" borderId="132" xfId="49" applyFont="1" applyFill="1" applyBorder="1" applyAlignment="1">
      <alignment vertical="center"/>
    </xf>
    <xf numFmtId="0" fontId="14" fillId="46" borderId="137" xfId="49" applyFont="1" applyFill="1" applyBorder="1" applyAlignment="1">
      <alignment vertical="center"/>
    </xf>
    <xf numFmtId="0" fontId="16" fillId="35" borderId="138" xfId="50" applyFont="1" applyFill="1" applyBorder="1" applyAlignment="1">
      <alignment horizontal="center" vertical="center"/>
    </xf>
    <xf numFmtId="0" fontId="16" fillId="0" borderId="140" xfId="50" applyFont="1" applyBorder="1" applyAlignment="1">
      <alignment horizontal="center" vertical="center"/>
    </xf>
    <xf numFmtId="0" fontId="16" fillId="0" borderId="141" xfId="50" applyFont="1" applyBorder="1" applyAlignment="1">
      <alignment horizontal="center" vertical="center"/>
    </xf>
    <xf numFmtId="0" fontId="16" fillId="0" borderId="142" xfId="50" applyFont="1" applyBorder="1" applyAlignment="1">
      <alignment horizontal="center" vertical="center"/>
    </xf>
    <xf numFmtId="0" fontId="16" fillId="0" borderId="143" xfId="50" applyFont="1" applyBorder="1" applyAlignment="1">
      <alignment horizontal="center" vertical="center"/>
    </xf>
    <xf numFmtId="0" fontId="16" fillId="0" borderId="144" xfId="50" applyFont="1" applyBorder="1" applyAlignment="1">
      <alignment horizontal="center" vertical="center"/>
    </xf>
    <xf numFmtId="0" fontId="16" fillId="0" borderId="135" xfId="49" applyFont="1" applyBorder="1" applyAlignment="1">
      <alignment horizontal="center" vertical="center"/>
    </xf>
    <xf numFmtId="0" fontId="16" fillId="0" borderId="136" xfId="49" applyFont="1" applyBorder="1" applyAlignment="1">
      <alignment horizontal="center" vertical="center"/>
    </xf>
    <xf numFmtId="0" fontId="16" fillId="0" borderId="133" xfId="49" applyFont="1" applyBorder="1" applyAlignment="1">
      <alignment horizontal="center" vertical="center"/>
    </xf>
    <xf numFmtId="0" fontId="16" fillId="0" borderId="140" xfId="49" applyFont="1" applyBorder="1" applyAlignment="1">
      <alignment horizontal="center" vertical="center"/>
    </xf>
    <xf numFmtId="0" fontId="16" fillId="0" borderId="145" xfId="49" applyFont="1" applyBorder="1" applyAlignment="1">
      <alignment horizontal="center" vertical="center"/>
    </xf>
    <xf numFmtId="0" fontId="16" fillId="0" borderId="146" xfId="50" applyFont="1" applyBorder="1" applyAlignment="1">
      <alignment horizontal="center" vertical="center"/>
    </xf>
    <xf numFmtId="0" fontId="16" fillId="0" borderId="147" xfId="50" applyFont="1" applyBorder="1" applyAlignment="1">
      <alignment horizontal="center" vertical="center"/>
    </xf>
    <xf numFmtId="43" fontId="16" fillId="0" borderId="144" xfId="50" applyNumberFormat="1" applyFont="1" applyBorder="1" applyAlignment="1">
      <alignment horizontal="center" vertical="center"/>
    </xf>
    <xf numFmtId="0" fontId="16" fillId="0" borderId="0" xfId="50" applyFont="1" applyBorder="1" applyAlignment="1">
      <alignment horizontal="center" vertical="center"/>
    </xf>
    <xf numFmtId="0" fontId="16" fillId="0" borderId="0" xfId="50" applyFont="1"/>
    <xf numFmtId="0" fontId="16" fillId="0" borderId="132" xfId="50" applyFont="1" applyBorder="1" applyAlignment="1">
      <alignment horizontal="center" vertical="center"/>
    </xf>
    <xf numFmtId="0" fontId="16" fillId="0" borderId="133" xfId="50" applyFont="1" applyBorder="1" applyAlignment="1">
      <alignment horizontal="center" vertical="center"/>
    </xf>
    <xf numFmtId="0" fontId="16" fillId="0" borderId="131" xfId="50" applyFont="1" applyBorder="1" applyAlignment="1">
      <alignment horizontal="center" vertical="center"/>
    </xf>
    <xf numFmtId="0" fontId="16" fillId="0" borderId="148" xfId="50" applyFont="1" applyBorder="1" applyAlignment="1">
      <alignment horizontal="left" vertical="center"/>
    </xf>
    <xf numFmtId="43" fontId="16" fillId="0" borderId="149" xfId="50" applyNumberFormat="1" applyFont="1" applyBorder="1" applyAlignment="1">
      <alignment vertical="center"/>
    </xf>
    <xf numFmtId="0" fontId="16" fillId="0" borderId="132" xfId="49" applyFont="1" applyBorder="1" applyAlignment="1">
      <alignment horizontal="center" vertical="center"/>
    </xf>
    <xf numFmtId="0" fontId="16" fillId="0" borderId="137" xfId="49" applyFont="1" applyBorder="1" applyAlignment="1">
      <alignment horizontal="center" vertical="center"/>
    </xf>
    <xf numFmtId="43" fontId="16" fillId="0" borderId="150" xfId="50" applyNumberFormat="1" applyFont="1" applyBorder="1" applyAlignment="1">
      <alignment vertical="center"/>
    </xf>
    <xf numFmtId="0" fontId="64" fillId="0" borderId="151" xfId="50" applyNumberFormat="1" applyFont="1" applyBorder="1" applyAlignment="1" applyProtection="1">
      <alignment horizontal="center" vertical="center"/>
      <protection hidden="1"/>
    </xf>
    <xf numFmtId="43" fontId="16" fillId="0" borderId="149" xfId="50" applyNumberFormat="1" applyFont="1" applyBorder="1" applyAlignment="1">
      <alignment horizontal="center" vertical="center"/>
    </xf>
    <xf numFmtId="0" fontId="65" fillId="0" borderId="10" xfId="50" applyNumberFormat="1" applyFont="1" applyBorder="1" applyAlignment="1" applyProtection="1">
      <alignment horizontal="right" vertical="center"/>
      <protection hidden="1"/>
    </xf>
    <xf numFmtId="0" fontId="30" fillId="0" borderId="10" xfId="50" applyNumberFormat="1" applyFont="1" applyBorder="1" applyAlignment="1" applyProtection="1">
      <alignment horizontal="right" vertical="center"/>
      <protection hidden="1"/>
    </xf>
    <xf numFmtId="0" fontId="1" fillId="43" borderId="0" xfId="0" applyFont="1" applyFill="1"/>
    <xf numFmtId="0" fontId="0" fillId="0" borderId="16" xfId="0" applyBorder="1" applyAlignment="1">
      <alignment horizontal="center" vertical="center"/>
    </xf>
    <xf numFmtId="0" fontId="0" fillId="43" borderId="1" xfId="0" applyNumberFormat="1" applyFont="1" applyFill="1" applyBorder="1" applyAlignment="1">
      <alignment horizontal="center" vertical="center"/>
    </xf>
    <xf numFmtId="0" fontId="38" fillId="43" borderId="1" xfId="0" applyNumberFormat="1" applyFont="1" applyFill="1" applyBorder="1" applyAlignment="1">
      <alignment horizontal="center" vertical="center"/>
    </xf>
    <xf numFmtId="0" fontId="38" fillId="43" borderId="1" xfId="0" applyFont="1" applyFill="1" applyBorder="1" applyAlignment="1">
      <alignment horizontal="center"/>
    </xf>
    <xf numFmtId="0" fontId="38" fillId="43" borderId="1" xfId="0" applyFont="1" applyFill="1" applyBorder="1" applyAlignment="1">
      <alignment horizontal="center" vertical="center"/>
    </xf>
    <xf numFmtId="177" fontId="38" fillId="43" borderId="1" xfId="1" applyNumberFormat="1" applyFont="1" applyFill="1" applyBorder="1" applyAlignment="1">
      <alignment horizontal="center" vertical="center"/>
    </xf>
    <xf numFmtId="0" fontId="38" fillId="43" borderId="1" xfId="1" applyNumberFormat="1" applyFont="1" applyFill="1" applyBorder="1" applyAlignment="1">
      <alignment horizontal="center" vertical="center"/>
    </xf>
    <xf numFmtId="0" fontId="16" fillId="43" borderId="1" xfId="0" applyNumberFormat="1" applyFont="1" applyFill="1" applyBorder="1" applyAlignment="1">
      <alignment vertical="center"/>
    </xf>
    <xf numFmtId="0" fontId="40" fillId="43" borderId="1" xfId="0" applyFont="1" applyFill="1" applyBorder="1" applyAlignment="1">
      <alignment vertical="center"/>
    </xf>
    <xf numFmtId="0" fontId="12" fillId="43" borderId="1" xfId="1" applyNumberFormat="1" applyFont="1" applyFill="1" applyBorder="1" applyAlignment="1">
      <alignment vertical="center"/>
    </xf>
    <xf numFmtId="43" fontId="1" fillId="43" borderId="1" xfId="1" applyNumberFormat="1" applyFont="1" applyFill="1" applyBorder="1" applyAlignment="1">
      <alignment vertical="center"/>
    </xf>
    <xf numFmtId="0" fontId="5" fillId="0" borderId="3" xfId="0" applyFont="1" applyBorder="1" applyAlignment="1">
      <alignment horizontal="centerContinuous" vertical="center"/>
    </xf>
    <xf numFmtId="49" fontId="1" fillId="43" borderId="1" xfId="0" applyNumberFormat="1" applyFont="1" applyFill="1" applyBorder="1" applyAlignment="1">
      <alignment horizontal="center"/>
    </xf>
    <xf numFmtId="49" fontId="55" fillId="0" borderId="0" xfId="0" applyNumberFormat="1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0" fillId="0" borderId="0" xfId="2" applyFont="1" applyAlignment="1">
      <alignment horizontal="center" vertical="center"/>
    </xf>
    <xf numFmtId="0" fontId="23" fillId="0" borderId="0" xfId="35" applyFont="1" applyAlignment="1" applyProtection="1">
      <alignment horizontal="center" vertical="center"/>
    </xf>
    <xf numFmtId="0" fontId="5" fillId="0" borderId="0" xfId="0" applyFont="1" applyAlignment="1">
      <alignment vertical="center"/>
    </xf>
    <xf numFmtId="0" fontId="10" fillId="5" borderId="0" xfId="0" applyNumberFormat="1" applyFont="1" applyFill="1" applyAlignment="1"/>
    <xf numFmtId="0" fontId="0" fillId="5" borderId="0" xfId="0" applyFill="1" applyAlignment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7" fillId="36" borderId="0" xfId="0" applyFont="1" applyFill="1" applyAlignment="1">
      <alignment horizontal="center" vertical="center" wrapText="1"/>
    </xf>
    <xf numFmtId="0" fontId="17" fillId="36" borderId="0" xfId="0" applyFont="1" applyFill="1" applyAlignment="1">
      <alignment horizontal="center" vertical="center"/>
    </xf>
    <xf numFmtId="0" fontId="17" fillId="36" borderId="0" xfId="32" applyFont="1" applyFill="1" applyAlignment="1">
      <alignment horizontal="center" vertical="center"/>
    </xf>
    <xf numFmtId="0" fontId="17" fillId="36" borderId="0" xfId="32" applyFont="1" applyFill="1" applyAlignment="1">
      <alignment horizontal="center" vertical="center" wrapText="1"/>
    </xf>
    <xf numFmtId="0" fontId="14" fillId="46" borderId="64" xfId="49" applyFont="1" applyFill="1" applyBorder="1" applyAlignment="1">
      <alignment vertical="center"/>
    </xf>
    <xf numFmtId="0" fontId="1" fillId="0" borderId="65" xfId="49" applyBorder="1" applyAlignment="1">
      <alignment vertical="center"/>
    </xf>
    <xf numFmtId="0" fontId="1" fillId="0" borderId="66" xfId="49" applyBorder="1" applyAlignment="1">
      <alignment vertical="center"/>
    </xf>
    <xf numFmtId="0" fontId="59" fillId="36" borderId="64" xfId="34" applyFont="1" applyFill="1" applyBorder="1" applyAlignment="1">
      <alignment horizontal="center" vertical="center"/>
    </xf>
    <xf numFmtId="0" fontId="1" fillId="0" borderId="67" xfId="34" applyBorder="1" applyAlignment="1">
      <alignment horizontal="center" vertical="center"/>
    </xf>
    <xf numFmtId="0" fontId="1" fillId="0" borderId="81" xfId="34" applyBorder="1" applyAlignment="1">
      <alignment horizontal="center" vertical="center"/>
    </xf>
    <xf numFmtId="0" fontId="1" fillId="0" borderId="82" xfId="34" applyBorder="1" applyAlignment="1">
      <alignment horizontal="center" vertical="center"/>
    </xf>
    <xf numFmtId="0" fontId="14" fillId="46" borderId="71" xfId="49" applyFont="1" applyFill="1" applyBorder="1" applyAlignment="1">
      <alignment vertical="center"/>
    </xf>
    <xf numFmtId="0" fontId="61" fillId="0" borderId="0" xfId="49" applyFont="1" applyBorder="1" applyAlignment="1">
      <alignment vertical="center"/>
    </xf>
    <xf numFmtId="0" fontId="1" fillId="0" borderId="0" xfId="49" applyAlignment="1"/>
    <xf numFmtId="0" fontId="1" fillId="0" borderId="99" xfId="49" applyBorder="1" applyAlignment="1">
      <alignment horizontal="center" wrapText="1"/>
    </xf>
    <xf numFmtId="0" fontId="1" fillId="0" borderId="110" xfId="49" applyBorder="1" applyAlignment="1">
      <alignment horizontal="center" wrapText="1"/>
    </xf>
    <xf numFmtId="0" fontId="16" fillId="35" borderId="130" xfId="50" applyFont="1" applyFill="1" applyBorder="1" applyAlignment="1">
      <alignment horizontal="center" vertical="center" wrapText="1"/>
    </xf>
    <xf numFmtId="0" fontId="16" fillId="35" borderId="139" xfId="50" applyFont="1" applyFill="1" applyBorder="1" applyAlignment="1">
      <alignment horizontal="center" vertical="center" wrapText="1"/>
    </xf>
    <xf numFmtId="0" fontId="1" fillId="46" borderId="127" xfId="49" applyFont="1" applyFill="1" applyBorder="1" applyAlignment="1">
      <alignment horizontal="left" vertical="center" indent="1"/>
    </xf>
    <xf numFmtId="0" fontId="1" fillId="46" borderId="128" xfId="49" applyFont="1" applyFill="1" applyBorder="1" applyAlignment="1">
      <alignment horizontal="left" vertical="center" indent="1"/>
    </xf>
    <xf numFmtId="0" fontId="1" fillId="46" borderId="129" xfId="49" applyFont="1" applyFill="1" applyBorder="1" applyAlignment="1">
      <alignment horizontal="left" vertical="center" indent="1"/>
    </xf>
    <xf numFmtId="0" fontId="18" fillId="0" borderId="0" xfId="50" applyFont="1" applyAlignment="1">
      <alignment horizontal="center" vertical="center"/>
    </xf>
    <xf numFmtId="0" fontId="1" fillId="0" borderId="0" xfId="50" applyAlignment="1">
      <alignment horizontal="center" vertical="center"/>
    </xf>
    <xf numFmtId="0" fontId="1" fillId="0" borderId="0" xfId="50" applyFont="1" applyBorder="1" applyAlignment="1">
      <alignment horizontal="distributed"/>
    </xf>
    <xf numFmtId="0" fontId="1" fillId="0" borderId="0" xfId="50" applyAlignment="1">
      <alignment horizontal="distributed"/>
    </xf>
    <xf numFmtId="0" fontId="16" fillId="35" borderId="47" xfId="50" applyFont="1" applyFill="1" applyBorder="1" applyAlignment="1">
      <alignment horizontal="center" vertical="center"/>
    </xf>
    <xf numFmtId="0" fontId="16" fillId="35" borderId="123" xfId="50" applyFont="1" applyFill="1" applyBorder="1" applyAlignment="1">
      <alignment horizontal="center" vertical="center"/>
    </xf>
    <xf numFmtId="0" fontId="16" fillId="35" borderId="124" xfId="50" applyFont="1" applyFill="1" applyBorder="1" applyAlignment="1">
      <alignment horizontal="center" vertical="center"/>
    </xf>
    <xf numFmtId="0" fontId="16" fillId="35" borderId="125" xfId="50" applyFont="1" applyFill="1" applyBorder="1" applyAlignment="1">
      <alignment horizontal="center" vertical="center"/>
    </xf>
    <xf numFmtId="0" fontId="16" fillId="35" borderId="129" xfId="50" applyFont="1" applyFill="1" applyBorder="1" applyAlignment="1">
      <alignment horizontal="center" vertical="center"/>
    </xf>
    <xf numFmtId="0" fontId="56" fillId="0" borderId="52" xfId="0" applyFont="1" applyBorder="1" applyAlignment="1">
      <alignment vertical="center" textRotation="180" wrapText="1"/>
    </xf>
    <xf numFmtId="0" fontId="57" fillId="0" borderId="52" xfId="0" applyFont="1" applyBorder="1" applyAlignment="1">
      <alignment vertical="center" textRotation="180" wrapText="1"/>
    </xf>
    <xf numFmtId="0" fontId="57" fillId="0" borderId="52" xfId="0" applyFont="1" applyBorder="1" applyAlignment="1">
      <alignment vertical="center" wrapText="1"/>
    </xf>
    <xf numFmtId="43" fontId="1" fillId="46" borderId="19" xfId="0" applyNumberFormat="1" applyFont="1" applyFill="1" applyBorder="1" applyAlignment="1">
      <alignment horizontal="center" vertical="center"/>
    </xf>
    <xf numFmtId="43" fontId="1" fillId="46" borderId="57" xfId="0" applyNumberFormat="1" applyFont="1" applyFill="1" applyBorder="1" applyAlignment="1">
      <alignment horizontal="center" vertical="center"/>
    </xf>
    <xf numFmtId="0" fontId="2" fillId="0" borderId="52" xfId="0" applyFont="1" applyBorder="1" applyAlignment="1">
      <alignment horizontal="center" vertical="center" wrapText="1"/>
    </xf>
    <xf numFmtId="43" fontId="1" fillId="46" borderId="46" xfId="0" applyNumberFormat="1" applyFont="1" applyFill="1" applyBorder="1" applyAlignment="1">
      <alignment horizontal="center" vertical="center"/>
    </xf>
    <xf numFmtId="43" fontId="1" fillId="46" borderId="54" xfId="0" applyNumberFormat="1" applyFont="1" applyFill="1" applyBorder="1" applyAlignment="1">
      <alignment horizontal="center" vertical="center"/>
    </xf>
    <xf numFmtId="43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43" fontId="0" fillId="0" borderId="40" xfId="0" applyNumberFormat="1" applyBorder="1" applyAlignment="1">
      <alignment horizontal="center" vertical="center"/>
    </xf>
    <xf numFmtId="43" fontId="0" fillId="0" borderId="41" xfId="0" applyNumberForma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</cellXfs>
  <cellStyles count="55">
    <cellStyle name="Accent1" xfId="3"/>
    <cellStyle name="Accent1 - 20%" xfId="4"/>
    <cellStyle name="Accent1 - 40%" xfId="5"/>
    <cellStyle name="Accent1 - 60%" xfId="6"/>
    <cellStyle name="Accent2" xfId="7"/>
    <cellStyle name="Accent2 - 20%" xfId="8"/>
    <cellStyle name="Accent2 - 40%" xfId="9"/>
    <cellStyle name="Accent2 - 60%" xfId="10"/>
    <cellStyle name="Accent3" xfId="11"/>
    <cellStyle name="Accent3 - 20%" xfId="12"/>
    <cellStyle name="Accent3 - 40%" xfId="13"/>
    <cellStyle name="Accent3 - 60%" xfId="14"/>
    <cellStyle name="Accent4" xfId="15"/>
    <cellStyle name="Accent4 - 20%" xfId="16"/>
    <cellStyle name="Accent4 - 40%" xfId="17"/>
    <cellStyle name="Accent4 - 60%" xfId="18"/>
    <cellStyle name="Accent5" xfId="19"/>
    <cellStyle name="Accent5 - 20%" xfId="20"/>
    <cellStyle name="Accent5 - 40%" xfId="21"/>
    <cellStyle name="Accent5 - 60%" xfId="22"/>
    <cellStyle name="Accent6" xfId="23"/>
    <cellStyle name="Accent6 - 20%" xfId="24"/>
    <cellStyle name="Accent6 - 40%" xfId="25"/>
    <cellStyle name="Accent6 - 60%" xfId="26"/>
    <cellStyle name="Comma_Sheet1" xfId="39"/>
    <cellStyle name="Normal_SHEET" xfId="51"/>
    <cellStyle name="百分比 2" xfId="52"/>
    <cellStyle name="表标题" xfId="27"/>
    <cellStyle name="常规" xfId="0" builtinId="0"/>
    <cellStyle name="常规 2" xfId="2"/>
    <cellStyle name="常规 2 2" xfId="43"/>
    <cellStyle name="常规 2 2 2" xfId="50"/>
    <cellStyle name="常规 3" xfId="31"/>
    <cellStyle name="常规 3 2" xfId="34"/>
    <cellStyle name="常规 3 2 2" xfId="41"/>
    <cellStyle name="常规 3 2 2 2" xfId="42"/>
    <cellStyle name="常规 3 2 2 2 2" xfId="49"/>
    <cellStyle name="常规 3 2 2 3" xfId="45"/>
    <cellStyle name="常规 4" xfId="32"/>
    <cellStyle name="常规 5" xfId="33"/>
    <cellStyle name="常规 5 2" xfId="47"/>
    <cellStyle name="常规_四海通利润表" xfId="40"/>
    <cellStyle name="常规_四海通资产负债表" xfId="36"/>
    <cellStyle name="常规_资产负债表 2" xfId="38"/>
    <cellStyle name="超链接" xfId="35" builtinId="8"/>
    <cellStyle name="超链接 2" xfId="37"/>
    <cellStyle name="超链接 3" xfId="48"/>
    <cellStyle name="超链接 4" xfId="53"/>
    <cellStyle name="货币 2" xfId="46"/>
    <cellStyle name="千位分隔" xfId="1" builtinId="3"/>
    <cellStyle name="千位分隔 2" xfId="54"/>
    <cellStyle name="千位分隔[0] 2" xfId="44"/>
    <cellStyle name="强调 1" xfId="28"/>
    <cellStyle name="强调 2" xfId="29"/>
    <cellStyle name="强调 3" xfId="30"/>
  </cellStyles>
  <dxfs count="9">
    <dxf>
      <font>
        <b/>
        <i val="0"/>
        <condense val="0"/>
        <extend val="0"/>
        <color indexed="10"/>
      </font>
      <fill>
        <patternFill>
          <bgColor indexed="13"/>
        </patternFill>
      </fill>
    </dxf>
    <dxf>
      <font>
        <color rgb="FFFF0000"/>
      </font>
    </dxf>
    <dxf>
      <font>
        <color rgb="FFFF000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lor rgb="FFFF0000"/>
      </font>
      <fill>
        <patternFill>
          <bgColor theme="6" tint="0.39994506668294322"/>
        </patternFill>
      </fill>
    </dxf>
    <dxf>
      <font>
        <color rgb="FFFF0000"/>
      </font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25" fmlaLink="$AE$1" max="2050" min="2004" page="10" val="2004"/>
</file>

<file path=xl/ctrlProps/ctrlProp2.xml><?xml version="1.0" encoding="utf-8"?>
<formControlPr xmlns="http://schemas.microsoft.com/office/spreadsheetml/2009/9/main" objectType="Spin" dx="25" fmlaLink="$AG$1" max="12" min="1" page="10" val="0"/>
</file>

<file path=xl/ctrlProps/ctrlProp3.xml><?xml version="1.0" encoding="utf-8"?>
<formControlPr xmlns="http://schemas.microsoft.com/office/spreadsheetml/2009/9/main" objectType="Spin" dx="25" fmlaLink="$AF$1" max="2050" min="2004" page="10" val="2013"/>
</file>

<file path=xl/ctrlProps/ctrlProp4.xml><?xml version="1.0" encoding="utf-8"?>
<formControlPr xmlns="http://schemas.microsoft.com/office/spreadsheetml/2009/9/main" objectType="Spin" dx="25" fmlaLink="$AH$1" max="12" min="1" page="10"/>
</file>

<file path=xl/ctrlProps/ctrlProp5.xml><?xml version="1.0" encoding="utf-8"?>
<formControlPr xmlns="http://schemas.microsoft.com/office/spreadsheetml/2009/9/main" objectType="Spin" dx="25" fmlaLink="$J$1" max="2050" min="2004" page="10" val="2013"/>
</file>

<file path=xl/ctrlProps/ctrlProp6.xml><?xml version="1.0" encoding="utf-8"?>
<formControlPr xmlns="http://schemas.microsoft.com/office/spreadsheetml/2009/9/main" objectType="Spin" dx="25" fmlaLink="$L$1" max="12" min="1" page="10" val="12"/>
</file>

<file path=xl/ctrlProps/ctrlProp7.xml><?xml version="1.0" encoding="utf-8"?>
<formControlPr xmlns="http://schemas.microsoft.com/office/spreadsheetml/2009/9/main" objectType="Spin" dx="16" fmlaLink="$AD$1" max="2050" min="2004" page="10" val="2013"/>
</file>

<file path=xl/ctrlProps/ctrlProp8.xml><?xml version="1.0" encoding="utf-8"?>
<formControlPr xmlns="http://schemas.microsoft.com/office/spreadsheetml/2009/9/main" objectType="Spin" dx="16" fmlaLink="$AF$1" max="12" min="1" page="10"/>
</file>

<file path=xl/ctrlProps/ctrlProp9.xml><?xml version="1.0" encoding="utf-8"?>
<formControlPr xmlns="http://schemas.microsoft.com/office/spreadsheetml/2009/9/main" objectType="Spin" dx="16" fmlaLink="$AD$1" max="2050" min="2004" page="10" val="2013"/>
</file>

<file path=xl/ctrlProps/ctrlProp10.xml><?xml version="1.0" encoding="utf-8"?>
<formControlPr xmlns="http://schemas.microsoft.com/office/spreadsheetml/2009/9/main" objectType="Spin" dx="16" fmlaLink="$AF$1" max="12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9525</xdr:colOff>
          <xdr:row>0</xdr:row>
          <xdr:rowOff>9525</xdr:rowOff>
        </xdr:from>
        <xdr:to>
          <xdr:col>32</xdr:col>
          <xdr:colOff>190500</xdr:colOff>
          <xdr:row>1</xdr:row>
          <xdr:rowOff>0</xdr:rowOff>
        </xdr:to>
        <xdr:sp macro="" textlink="">
          <xdr:nvSpPr>
            <xdr:cNvPr id="6145" name="微调框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9525</xdr:colOff>
          <xdr:row>0</xdr:row>
          <xdr:rowOff>9525</xdr:rowOff>
        </xdr:from>
        <xdr:to>
          <xdr:col>34</xdr:col>
          <xdr:colOff>190500</xdr:colOff>
          <xdr:row>1</xdr:row>
          <xdr:rowOff>0</xdr:rowOff>
        </xdr:to>
        <xdr:sp macro="" textlink="">
          <xdr:nvSpPr>
            <xdr:cNvPr id="6146" name="微调框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9525</xdr:colOff>
          <xdr:row>0</xdr:row>
          <xdr:rowOff>9525</xdr:rowOff>
        </xdr:from>
        <xdr:to>
          <xdr:col>32</xdr:col>
          <xdr:colOff>190500</xdr:colOff>
          <xdr:row>1</xdr:row>
          <xdr:rowOff>0</xdr:rowOff>
        </xdr:to>
        <xdr:sp macro="" textlink="">
          <xdr:nvSpPr>
            <xdr:cNvPr id="6147" name="Spinner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9525</xdr:colOff>
          <xdr:row>0</xdr:row>
          <xdr:rowOff>9525</xdr:rowOff>
        </xdr:from>
        <xdr:to>
          <xdr:col>34</xdr:col>
          <xdr:colOff>190500</xdr:colOff>
          <xdr:row>1</xdr:row>
          <xdr:rowOff>0</xdr:rowOff>
        </xdr:to>
        <xdr:sp macro="" textlink="">
          <xdr:nvSpPr>
            <xdr:cNvPr id="6148" name="Spinner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2</xdr:row>
      <xdr:rowOff>0</xdr:rowOff>
    </xdr:from>
    <xdr:to>
      <xdr:col>4</xdr:col>
      <xdr:colOff>1581150</xdr:colOff>
      <xdr:row>2</xdr:row>
      <xdr:rowOff>0</xdr:rowOff>
    </xdr:to>
    <xdr:sp macro="" textlink="$A$47">
      <xdr:nvSpPr>
        <xdr:cNvPr id="2" name="Rectangle 1"/>
        <xdr:cNvSpPr>
          <a:spLocks noChangeArrowheads="1" noTextEdit="1"/>
        </xdr:cNvSpPr>
      </xdr:nvSpPr>
      <xdr:spPr bwMode="auto">
        <a:xfrm>
          <a:off x="3257550" y="571500"/>
          <a:ext cx="2590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1">
            <a:defRPr sz="1000"/>
          </a:pPr>
          <a:fld id="{C6F17D1D-2F24-43D8-95BF-D2386807483A}" type="TxLink">
            <a:rPr lang="en-US" altLang="zh-CN" sz="1200" b="1" i="0" strike="noStrike">
              <a:solidFill>
                <a:srgbClr val="000000"/>
              </a:solidFill>
              <a:latin typeface="仿宋_GB2312"/>
              <a:ea typeface="仿宋_GB2312"/>
            </a:rPr>
            <a:pPr algn="ctr" rtl="1">
              <a:defRPr sz="1000"/>
            </a:pPr>
            <a:t>#REF!</a:t>
          </a:fld>
          <a:endParaRPr lang="en-US" altLang="zh-CN" sz="1200" b="1" i="0" strike="noStrike">
            <a:solidFill>
              <a:srgbClr val="000000"/>
            </a:solidFill>
            <a:latin typeface="仿宋_GB2312"/>
            <a:ea typeface="仿宋_GB2312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</xdr:colOff>
          <xdr:row>0</xdr:row>
          <xdr:rowOff>9525</xdr:rowOff>
        </xdr:from>
        <xdr:to>
          <xdr:col>10</xdr:col>
          <xdr:colOff>190500</xdr:colOff>
          <xdr:row>1</xdr:row>
          <xdr:rowOff>0</xdr:rowOff>
        </xdr:to>
        <xdr:sp macro="" textlink="">
          <xdr:nvSpPr>
            <xdr:cNvPr id="1028" name="微调框 1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9525</xdr:colOff>
          <xdr:row>0</xdr:row>
          <xdr:rowOff>9525</xdr:rowOff>
        </xdr:from>
        <xdr:to>
          <xdr:col>12</xdr:col>
          <xdr:colOff>190500</xdr:colOff>
          <xdr:row>1</xdr:row>
          <xdr:rowOff>0</xdr:rowOff>
        </xdr:to>
        <xdr:sp macro="" textlink="">
          <xdr:nvSpPr>
            <xdr:cNvPr id="1029" name="微调框 2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9525</xdr:colOff>
          <xdr:row>0</xdr:row>
          <xdr:rowOff>19050</xdr:rowOff>
        </xdr:from>
        <xdr:to>
          <xdr:col>30</xdr:col>
          <xdr:colOff>390525</xdr:colOff>
          <xdr:row>1</xdr:row>
          <xdr:rowOff>0</xdr:rowOff>
        </xdr:to>
        <xdr:sp macro="" textlink="">
          <xdr:nvSpPr>
            <xdr:cNvPr id="5124" name="微调框 1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9525</xdr:colOff>
          <xdr:row>0</xdr:row>
          <xdr:rowOff>19050</xdr:rowOff>
        </xdr:from>
        <xdr:to>
          <xdr:col>32</xdr:col>
          <xdr:colOff>390525</xdr:colOff>
          <xdr:row>1</xdr:row>
          <xdr:rowOff>0</xdr:rowOff>
        </xdr:to>
        <xdr:sp macro="" textlink="">
          <xdr:nvSpPr>
            <xdr:cNvPr id="5125" name="Spinner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9525</xdr:colOff>
          <xdr:row>0</xdr:row>
          <xdr:rowOff>19050</xdr:rowOff>
        </xdr:from>
        <xdr:to>
          <xdr:col>30</xdr:col>
          <xdr:colOff>390525</xdr:colOff>
          <xdr:row>1</xdr:row>
          <xdr:rowOff>0</xdr:rowOff>
        </xdr:to>
        <xdr:sp macro="" textlink="">
          <xdr:nvSpPr>
            <xdr:cNvPr id="9217" name="微调框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9525</xdr:colOff>
          <xdr:row>0</xdr:row>
          <xdr:rowOff>19050</xdr:rowOff>
        </xdr:from>
        <xdr:to>
          <xdr:col>32</xdr:col>
          <xdr:colOff>390525</xdr:colOff>
          <xdr:row>1</xdr:row>
          <xdr:rowOff>0</xdr:rowOff>
        </xdr:to>
        <xdr:sp macro="" textlink="">
          <xdr:nvSpPr>
            <xdr:cNvPr id="9218" name="Spinner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Relationship Id="rId5" Type="http://schemas.openxmlformats.org/officeDocument/2006/relationships/ctrlProp" Target="../ctrlProps/ctrlProp10.xml"/><Relationship Id="rId4" Type="http://schemas.openxmlformats.org/officeDocument/2006/relationships/ctrlProp" Target="../ctrlProps/ctrlProp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7"/>
  <sheetViews>
    <sheetView workbookViewId="0">
      <pane ySplit="25" topLeftCell="A26" activePane="bottomLeft" state="frozen"/>
      <selection pane="bottomLeft" activeCell="B6" sqref="B6"/>
    </sheetView>
  </sheetViews>
  <sheetFormatPr defaultRowHeight="14.25"/>
  <cols>
    <col min="2" max="2" width="25" bestFit="1" customWidth="1"/>
    <col min="3" max="3" width="9" customWidth="1"/>
    <col min="4" max="4" width="27.25" bestFit="1" customWidth="1"/>
  </cols>
  <sheetData>
    <row r="1" spans="1:5" ht="19.5" customHeight="1">
      <c r="A1" s="214" t="s">
        <v>559</v>
      </c>
      <c r="B1" s="214"/>
      <c r="C1" s="214"/>
      <c r="D1" s="214"/>
    </row>
    <row r="2" spans="1:5" ht="15" thickBot="1">
      <c r="A2" s="215" t="s">
        <v>560</v>
      </c>
      <c r="B2" s="215" t="s">
        <v>561</v>
      </c>
      <c r="C2" s="215" t="s">
        <v>560</v>
      </c>
      <c r="D2" s="215" t="s">
        <v>561</v>
      </c>
    </row>
    <row r="3" spans="1:5" ht="24" thickTop="1" thickBot="1">
      <c r="A3" s="212">
        <v>1</v>
      </c>
      <c r="B3" s="216" t="str">
        <f>HYPERLINK("#目录!A1","目录")</f>
        <v>目录</v>
      </c>
      <c r="C3" s="212">
        <v>7</v>
      </c>
      <c r="D3" s="216" t="str">
        <f>HYPERLINK("#明细分类账!A1","明细分类账")</f>
        <v>明细分类账</v>
      </c>
      <c r="E3" s="34"/>
    </row>
    <row r="4" spans="1:5" ht="24" thickTop="1" thickBot="1">
      <c r="A4" s="212">
        <v>2</v>
      </c>
      <c r="B4" s="217" t="str">
        <f>HYPERLINK("#银行存款余额调节表!A1","银行存款余额调节表")</f>
        <v>银行存款余额调节表</v>
      </c>
      <c r="C4" s="212">
        <v>8</v>
      </c>
      <c r="D4" s="216" t="str">
        <f>HYPERLINK("#通用记账凭证!A1","通用记账凭证")</f>
        <v>通用记账凭证</v>
      </c>
      <c r="E4" s="34"/>
    </row>
    <row r="5" spans="1:5" ht="24" thickTop="1" thickBot="1">
      <c r="A5" s="212">
        <v>3</v>
      </c>
      <c r="B5" s="216" t="str">
        <f>HYPERLINK("#会计科目表!A1","会计科目表")</f>
        <v>会计科目表</v>
      </c>
      <c r="C5" s="212">
        <v>9</v>
      </c>
      <c r="D5" s="218" t="str">
        <f>HYPERLINK("#资产负债表!J1","资产负债表")</f>
        <v>资产负债表</v>
      </c>
      <c r="E5" s="34"/>
    </row>
    <row r="6" spans="1:5" ht="24" thickTop="1" thickBot="1">
      <c r="A6" s="212">
        <v>4</v>
      </c>
      <c r="B6" s="216" t="str">
        <f ca="1">HYPERLINK("#凭证录入!B"&amp;COUNTA(记账月份)+5,"凭证录入")</f>
        <v>凭证录入</v>
      </c>
      <c r="C6" s="212">
        <v>10</v>
      </c>
      <c r="D6" s="216" t="str">
        <f>HYPERLINK("#利润表!G1","利润表")</f>
        <v>利润表</v>
      </c>
      <c r="E6" s="34"/>
    </row>
    <row r="7" spans="1:5" ht="24" thickTop="1" thickBot="1">
      <c r="A7" s="212">
        <v>5</v>
      </c>
      <c r="B7" s="216" t="str">
        <f>HYPERLINK("#科目余额表!A1","科目余额表")</f>
        <v>科目余额表</v>
      </c>
      <c r="C7" s="212">
        <v>11</v>
      </c>
      <c r="D7" s="216" t="str">
        <f>HYPERLINK("#现金流量表!A1","现金流量表")</f>
        <v>现金流量表</v>
      </c>
      <c r="E7" s="34"/>
    </row>
    <row r="8" spans="1:5" ht="24" thickTop="1" thickBot="1">
      <c r="A8" s="212">
        <v>6</v>
      </c>
      <c r="B8" s="216" t="str">
        <f>HYPERLINK("#总分类账!A1","总分类账")</f>
        <v>总分类账</v>
      </c>
      <c r="C8" s="212">
        <v>12</v>
      </c>
      <c r="D8" s="216" t="str">
        <f>HYPERLINK("#股东权益变动表!A1","股东权益变动表")</f>
        <v>股东权益变动表</v>
      </c>
      <c r="E8" s="34"/>
    </row>
    <row r="9" spans="1:5" ht="15" thickTop="1">
      <c r="A9" s="212"/>
      <c r="B9" s="212"/>
      <c r="C9" s="212"/>
      <c r="D9" s="219"/>
      <c r="E9" s="34"/>
    </row>
    <row r="10" spans="1:5">
      <c r="A10" s="212"/>
      <c r="B10" s="212"/>
      <c r="C10" s="212"/>
      <c r="D10" s="219"/>
      <c r="E10" s="34"/>
    </row>
    <row r="11" spans="1:5">
      <c r="A11" s="212"/>
      <c r="B11" s="220"/>
      <c r="C11" s="212"/>
      <c r="D11" s="219"/>
      <c r="E11" s="34"/>
    </row>
    <row r="12" spans="1:5">
      <c r="A12" s="212"/>
      <c r="B12" s="219"/>
      <c r="C12" s="212"/>
      <c r="D12" s="219"/>
      <c r="E12" s="34"/>
    </row>
    <row r="13" spans="1:5">
      <c r="A13" s="212"/>
      <c r="B13" s="219"/>
      <c r="C13" s="212"/>
      <c r="D13" s="35"/>
      <c r="E13" s="39"/>
    </row>
    <row r="14" spans="1:5">
      <c r="B14" s="212"/>
      <c r="C14" s="34"/>
      <c r="D14" s="35"/>
      <c r="E14" s="34"/>
    </row>
    <row r="15" spans="1:5">
      <c r="B15" s="212"/>
      <c r="C15" s="34"/>
      <c r="D15" s="35"/>
    </row>
    <row r="16" spans="1:5">
      <c r="B16" s="212"/>
      <c r="C16" s="34"/>
      <c r="D16" s="35"/>
    </row>
    <row r="17" spans="2:4">
      <c r="B17" s="33"/>
      <c r="C17" s="34"/>
      <c r="D17" s="35"/>
    </row>
    <row r="18" spans="2:4">
      <c r="B18" s="33"/>
      <c r="C18" s="34"/>
      <c r="D18" s="35"/>
    </row>
    <row r="19" spans="2:4">
      <c r="B19" s="33"/>
      <c r="C19" s="34"/>
      <c r="D19" s="35"/>
    </row>
    <row r="20" spans="2:4">
      <c r="B20" s="33"/>
      <c r="C20" s="34"/>
      <c r="D20" s="35"/>
    </row>
    <row r="21" spans="2:4">
      <c r="B21" s="33"/>
      <c r="C21" s="34"/>
      <c r="D21" s="35"/>
    </row>
    <row r="22" spans="2:4">
      <c r="B22" s="33"/>
      <c r="C22" s="34"/>
      <c r="D22" s="35"/>
    </row>
    <row r="23" spans="2:4">
      <c r="B23" s="33"/>
      <c r="C23" s="34"/>
      <c r="D23" s="35"/>
    </row>
    <row r="24" spans="2:4">
      <c r="B24" s="33"/>
      <c r="C24" s="34"/>
      <c r="D24" s="35"/>
    </row>
    <row r="25" spans="2:4">
      <c r="B25" s="33"/>
      <c r="C25" s="34"/>
      <c r="D25" s="35"/>
    </row>
    <row r="26" spans="2:4">
      <c r="B26" s="33"/>
      <c r="C26" s="34"/>
      <c r="D26" s="35"/>
    </row>
    <row r="27" spans="2:4">
      <c r="B27" s="33"/>
      <c r="C27" s="34"/>
      <c r="D27" s="35"/>
    </row>
    <row r="28" spans="2:4">
      <c r="B28" s="33"/>
      <c r="C28" s="34"/>
      <c r="D28" s="35"/>
    </row>
    <row r="29" spans="2:4">
      <c r="B29" s="33"/>
      <c r="C29" s="34"/>
      <c r="D29" s="35"/>
    </row>
    <row r="30" spans="2:4">
      <c r="B30" s="33"/>
      <c r="C30" s="34"/>
      <c r="D30" s="35"/>
    </row>
    <row r="31" spans="2:4">
      <c r="B31" s="33"/>
      <c r="C31" s="34"/>
      <c r="D31" s="35"/>
    </row>
    <row r="32" spans="2:4">
      <c r="B32" s="33"/>
      <c r="C32" s="34"/>
      <c r="D32" s="35"/>
    </row>
    <row r="33" spans="2:4">
      <c r="B33" s="33"/>
      <c r="C33" s="34"/>
      <c r="D33" s="35"/>
    </row>
    <row r="34" spans="2:4">
      <c r="B34" s="33"/>
      <c r="C34" s="34"/>
      <c r="D34" s="35"/>
    </row>
    <row r="35" spans="2:4">
      <c r="B35" s="33"/>
      <c r="C35" s="34"/>
      <c r="D35" s="35"/>
    </row>
    <row r="36" spans="2:4">
      <c r="B36" s="33"/>
      <c r="C36" s="34"/>
    </row>
    <row r="37" spans="2:4">
      <c r="B37" s="33"/>
      <c r="C37" s="3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3"/>
  <sheetViews>
    <sheetView workbookViewId="0">
      <selection activeCell="D3" sqref="D3"/>
    </sheetView>
  </sheetViews>
  <sheetFormatPr defaultRowHeight="14.25"/>
  <cols>
    <col min="1" max="1" width="29.5" style="9" customWidth="1"/>
    <col min="2" max="2" width="14.125" style="9" customWidth="1"/>
    <col min="3" max="3" width="27.375" style="9" customWidth="1"/>
    <col min="4" max="4" width="15" style="9" customWidth="1"/>
    <col min="5" max="5" width="9" style="9"/>
    <col min="6" max="6" width="12.75" style="9" customWidth="1"/>
    <col min="7" max="256" width="9" style="9"/>
    <col min="257" max="257" width="29.5" style="9" customWidth="1"/>
    <col min="258" max="258" width="14.125" style="9" customWidth="1"/>
    <col min="259" max="259" width="27.375" style="9" customWidth="1"/>
    <col min="260" max="260" width="15" style="9" customWidth="1"/>
    <col min="261" max="512" width="9" style="9"/>
    <col min="513" max="513" width="29.5" style="9" customWidth="1"/>
    <col min="514" max="514" width="14.125" style="9" customWidth="1"/>
    <col min="515" max="515" width="27.375" style="9" customWidth="1"/>
    <col min="516" max="516" width="15" style="9" customWidth="1"/>
    <col min="517" max="768" width="9" style="9"/>
    <col min="769" max="769" width="29.5" style="9" customWidth="1"/>
    <col min="770" max="770" width="14.125" style="9" customWidth="1"/>
    <col min="771" max="771" width="27.375" style="9" customWidth="1"/>
    <col min="772" max="772" width="15" style="9" customWidth="1"/>
    <col min="773" max="1024" width="9" style="9"/>
    <col min="1025" max="1025" width="29.5" style="9" customWidth="1"/>
    <col min="1026" max="1026" width="14.125" style="9" customWidth="1"/>
    <col min="1027" max="1027" width="27.375" style="9" customWidth="1"/>
    <col min="1028" max="1028" width="15" style="9" customWidth="1"/>
    <col min="1029" max="1280" width="9" style="9"/>
    <col min="1281" max="1281" width="29.5" style="9" customWidth="1"/>
    <col min="1282" max="1282" width="14.125" style="9" customWidth="1"/>
    <col min="1283" max="1283" width="27.375" style="9" customWidth="1"/>
    <col min="1284" max="1284" width="15" style="9" customWidth="1"/>
    <col min="1285" max="1536" width="9" style="9"/>
    <col min="1537" max="1537" width="29.5" style="9" customWidth="1"/>
    <col min="1538" max="1538" width="14.125" style="9" customWidth="1"/>
    <col min="1539" max="1539" width="27.375" style="9" customWidth="1"/>
    <col min="1540" max="1540" width="15" style="9" customWidth="1"/>
    <col min="1541" max="1792" width="9" style="9"/>
    <col min="1793" max="1793" width="29.5" style="9" customWidth="1"/>
    <col min="1794" max="1794" width="14.125" style="9" customWidth="1"/>
    <col min="1795" max="1795" width="27.375" style="9" customWidth="1"/>
    <col min="1796" max="1796" width="15" style="9" customWidth="1"/>
    <col min="1797" max="2048" width="9" style="9"/>
    <col min="2049" max="2049" width="29.5" style="9" customWidth="1"/>
    <col min="2050" max="2050" width="14.125" style="9" customWidth="1"/>
    <col min="2051" max="2051" width="27.375" style="9" customWidth="1"/>
    <col min="2052" max="2052" width="15" style="9" customWidth="1"/>
    <col min="2053" max="2304" width="9" style="9"/>
    <col min="2305" max="2305" width="29.5" style="9" customWidth="1"/>
    <col min="2306" max="2306" width="14.125" style="9" customWidth="1"/>
    <col min="2307" max="2307" width="27.375" style="9" customWidth="1"/>
    <col min="2308" max="2308" width="15" style="9" customWidth="1"/>
    <col min="2309" max="2560" width="9" style="9"/>
    <col min="2561" max="2561" width="29.5" style="9" customWidth="1"/>
    <col min="2562" max="2562" width="14.125" style="9" customWidth="1"/>
    <col min="2563" max="2563" width="27.375" style="9" customWidth="1"/>
    <col min="2564" max="2564" width="15" style="9" customWidth="1"/>
    <col min="2565" max="2816" width="9" style="9"/>
    <col min="2817" max="2817" width="29.5" style="9" customWidth="1"/>
    <col min="2818" max="2818" width="14.125" style="9" customWidth="1"/>
    <col min="2819" max="2819" width="27.375" style="9" customWidth="1"/>
    <col min="2820" max="2820" width="15" style="9" customWidth="1"/>
    <col min="2821" max="3072" width="9" style="9"/>
    <col min="3073" max="3073" width="29.5" style="9" customWidth="1"/>
    <col min="3074" max="3074" width="14.125" style="9" customWidth="1"/>
    <col min="3075" max="3075" width="27.375" style="9" customWidth="1"/>
    <col min="3076" max="3076" width="15" style="9" customWidth="1"/>
    <col min="3077" max="3328" width="9" style="9"/>
    <col min="3329" max="3329" width="29.5" style="9" customWidth="1"/>
    <col min="3330" max="3330" width="14.125" style="9" customWidth="1"/>
    <col min="3331" max="3331" width="27.375" style="9" customWidth="1"/>
    <col min="3332" max="3332" width="15" style="9" customWidth="1"/>
    <col min="3333" max="3584" width="9" style="9"/>
    <col min="3585" max="3585" width="29.5" style="9" customWidth="1"/>
    <col min="3586" max="3586" width="14.125" style="9" customWidth="1"/>
    <col min="3587" max="3587" width="27.375" style="9" customWidth="1"/>
    <col min="3588" max="3588" width="15" style="9" customWidth="1"/>
    <col min="3589" max="3840" width="9" style="9"/>
    <col min="3841" max="3841" width="29.5" style="9" customWidth="1"/>
    <col min="3842" max="3842" width="14.125" style="9" customWidth="1"/>
    <col min="3843" max="3843" width="27.375" style="9" customWidth="1"/>
    <col min="3844" max="3844" width="15" style="9" customWidth="1"/>
    <col min="3845" max="4096" width="9" style="9"/>
    <col min="4097" max="4097" width="29.5" style="9" customWidth="1"/>
    <col min="4098" max="4098" width="14.125" style="9" customWidth="1"/>
    <col min="4099" max="4099" width="27.375" style="9" customWidth="1"/>
    <col min="4100" max="4100" width="15" style="9" customWidth="1"/>
    <col min="4101" max="4352" width="9" style="9"/>
    <col min="4353" max="4353" width="29.5" style="9" customWidth="1"/>
    <col min="4354" max="4354" width="14.125" style="9" customWidth="1"/>
    <col min="4355" max="4355" width="27.375" style="9" customWidth="1"/>
    <col min="4356" max="4356" width="15" style="9" customWidth="1"/>
    <col min="4357" max="4608" width="9" style="9"/>
    <col min="4609" max="4609" width="29.5" style="9" customWidth="1"/>
    <col min="4610" max="4610" width="14.125" style="9" customWidth="1"/>
    <col min="4611" max="4611" width="27.375" style="9" customWidth="1"/>
    <col min="4612" max="4612" width="15" style="9" customWidth="1"/>
    <col min="4613" max="4864" width="9" style="9"/>
    <col min="4865" max="4865" width="29.5" style="9" customWidth="1"/>
    <col min="4866" max="4866" width="14.125" style="9" customWidth="1"/>
    <col min="4867" max="4867" width="27.375" style="9" customWidth="1"/>
    <col min="4868" max="4868" width="15" style="9" customWidth="1"/>
    <col min="4869" max="5120" width="9" style="9"/>
    <col min="5121" max="5121" width="29.5" style="9" customWidth="1"/>
    <col min="5122" max="5122" width="14.125" style="9" customWidth="1"/>
    <col min="5123" max="5123" width="27.375" style="9" customWidth="1"/>
    <col min="5124" max="5124" width="15" style="9" customWidth="1"/>
    <col min="5125" max="5376" width="9" style="9"/>
    <col min="5377" max="5377" width="29.5" style="9" customWidth="1"/>
    <col min="5378" max="5378" width="14.125" style="9" customWidth="1"/>
    <col min="5379" max="5379" width="27.375" style="9" customWidth="1"/>
    <col min="5380" max="5380" width="15" style="9" customWidth="1"/>
    <col min="5381" max="5632" width="9" style="9"/>
    <col min="5633" max="5633" width="29.5" style="9" customWidth="1"/>
    <col min="5634" max="5634" width="14.125" style="9" customWidth="1"/>
    <col min="5635" max="5635" width="27.375" style="9" customWidth="1"/>
    <col min="5636" max="5636" width="15" style="9" customWidth="1"/>
    <col min="5637" max="5888" width="9" style="9"/>
    <col min="5889" max="5889" width="29.5" style="9" customWidth="1"/>
    <col min="5890" max="5890" width="14.125" style="9" customWidth="1"/>
    <col min="5891" max="5891" width="27.375" style="9" customWidth="1"/>
    <col min="5892" max="5892" width="15" style="9" customWidth="1"/>
    <col min="5893" max="6144" width="9" style="9"/>
    <col min="6145" max="6145" width="29.5" style="9" customWidth="1"/>
    <col min="6146" max="6146" width="14.125" style="9" customWidth="1"/>
    <col min="6147" max="6147" width="27.375" style="9" customWidth="1"/>
    <col min="6148" max="6148" width="15" style="9" customWidth="1"/>
    <col min="6149" max="6400" width="9" style="9"/>
    <col min="6401" max="6401" width="29.5" style="9" customWidth="1"/>
    <col min="6402" max="6402" width="14.125" style="9" customWidth="1"/>
    <col min="6403" max="6403" width="27.375" style="9" customWidth="1"/>
    <col min="6404" max="6404" width="15" style="9" customWidth="1"/>
    <col min="6405" max="6656" width="9" style="9"/>
    <col min="6657" max="6657" width="29.5" style="9" customWidth="1"/>
    <col min="6658" max="6658" width="14.125" style="9" customWidth="1"/>
    <col min="6659" max="6659" width="27.375" style="9" customWidth="1"/>
    <col min="6660" max="6660" width="15" style="9" customWidth="1"/>
    <col min="6661" max="6912" width="9" style="9"/>
    <col min="6913" max="6913" width="29.5" style="9" customWidth="1"/>
    <col min="6914" max="6914" width="14.125" style="9" customWidth="1"/>
    <col min="6915" max="6915" width="27.375" style="9" customWidth="1"/>
    <col min="6916" max="6916" width="15" style="9" customWidth="1"/>
    <col min="6917" max="7168" width="9" style="9"/>
    <col min="7169" max="7169" width="29.5" style="9" customWidth="1"/>
    <col min="7170" max="7170" width="14.125" style="9" customWidth="1"/>
    <col min="7171" max="7171" width="27.375" style="9" customWidth="1"/>
    <col min="7172" max="7172" width="15" style="9" customWidth="1"/>
    <col min="7173" max="7424" width="9" style="9"/>
    <col min="7425" max="7425" width="29.5" style="9" customWidth="1"/>
    <col min="7426" max="7426" width="14.125" style="9" customWidth="1"/>
    <col min="7427" max="7427" width="27.375" style="9" customWidth="1"/>
    <col min="7428" max="7428" width="15" style="9" customWidth="1"/>
    <col min="7429" max="7680" width="9" style="9"/>
    <col min="7681" max="7681" width="29.5" style="9" customWidth="1"/>
    <col min="7682" max="7682" width="14.125" style="9" customWidth="1"/>
    <col min="7683" max="7683" width="27.375" style="9" customWidth="1"/>
    <col min="7684" max="7684" width="15" style="9" customWidth="1"/>
    <col min="7685" max="7936" width="9" style="9"/>
    <col min="7937" max="7937" width="29.5" style="9" customWidth="1"/>
    <col min="7938" max="7938" width="14.125" style="9" customWidth="1"/>
    <col min="7939" max="7939" width="27.375" style="9" customWidth="1"/>
    <col min="7940" max="7940" width="15" style="9" customWidth="1"/>
    <col min="7941" max="8192" width="9" style="9"/>
    <col min="8193" max="8193" width="29.5" style="9" customWidth="1"/>
    <col min="8194" max="8194" width="14.125" style="9" customWidth="1"/>
    <col min="8195" max="8195" width="27.375" style="9" customWidth="1"/>
    <col min="8196" max="8196" width="15" style="9" customWidth="1"/>
    <col min="8197" max="8448" width="9" style="9"/>
    <col min="8449" max="8449" width="29.5" style="9" customWidth="1"/>
    <col min="8450" max="8450" width="14.125" style="9" customWidth="1"/>
    <col min="8451" max="8451" width="27.375" style="9" customWidth="1"/>
    <col min="8452" max="8452" width="15" style="9" customWidth="1"/>
    <col min="8453" max="8704" width="9" style="9"/>
    <col min="8705" max="8705" width="29.5" style="9" customWidth="1"/>
    <col min="8706" max="8706" width="14.125" style="9" customWidth="1"/>
    <col min="8707" max="8707" width="27.375" style="9" customWidth="1"/>
    <col min="8708" max="8708" width="15" style="9" customWidth="1"/>
    <col min="8709" max="8960" width="9" style="9"/>
    <col min="8961" max="8961" width="29.5" style="9" customWidth="1"/>
    <col min="8962" max="8962" width="14.125" style="9" customWidth="1"/>
    <col min="8963" max="8963" width="27.375" style="9" customWidth="1"/>
    <col min="8964" max="8964" width="15" style="9" customWidth="1"/>
    <col min="8965" max="9216" width="9" style="9"/>
    <col min="9217" max="9217" width="29.5" style="9" customWidth="1"/>
    <col min="9218" max="9218" width="14.125" style="9" customWidth="1"/>
    <col min="9219" max="9219" width="27.375" style="9" customWidth="1"/>
    <col min="9220" max="9220" width="15" style="9" customWidth="1"/>
    <col min="9221" max="9472" width="9" style="9"/>
    <col min="9473" max="9473" width="29.5" style="9" customWidth="1"/>
    <col min="9474" max="9474" width="14.125" style="9" customWidth="1"/>
    <col min="9475" max="9475" width="27.375" style="9" customWidth="1"/>
    <col min="9476" max="9476" width="15" style="9" customWidth="1"/>
    <col min="9477" max="9728" width="9" style="9"/>
    <col min="9729" max="9729" width="29.5" style="9" customWidth="1"/>
    <col min="9730" max="9730" width="14.125" style="9" customWidth="1"/>
    <col min="9731" max="9731" width="27.375" style="9" customWidth="1"/>
    <col min="9732" max="9732" width="15" style="9" customWidth="1"/>
    <col min="9733" max="9984" width="9" style="9"/>
    <col min="9985" max="9985" width="29.5" style="9" customWidth="1"/>
    <col min="9986" max="9986" width="14.125" style="9" customWidth="1"/>
    <col min="9987" max="9987" width="27.375" style="9" customWidth="1"/>
    <col min="9988" max="9988" width="15" style="9" customWidth="1"/>
    <col min="9989" max="10240" width="9" style="9"/>
    <col min="10241" max="10241" width="29.5" style="9" customWidth="1"/>
    <col min="10242" max="10242" width="14.125" style="9" customWidth="1"/>
    <col min="10243" max="10243" width="27.375" style="9" customWidth="1"/>
    <col min="10244" max="10244" width="15" style="9" customWidth="1"/>
    <col min="10245" max="10496" width="9" style="9"/>
    <col min="10497" max="10497" width="29.5" style="9" customWidth="1"/>
    <col min="10498" max="10498" width="14.125" style="9" customWidth="1"/>
    <col min="10499" max="10499" width="27.375" style="9" customWidth="1"/>
    <col min="10500" max="10500" width="15" style="9" customWidth="1"/>
    <col min="10501" max="10752" width="9" style="9"/>
    <col min="10753" max="10753" width="29.5" style="9" customWidth="1"/>
    <col min="10754" max="10754" width="14.125" style="9" customWidth="1"/>
    <col min="10755" max="10755" width="27.375" style="9" customWidth="1"/>
    <col min="10756" max="10756" width="15" style="9" customWidth="1"/>
    <col min="10757" max="11008" width="9" style="9"/>
    <col min="11009" max="11009" width="29.5" style="9" customWidth="1"/>
    <col min="11010" max="11010" width="14.125" style="9" customWidth="1"/>
    <col min="11011" max="11011" width="27.375" style="9" customWidth="1"/>
    <col min="11012" max="11012" width="15" style="9" customWidth="1"/>
    <col min="11013" max="11264" width="9" style="9"/>
    <col min="11265" max="11265" width="29.5" style="9" customWidth="1"/>
    <col min="11266" max="11266" width="14.125" style="9" customWidth="1"/>
    <col min="11267" max="11267" width="27.375" style="9" customWidth="1"/>
    <col min="11268" max="11268" width="15" style="9" customWidth="1"/>
    <col min="11269" max="11520" width="9" style="9"/>
    <col min="11521" max="11521" width="29.5" style="9" customWidth="1"/>
    <col min="11522" max="11522" width="14.125" style="9" customWidth="1"/>
    <col min="11523" max="11523" width="27.375" style="9" customWidth="1"/>
    <col min="11524" max="11524" width="15" style="9" customWidth="1"/>
    <col min="11525" max="11776" width="9" style="9"/>
    <col min="11777" max="11777" width="29.5" style="9" customWidth="1"/>
    <col min="11778" max="11778" width="14.125" style="9" customWidth="1"/>
    <col min="11779" max="11779" width="27.375" style="9" customWidth="1"/>
    <col min="11780" max="11780" width="15" style="9" customWidth="1"/>
    <col min="11781" max="12032" width="9" style="9"/>
    <col min="12033" max="12033" width="29.5" style="9" customWidth="1"/>
    <col min="12034" max="12034" width="14.125" style="9" customWidth="1"/>
    <col min="12035" max="12035" width="27.375" style="9" customWidth="1"/>
    <col min="12036" max="12036" width="15" style="9" customWidth="1"/>
    <col min="12037" max="12288" width="9" style="9"/>
    <col min="12289" max="12289" width="29.5" style="9" customWidth="1"/>
    <col min="12290" max="12290" width="14.125" style="9" customWidth="1"/>
    <col min="12291" max="12291" width="27.375" style="9" customWidth="1"/>
    <col min="12292" max="12292" width="15" style="9" customWidth="1"/>
    <col min="12293" max="12544" width="9" style="9"/>
    <col min="12545" max="12545" width="29.5" style="9" customWidth="1"/>
    <col min="12546" max="12546" width="14.125" style="9" customWidth="1"/>
    <col min="12547" max="12547" width="27.375" style="9" customWidth="1"/>
    <col min="12548" max="12548" width="15" style="9" customWidth="1"/>
    <col min="12549" max="12800" width="9" style="9"/>
    <col min="12801" max="12801" width="29.5" style="9" customWidth="1"/>
    <col min="12802" max="12802" width="14.125" style="9" customWidth="1"/>
    <col min="12803" max="12803" width="27.375" style="9" customWidth="1"/>
    <col min="12804" max="12804" width="15" style="9" customWidth="1"/>
    <col min="12805" max="13056" width="9" style="9"/>
    <col min="13057" max="13057" width="29.5" style="9" customWidth="1"/>
    <col min="13058" max="13058" width="14.125" style="9" customWidth="1"/>
    <col min="13059" max="13059" width="27.375" style="9" customWidth="1"/>
    <col min="13060" max="13060" width="15" style="9" customWidth="1"/>
    <col min="13061" max="13312" width="9" style="9"/>
    <col min="13313" max="13313" width="29.5" style="9" customWidth="1"/>
    <col min="13314" max="13314" width="14.125" style="9" customWidth="1"/>
    <col min="13315" max="13315" width="27.375" style="9" customWidth="1"/>
    <col min="13316" max="13316" width="15" style="9" customWidth="1"/>
    <col min="13317" max="13568" width="9" style="9"/>
    <col min="13569" max="13569" width="29.5" style="9" customWidth="1"/>
    <col min="13570" max="13570" width="14.125" style="9" customWidth="1"/>
    <col min="13571" max="13571" width="27.375" style="9" customWidth="1"/>
    <col min="13572" max="13572" width="15" style="9" customWidth="1"/>
    <col min="13573" max="13824" width="9" style="9"/>
    <col min="13825" max="13825" width="29.5" style="9" customWidth="1"/>
    <col min="13826" max="13826" width="14.125" style="9" customWidth="1"/>
    <col min="13827" max="13827" width="27.375" style="9" customWidth="1"/>
    <col min="13828" max="13828" width="15" style="9" customWidth="1"/>
    <col min="13829" max="14080" width="9" style="9"/>
    <col min="14081" max="14081" width="29.5" style="9" customWidth="1"/>
    <col min="14082" max="14082" width="14.125" style="9" customWidth="1"/>
    <col min="14083" max="14083" width="27.375" style="9" customWidth="1"/>
    <col min="14084" max="14084" width="15" style="9" customWidth="1"/>
    <col min="14085" max="14336" width="9" style="9"/>
    <col min="14337" max="14337" width="29.5" style="9" customWidth="1"/>
    <col min="14338" max="14338" width="14.125" style="9" customWidth="1"/>
    <col min="14339" max="14339" width="27.375" style="9" customWidth="1"/>
    <col min="14340" max="14340" width="15" style="9" customWidth="1"/>
    <col min="14341" max="14592" width="9" style="9"/>
    <col min="14593" max="14593" width="29.5" style="9" customWidth="1"/>
    <col min="14594" max="14594" width="14.125" style="9" customWidth="1"/>
    <col min="14595" max="14595" width="27.375" style="9" customWidth="1"/>
    <col min="14596" max="14596" width="15" style="9" customWidth="1"/>
    <col min="14597" max="14848" width="9" style="9"/>
    <col min="14849" max="14849" width="29.5" style="9" customWidth="1"/>
    <col min="14850" max="14850" width="14.125" style="9" customWidth="1"/>
    <col min="14851" max="14851" width="27.375" style="9" customWidth="1"/>
    <col min="14852" max="14852" width="15" style="9" customWidth="1"/>
    <col min="14853" max="15104" width="9" style="9"/>
    <col min="15105" max="15105" width="29.5" style="9" customWidth="1"/>
    <col min="15106" max="15106" width="14.125" style="9" customWidth="1"/>
    <col min="15107" max="15107" width="27.375" style="9" customWidth="1"/>
    <col min="15108" max="15108" width="15" style="9" customWidth="1"/>
    <col min="15109" max="15360" width="9" style="9"/>
    <col min="15361" max="15361" width="29.5" style="9" customWidth="1"/>
    <col min="15362" max="15362" width="14.125" style="9" customWidth="1"/>
    <col min="15363" max="15363" width="27.375" style="9" customWidth="1"/>
    <col min="15364" max="15364" width="15" style="9" customWidth="1"/>
    <col min="15365" max="15616" width="9" style="9"/>
    <col min="15617" max="15617" width="29.5" style="9" customWidth="1"/>
    <col min="15618" max="15618" width="14.125" style="9" customWidth="1"/>
    <col min="15619" max="15619" width="27.375" style="9" customWidth="1"/>
    <col min="15620" max="15620" width="15" style="9" customWidth="1"/>
    <col min="15621" max="15872" width="9" style="9"/>
    <col min="15873" max="15873" width="29.5" style="9" customWidth="1"/>
    <col min="15874" max="15874" width="14.125" style="9" customWidth="1"/>
    <col min="15875" max="15875" width="27.375" style="9" customWidth="1"/>
    <col min="15876" max="15876" width="15" style="9" customWidth="1"/>
    <col min="15877" max="16128" width="9" style="9"/>
    <col min="16129" max="16129" width="29.5" style="9" customWidth="1"/>
    <col min="16130" max="16130" width="14.125" style="9" customWidth="1"/>
    <col min="16131" max="16131" width="27.375" style="9" customWidth="1"/>
    <col min="16132" max="16132" width="15" style="9" customWidth="1"/>
    <col min="16133" max="16384" width="9" style="9"/>
  </cols>
  <sheetData>
    <row r="1" spans="1:6" ht="31.5" customHeight="1">
      <c r="A1" s="496" t="s">
        <v>27</v>
      </c>
      <c r="B1" s="497"/>
      <c r="C1" s="497"/>
      <c r="D1" s="497"/>
      <c r="E1" s="40" t="str">
        <f>HYPERLINK("#目录!C3","返回")</f>
        <v>返回</v>
      </c>
    </row>
    <row r="2" spans="1:6" ht="15" thickBot="1">
      <c r="D2" s="10">
        <v>41639</v>
      </c>
    </row>
    <row r="3" spans="1:6" ht="20.100000000000001" customHeight="1" thickBot="1">
      <c r="A3" s="11" t="s">
        <v>28</v>
      </c>
      <c r="B3" s="11" t="s">
        <v>23</v>
      </c>
      <c r="C3" s="11" t="s">
        <v>28</v>
      </c>
      <c r="D3" s="11" t="s">
        <v>23</v>
      </c>
    </row>
    <row r="4" spans="1:6" ht="20.100000000000001" customHeight="1" thickBot="1">
      <c r="A4" s="11" t="s">
        <v>29</v>
      </c>
      <c r="B4" s="11">
        <v>166184.39000000001</v>
      </c>
      <c r="C4" s="11" t="s">
        <v>30</v>
      </c>
      <c r="D4" s="11">
        <v>189365.53</v>
      </c>
      <c r="E4" s="36"/>
    </row>
    <row r="5" spans="1:6" ht="20.100000000000001" customHeight="1" thickBot="1">
      <c r="A5" s="11" t="s">
        <v>31</v>
      </c>
      <c r="B5" s="11"/>
      <c r="C5" s="11" t="s">
        <v>32</v>
      </c>
      <c r="D5" s="11"/>
    </row>
    <row r="6" spans="1:6" ht="20.100000000000001" customHeight="1" thickBot="1">
      <c r="A6" s="11" t="s">
        <v>33</v>
      </c>
      <c r="B6" s="11"/>
      <c r="C6" s="11" t="s">
        <v>34</v>
      </c>
      <c r="D6" s="11"/>
    </row>
    <row r="7" spans="1:6" ht="20.100000000000001" customHeight="1" thickBot="1">
      <c r="A7" s="11" t="s">
        <v>35</v>
      </c>
      <c r="B7" s="11"/>
      <c r="C7" s="11" t="s">
        <v>36</v>
      </c>
      <c r="D7" s="11"/>
    </row>
    <row r="8" spans="1:6" ht="20.100000000000001" customHeight="1" thickBot="1">
      <c r="A8" s="11" t="s">
        <v>37</v>
      </c>
      <c r="B8" s="11"/>
      <c r="C8" s="11" t="s">
        <v>38</v>
      </c>
      <c r="D8" s="11">
        <v>23181.14</v>
      </c>
    </row>
    <row r="9" spans="1:6" ht="20.100000000000001" customHeight="1" thickBot="1">
      <c r="A9" s="11" t="s">
        <v>39</v>
      </c>
      <c r="B9" s="11"/>
      <c r="C9" s="11" t="s">
        <v>40</v>
      </c>
      <c r="D9" s="11"/>
    </row>
    <row r="10" spans="1:6" ht="20.100000000000001" customHeight="1" thickBot="1">
      <c r="A10" s="11" t="s">
        <v>41</v>
      </c>
      <c r="B10" s="11"/>
      <c r="C10" s="11"/>
      <c r="D10" s="11"/>
    </row>
    <row r="11" spans="1:6" ht="20.100000000000001" customHeight="1" thickBot="1">
      <c r="A11" s="11" t="s">
        <v>42</v>
      </c>
      <c r="B11" s="31"/>
      <c r="C11" s="11"/>
      <c r="D11" s="11"/>
    </row>
    <row r="12" spans="1:6" ht="20.100000000000001" customHeight="1" thickBot="1">
      <c r="A12" s="11" t="s">
        <v>43</v>
      </c>
      <c r="B12" s="11">
        <f>B4+B7+B8-B11</f>
        <v>166184.39000000001</v>
      </c>
      <c r="C12" s="11" t="s">
        <v>44</v>
      </c>
      <c r="D12" s="11">
        <f>D4+D6-D8-D9</f>
        <v>166184.39000000001</v>
      </c>
      <c r="F12" s="9">
        <f>D12-B12</f>
        <v>0</v>
      </c>
    </row>
    <row r="13" spans="1:6" ht="20.100000000000001" customHeight="1" thickBot="1">
      <c r="A13" s="11"/>
      <c r="B13" s="11"/>
      <c r="C13" s="11"/>
      <c r="D13" s="11"/>
    </row>
  </sheetData>
  <mergeCells count="1">
    <mergeCell ref="A1:D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17"/>
  <sheetViews>
    <sheetView workbookViewId="0">
      <pane ySplit="4" topLeftCell="A5" activePane="bottomLeft" state="frozen"/>
      <selection pane="bottomLeft" activeCell="C19" sqref="C19"/>
    </sheetView>
  </sheetViews>
  <sheetFormatPr defaultRowHeight="14.25"/>
  <cols>
    <col min="1" max="1" width="10.875" customWidth="1"/>
    <col min="2" max="2" width="15.5" customWidth="1"/>
    <col min="3" max="3" width="27.125" customWidth="1"/>
    <col min="4" max="5" width="8.875" style="1" customWidth="1"/>
    <col min="6" max="6" width="15.875" style="3" customWidth="1"/>
    <col min="7" max="7" width="16" customWidth="1"/>
    <col min="8" max="8" width="29.625" customWidth="1"/>
  </cols>
  <sheetData>
    <row r="1" spans="1:9">
      <c r="A1" s="498" t="str">
        <f>HYPERLINK("#目录!C3","返回")</f>
        <v>返回</v>
      </c>
      <c r="F1" s="19">
        <f ca="1">SUMIF(OFFSET($D5,,,COUNTA($D:$D)-1),"=1",OFFSET(F$5,,,COUNTA($D:$D)-1))</f>
        <v>15479473.210000001</v>
      </c>
      <c r="G1" s="19">
        <f ca="1">SUMIF(OFFSET($D5,,,COUNTA($D:$D)-1),"=1",OFFSET(G$5,,,COUNTA($D:$D)-1))</f>
        <v>15479473.210000001</v>
      </c>
    </row>
    <row r="2" spans="1:9" ht="14.25" customHeight="1">
      <c r="A2" s="499"/>
      <c r="F2" s="46" t="s">
        <v>48</v>
      </c>
      <c r="G2" s="8">
        <f ca="1">F$1-G$1</f>
        <v>0</v>
      </c>
    </row>
    <row r="3" spans="1:9">
      <c r="F3" s="42" t="str">
        <f ca="1">"经试算借贷余额"&amp;IF(G$2=0,"已","不")&amp;"平衡"</f>
        <v>经试算借贷余额已平衡</v>
      </c>
      <c r="G3" s="43"/>
    </row>
    <row r="4" spans="1:9">
      <c r="A4" t="s">
        <v>53</v>
      </c>
      <c r="B4" t="s">
        <v>54</v>
      </c>
      <c r="C4" t="s">
        <v>55</v>
      </c>
      <c r="D4" s="4" t="s">
        <v>56</v>
      </c>
      <c r="E4" s="4" t="s">
        <v>57</v>
      </c>
      <c r="F4" s="17" t="s">
        <v>58</v>
      </c>
      <c r="G4" s="5" t="s">
        <v>59</v>
      </c>
      <c r="H4" s="5" t="s">
        <v>60</v>
      </c>
    </row>
    <row r="5" spans="1:9">
      <c r="A5">
        <v>1001</v>
      </c>
      <c r="B5" t="s">
        <v>157</v>
      </c>
      <c r="C5" s="18"/>
      <c r="D5" s="32">
        <v>1</v>
      </c>
      <c r="E5" s="128" t="s">
        <v>0</v>
      </c>
      <c r="F5" s="25">
        <v>134153.13</v>
      </c>
      <c r="H5" t="str">
        <f t="shared" ref="H5:H27" si="0">IF(C5="",B5,CONCATENATE(B5,"_",C5))</f>
        <v>库存现金</v>
      </c>
    </row>
    <row r="6" spans="1:9">
      <c r="A6">
        <v>1002</v>
      </c>
      <c r="B6" t="s">
        <v>158</v>
      </c>
      <c r="C6" s="18"/>
      <c r="D6" s="32">
        <v>1</v>
      </c>
      <c r="E6" s="128" t="s">
        <v>0</v>
      </c>
      <c r="F6" s="26">
        <f>SUMIF($D7:$D10,"=2",F7:F10)</f>
        <v>6895.07</v>
      </c>
      <c r="H6" t="str">
        <f t="shared" si="0"/>
        <v>银行存款</v>
      </c>
    </row>
    <row r="7" spans="1:9">
      <c r="A7">
        <v>100201</v>
      </c>
      <c r="B7" t="s">
        <v>158</v>
      </c>
      <c r="C7" s="20" t="s">
        <v>501</v>
      </c>
      <c r="D7" s="21">
        <v>2</v>
      </c>
      <c r="E7" s="128" t="s">
        <v>0</v>
      </c>
      <c r="F7" s="28">
        <f>SUMIF($D8:$D8,"=3",F8:F8)</f>
        <v>6895.07</v>
      </c>
      <c r="H7" t="str">
        <f t="shared" si="0"/>
        <v>银行存款_农业银行</v>
      </c>
    </row>
    <row r="8" spans="1:9">
      <c r="A8">
        <v>10020101</v>
      </c>
      <c r="B8" t="s">
        <v>158</v>
      </c>
      <c r="C8" s="20" t="s">
        <v>997</v>
      </c>
      <c r="D8" s="21">
        <v>3</v>
      </c>
      <c r="E8" s="211" t="s">
        <v>0</v>
      </c>
      <c r="F8" s="28">
        <v>6895.07</v>
      </c>
      <c r="H8" t="str">
        <f t="shared" ref="H8:H10" si="1">IF(C8="",B8,CONCATENATE(B8,"_",C8))</f>
        <v>银行存款_农业银行_人民支行</v>
      </c>
    </row>
    <row r="9" spans="1:9">
      <c r="A9">
        <v>100202</v>
      </c>
      <c r="B9" t="s">
        <v>158</v>
      </c>
      <c r="C9" s="20" t="s">
        <v>502</v>
      </c>
      <c r="D9" s="21">
        <v>2</v>
      </c>
      <c r="E9" s="211" t="s">
        <v>0</v>
      </c>
      <c r="F9" s="28">
        <f t="shared" ref="F9:F10" si="2">SUMIF($D10:$D10,"=3",F10:F10)</f>
        <v>0</v>
      </c>
      <c r="H9" t="str">
        <f t="shared" si="1"/>
        <v>银行存款_建设银行</v>
      </c>
    </row>
    <row r="10" spans="1:9">
      <c r="A10">
        <v>100203</v>
      </c>
      <c r="B10" t="s">
        <v>158</v>
      </c>
      <c r="C10" s="20" t="s">
        <v>503</v>
      </c>
      <c r="D10" s="21">
        <v>2</v>
      </c>
      <c r="E10" s="211" t="s">
        <v>0</v>
      </c>
      <c r="F10" s="28">
        <f t="shared" si="2"/>
        <v>0</v>
      </c>
      <c r="H10" t="str">
        <f t="shared" si="1"/>
        <v>银行存款_工商银行</v>
      </c>
    </row>
    <row r="11" spans="1:9">
      <c r="A11">
        <v>1012</v>
      </c>
      <c r="B11" t="s">
        <v>159</v>
      </c>
      <c r="C11" s="20"/>
      <c r="D11" s="32">
        <v>1</v>
      </c>
      <c r="E11" s="128" t="s">
        <v>0</v>
      </c>
      <c r="F11" s="25">
        <v>0</v>
      </c>
      <c r="H11" t="str">
        <f t="shared" si="0"/>
        <v>其他货币资金</v>
      </c>
    </row>
    <row r="12" spans="1:9">
      <c r="A12">
        <v>1101</v>
      </c>
      <c r="B12" t="s">
        <v>160</v>
      </c>
      <c r="D12" s="32">
        <v>1</v>
      </c>
      <c r="E12" s="128" t="s">
        <v>0</v>
      </c>
      <c r="F12" s="25">
        <v>0</v>
      </c>
      <c r="H12" t="str">
        <f t="shared" si="0"/>
        <v>交易性金融资产</v>
      </c>
    </row>
    <row r="13" spans="1:9">
      <c r="A13">
        <v>110101</v>
      </c>
      <c r="B13" t="s">
        <v>160</v>
      </c>
      <c r="C13" t="s">
        <v>161</v>
      </c>
      <c r="D13" s="21">
        <v>2</v>
      </c>
      <c r="E13" s="128" t="s">
        <v>0</v>
      </c>
      <c r="F13" s="25">
        <v>0</v>
      </c>
      <c r="H13" t="str">
        <f t="shared" si="0"/>
        <v>交易性金融资产_成本</v>
      </c>
    </row>
    <row r="14" spans="1:9">
      <c r="A14">
        <v>110102</v>
      </c>
      <c r="B14" t="s">
        <v>160</v>
      </c>
      <c r="C14" s="22" t="s">
        <v>162</v>
      </c>
      <c r="D14" s="21">
        <v>2</v>
      </c>
      <c r="E14" s="128" t="s">
        <v>0</v>
      </c>
      <c r="F14" s="25">
        <v>0</v>
      </c>
      <c r="H14" t="str">
        <f t="shared" si="0"/>
        <v>交易性金融资产_公允价值变动</v>
      </c>
    </row>
    <row r="15" spans="1:9">
      <c r="A15">
        <v>1121</v>
      </c>
      <c r="B15" t="s">
        <v>163</v>
      </c>
      <c r="D15" s="32">
        <v>1</v>
      </c>
      <c r="E15" s="128" t="s">
        <v>0</v>
      </c>
      <c r="F15" s="25">
        <v>0</v>
      </c>
      <c r="H15" t="str">
        <f t="shared" si="0"/>
        <v>应收票据</v>
      </c>
    </row>
    <row r="16" spans="1:9">
      <c r="A16">
        <v>1122</v>
      </c>
      <c r="B16" t="s">
        <v>164</v>
      </c>
      <c r="D16" s="32">
        <v>1</v>
      </c>
      <c r="E16" s="128" t="s">
        <v>0</v>
      </c>
      <c r="F16" s="25">
        <f>SUMIF(D17:D36,"=2",F17:F36)</f>
        <v>7630360.1699999999</v>
      </c>
      <c r="H16" t="str">
        <f t="shared" si="0"/>
        <v>应收账款</v>
      </c>
      <c r="I16" s="7"/>
    </row>
    <row r="17" spans="1:8">
      <c r="A17" s="151">
        <v>112201</v>
      </c>
      <c r="B17" s="151" t="s">
        <v>91</v>
      </c>
      <c r="C17" s="151" t="s">
        <v>319</v>
      </c>
      <c r="D17" s="128">
        <v>2</v>
      </c>
      <c r="E17" s="128" t="s">
        <v>0</v>
      </c>
      <c r="F17" s="19">
        <f>SUMIF(D18:D27,"=3",F18:F27)</f>
        <v>7630360.1699999999</v>
      </c>
      <c r="H17" t="str">
        <f t="shared" si="0"/>
        <v>应收账款_购房款</v>
      </c>
    </row>
    <row r="18" spans="1:8">
      <c r="A18">
        <v>11220101</v>
      </c>
      <c r="B18" t="s">
        <v>165</v>
      </c>
      <c r="C18" s="481" t="s">
        <v>1000</v>
      </c>
      <c r="D18" s="128">
        <v>3</v>
      </c>
      <c r="E18" s="128" t="s">
        <v>0</v>
      </c>
      <c r="F18" s="19">
        <v>3262155.25</v>
      </c>
      <c r="H18" t="str">
        <f t="shared" si="0"/>
        <v>应收账款_购房款_中国股份有限公司</v>
      </c>
    </row>
    <row r="19" spans="1:8">
      <c r="A19">
        <v>11220102</v>
      </c>
      <c r="B19" t="s">
        <v>165</v>
      </c>
      <c r="C19" s="481" t="s">
        <v>999</v>
      </c>
      <c r="D19" s="162">
        <v>3</v>
      </c>
      <c r="E19" s="162" t="s">
        <v>0</v>
      </c>
      <c r="F19" s="19">
        <v>1248688.52</v>
      </c>
      <c r="H19" t="str">
        <f t="shared" si="0"/>
        <v>应收账款_购房款_中国集团有限公司</v>
      </c>
    </row>
    <row r="20" spans="1:8">
      <c r="A20">
        <v>11220103</v>
      </c>
      <c r="B20" t="s">
        <v>165</v>
      </c>
      <c r="C20" s="151" t="s">
        <v>505</v>
      </c>
      <c r="D20" s="128">
        <v>3</v>
      </c>
      <c r="E20" s="128" t="s">
        <v>0</v>
      </c>
      <c r="F20" s="19">
        <v>500000</v>
      </c>
      <c r="H20" t="str">
        <f t="shared" si="0"/>
        <v>应收账款_购房款_</v>
      </c>
    </row>
    <row r="21" spans="1:8">
      <c r="A21">
        <v>11220104</v>
      </c>
      <c r="B21" t="s">
        <v>165</v>
      </c>
      <c r="C21" s="151" t="s">
        <v>505</v>
      </c>
      <c r="D21" s="162">
        <v>3</v>
      </c>
      <c r="E21" s="162" t="s">
        <v>0</v>
      </c>
      <c r="F21" s="19">
        <v>184266.84</v>
      </c>
      <c r="H21" t="str">
        <f t="shared" si="0"/>
        <v>应收账款_购房款_</v>
      </c>
    </row>
    <row r="22" spans="1:8">
      <c r="A22">
        <v>11220105</v>
      </c>
      <c r="B22" t="s">
        <v>165</v>
      </c>
      <c r="C22" t="s">
        <v>506</v>
      </c>
      <c r="D22" s="162">
        <v>3</v>
      </c>
      <c r="E22" s="162" t="s">
        <v>0</v>
      </c>
      <c r="F22" s="19">
        <v>248821.68</v>
      </c>
      <c r="H22" t="str">
        <f t="shared" si="0"/>
        <v>应收账款_购房款_</v>
      </c>
    </row>
    <row r="23" spans="1:8">
      <c r="A23">
        <v>11220106</v>
      </c>
      <c r="B23" t="s">
        <v>165</v>
      </c>
      <c r="C23" t="s">
        <v>506</v>
      </c>
      <c r="D23" s="128">
        <v>3</v>
      </c>
      <c r="E23" s="128" t="s">
        <v>0</v>
      </c>
      <c r="F23" s="19">
        <v>887525.63</v>
      </c>
      <c r="H23" t="str">
        <f t="shared" si="0"/>
        <v>应收账款_购房款_</v>
      </c>
    </row>
    <row r="24" spans="1:8">
      <c r="A24">
        <v>11220107</v>
      </c>
      <c r="B24" t="s">
        <v>165</v>
      </c>
      <c r="C24" t="s">
        <v>506</v>
      </c>
      <c r="D24" s="128">
        <v>3</v>
      </c>
      <c r="E24" s="128" t="s">
        <v>0</v>
      </c>
      <c r="F24" s="19">
        <v>643652.57999999996</v>
      </c>
      <c r="H24" t="str">
        <f t="shared" si="0"/>
        <v>应收账款_购房款_</v>
      </c>
    </row>
    <row r="25" spans="1:8">
      <c r="A25">
        <v>11220108</v>
      </c>
      <c r="B25" t="s">
        <v>165</v>
      </c>
      <c r="C25" t="s">
        <v>506</v>
      </c>
      <c r="D25" s="128">
        <v>3</v>
      </c>
      <c r="E25" s="128" t="s">
        <v>0</v>
      </c>
      <c r="F25" s="19">
        <v>655249.67000000004</v>
      </c>
      <c r="H25" t="str">
        <f t="shared" si="0"/>
        <v>应收账款_购房款_</v>
      </c>
    </row>
    <row r="26" spans="1:8">
      <c r="A26">
        <v>11220109</v>
      </c>
      <c r="B26" t="s">
        <v>165</v>
      </c>
      <c r="C26" t="s">
        <v>506</v>
      </c>
      <c r="D26" s="128">
        <v>3</v>
      </c>
      <c r="E26" s="128" t="s">
        <v>0</v>
      </c>
      <c r="F26" s="19">
        <v>0</v>
      </c>
      <c r="H26" t="str">
        <f t="shared" si="0"/>
        <v>应收账款_购房款_</v>
      </c>
    </row>
    <row r="27" spans="1:8">
      <c r="A27">
        <v>11220110</v>
      </c>
      <c r="B27" t="s">
        <v>165</v>
      </c>
      <c r="C27" t="s">
        <v>506</v>
      </c>
      <c r="D27" s="128">
        <v>3</v>
      </c>
      <c r="E27" s="128" t="s">
        <v>0</v>
      </c>
      <c r="F27" s="19"/>
      <c r="H27" t="str">
        <f t="shared" si="0"/>
        <v>应收账款_购房款_</v>
      </c>
    </row>
    <row r="28" spans="1:8">
      <c r="A28" s="151">
        <v>112202</v>
      </c>
      <c r="B28" s="151" t="s">
        <v>91</v>
      </c>
      <c r="C28" s="151" t="s">
        <v>301</v>
      </c>
      <c r="D28" s="146">
        <v>2</v>
      </c>
      <c r="E28" s="146" t="s">
        <v>0</v>
      </c>
      <c r="F28" s="19">
        <f>SUMIF(D29:D34,"=3",F29:F34)</f>
        <v>0</v>
      </c>
      <c r="H28" t="str">
        <f t="shared" ref="H28:H35" si="3">IF(C28="",B28,CONCATENATE(B28,"_",C28))</f>
        <v>应收账款_工程款</v>
      </c>
    </row>
    <row r="29" spans="1:8">
      <c r="A29">
        <v>11220201</v>
      </c>
      <c r="B29" t="s">
        <v>165</v>
      </c>
      <c r="C29" s="22" t="s">
        <v>508</v>
      </c>
      <c r="D29" s="146">
        <v>3</v>
      </c>
      <c r="E29" s="146" t="s">
        <v>0</v>
      </c>
      <c r="F29" s="19">
        <v>0</v>
      </c>
      <c r="H29" t="str">
        <f t="shared" si="3"/>
        <v>应收账款_工程款_黄金总队</v>
      </c>
    </row>
    <row r="30" spans="1:8">
      <c r="A30">
        <v>11220202</v>
      </c>
      <c r="B30" t="s">
        <v>165</v>
      </c>
      <c r="C30" t="s">
        <v>507</v>
      </c>
      <c r="D30" s="146">
        <v>3</v>
      </c>
      <c r="E30" s="146" t="s">
        <v>0</v>
      </c>
      <c r="F30" s="19">
        <v>0</v>
      </c>
      <c r="H30" t="str">
        <f t="shared" si="3"/>
        <v>应收账款_工程款_汽车城</v>
      </c>
    </row>
    <row r="31" spans="1:8">
      <c r="A31">
        <v>11220203</v>
      </c>
      <c r="B31" t="s">
        <v>91</v>
      </c>
      <c r="C31" s="22"/>
      <c r="D31" s="155">
        <v>3</v>
      </c>
      <c r="E31" s="155" t="s">
        <v>0</v>
      </c>
      <c r="F31" s="19">
        <v>0</v>
      </c>
      <c r="H31" t="str">
        <f t="shared" si="3"/>
        <v>应收账款</v>
      </c>
    </row>
    <row r="32" spans="1:8">
      <c r="A32">
        <v>11220204</v>
      </c>
      <c r="B32" t="s">
        <v>165</v>
      </c>
      <c r="C32" s="22"/>
      <c r="D32" s="156">
        <v>3</v>
      </c>
      <c r="E32" s="156" t="s">
        <v>0</v>
      </c>
      <c r="F32" s="19">
        <v>0</v>
      </c>
      <c r="H32" t="str">
        <f t="shared" si="3"/>
        <v>应收账款</v>
      </c>
    </row>
    <row r="33" spans="1:8">
      <c r="A33">
        <v>11220205</v>
      </c>
      <c r="B33" t="s">
        <v>165</v>
      </c>
      <c r="C33" s="22"/>
      <c r="D33" s="157">
        <v>3</v>
      </c>
      <c r="E33" s="157" t="s">
        <v>0</v>
      </c>
      <c r="F33" s="19">
        <v>0</v>
      </c>
      <c r="H33" t="str">
        <f t="shared" si="3"/>
        <v>应收账款</v>
      </c>
    </row>
    <row r="34" spans="1:8">
      <c r="A34" s="151">
        <v>112203</v>
      </c>
      <c r="B34" s="151" t="s">
        <v>91</v>
      </c>
      <c r="C34" s="151" t="s">
        <v>320</v>
      </c>
      <c r="D34" s="172">
        <v>2</v>
      </c>
      <c r="E34" s="159" t="s">
        <v>0</v>
      </c>
      <c r="F34" s="19">
        <v>0</v>
      </c>
      <c r="H34" t="str">
        <f t="shared" si="3"/>
        <v>应收账款_劳务费</v>
      </c>
    </row>
    <row r="35" spans="1:8">
      <c r="A35" s="151">
        <v>112204</v>
      </c>
      <c r="B35" s="151" t="s">
        <v>91</v>
      </c>
      <c r="C35" s="151" t="s">
        <v>324</v>
      </c>
      <c r="D35" s="171">
        <v>2</v>
      </c>
      <c r="E35" s="171" t="s">
        <v>0</v>
      </c>
      <c r="F35" s="19">
        <v>0</v>
      </c>
      <c r="H35" t="str">
        <f t="shared" si="3"/>
        <v>应收账款_购货款</v>
      </c>
    </row>
    <row r="36" spans="1:8">
      <c r="A36" s="151">
        <v>112205</v>
      </c>
      <c r="B36" s="151" t="s">
        <v>91</v>
      </c>
      <c r="C36" s="151" t="s">
        <v>321</v>
      </c>
      <c r="D36" s="128">
        <v>2</v>
      </c>
      <c r="E36" s="128" t="s">
        <v>0</v>
      </c>
      <c r="F36" s="19">
        <v>0</v>
      </c>
      <c r="H36" t="str">
        <f t="shared" ref="H36:H42" si="4">IF(C36="",B36,CONCATENATE(B36,"_",C36))</f>
        <v>应收账款_租金</v>
      </c>
    </row>
    <row r="37" spans="1:8">
      <c r="A37">
        <v>1123</v>
      </c>
      <c r="B37" t="s">
        <v>264</v>
      </c>
      <c r="D37" s="32">
        <v>1</v>
      </c>
      <c r="E37" s="128" t="s">
        <v>0</v>
      </c>
      <c r="F37" s="25">
        <f>SUMIF(D38:D50,"=2",F38:F50)</f>
        <v>0</v>
      </c>
      <c r="H37" t="str">
        <f t="shared" si="4"/>
        <v>预付账款</v>
      </c>
    </row>
    <row r="38" spans="1:8">
      <c r="A38" s="151">
        <v>112301</v>
      </c>
      <c r="B38" s="151" t="s">
        <v>263</v>
      </c>
      <c r="C38" s="151" t="s">
        <v>301</v>
      </c>
      <c r="D38" s="128">
        <v>2</v>
      </c>
      <c r="E38" s="128" t="s">
        <v>0</v>
      </c>
      <c r="F38" s="19">
        <f>SUMIF(D39:D48,"=3",F39:F48)</f>
        <v>0</v>
      </c>
      <c r="H38" t="str">
        <f t="shared" si="4"/>
        <v>预付账款_工程款</v>
      </c>
    </row>
    <row r="39" spans="1:8">
      <c r="A39">
        <v>11230101</v>
      </c>
      <c r="B39" t="s">
        <v>263</v>
      </c>
      <c r="C39" t="s">
        <v>322</v>
      </c>
      <c r="D39" s="152">
        <v>3</v>
      </c>
      <c r="E39" s="152" t="s">
        <v>0</v>
      </c>
      <c r="F39" s="19">
        <v>0</v>
      </c>
      <c r="H39" t="str">
        <f t="shared" si="4"/>
        <v>预付账款_工程款_宜之居装饰</v>
      </c>
    </row>
    <row r="40" spans="1:8">
      <c r="A40">
        <v>11230102</v>
      </c>
      <c r="B40" t="s">
        <v>264</v>
      </c>
      <c r="C40" s="22" t="s">
        <v>323</v>
      </c>
      <c r="D40" s="128">
        <v>3</v>
      </c>
      <c r="E40" s="128" t="s">
        <v>0</v>
      </c>
      <c r="F40" s="19">
        <v>0</v>
      </c>
      <c r="H40" t="str">
        <f t="shared" si="4"/>
        <v>预付账款_工程款_易百通科技</v>
      </c>
    </row>
    <row r="41" spans="1:8">
      <c r="A41">
        <v>11230103</v>
      </c>
      <c r="B41" t="s">
        <v>264</v>
      </c>
      <c r="C41" s="22" t="s">
        <v>509</v>
      </c>
      <c r="D41" s="128">
        <v>3</v>
      </c>
      <c r="E41" s="128" t="s">
        <v>0</v>
      </c>
      <c r="F41" s="19">
        <v>0</v>
      </c>
      <c r="H41" t="str">
        <f t="shared" si="4"/>
        <v>预付账款_工程款_</v>
      </c>
    </row>
    <row r="42" spans="1:8">
      <c r="A42">
        <v>11230104</v>
      </c>
      <c r="B42" t="s">
        <v>264</v>
      </c>
      <c r="C42" s="22" t="s">
        <v>509</v>
      </c>
      <c r="D42" s="128">
        <v>3</v>
      </c>
      <c r="E42" s="128" t="s">
        <v>0</v>
      </c>
      <c r="F42" s="19">
        <v>0</v>
      </c>
      <c r="H42" t="str">
        <f t="shared" si="4"/>
        <v>预付账款_工程款_</v>
      </c>
    </row>
    <row r="43" spans="1:8">
      <c r="A43">
        <v>11230105</v>
      </c>
      <c r="B43" t="s">
        <v>264</v>
      </c>
      <c r="C43" s="22" t="s">
        <v>509</v>
      </c>
      <c r="D43" s="146">
        <v>3</v>
      </c>
      <c r="E43" s="146" t="s">
        <v>0</v>
      </c>
      <c r="F43" s="19">
        <v>0</v>
      </c>
      <c r="H43" t="str">
        <f t="shared" ref="H43:H48" si="5">IF(C43="",B43,CONCATENATE(B43,"_",C43))</f>
        <v>预付账款_工程款_</v>
      </c>
    </row>
    <row r="44" spans="1:8">
      <c r="A44">
        <v>11230106</v>
      </c>
      <c r="B44" t="s">
        <v>264</v>
      </c>
      <c r="C44" s="22" t="s">
        <v>509</v>
      </c>
      <c r="D44" s="146">
        <v>3</v>
      </c>
      <c r="E44" s="146" t="s">
        <v>0</v>
      </c>
      <c r="F44" s="19">
        <v>0</v>
      </c>
      <c r="H44" t="str">
        <f t="shared" si="5"/>
        <v>预付账款_工程款_</v>
      </c>
    </row>
    <row r="45" spans="1:8">
      <c r="A45">
        <v>11230107</v>
      </c>
      <c r="B45" t="s">
        <v>264</v>
      </c>
      <c r="C45" s="22" t="s">
        <v>509</v>
      </c>
      <c r="D45" s="146">
        <v>3</v>
      </c>
      <c r="E45" s="146" t="s">
        <v>0</v>
      </c>
      <c r="F45" s="19">
        <v>0</v>
      </c>
      <c r="H45" t="str">
        <f t="shared" si="5"/>
        <v>预付账款_工程款_</v>
      </c>
    </row>
    <row r="46" spans="1:8">
      <c r="A46">
        <v>11230108</v>
      </c>
      <c r="B46" t="s">
        <v>264</v>
      </c>
      <c r="C46" s="22" t="s">
        <v>509</v>
      </c>
      <c r="D46" s="146">
        <v>3</v>
      </c>
      <c r="E46" s="146" t="s">
        <v>0</v>
      </c>
      <c r="F46" s="19">
        <v>0</v>
      </c>
      <c r="H46" t="str">
        <f t="shared" si="5"/>
        <v>预付账款_工程款_</v>
      </c>
    </row>
    <row r="47" spans="1:8">
      <c r="A47">
        <v>11230109</v>
      </c>
      <c r="B47" t="s">
        <v>264</v>
      </c>
      <c r="C47" s="22" t="s">
        <v>509</v>
      </c>
      <c r="D47" s="146">
        <v>3</v>
      </c>
      <c r="E47" s="146" t="s">
        <v>0</v>
      </c>
      <c r="F47" s="19">
        <v>0</v>
      </c>
      <c r="H47" t="str">
        <f t="shared" si="5"/>
        <v>预付账款_工程款_</v>
      </c>
    </row>
    <row r="48" spans="1:8">
      <c r="A48">
        <v>11230110</v>
      </c>
      <c r="B48" t="s">
        <v>264</v>
      </c>
      <c r="C48" s="22" t="s">
        <v>509</v>
      </c>
      <c r="D48" s="146">
        <v>3</v>
      </c>
      <c r="E48" s="146" t="s">
        <v>0</v>
      </c>
      <c r="F48" s="19">
        <v>0</v>
      </c>
      <c r="H48" t="str">
        <f t="shared" si="5"/>
        <v>预付账款_工程款_</v>
      </c>
    </row>
    <row r="49" spans="1:8">
      <c r="A49" s="151">
        <v>112302</v>
      </c>
      <c r="B49" s="151" t="s">
        <v>263</v>
      </c>
      <c r="C49" s="151" t="s">
        <v>324</v>
      </c>
      <c r="D49" s="159">
        <v>2</v>
      </c>
      <c r="E49" s="159" t="s">
        <v>0</v>
      </c>
      <c r="F49" s="19">
        <v>0</v>
      </c>
      <c r="H49" t="str">
        <f t="shared" ref="H49:H72" si="6">IF(C49="",B49,CONCATENATE(B49,"_",C49))</f>
        <v>预付账款_购货款</v>
      </c>
    </row>
    <row r="50" spans="1:8">
      <c r="A50">
        <v>11230201</v>
      </c>
      <c r="B50" t="s">
        <v>264</v>
      </c>
      <c r="C50" t="s">
        <v>325</v>
      </c>
      <c r="D50" s="128">
        <v>3</v>
      </c>
      <c r="E50" s="128" t="s">
        <v>0</v>
      </c>
      <c r="F50" s="19">
        <v>0</v>
      </c>
      <c r="H50" t="str">
        <f t="shared" si="6"/>
        <v>预付账款_购货款_义泰钢结构</v>
      </c>
    </row>
    <row r="51" spans="1:8">
      <c r="A51">
        <v>1131</v>
      </c>
      <c r="B51" t="s">
        <v>166</v>
      </c>
      <c r="D51" s="32">
        <v>1</v>
      </c>
      <c r="E51" s="128" t="s">
        <v>0</v>
      </c>
      <c r="F51" s="25">
        <v>0</v>
      </c>
      <c r="H51" t="str">
        <f t="shared" si="6"/>
        <v>应收股利</v>
      </c>
    </row>
    <row r="52" spans="1:8">
      <c r="A52">
        <v>1132</v>
      </c>
      <c r="B52" t="s">
        <v>265</v>
      </c>
      <c r="C52" s="22"/>
      <c r="D52" s="32">
        <v>1</v>
      </c>
      <c r="E52" s="128" t="s">
        <v>0</v>
      </c>
      <c r="F52" s="25">
        <v>0</v>
      </c>
      <c r="H52" t="str">
        <f t="shared" si="6"/>
        <v>应收利息</v>
      </c>
    </row>
    <row r="53" spans="1:8">
      <c r="A53">
        <v>1221</v>
      </c>
      <c r="B53" t="s">
        <v>167</v>
      </c>
      <c r="D53" s="32">
        <v>1</v>
      </c>
      <c r="E53" s="128" t="s">
        <v>0</v>
      </c>
      <c r="F53" s="25">
        <f>SUMIF(D54:D72,"=2",F54:F72)</f>
        <v>439512.5</v>
      </c>
      <c r="H53" t="str">
        <f t="shared" si="6"/>
        <v>其他应收款</v>
      </c>
    </row>
    <row r="54" spans="1:8">
      <c r="A54" s="151">
        <v>122101</v>
      </c>
      <c r="B54" s="151" t="s">
        <v>167</v>
      </c>
      <c r="C54" s="151" t="s">
        <v>330</v>
      </c>
      <c r="D54" s="128">
        <v>2</v>
      </c>
      <c r="E54" s="128" t="s">
        <v>0</v>
      </c>
      <c r="F54" s="19">
        <f>SUMIF(D55:D57,"=3",F55:F57)</f>
        <v>227864.91</v>
      </c>
      <c r="H54" t="str">
        <f t="shared" si="6"/>
        <v>其他应收款_关联单位往来</v>
      </c>
    </row>
    <row r="55" spans="1:8">
      <c r="A55">
        <v>12210101</v>
      </c>
      <c r="B55" t="s">
        <v>167</v>
      </c>
      <c r="C55" s="22" t="s">
        <v>510</v>
      </c>
      <c r="D55" s="128">
        <v>3</v>
      </c>
      <c r="E55" s="128" t="s">
        <v>0</v>
      </c>
      <c r="F55" s="19">
        <v>87762.44</v>
      </c>
      <c r="H55" t="str">
        <f t="shared" si="6"/>
        <v>其他应收款_关联单位往来_华西投资</v>
      </c>
    </row>
    <row r="56" spans="1:8">
      <c r="A56">
        <v>12210102</v>
      </c>
      <c r="B56" t="s">
        <v>167</v>
      </c>
      <c r="C56" s="22" t="s">
        <v>511</v>
      </c>
      <c r="D56" s="128">
        <v>3</v>
      </c>
      <c r="E56" s="128" t="s">
        <v>0</v>
      </c>
      <c r="F56" s="19">
        <v>60102.47</v>
      </c>
      <c r="H56" t="str">
        <f t="shared" si="6"/>
        <v>其他应收款_关联单位往来_青少年宫</v>
      </c>
    </row>
    <row r="57" spans="1:8">
      <c r="A57">
        <v>12210103</v>
      </c>
      <c r="B57" t="s">
        <v>167</v>
      </c>
      <c r="C57" s="22" t="s">
        <v>512</v>
      </c>
      <c r="D57" s="128">
        <v>3</v>
      </c>
      <c r="E57" s="128" t="s">
        <v>0</v>
      </c>
      <c r="F57" s="19">
        <v>80000</v>
      </c>
      <c r="H57" t="str">
        <f t="shared" si="6"/>
        <v>其他应收款_关联单位往来_日报咨询</v>
      </c>
    </row>
    <row r="58" spans="1:8">
      <c r="A58" s="151">
        <v>122102</v>
      </c>
      <c r="B58" s="151" t="s">
        <v>167</v>
      </c>
      <c r="C58" s="151" t="s">
        <v>331</v>
      </c>
      <c r="D58" s="128">
        <v>2</v>
      </c>
      <c r="E58" s="128" t="s">
        <v>0</v>
      </c>
      <c r="F58" s="19">
        <f>SUMIF(D59:D63,"=3",F59:F63)</f>
        <v>181162</v>
      </c>
      <c r="H58" t="str">
        <f t="shared" si="6"/>
        <v>其他应收款_其他单位往来</v>
      </c>
    </row>
    <row r="59" spans="1:8">
      <c r="A59">
        <v>12210201</v>
      </c>
      <c r="B59" t="s">
        <v>167</v>
      </c>
      <c r="C59" s="22" t="s">
        <v>513</v>
      </c>
      <c r="D59" s="128">
        <v>3</v>
      </c>
      <c r="E59" s="128" t="s">
        <v>0</v>
      </c>
      <c r="F59" s="19">
        <v>35000</v>
      </c>
      <c r="H59" t="str">
        <f t="shared" si="6"/>
        <v>其他应收款_其他单位往来_建云工程</v>
      </c>
    </row>
    <row r="60" spans="1:8">
      <c r="A60">
        <v>12210202</v>
      </c>
      <c r="B60" t="s">
        <v>167</v>
      </c>
      <c r="C60" s="22" t="s">
        <v>514</v>
      </c>
      <c r="D60" s="128">
        <v>3</v>
      </c>
      <c r="E60" s="128" t="s">
        <v>0</v>
      </c>
      <c r="F60" s="19">
        <v>50000</v>
      </c>
      <c r="H60" t="str">
        <f t="shared" si="6"/>
        <v>其他应收款_其他单位往来_建浩工程</v>
      </c>
    </row>
    <row r="61" spans="1:8">
      <c r="A61">
        <v>12210203</v>
      </c>
      <c r="B61" t="s">
        <v>167</v>
      </c>
      <c r="C61" s="22" t="s">
        <v>515</v>
      </c>
      <c r="D61" s="128">
        <v>3</v>
      </c>
      <c r="E61" s="128" t="s">
        <v>0</v>
      </c>
      <c r="F61" s="19">
        <v>35000</v>
      </c>
      <c r="H61" t="str">
        <f t="shared" si="6"/>
        <v>其他应收款_其他单位往来_网动器材</v>
      </c>
    </row>
    <row r="62" spans="1:8">
      <c r="A62">
        <v>12210204</v>
      </c>
      <c r="B62" t="s">
        <v>167</v>
      </c>
      <c r="C62" s="22" t="s">
        <v>516</v>
      </c>
      <c r="D62" s="128">
        <v>3</v>
      </c>
      <c r="E62" s="128" t="s">
        <v>0</v>
      </c>
      <c r="F62" s="19">
        <v>1162</v>
      </c>
      <c r="H62" t="str">
        <f t="shared" si="6"/>
        <v>其他应收款_其他单位往来_联华工程</v>
      </c>
    </row>
    <row r="63" spans="1:8">
      <c r="A63">
        <v>12210205</v>
      </c>
      <c r="B63" t="s">
        <v>167</v>
      </c>
      <c r="C63" s="22" t="s">
        <v>517</v>
      </c>
      <c r="D63" s="128">
        <v>3</v>
      </c>
      <c r="E63" s="128" t="s">
        <v>0</v>
      </c>
      <c r="F63" s="19">
        <v>60000</v>
      </c>
      <c r="H63" t="str">
        <f t="shared" si="6"/>
        <v>其他应收款_其他单位往来_建工五司</v>
      </c>
    </row>
    <row r="64" spans="1:8">
      <c r="A64" s="151">
        <v>122103</v>
      </c>
      <c r="B64" s="151" t="s">
        <v>167</v>
      </c>
      <c r="C64" s="151" t="s">
        <v>333</v>
      </c>
      <c r="D64" s="128">
        <v>2</v>
      </c>
      <c r="E64" s="128" t="s">
        <v>0</v>
      </c>
      <c r="F64" s="19">
        <f>SUMIF(D65:D66,"=3",F65:F66)</f>
        <v>3560</v>
      </c>
      <c r="H64" t="str">
        <f t="shared" si="6"/>
        <v>其他应收款_内部员工往来</v>
      </c>
    </row>
    <row r="65" spans="1:10">
      <c r="A65">
        <v>12210301</v>
      </c>
      <c r="B65" t="s">
        <v>167</v>
      </c>
      <c r="C65" s="22" t="s">
        <v>518</v>
      </c>
      <c r="D65" s="128">
        <v>3</v>
      </c>
      <c r="E65" s="128" t="s">
        <v>0</v>
      </c>
      <c r="F65" s="19">
        <v>1560</v>
      </c>
      <c r="H65" t="str">
        <f t="shared" si="6"/>
        <v>其他应收款_内部员工往来_张三</v>
      </c>
    </row>
    <row r="66" spans="1:10">
      <c r="A66">
        <v>12210302</v>
      </c>
      <c r="B66" t="s">
        <v>167</v>
      </c>
      <c r="C66" s="22" t="s">
        <v>519</v>
      </c>
      <c r="D66" s="128">
        <v>3</v>
      </c>
      <c r="E66" s="128" t="s">
        <v>0</v>
      </c>
      <c r="F66" s="19">
        <v>2000</v>
      </c>
      <c r="H66" t="str">
        <f t="shared" si="6"/>
        <v>其他应收款_内部员工往来_李四</v>
      </c>
    </row>
    <row r="67" spans="1:10">
      <c r="A67" s="151">
        <v>122104</v>
      </c>
      <c r="B67" s="151" t="s">
        <v>167</v>
      </c>
      <c r="C67" s="151" t="s">
        <v>334</v>
      </c>
      <c r="D67" s="128">
        <v>2</v>
      </c>
      <c r="E67" s="128" t="s">
        <v>0</v>
      </c>
      <c r="F67" s="19">
        <f>SUMIF(D68:D72,"=3",F68:F72)</f>
        <v>26925.59</v>
      </c>
      <c r="H67" t="str">
        <f t="shared" si="6"/>
        <v>其他应收款_代垫代付款项</v>
      </c>
    </row>
    <row r="68" spans="1:10">
      <c r="A68">
        <v>12210401</v>
      </c>
      <c r="B68" t="s">
        <v>167</v>
      </c>
      <c r="C68" t="s">
        <v>332</v>
      </c>
      <c r="D68" s="212">
        <v>3</v>
      </c>
      <c r="E68" s="212" t="s">
        <v>0</v>
      </c>
      <c r="F68" s="19">
        <v>2600</v>
      </c>
      <c r="H68" t="str">
        <f t="shared" si="6"/>
        <v>其他应收款_社会保险费</v>
      </c>
    </row>
    <row r="69" spans="1:10">
      <c r="A69">
        <v>12210402</v>
      </c>
      <c r="B69" t="s">
        <v>167</v>
      </c>
      <c r="C69" t="s">
        <v>9</v>
      </c>
      <c r="D69" s="212">
        <v>3</v>
      </c>
      <c r="E69" s="212" t="s">
        <v>0</v>
      </c>
      <c r="F69" s="19">
        <v>24325.59</v>
      </c>
      <c r="H69" t="str">
        <f t="shared" si="6"/>
        <v>其他应收款_住房公积金</v>
      </c>
    </row>
    <row r="70" spans="1:10">
      <c r="A70">
        <v>12210403</v>
      </c>
      <c r="B70" t="s">
        <v>167</v>
      </c>
      <c r="C70" s="22"/>
      <c r="D70" s="128">
        <v>3</v>
      </c>
      <c r="E70" s="128" t="s">
        <v>0</v>
      </c>
      <c r="F70" s="19"/>
      <c r="H70" t="str">
        <f t="shared" si="6"/>
        <v>其他应收款</v>
      </c>
    </row>
    <row r="71" spans="1:10">
      <c r="A71">
        <v>12210404</v>
      </c>
      <c r="B71" t="s">
        <v>167</v>
      </c>
      <c r="C71" s="22"/>
      <c r="D71" s="172">
        <v>3</v>
      </c>
      <c r="E71" s="128" t="s">
        <v>0</v>
      </c>
      <c r="F71" s="19"/>
      <c r="H71" t="str">
        <f t="shared" si="6"/>
        <v>其他应收款</v>
      </c>
    </row>
    <row r="72" spans="1:10">
      <c r="A72">
        <v>12210405</v>
      </c>
      <c r="B72" t="s">
        <v>167</v>
      </c>
      <c r="C72" s="22"/>
      <c r="D72" s="172">
        <v>3</v>
      </c>
      <c r="E72" s="128" t="s">
        <v>0</v>
      </c>
      <c r="F72" s="19"/>
      <c r="H72" t="str">
        <f t="shared" si="6"/>
        <v>其他应收款</v>
      </c>
    </row>
    <row r="73" spans="1:10">
      <c r="A73">
        <v>1231</v>
      </c>
      <c r="B73" t="s">
        <v>168</v>
      </c>
      <c r="D73" s="32">
        <v>1</v>
      </c>
      <c r="E73" s="128" t="s">
        <v>0</v>
      </c>
      <c r="F73" s="25">
        <v>0</v>
      </c>
      <c r="H73" t="str">
        <f t="shared" ref="H73:H77" si="7">IF(C73="",B73,CONCATENATE(B73,"_",C73))</f>
        <v>坏账准备</v>
      </c>
    </row>
    <row r="74" spans="1:10">
      <c r="A74">
        <v>1401</v>
      </c>
      <c r="B74" t="s">
        <v>143</v>
      </c>
      <c r="D74" s="32">
        <v>1</v>
      </c>
      <c r="E74" s="128" t="s">
        <v>0</v>
      </c>
      <c r="F74" s="25">
        <v>0</v>
      </c>
      <c r="H74" t="str">
        <f t="shared" si="7"/>
        <v>材料采购</v>
      </c>
    </row>
    <row r="75" spans="1:10">
      <c r="A75">
        <v>1402</v>
      </c>
      <c r="B75" t="s">
        <v>144</v>
      </c>
      <c r="D75" s="32">
        <v>1</v>
      </c>
      <c r="E75" s="128" t="s">
        <v>0</v>
      </c>
      <c r="F75" s="25">
        <v>0</v>
      </c>
      <c r="H75" t="str">
        <f t="shared" si="7"/>
        <v>在途物资</v>
      </c>
    </row>
    <row r="76" spans="1:10">
      <c r="A76">
        <v>1403</v>
      </c>
      <c r="B76" t="s">
        <v>335</v>
      </c>
      <c r="D76" s="32">
        <v>1</v>
      </c>
      <c r="E76" s="128" t="s">
        <v>0</v>
      </c>
      <c r="F76" s="25">
        <f>SUMIF(D77:D83,"=2",F77:F83)</f>
        <v>401861.03</v>
      </c>
      <c r="H76" t="str">
        <f t="shared" si="7"/>
        <v>库存材料</v>
      </c>
      <c r="J76" s="153">
        <f>4656471.99-14000</f>
        <v>4642471.99</v>
      </c>
    </row>
    <row r="77" spans="1:10">
      <c r="A77">
        <v>140301</v>
      </c>
      <c r="B77" t="s">
        <v>335</v>
      </c>
      <c r="C77" s="151" t="s">
        <v>336</v>
      </c>
      <c r="D77" s="21">
        <v>2</v>
      </c>
      <c r="E77" s="149" t="s">
        <v>0</v>
      </c>
      <c r="F77" s="30">
        <v>188276</v>
      </c>
      <c r="H77" t="str">
        <f t="shared" si="7"/>
        <v>库存材料_土建工程材料</v>
      </c>
    </row>
    <row r="78" spans="1:10">
      <c r="A78">
        <v>140302</v>
      </c>
      <c r="B78" t="s">
        <v>335</v>
      </c>
      <c r="C78" s="151" t="s">
        <v>337</v>
      </c>
      <c r="D78" s="21">
        <v>2</v>
      </c>
      <c r="E78" s="128" t="s">
        <v>0</v>
      </c>
      <c r="F78" s="30">
        <v>58575.03</v>
      </c>
      <c r="H78" t="str">
        <f t="shared" ref="H78" si="8">IF(C78="",B78,CONCATENATE(B78,"_",C78))</f>
        <v>库存材料_安装工程材料</v>
      </c>
    </row>
    <row r="79" spans="1:10">
      <c r="A79">
        <v>140303</v>
      </c>
      <c r="B79" t="s">
        <v>335</v>
      </c>
      <c r="C79" s="151" t="s">
        <v>338</v>
      </c>
      <c r="D79" s="21">
        <v>2</v>
      </c>
      <c r="E79" s="149" t="s">
        <v>0</v>
      </c>
      <c r="F79" s="6">
        <v>72500</v>
      </c>
      <c r="H79" t="str">
        <f>IF(C79="",B79,CONCATENATE(B79,"_",C79))</f>
        <v>库存材料_装饰工程材料</v>
      </c>
    </row>
    <row r="80" spans="1:10">
      <c r="A80">
        <v>140304</v>
      </c>
      <c r="B80" t="s">
        <v>335</v>
      </c>
      <c r="C80" s="151" t="s">
        <v>339</v>
      </c>
      <c r="D80" s="21">
        <v>2</v>
      </c>
      <c r="E80" s="149" t="s">
        <v>0</v>
      </c>
      <c r="F80" s="6">
        <v>15200</v>
      </c>
      <c r="H80" t="str">
        <f t="shared" ref="H80" si="9">IF(C80="",B80,CONCATENATE(B80,"_",C80))</f>
        <v>库存材料_库存设备</v>
      </c>
    </row>
    <row r="81" spans="1:8">
      <c r="A81">
        <v>140305</v>
      </c>
      <c r="B81" t="s">
        <v>335</v>
      </c>
      <c r="C81" s="151" t="s">
        <v>340</v>
      </c>
      <c r="D81" s="21">
        <v>2</v>
      </c>
      <c r="E81" s="132" t="s">
        <v>0</v>
      </c>
      <c r="F81" s="6">
        <v>32510</v>
      </c>
      <c r="H81" t="str">
        <f>IF(C81="",B81,CONCATENATE(B81,"_",C81))</f>
        <v>库存材料_物业管理材料</v>
      </c>
    </row>
    <row r="82" spans="1:8">
      <c r="A82">
        <v>140306</v>
      </c>
      <c r="B82" t="s">
        <v>335</v>
      </c>
      <c r="C82" s="151" t="s">
        <v>145</v>
      </c>
      <c r="D82" s="21">
        <v>2</v>
      </c>
      <c r="E82" s="128" t="s">
        <v>0</v>
      </c>
      <c r="F82" s="6">
        <v>34800</v>
      </c>
      <c r="H82" t="str">
        <f t="shared" ref="H82:H228" si="10">IF(C82="",B82,CONCATENATE(B82,"_",C82))</f>
        <v>库存材料_原材料</v>
      </c>
    </row>
    <row r="83" spans="1:8">
      <c r="A83">
        <v>140307</v>
      </c>
      <c r="B83" t="s">
        <v>335</v>
      </c>
      <c r="C83" s="151" t="s">
        <v>279</v>
      </c>
      <c r="D83" s="21">
        <v>2</v>
      </c>
      <c r="E83" s="128" t="s">
        <v>0</v>
      </c>
      <c r="F83" s="6">
        <v>0</v>
      </c>
      <c r="H83" t="str">
        <f t="shared" si="10"/>
        <v>库存材料_其他材料</v>
      </c>
    </row>
    <row r="84" spans="1:8">
      <c r="A84">
        <v>1404</v>
      </c>
      <c r="B84" t="s">
        <v>146</v>
      </c>
      <c r="D84" s="32">
        <v>1</v>
      </c>
      <c r="E84" s="128" t="s">
        <v>0</v>
      </c>
      <c r="F84" s="25">
        <v>0</v>
      </c>
      <c r="H84" t="str">
        <f t="shared" si="10"/>
        <v>材料成本差异</v>
      </c>
    </row>
    <row r="85" spans="1:8">
      <c r="A85">
        <v>1405</v>
      </c>
      <c r="B85" t="s">
        <v>341</v>
      </c>
      <c r="D85" s="32">
        <v>1</v>
      </c>
      <c r="E85" s="170" t="s">
        <v>0</v>
      </c>
      <c r="F85" s="25">
        <v>0</v>
      </c>
      <c r="H85" t="str">
        <f>IF(C85="",B85,CONCATENATE(B85,"_",C85))</f>
        <v>库存商品</v>
      </c>
    </row>
    <row r="86" spans="1:8">
      <c r="A86">
        <v>1406</v>
      </c>
      <c r="B86" t="s">
        <v>342</v>
      </c>
      <c r="D86" s="32">
        <v>1</v>
      </c>
      <c r="E86" s="170" t="s">
        <v>0</v>
      </c>
      <c r="F86" s="25">
        <v>0</v>
      </c>
      <c r="H86" t="str">
        <f>IF(C86="",B86,CONCATENATE(B86,"_",C86))</f>
        <v>发出商品</v>
      </c>
    </row>
    <row r="87" spans="1:8">
      <c r="A87">
        <v>1408</v>
      </c>
      <c r="B87" t="s">
        <v>267</v>
      </c>
      <c r="D87" s="32">
        <v>1</v>
      </c>
      <c r="E87" s="170" t="s">
        <v>0</v>
      </c>
      <c r="F87" s="25">
        <v>0</v>
      </c>
      <c r="H87" t="str">
        <f>IF(C87="",B87,CONCATENATE(B87,"_",C87))</f>
        <v>委托加工物资</v>
      </c>
    </row>
    <row r="88" spans="1:8">
      <c r="A88">
        <v>1409</v>
      </c>
      <c r="B88" t="s">
        <v>310</v>
      </c>
      <c r="D88" s="32">
        <v>1</v>
      </c>
      <c r="E88" s="128" t="s">
        <v>0</v>
      </c>
      <c r="F88" s="25">
        <v>0</v>
      </c>
      <c r="H88" t="str">
        <f t="shared" si="10"/>
        <v>开发产品</v>
      </c>
    </row>
    <row r="89" spans="1:8">
      <c r="A89">
        <v>140901</v>
      </c>
      <c r="B89" t="s">
        <v>310</v>
      </c>
      <c r="C89" t="s">
        <v>343</v>
      </c>
      <c r="D89" s="21">
        <v>2</v>
      </c>
      <c r="E89" s="172" t="s">
        <v>0</v>
      </c>
      <c r="F89" s="25">
        <v>0</v>
      </c>
      <c r="H89" t="str">
        <f t="shared" ref="H89:H90" si="11">IF(C89="",B89,CONCATENATE(B89,"_",C89))</f>
        <v>开发产品_出售开发产品</v>
      </c>
    </row>
    <row r="90" spans="1:8">
      <c r="A90">
        <v>140902</v>
      </c>
      <c r="B90" t="s">
        <v>310</v>
      </c>
      <c r="C90" t="s">
        <v>344</v>
      </c>
      <c r="D90" s="21">
        <v>2</v>
      </c>
      <c r="E90" s="172" t="s">
        <v>0</v>
      </c>
      <c r="F90" s="25">
        <v>0</v>
      </c>
      <c r="H90" t="str">
        <f t="shared" si="11"/>
        <v>开发产品_出租开发产品</v>
      </c>
    </row>
    <row r="91" spans="1:8">
      <c r="A91">
        <v>1411</v>
      </c>
      <c r="B91" s="22" t="s">
        <v>169</v>
      </c>
      <c r="D91" s="32">
        <v>1</v>
      </c>
      <c r="E91" s="128" t="s">
        <v>0</v>
      </c>
      <c r="F91" s="25">
        <f>SUMIF(D92:D105,"=2",F92:F105)</f>
        <v>0</v>
      </c>
      <c r="H91" t="str">
        <f t="shared" si="10"/>
        <v>周转材料</v>
      </c>
    </row>
    <row r="92" spans="1:8">
      <c r="A92">
        <v>141101</v>
      </c>
      <c r="B92" s="22" t="s">
        <v>169</v>
      </c>
      <c r="C92" s="22" t="s">
        <v>345</v>
      </c>
      <c r="D92" s="21">
        <v>2</v>
      </c>
      <c r="E92" s="128" t="s">
        <v>0</v>
      </c>
      <c r="F92" s="6">
        <f>SUMIF(D93:D98,"=3",F93:F98)</f>
        <v>0</v>
      </c>
      <c r="H92" t="str">
        <f t="shared" si="10"/>
        <v>周转材料_包装物</v>
      </c>
    </row>
    <row r="93" spans="1:8">
      <c r="A93">
        <v>14110101</v>
      </c>
      <c r="B93" s="22" t="s">
        <v>169</v>
      </c>
      <c r="C93" s="22" t="s">
        <v>289</v>
      </c>
      <c r="D93" s="21">
        <v>3</v>
      </c>
      <c r="E93" s="152" t="s">
        <v>0</v>
      </c>
      <c r="F93" s="6"/>
      <c r="H93" t="str">
        <f t="shared" ref="H93:H100" si="12">IF(C93="",B93,CONCATENATE(B93,"_",C93))</f>
        <v>周转材料_在库_模板</v>
      </c>
    </row>
    <row r="94" spans="1:8">
      <c r="A94">
        <v>14110102</v>
      </c>
      <c r="B94" s="22" t="s">
        <v>169</v>
      </c>
      <c r="C94" s="22" t="s">
        <v>290</v>
      </c>
      <c r="D94" s="21">
        <v>3</v>
      </c>
      <c r="E94" s="152" t="s">
        <v>0</v>
      </c>
      <c r="F94" s="6"/>
      <c r="H94" t="str">
        <f t="shared" si="12"/>
        <v>周转材料_在库_挡板</v>
      </c>
    </row>
    <row r="95" spans="1:8">
      <c r="A95">
        <v>14110103</v>
      </c>
      <c r="B95" s="22" t="s">
        <v>169</v>
      </c>
      <c r="C95" s="22" t="s">
        <v>291</v>
      </c>
      <c r="D95" s="21">
        <v>3</v>
      </c>
      <c r="E95" s="152" t="s">
        <v>0</v>
      </c>
      <c r="F95" s="6"/>
      <c r="H95" t="str">
        <f t="shared" si="12"/>
        <v>周转材料_在库_架料</v>
      </c>
    </row>
    <row r="96" spans="1:8">
      <c r="A96">
        <v>14110104</v>
      </c>
      <c r="B96" s="22" t="s">
        <v>169</v>
      </c>
      <c r="C96" s="22" t="s">
        <v>292</v>
      </c>
      <c r="D96" s="21">
        <v>3</v>
      </c>
      <c r="E96" s="152" t="s">
        <v>0</v>
      </c>
      <c r="F96" s="6"/>
      <c r="H96" t="str">
        <f t="shared" si="12"/>
        <v>周转材料_在库_安全网</v>
      </c>
    </row>
    <row r="97" spans="1:8">
      <c r="A97">
        <v>14110105</v>
      </c>
      <c r="B97" s="22" t="s">
        <v>169</v>
      </c>
      <c r="C97" s="22" t="s">
        <v>293</v>
      </c>
      <c r="D97" s="21">
        <v>3</v>
      </c>
      <c r="E97" s="152" t="s">
        <v>0</v>
      </c>
      <c r="F97" s="6"/>
      <c r="H97" t="str">
        <f t="shared" si="12"/>
        <v>周转材料_在库_管理用具</v>
      </c>
    </row>
    <row r="98" spans="1:8">
      <c r="A98">
        <v>14110106</v>
      </c>
      <c r="B98" s="22" t="s">
        <v>169</v>
      </c>
      <c r="C98" s="22" t="s">
        <v>294</v>
      </c>
      <c r="D98" s="21">
        <v>3</v>
      </c>
      <c r="E98" s="152" t="s">
        <v>0</v>
      </c>
      <c r="F98" s="6"/>
      <c r="H98" t="str">
        <f t="shared" si="12"/>
        <v>周转材料_在库_工具用具</v>
      </c>
    </row>
    <row r="99" spans="1:8">
      <c r="A99">
        <v>141102</v>
      </c>
      <c r="B99" s="22" t="s">
        <v>169</v>
      </c>
      <c r="C99" s="22" t="s">
        <v>346</v>
      </c>
      <c r="D99" s="21">
        <v>2</v>
      </c>
      <c r="E99" s="152" t="s">
        <v>0</v>
      </c>
      <c r="F99" s="6">
        <f>SUMIF(D100:D105,"=3",F100:F105)</f>
        <v>0</v>
      </c>
      <c r="H99" t="str">
        <f t="shared" si="12"/>
        <v>周转材料_低值易耗品</v>
      </c>
    </row>
    <row r="100" spans="1:8">
      <c r="A100">
        <v>14110201</v>
      </c>
      <c r="B100" s="22" t="s">
        <v>169</v>
      </c>
      <c r="C100" s="22" t="s">
        <v>295</v>
      </c>
      <c r="D100" s="21">
        <v>3</v>
      </c>
      <c r="E100" s="152" t="s">
        <v>0</v>
      </c>
      <c r="F100" s="6"/>
      <c r="H100" t="str">
        <f t="shared" si="12"/>
        <v>周转材料_在用_模板</v>
      </c>
    </row>
    <row r="101" spans="1:8">
      <c r="A101">
        <v>14110202</v>
      </c>
      <c r="B101" s="22" t="s">
        <v>169</v>
      </c>
      <c r="C101" s="22" t="s">
        <v>296</v>
      </c>
      <c r="D101" s="21">
        <v>3</v>
      </c>
      <c r="E101" s="152" t="s">
        <v>0</v>
      </c>
      <c r="F101" s="6"/>
      <c r="H101" t="str">
        <f t="shared" ref="H101:H107" si="13">IF(C101="",B101,CONCATENATE(B101,"_",C101))</f>
        <v>周转材料_在用_挡板</v>
      </c>
    </row>
    <row r="102" spans="1:8">
      <c r="A102">
        <v>14110203</v>
      </c>
      <c r="B102" s="22" t="s">
        <v>169</v>
      </c>
      <c r="C102" s="22" t="s">
        <v>297</v>
      </c>
      <c r="D102" s="21">
        <v>3</v>
      </c>
      <c r="E102" s="152" t="s">
        <v>0</v>
      </c>
      <c r="F102" s="6"/>
      <c r="H102" t="str">
        <f t="shared" si="13"/>
        <v>周转材料_在用_架料</v>
      </c>
    </row>
    <row r="103" spans="1:8">
      <c r="A103">
        <v>14110204</v>
      </c>
      <c r="B103" s="22" t="s">
        <v>169</v>
      </c>
      <c r="C103" s="22" t="s">
        <v>298</v>
      </c>
      <c r="D103" s="21">
        <v>3</v>
      </c>
      <c r="E103" s="152" t="s">
        <v>0</v>
      </c>
      <c r="F103" s="6"/>
      <c r="H103" t="str">
        <f t="shared" si="13"/>
        <v>周转材料_在用_安全网</v>
      </c>
    </row>
    <row r="104" spans="1:8">
      <c r="A104">
        <v>14110205</v>
      </c>
      <c r="B104" s="22" t="s">
        <v>169</v>
      </c>
      <c r="C104" s="22" t="s">
        <v>299</v>
      </c>
      <c r="D104" s="21">
        <v>3</v>
      </c>
      <c r="E104" s="152" t="s">
        <v>0</v>
      </c>
      <c r="F104" s="6"/>
      <c r="H104" t="str">
        <f t="shared" si="13"/>
        <v>周转材料_在用_管理用具</v>
      </c>
    </row>
    <row r="105" spans="1:8">
      <c r="A105">
        <v>14110206</v>
      </c>
      <c r="B105" s="22" t="s">
        <v>169</v>
      </c>
      <c r="C105" s="22" t="s">
        <v>300</v>
      </c>
      <c r="D105" s="21">
        <v>3</v>
      </c>
      <c r="E105" s="152" t="s">
        <v>0</v>
      </c>
      <c r="F105" s="6"/>
      <c r="H105" t="str">
        <f t="shared" si="13"/>
        <v>周转材料_在用_工具用具</v>
      </c>
    </row>
    <row r="106" spans="1:8">
      <c r="A106">
        <v>1461</v>
      </c>
      <c r="B106" t="s">
        <v>311</v>
      </c>
      <c r="D106" s="32">
        <v>1</v>
      </c>
      <c r="E106" s="170" t="s">
        <v>0</v>
      </c>
      <c r="F106" s="25">
        <v>0</v>
      </c>
      <c r="H106" t="str">
        <f t="shared" si="13"/>
        <v>融资租赁资产</v>
      </c>
    </row>
    <row r="107" spans="1:8">
      <c r="A107">
        <v>1471</v>
      </c>
      <c r="B107" t="s">
        <v>268</v>
      </c>
      <c r="D107" s="32">
        <v>1</v>
      </c>
      <c r="E107" s="148" t="s">
        <v>0</v>
      </c>
      <c r="F107" s="25">
        <v>0</v>
      </c>
      <c r="H107" t="str">
        <f t="shared" si="13"/>
        <v>存货跌价准备</v>
      </c>
    </row>
    <row r="108" spans="1:8">
      <c r="A108">
        <v>1501</v>
      </c>
      <c r="B108" s="22" t="s">
        <v>170</v>
      </c>
      <c r="D108" s="32">
        <v>1</v>
      </c>
      <c r="E108" s="128" t="s">
        <v>0</v>
      </c>
      <c r="F108" s="25">
        <v>0</v>
      </c>
      <c r="H108" t="str">
        <f t="shared" si="10"/>
        <v>持有至到期投资</v>
      </c>
    </row>
    <row r="109" spans="1:8">
      <c r="A109">
        <v>150101</v>
      </c>
      <c r="B109" s="22" t="s">
        <v>170</v>
      </c>
      <c r="C109" s="22" t="s">
        <v>161</v>
      </c>
      <c r="D109" s="128">
        <v>2</v>
      </c>
      <c r="E109" s="128" t="s">
        <v>0</v>
      </c>
      <c r="F109" s="25">
        <v>0</v>
      </c>
      <c r="H109" t="str">
        <f>IF(C109="",B109,CONCATENATE(B109,"_",C109))</f>
        <v>持有至到期投资_成本</v>
      </c>
    </row>
    <row r="110" spans="1:8">
      <c r="A110">
        <v>150102</v>
      </c>
      <c r="B110" s="22" t="s">
        <v>170</v>
      </c>
      <c r="C110" s="22" t="s">
        <v>171</v>
      </c>
      <c r="D110" s="128">
        <v>2</v>
      </c>
      <c r="E110" s="128" t="s">
        <v>0</v>
      </c>
      <c r="F110" s="25">
        <v>0</v>
      </c>
      <c r="H110" t="str">
        <f>IF(C110="",B110,CONCATENATE(B110,"_",C110))</f>
        <v>持有至到期投资_利息调整</v>
      </c>
    </row>
    <row r="111" spans="1:8">
      <c r="A111">
        <v>150103</v>
      </c>
      <c r="B111" s="22" t="s">
        <v>170</v>
      </c>
      <c r="C111" s="22" t="s">
        <v>172</v>
      </c>
      <c r="D111" s="128">
        <v>2</v>
      </c>
      <c r="E111" s="128" t="s">
        <v>0</v>
      </c>
      <c r="F111" s="25">
        <v>0</v>
      </c>
      <c r="H111" t="str">
        <f>IF(C111="",B111,CONCATENATE(B111,"_",C111))</f>
        <v>持有至到期投资_应计利息</v>
      </c>
    </row>
    <row r="112" spans="1:8">
      <c r="A112">
        <v>1502</v>
      </c>
      <c r="B112" s="22" t="s">
        <v>269</v>
      </c>
      <c r="D112" s="32">
        <v>1</v>
      </c>
      <c r="E112" s="128" t="s">
        <v>0</v>
      </c>
      <c r="F112" s="25">
        <v>0</v>
      </c>
      <c r="H112" t="str">
        <f t="shared" si="10"/>
        <v>持有至到期投资减值准备</v>
      </c>
    </row>
    <row r="113" spans="1:8">
      <c r="A113">
        <v>1503</v>
      </c>
      <c r="B113" s="22" t="s">
        <v>106</v>
      </c>
      <c r="D113" s="32">
        <v>1</v>
      </c>
      <c r="E113" s="170" t="s">
        <v>0</v>
      </c>
      <c r="F113" s="25">
        <v>0</v>
      </c>
      <c r="H113" t="str">
        <f>IF(C113="",B113,CONCATENATE(B113,"_",C113))</f>
        <v>可供出售金融资产</v>
      </c>
    </row>
    <row r="114" spans="1:8">
      <c r="A114">
        <v>1511</v>
      </c>
      <c r="B114" s="22" t="s">
        <v>173</v>
      </c>
      <c r="D114" s="32">
        <v>1</v>
      </c>
      <c r="E114" s="128" t="s">
        <v>0</v>
      </c>
      <c r="F114" s="25">
        <v>0</v>
      </c>
      <c r="H114" t="str">
        <f t="shared" si="10"/>
        <v>长期股权投资</v>
      </c>
    </row>
    <row r="115" spans="1:8">
      <c r="A115">
        <v>151101</v>
      </c>
      <c r="B115" s="22" t="s">
        <v>173</v>
      </c>
      <c r="C115" s="22" t="s">
        <v>161</v>
      </c>
      <c r="D115" s="21">
        <v>2</v>
      </c>
      <c r="E115" s="128" t="s">
        <v>0</v>
      </c>
      <c r="F115" s="25">
        <v>0</v>
      </c>
      <c r="H115" t="str">
        <f>IF(C115="",B115,CONCATENATE(B115,"_",C115))</f>
        <v>长期股权投资_成本</v>
      </c>
    </row>
    <row r="116" spans="1:8">
      <c r="A116">
        <v>151102</v>
      </c>
      <c r="B116" s="22" t="s">
        <v>173</v>
      </c>
      <c r="C116" s="22" t="s">
        <v>174</v>
      </c>
      <c r="D116" s="21">
        <v>2</v>
      </c>
      <c r="E116" s="128" t="s">
        <v>0</v>
      </c>
      <c r="F116" s="25">
        <v>0</v>
      </c>
      <c r="H116" t="str">
        <f>IF(C116="",B116,CONCATENATE(B116,"_",C116))</f>
        <v>长期股权投资_损益调整</v>
      </c>
    </row>
    <row r="117" spans="1:8">
      <c r="A117">
        <v>151103</v>
      </c>
      <c r="B117" s="22" t="s">
        <v>173</v>
      </c>
      <c r="C117" s="22" t="s">
        <v>175</v>
      </c>
      <c r="D117" s="21">
        <v>2</v>
      </c>
      <c r="E117" s="128" t="s">
        <v>0</v>
      </c>
      <c r="F117" s="25">
        <v>0</v>
      </c>
      <c r="H117" t="str">
        <f>IF(C117="",B117,CONCATENATE(B117,"_",C117))</f>
        <v>长期股权投资_其他权益变动</v>
      </c>
    </row>
    <row r="118" spans="1:8">
      <c r="A118">
        <v>1512</v>
      </c>
      <c r="B118" s="22" t="s">
        <v>270</v>
      </c>
      <c r="D118" s="32">
        <v>1</v>
      </c>
      <c r="E118" s="148" t="s">
        <v>0</v>
      </c>
      <c r="F118" s="25">
        <v>0</v>
      </c>
      <c r="H118" t="str">
        <f>IF(C118="",B118,CONCATENATE(B118,"_",C118))</f>
        <v>长期股权投资减值准备</v>
      </c>
    </row>
    <row r="119" spans="1:8">
      <c r="A119">
        <v>1521</v>
      </c>
      <c r="B119" s="23" t="s">
        <v>176</v>
      </c>
      <c r="D119" s="32">
        <v>1</v>
      </c>
      <c r="E119" s="128" t="s">
        <v>0</v>
      </c>
      <c r="F119" s="25">
        <v>0</v>
      </c>
      <c r="H119" t="str">
        <f t="shared" si="10"/>
        <v>投资性房地产</v>
      </c>
    </row>
    <row r="120" spans="1:8">
      <c r="A120">
        <v>1523</v>
      </c>
      <c r="B120" s="23" t="s">
        <v>312</v>
      </c>
      <c r="D120" s="32">
        <v>1</v>
      </c>
      <c r="E120" s="128" t="s">
        <v>0</v>
      </c>
      <c r="F120" s="25">
        <v>0</v>
      </c>
      <c r="H120" t="str">
        <f>IF(C120="",B120,CONCATENATE(B120,"_",C120))</f>
        <v>投资性房地产减值准备</v>
      </c>
    </row>
    <row r="121" spans="1:8">
      <c r="A121">
        <v>1531</v>
      </c>
      <c r="B121" s="23" t="s">
        <v>177</v>
      </c>
      <c r="D121" s="32">
        <v>1</v>
      </c>
      <c r="E121" s="148" t="s">
        <v>0</v>
      </c>
      <c r="F121" s="25">
        <v>0</v>
      </c>
      <c r="H121" t="str">
        <f>IF(C121="",B121,CONCATENATE(B121,"_",C121))</f>
        <v>长期应收款</v>
      </c>
    </row>
    <row r="122" spans="1:8">
      <c r="A122">
        <v>1532</v>
      </c>
      <c r="B122" s="23" t="s">
        <v>347</v>
      </c>
      <c r="D122" s="32">
        <v>1</v>
      </c>
      <c r="E122" s="172" t="s">
        <v>0</v>
      </c>
      <c r="F122" s="25">
        <v>0</v>
      </c>
      <c r="H122" t="str">
        <f>IF(C122="",B122,CONCATENATE(B122,"_",C122))</f>
        <v>未实现融资收益</v>
      </c>
    </row>
    <row r="123" spans="1:8">
      <c r="A123">
        <v>1601</v>
      </c>
      <c r="B123" s="22" t="s">
        <v>178</v>
      </c>
      <c r="D123" s="32">
        <v>1</v>
      </c>
      <c r="E123" s="128" t="s">
        <v>0</v>
      </c>
      <c r="F123" s="25">
        <f>SUM(F124:F139)</f>
        <v>2019132.43</v>
      </c>
      <c r="H123" t="str">
        <f t="shared" si="10"/>
        <v>固定资产</v>
      </c>
    </row>
    <row r="124" spans="1:8">
      <c r="A124">
        <v>160101</v>
      </c>
      <c r="B124" s="22" t="s">
        <v>179</v>
      </c>
      <c r="C124" s="22" t="s">
        <v>305</v>
      </c>
      <c r="D124" s="21">
        <v>2</v>
      </c>
      <c r="E124" s="128" t="s">
        <v>0</v>
      </c>
      <c r="F124" s="19">
        <v>211850</v>
      </c>
      <c r="H124" t="str">
        <f t="shared" si="10"/>
        <v>固定资产_办公桌</v>
      </c>
    </row>
    <row r="125" spans="1:8">
      <c r="A125">
        <v>160102</v>
      </c>
      <c r="B125" s="22" t="s">
        <v>179</v>
      </c>
      <c r="C125" s="22" t="s">
        <v>307</v>
      </c>
      <c r="D125" s="21">
        <v>2</v>
      </c>
      <c r="E125" s="167" t="s">
        <v>0</v>
      </c>
      <c r="F125" s="19">
        <v>20190</v>
      </c>
      <c r="H125" t="str">
        <f t="shared" si="10"/>
        <v>固定资产_打印机</v>
      </c>
    </row>
    <row r="126" spans="1:8">
      <c r="A126">
        <v>160103</v>
      </c>
      <c r="B126" s="22" t="s">
        <v>179</v>
      </c>
      <c r="C126" s="22" t="s">
        <v>306</v>
      </c>
      <c r="D126" s="21">
        <v>2</v>
      </c>
      <c r="E126" s="167" t="s">
        <v>0</v>
      </c>
      <c r="F126" s="19">
        <v>89750</v>
      </c>
      <c r="H126" t="str">
        <f>IF(C126="",B126,CONCATENATE(B126,"_",C126))</f>
        <v>固定资产_空调</v>
      </c>
    </row>
    <row r="127" spans="1:8">
      <c r="A127">
        <v>160104</v>
      </c>
      <c r="B127" s="22" t="s">
        <v>179</v>
      </c>
      <c r="C127" s="22" t="s">
        <v>149</v>
      </c>
      <c r="D127" s="21">
        <v>2</v>
      </c>
      <c r="E127" s="128" t="s">
        <v>0</v>
      </c>
      <c r="F127" s="19">
        <v>23800</v>
      </c>
      <c r="H127" t="str">
        <f>IF(C127="",B127,CONCATENATE(B127,"_",C127))</f>
        <v>固定资产_保险柜</v>
      </c>
    </row>
    <row r="128" spans="1:8">
      <c r="A128">
        <v>160105</v>
      </c>
      <c r="B128" s="22" t="s">
        <v>179</v>
      </c>
      <c r="C128" s="22" t="s">
        <v>308</v>
      </c>
      <c r="D128" s="21">
        <v>2</v>
      </c>
      <c r="E128" s="128" t="s">
        <v>0</v>
      </c>
      <c r="F128" s="19">
        <v>380000</v>
      </c>
      <c r="H128" t="str">
        <f>IF(C128="",B128,CONCATENATE(B128,"_",C128))</f>
        <v>固定资产_架库房</v>
      </c>
    </row>
    <row r="129" spans="1:8">
      <c r="A129">
        <v>160106</v>
      </c>
      <c r="B129" s="22" t="s">
        <v>179</v>
      </c>
      <c r="C129" s="22" t="s">
        <v>150</v>
      </c>
      <c r="D129" s="21">
        <v>2</v>
      </c>
      <c r="E129" s="128" t="s">
        <v>0</v>
      </c>
      <c r="F129" s="19">
        <v>102000</v>
      </c>
      <c r="H129" t="str">
        <f>IF(C129="",B129,CONCATENATE(B129,"_",C129))</f>
        <v>固定资产_车棚</v>
      </c>
    </row>
    <row r="130" spans="1:8">
      <c r="A130">
        <v>160107</v>
      </c>
      <c r="B130" s="22" t="s">
        <v>179</v>
      </c>
      <c r="C130" s="22" t="s">
        <v>147</v>
      </c>
      <c r="D130" s="21">
        <v>2</v>
      </c>
      <c r="E130" s="167" t="s">
        <v>0</v>
      </c>
      <c r="F130" s="19">
        <v>73490</v>
      </c>
      <c r="H130" t="str">
        <f>IF(C130="",B130,CONCATENATE(B130,"_",C130))</f>
        <v>固定资产_电脑</v>
      </c>
    </row>
    <row r="131" spans="1:8">
      <c r="A131">
        <v>160108</v>
      </c>
      <c r="B131" s="22" t="s">
        <v>179</v>
      </c>
      <c r="C131" s="22" t="s">
        <v>148</v>
      </c>
      <c r="D131" s="21">
        <v>2</v>
      </c>
      <c r="E131" s="128" t="s">
        <v>0</v>
      </c>
      <c r="F131" s="19">
        <v>16758.43</v>
      </c>
      <c r="H131" t="str">
        <f t="shared" si="10"/>
        <v>固定资产_经纬仪</v>
      </c>
    </row>
    <row r="132" spans="1:8">
      <c r="A132">
        <v>160109</v>
      </c>
      <c r="B132" s="22" t="s">
        <v>114</v>
      </c>
      <c r="C132" s="22" t="s">
        <v>307</v>
      </c>
      <c r="D132" s="21">
        <v>2</v>
      </c>
      <c r="E132" s="168" t="s">
        <v>0</v>
      </c>
      <c r="F132" s="19">
        <v>4950</v>
      </c>
      <c r="H132" t="str">
        <f>IF(C132="",B132,CONCATENATE(B132,"_",C132))</f>
        <v>固定资产_打印机</v>
      </c>
    </row>
    <row r="133" spans="1:8">
      <c r="A133">
        <v>160110</v>
      </c>
      <c r="B133" s="22" t="s">
        <v>179</v>
      </c>
      <c r="C133" s="22" t="s">
        <v>305</v>
      </c>
      <c r="D133" s="21">
        <v>2</v>
      </c>
      <c r="E133" s="128" t="s">
        <v>0</v>
      </c>
      <c r="F133" s="19">
        <v>103921</v>
      </c>
      <c r="H133" t="str">
        <f t="shared" si="10"/>
        <v>固定资产_办公桌</v>
      </c>
    </row>
    <row r="134" spans="1:8">
      <c r="A134">
        <v>160111</v>
      </c>
      <c r="B134" s="22" t="s">
        <v>179</v>
      </c>
      <c r="C134" s="22" t="s">
        <v>306</v>
      </c>
      <c r="D134" s="21">
        <v>2</v>
      </c>
      <c r="E134" s="128" t="s">
        <v>0</v>
      </c>
      <c r="F134" s="19">
        <v>50000</v>
      </c>
      <c r="H134" t="str">
        <f t="shared" si="10"/>
        <v>固定资产_空调</v>
      </c>
    </row>
    <row r="135" spans="1:8">
      <c r="A135">
        <v>160112</v>
      </c>
      <c r="B135" s="22" t="s">
        <v>179</v>
      </c>
      <c r="C135" s="22" t="s">
        <v>151</v>
      </c>
      <c r="D135" s="21">
        <v>2</v>
      </c>
      <c r="E135" s="128" t="s">
        <v>0</v>
      </c>
      <c r="F135" s="19">
        <v>455483</v>
      </c>
      <c r="H135" t="str">
        <f t="shared" si="10"/>
        <v>固定资产_汽车</v>
      </c>
    </row>
    <row r="136" spans="1:8">
      <c r="A136">
        <v>160113</v>
      </c>
      <c r="B136" s="22" t="s">
        <v>179</v>
      </c>
      <c r="C136" s="22" t="s">
        <v>152</v>
      </c>
      <c r="D136" s="21">
        <v>2</v>
      </c>
      <c r="E136" s="128" t="s">
        <v>0</v>
      </c>
      <c r="F136" s="19">
        <v>10500</v>
      </c>
      <c r="H136" t="str">
        <f t="shared" si="10"/>
        <v>固定资产_测定仪</v>
      </c>
    </row>
    <row r="137" spans="1:8">
      <c r="A137">
        <v>160114</v>
      </c>
      <c r="B137" s="22" t="s">
        <v>179</v>
      </c>
      <c r="C137" s="22" t="s">
        <v>153</v>
      </c>
      <c r="D137" s="21">
        <v>2</v>
      </c>
      <c r="E137" s="128" t="s">
        <v>0</v>
      </c>
      <c r="F137" s="19">
        <v>188940</v>
      </c>
      <c r="H137" t="str">
        <f t="shared" si="10"/>
        <v>固定资产_污水泵</v>
      </c>
    </row>
    <row r="138" spans="1:8">
      <c r="A138">
        <v>160115</v>
      </c>
      <c r="B138" s="22" t="s">
        <v>179</v>
      </c>
      <c r="C138" s="22" t="s">
        <v>155</v>
      </c>
      <c r="D138" s="21">
        <v>2</v>
      </c>
      <c r="E138" s="128" t="s">
        <v>0</v>
      </c>
      <c r="F138" s="19">
        <v>89500</v>
      </c>
      <c r="H138" t="str">
        <f t="shared" si="10"/>
        <v>固定资产_发电机</v>
      </c>
    </row>
    <row r="139" spans="1:8">
      <c r="A139">
        <v>160116</v>
      </c>
      <c r="B139" s="22" t="s">
        <v>179</v>
      </c>
      <c r="C139" s="22" t="s">
        <v>154</v>
      </c>
      <c r="D139" s="21">
        <v>2</v>
      </c>
      <c r="E139" s="128" t="s">
        <v>0</v>
      </c>
      <c r="F139" s="19">
        <v>198000</v>
      </c>
      <c r="H139" t="str">
        <f t="shared" si="10"/>
        <v>固定资产_活动房</v>
      </c>
    </row>
    <row r="140" spans="1:8">
      <c r="A140">
        <v>1602</v>
      </c>
      <c r="B140" t="s">
        <v>180</v>
      </c>
      <c r="D140" s="32">
        <v>1</v>
      </c>
      <c r="E140" s="128" t="s">
        <v>0</v>
      </c>
      <c r="F140" s="25">
        <v>-1115998.3700000001</v>
      </c>
      <c r="H140" t="str">
        <f t="shared" si="10"/>
        <v>累计折旧</v>
      </c>
    </row>
    <row r="141" spans="1:8">
      <c r="A141">
        <v>1603</v>
      </c>
      <c r="B141" s="22" t="s">
        <v>181</v>
      </c>
      <c r="D141" s="32">
        <v>1</v>
      </c>
      <c r="E141" s="128" t="s">
        <v>0</v>
      </c>
      <c r="F141" s="25">
        <v>0</v>
      </c>
      <c r="H141" t="str">
        <f t="shared" si="10"/>
        <v>固定资产减值准备</v>
      </c>
    </row>
    <row r="142" spans="1:8">
      <c r="A142">
        <v>1604</v>
      </c>
      <c r="B142" s="23" t="s">
        <v>182</v>
      </c>
      <c r="D142" s="32">
        <v>1</v>
      </c>
      <c r="E142" s="128" t="s">
        <v>0</v>
      </c>
      <c r="F142" s="25">
        <v>1281</v>
      </c>
      <c r="H142" t="str">
        <f t="shared" si="10"/>
        <v>在建工程</v>
      </c>
    </row>
    <row r="143" spans="1:8">
      <c r="A143">
        <v>1605</v>
      </c>
      <c r="B143" s="23" t="s">
        <v>183</v>
      </c>
      <c r="D143" s="32">
        <v>1</v>
      </c>
      <c r="E143" s="128" t="s">
        <v>0</v>
      </c>
      <c r="F143" s="25">
        <v>0</v>
      </c>
      <c r="H143" t="str">
        <f t="shared" si="10"/>
        <v>工程物资</v>
      </c>
    </row>
    <row r="144" spans="1:8">
      <c r="A144">
        <v>1606</v>
      </c>
      <c r="B144" s="23" t="s">
        <v>184</v>
      </c>
      <c r="D144" s="32">
        <v>1</v>
      </c>
      <c r="E144" s="128" t="s">
        <v>0</v>
      </c>
      <c r="F144" s="25">
        <v>0</v>
      </c>
      <c r="H144" t="str">
        <f t="shared" si="10"/>
        <v>固定资产清理</v>
      </c>
    </row>
    <row r="145" spans="1:8">
      <c r="A145">
        <v>1701</v>
      </c>
      <c r="B145" t="s">
        <v>1</v>
      </c>
      <c r="D145" s="32">
        <v>1</v>
      </c>
      <c r="E145" s="128" t="s">
        <v>0</v>
      </c>
      <c r="F145" s="25">
        <f>SUM(F146:F148)</f>
        <v>5962276.25</v>
      </c>
      <c r="H145" t="str">
        <f t="shared" si="10"/>
        <v>无形资产</v>
      </c>
    </row>
    <row r="146" spans="1:8">
      <c r="A146">
        <v>170101</v>
      </c>
      <c r="B146" t="s">
        <v>1</v>
      </c>
      <c r="C146" t="s">
        <v>348</v>
      </c>
      <c r="D146" s="21">
        <v>2</v>
      </c>
      <c r="E146" s="172" t="s">
        <v>0</v>
      </c>
      <c r="F146" s="19">
        <v>0</v>
      </c>
      <c r="H146" t="str">
        <f t="shared" ref="H146:H148" si="14">IF(C146="",B146,CONCATENATE(B146,"_",C146))</f>
        <v>无形资产_专利权</v>
      </c>
    </row>
    <row r="147" spans="1:8">
      <c r="A147">
        <v>170102</v>
      </c>
      <c r="B147" t="s">
        <v>1</v>
      </c>
      <c r="C147" t="s">
        <v>349</v>
      </c>
      <c r="D147" s="21">
        <v>2</v>
      </c>
      <c r="E147" s="172" t="s">
        <v>0</v>
      </c>
      <c r="F147" s="19">
        <v>0</v>
      </c>
      <c r="H147" t="str">
        <f t="shared" si="14"/>
        <v>无形资产_非专利技术</v>
      </c>
    </row>
    <row r="148" spans="1:8">
      <c r="A148">
        <v>170103</v>
      </c>
      <c r="B148" t="s">
        <v>1</v>
      </c>
      <c r="C148" t="s">
        <v>350</v>
      </c>
      <c r="D148" s="21">
        <v>2</v>
      </c>
      <c r="E148" s="172" t="s">
        <v>0</v>
      </c>
      <c r="F148" s="19">
        <v>5962276.25</v>
      </c>
      <c r="H148" t="str">
        <f t="shared" si="14"/>
        <v>无形资产_土地使用权</v>
      </c>
    </row>
    <row r="149" spans="1:8">
      <c r="A149">
        <v>1702</v>
      </c>
      <c r="B149" t="s">
        <v>271</v>
      </c>
      <c r="D149" s="32">
        <v>1</v>
      </c>
      <c r="E149" s="148" t="s">
        <v>0</v>
      </c>
      <c r="F149" s="25">
        <v>0</v>
      </c>
      <c r="H149" t="str">
        <f>IF(C149="",B149,CONCATENATE(B149,"_",C149))</f>
        <v>累计摊销</v>
      </c>
    </row>
    <row r="150" spans="1:8">
      <c r="A150">
        <v>1703</v>
      </c>
      <c r="B150" t="s">
        <v>272</v>
      </c>
      <c r="D150" s="32">
        <v>1</v>
      </c>
      <c r="E150" s="128" t="s">
        <v>0</v>
      </c>
      <c r="F150" s="25">
        <v>0</v>
      </c>
      <c r="H150" t="str">
        <f t="shared" si="10"/>
        <v>无形资产减值准备</v>
      </c>
    </row>
    <row r="151" spans="1:8">
      <c r="A151">
        <v>1711</v>
      </c>
      <c r="B151" t="s">
        <v>125</v>
      </c>
      <c r="D151" s="32">
        <v>1</v>
      </c>
      <c r="E151" s="172" t="s">
        <v>0</v>
      </c>
      <c r="F151" s="25">
        <v>0</v>
      </c>
      <c r="H151" t="str">
        <f t="shared" ref="H151" si="15">IF(C151="",B151,CONCATENATE(B151,"_",C151))</f>
        <v>商誉</v>
      </c>
    </row>
    <row r="152" spans="1:8">
      <c r="A152">
        <v>1801</v>
      </c>
      <c r="B152" t="s">
        <v>185</v>
      </c>
      <c r="D152" s="32">
        <v>1</v>
      </c>
      <c r="E152" s="128" t="s">
        <v>0</v>
      </c>
      <c r="F152" s="25">
        <f>SUM(F153:F154)</f>
        <v>0</v>
      </c>
      <c r="H152" t="str">
        <f t="shared" si="10"/>
        <v>长期待摊费用</v>
      </c>
    </row>
    <row r="153" spans="1:8">
      <c r="A153">
        <v>180101</v>
      </c>
      <c r="B153" t="s">
        <v>185</v>
      </c>
      <c r="C153" t="s">
        <v>351</v>
      </c>
      <c r="D153" s="128">
        <v>2</v>
      </c>
      <c r="E153" s="128" t="s">
        <v>0</v>
      </c>
      <c r="F153" s="19">
        <v>0</v>
      </c>
      <c r="H153" t="str">
        <f t="shared" si="10"/>
        <v>长期待摊费用_固定资产修理支出</v>
      </c>
    </row>
    <row r="154" spans="1:8">
      <c r="A154">
        <v>180102</v>
      </c>
      <c r="B154" t="s">
        <v>185</v>
      </c>
      <c r="C154" t="s">
        <v>352</v>
      </c>
      <c r="D154" s="128">
        <v>2</v>
      </c>
      <c r="E154" s="128" t="s">
        <v>0</v>
      </c>
      <c r="F154" s="19">
        <v>0</v>
      </c>
      <c r="H154" t="str">
        <f t="shared" si="10"/>
        <v>长期待摊费用_租入固定资产改良</v>
      </c>
    </row>
    <row r="155" spans="1:8">
      <c r="A155">
        <v>1811</v>
      </c>
      <c r="B155" t="s">
        <v>186</v>
      </c>
      <c r="D155" s="32">
        <v>1</v>
      </c>
      <c r="E155" s="128" t="s">
        <v>0</v>
      </c>
      <c r="F155" s="25">
        <v>0</v>
      </c>
      <c r="H155" t="str">
        <f t="shared" si="10"/>
        <v>递延所得税资产</v>
      </c>
    </row>
    <row r="156" spans="1:8">
      <c r="A156">
        <v>1901</v>
      </c>
      <c r="B156" t="s">
        <v>187</v>
      </c>
      <c r="D156" s="32">
        <v>1</v>
      </c>
      <c r="E156" s="128" t="s">
        <v>0</v>
      </c>
      <c r="F156" s="25">
        <v>0</v>
      </c>
      <c r="H156" t="str">
        <f t="shared" si="10"/>
        <v>待处理财产损溢</v>
      </c>
    </row>
    <row r="157" spans="1:8">
      <c r="A157">
        <v>2001</v>
      </c>
      <c r="B157" t="s">
        <v>188</v>
      </c>
      <c r="D157" s="32">
        <v>1</v>
      </c>
      <c r="E157" s="128" t="s">
        <v>2</v>
      </c>
      <c r="F157" s="19"/>
      <c r="G157" s="25">
        <v>0</v>
      </c>
      <c r="H157" t="str">
        <f t="shared" si="10"/>
        <v>短期借款</v>
      </c>
    </row>
    <row r="158" spans="1:8">
      <c r="A158">
        <v>2101</v>
      </c>
      <c r="B158" t="s">
        <v>280</v>
      </c>
      <c r="D158" s="32">
        <v>1</v>
      </c>
      <c r="E158" s="150" t="s">
        <v>2</v>
      </c>
      <c r="F158" s="19"/>
      <c r="G158" s="25">
        <v>0</v>
      </c>
      <c r="H158" t="str">
        <f>IF(C158="",B158,CONCATENATE(B158,"_",C158))</f>
        <v>交易性金融负债</v>
      </c>
    </row>
    <row r="159" spans="1:8">
      <c r="A159">
        <v>2201</v>
      </c>
      <c r="B159" t="s">
        <v>3</v>
      </c>
      <c r="D159" s="32">
        <v>1</v>
      </c>
      <c r="E159" s="128" t="s">
        <v>2</v>
      </c>
      <c r="F159" s="19"/>
      <c r="G159" s="25">
        <v>0</v>
      </c>
      <c r="H159" t="str">
        <f t="shared" si="10"/>
        <v>应付票据</v>
      </c>
    </row>
    <row r="160" spans="1:8">
      <c r="A160">
        <v>2202</v>
      </c>
      <c r="B160" t="s">
        <v>4</v>
      </c>
      <c r="D160" s="32">
        <v>1</v>
      </c>
      <c r="E160" s="128" t="s">
        <v>2</v>
      </c>
      <c r="F160" s="19"/>
      <c r="G160" s="25">
        <f>SUMIF(D161:D168,"=2",G161:G168)</f>
        <v>6041019.6200000001</v>
      </c>
      <c r="H160" t="str">
        <f t="shared" si="10"/>
        <v>应付账款</v>
      </c>
    </row>
    <row r="161" spans="1:8">
      <c r="A161" s="151">
        <v>220201</v>
      </c>
      <c r="B161" s="151" t="s">
        <v>92</v>
      </c>
      <c r="C161" s="151" t="s">
        <v>301</v>
      </c>
      <c r="D161" s="144">
        <v>2</v>
      </c>
      <c r="E161" s="144" t="s">
        <v>2</v>
      </c>
      <c r="F161" s="19"/>
      <c r="G161" s="19">
        <f>SUMIF(D162:D166,"=3",G162:G166)</f>
        <v>4800000</v>
      </c>
      <c r="H161" t="str">
        <f t="shared" ref="H161:H167" si="16">IF(C161="",B161,CONCATENATE(B161,"_",C161))</f>
        <v>应付账款_工程款</v>
      </c>
    </row>
    <row r="162" spans="1:8">
      <c r="A162">
        <v>22020101</v>
      </c>
      <c r="B162" t="s">
        <v>4</v>
      </c>
      <c r="C162" t="s">
        <v>326</v>
      </c>
      <c r="D162" s="144">
        <v>3</v>
      </c>
      <c r="E162" s="144" t="s">
        <v>2</v>
      </c>
      <c r="F162" s="19"/>
      <c r="G162" s="19">
        <v>1800000</v>
      </c>
      <c r="H162" t="str">
        <f t="shared" si="16"/>
        <v>应付账款_工程款_南恒制冷</v>
      </c>
    </row>
    <row r="163" spans="1:8">
      <c r="A163">
        <v>22020102</v>
      </c>
      <c r="B163" t="s">
        <v>4</v>
      </c>
      <c r="C163" t="s">
        <v>327</v>
      </c>
      <c r="D163" s="146">
        <v>3</v>
      </c>
      <c r="E163" s="146" t="s">
        <v>2</v>
      </c>
      <c r="F163" s="19"/>
      <c r="G163" s="19">
        <v>1250000</v>
      </c>
      <c r="H163" t="str">
        <f t="shared" si="16"/>
        <v>应付账款_工程款_星宇建材</v>
      </c>
    </row>
    <row r="164" spans="1:8">
      <c r="A164">
        <v>22020103</v>
      </c>
      <c r="B164" t="s">
        <v>4</v>
      </c>
      <c r="C164" s="22" t="s">
        <v>328</v>
      </c>
      <c r="D164" s="157">
        <v>3</v>
      </c>
      <c r="E164" s="157" t="s">
        <v>2</v>
      </c>
      <c r="F164" s="19"/>
      <c r="G164" s="19">
        <v>1250000</v>
      </c>
      <c r="H164" t="str">
        <f t="shared" si="16"/>
        <v>应付账款_工程款_金思维美工</v>
      </c>
    </row>
    <row r="165" spans="1:8">
      <c r="A165">
        <v>22020104</v>
      </c>
      <c r="B165" t="s">
        <v>4</v>
      </c>
      <c r="C165" s="22" t="s">
        <v>520</v>
      </c>
      <c r="D165" s="159">
        <v>3</v>
      </c>
      <c r="E165" s="159" t="s">
        <v>2</v>
      </c>
      <c r="F165" s="19"/>
      <c r="G165" s="19">
        <v>250000</v>
      </c>
      <c r="H165" t="str">
        <f t="shared" si="16"/>
        <v>应付账款_工程款_天源建材</v>
      </c>
    </row>
    <row r="166" spans="1:8">
      <c r="A166">
        <v>22020105</v>
      </c>
      <c r="B166" t="s">
        <v>4</v>
      </c>
      <c r="C166" s="22" t="s">
        <v>521</v>
      </c>
      <c r="D166" s="159">
        <v>3</v>
      </c>
      <c r="E166" s="159" t="s">
        <v>2</v>
      </c>
      <c r="F166" s="19"/>
      <c r="G166" s="19">
        <v>250000</v>
      </c>
      <c r="H166" t="str">
        <f t="shared" si="16"/>
        <v>应付账款_工程款_振豪水暖</v>
      </c>
    </row>
    <row r="167" spans="1:8">
      <c r="A167" s="151">
        <v>220202</v>
      </c>
      <c r="B167" s="151" t="s">
        <v>92</v>
      </c>
      <c r="C167" s="151" t="s">
        <v>324</v>
      </c>
      <c r="D167" s="163">
        <v>2</v>
      </c>
      <c r="E167" s="163" t="s">
        <v>2</v>
      </c>
      <c r="F167" s="19"/>
      <c r="G167" s="19">
        <f>SUMIF(D168:D168,"=3",G168:G168)</f>
        <v>1241019.6200000001</v>
      </c>
      <c r="H167" t="str">
        <f t="shared" si="16"/>
        <v>应付账款_购货款</v>
      </c>
    </row>
    <row r="168" spans="1:8">
      <c r="A168">
        <v>22020201</v>
      </c>
      <c r="B168" t="s">
        <v>4</v>
      </c>
      <c r="C168" s="22" t="s">
        <v>329</v>
      </c>
      <c r="D168" s="128">
        <v>3</v>
      </c>
      <c r="E168" s="128" t="s">
        <v>2</v>
      </c>
      <c r="F168" s="19"/>
      <c r="G168" s="19">
        <v>1241019.6200000001</v>
      </c>
      <c r="H168" t="str">
        <f t="shared" si="10"/>
        <v>应付账款_购货款_重庆基辅涂料</v>
      </c>
    </row>
    <row r="169" spans="1:8">
      <c r="A169">
        <v>2203</v>
      </c>
      <c r="B169" t="s">
        <v>274</v>
      </c>
      <c r="D169" s="32">
        <v>1</v>
      </c>
      <c r="E169" s="128" t="s">
        <v>2</v>
      </c>
      <c r="F169" s="6"/>
      <c r="G169" s="19">
        <f>SUMIF(D170:D185,"=2",F170:F185)</f>
        <v>0</v>
      </c>
      <c r="H169" t="str">
        <f t="shared" si="10"/>
        <v>预收账款</v>
      </c>
    </row>
    <row r="170" spans="1:8">
      <c r="A170" s="151">
        <v>220301</v>
      </c>
      <c r="B170" s="151" t="s">
        <v>274</v>
      </c>
      <c r="C170" s="151" t="s">
        <v>319</v>
      </c>
      <c r="D170" s="152">
        <v>2</v>
      </c>
      <c r="E170" s="152" t="s">
        <v>2</v>
      </c>
      <c r="F170" s="6"/>
      <c r="G170" s="19">
        <f>SUMIF(D171:D180,"=3",F171:F180)</f>
        <v>0</v>
      </c>
      <c r="H170" t="str">
        <f>IF(C170="",B170,CONCATENATE(B170,"_",C170))</f>
        <v>预收账款_购房款</v>
      </c>
    </row>
    <row r="171" spans="1:8">
      <c r="A171">
        <v>22030101</v>
      </c>
      <c r="B171" t="s">
        <v>274</v>
      </c>
      <c r="C171" t="s">
        <v>353</v>
      </c>
      <c r="D171" s="154">
        <v>3</v>
      </c>
      <c r="E171" s="154" t="s">
        <v>2</v>
      </c>
      <c r="F171" s="19"/>
      <c r="G171" s="19">
        <v>0</v>
      </c>
      <c r="H171" t="str">
        <f>IF(C171="",B171,CONCATENATE(B171,"_",C171))</f>
        <v>预收账款_购房款_中国水电七局</v>
      </c>
    </row>
    <row r="172" spans="1:8">
      <c r="A172">
        <v>22030102</v>
      </c>
      <c r="B172" t="s">
        <v>274</v>
      </c>
      <c r="C172" t="s">
        <v>354</v>
      </c>
      <c r="D172" s="154">
        <v>3</v>
      </c>
      <c r="E172" s="154" t="s">
        <v>2</v>
      </c>
      <c r="F172" s="19"/>
      <c r="G172" s="19">
        <v>0</v>
      </c>
      <c r="H172" t="str">
        <f>IF(C172="",B172,CONCATENATE(B172,"_",C172))</f>
        <v>预收账款_购房款_中国化工七建</v>
      </c>
    </row>
    <row r="173" spans="1:8">
      <c r="A173">
        <v>22030103</v>
      </c>
      <c r="B173" t="s">
        <v>274</v>
      </c>
      <c r="C173" t="s">
        <v>522</v>
      </c>
      <c r="D173" s="155">
        <v>3</v>
      </c>
      <c r="E173" s="155" t="s">
        <v>2</v>
      </c>
      <c r="F173" s="19"/>
      <c r="G173" s="19">
        <v>0</v>
      </c>
      <c r="H173" t="str">
        <f t="shared" ref="H173:H179" si="17">IF(C173="",B173,CONCATENATE(B173,"_",C173))</f>
        <v>预收账款_购房款_</v>
      </c>
    </row>
    <row r="174" spans="1:8">
      <c r="A174">
        <v>22030104</v>
      </c>
      <c r="B174" t="s">
        <v>274</v>
      </c>
      <c r="C174" t="s">
        <v>522</v>
      </c>
      <c r="D174" s="157">
        <v>3</v>
      </c>
      <c r="E174" s="157" t="s">
        <v>2</v>
      </c>
      <c r="F174" s="19"/>
      <c r="G174" s="19">
        <v>0</v>
      </c>
      <c r="H174" t="str">
        <f t="shared" si="17"/>
        <v>预收账款_购房款_</v>
      </c>
    </row>
    <row r="175" spans="1:8">
      <c r="A175">
        <v>22030105</v>
      </c>
      <c r="B175" t="s">
        <v>274</v>
      </c>
      <c r="C175" t="s">
        <v>522</v>
      </c>
      <c r="D175" s="165">
        <v>3</v>
      </c>
      <c r="E175" s="165" t="s">
        <v>2</v>
      </c>
      <c r="F175" s="19"/>
      <c r="G175" s="19">
        <v>0</v>
      </c>
      <c r="H175" t="str">
        <f>IF(C175="",B175,CONCATENATE(B175,"_",C175))</f>
        <v>预收账款_购房款_</v>
      </c>
    </row>
    <row r="176" spans="1:8">
      <c r="A176">
        <v>22030106</v>
      </c>
      <c r="B176" t="s">
        <v>274</v>
      </c>
      <c r="C176" t="s">
        <v>522</v>
      </c>
      <c r="D176" s="158">
        <v>3</v>
      </c>
      <c r="E176" s="158" t="s">
        <v>2</v>
      </c>
      <c r="F176" s="19"/>
      <c r="G176" s="19">
        <v>0</v>
      </c>
      <c r="H176" t="str">
        <f t="shared" si="17"/>
        <v>预收账款_购房款_</v>
      </c>
    </row>
    <row r="177" spans="1:8">
      <c r="A177">
        <v>22030107</v>
      </c>
      <c r="B177" t="s">
        <v>274</v>
      </c>
      <c r="C177" t="s">
        <v>522</v>
      </c>
      <c r="D177" s="158">
        <v>3</v>
      </c>
      <c r="E177" s="158" t="s">
        <v>2</v>
      </c>
      <c r="F177" s="19"/>
      <c r="G177" s="19">
        <v>0</v>
      </c>
      <c r="H177" t="str">
        <f t="shared" si="17"/>
        <v>预收账款_购房款_</v>
      </c>
    </row>
    <row r="178" spans="1:8">
      <c r="A178">
        <v>22030108</v>
      </c>
      <c r="B178" t="s">
        <v>274</v>
      </c>
      <c r="C178" t="s">
        <v>522</v>
      </c>
      <c r="D178" s="160">
        <v>3</v>
      </c>
      <c r="E178" s="160" t="s">
        <v>2</v>
      </c>
      <c r="F178" s="19"/>
      <c r="G178" s="19">
        <v>0</v>
      </c>
      <c r="H178" t="str">
        <f t="shared" si="17"/>
        <v>预收账款_购房款_</v>
      </c>
    </row>
    <row r="179" spans="1:8">
      <c r="A179">
        <v>22030109</v>
      </c>
      <c r="B179" t="s">
        <v>274</v>
      </c>
      <c r="C179" t="s">
        <v>522</v>
      </c>
      <c r="D179" s="166">
        <v>3</v>
      </c>
      <c r="E179" s="166" t="s">
        <v>2</v>
      </c>
      <c r="F179" s="19"/>
      <c r="G179" s="19">
        <v>0</v>
      </c>
      <c r="H179" t="str">
        <f t="shared" si="17"/>
        <v>预收账款_购房款_</v>
      </c>
    </row>
    <row r="180" spans="1:8">
      <c r="A180">
        <v>22030110</v>
      </c>
      <c r="B180" t="s">
        <v>274</v>
      </c>
      <c r="C180" t="s">
        <v>522</v>
      </c>
      <c r="D180" s="154">
        <v>3</v>
      </c>
      <c r="E180" s="154" t="s">
        <v>2</v>
      </c>
      <c r="F180" s="19"/>
      <c r="G180" s="19">
        <v>0</v>
      </c>
      <c r="H180" t="str">
        <f>IF(C180="",B180,CONCATENATE(B180,"_",C180))</f>
        <v>预收账款_购房款_</v>
      </c>
    </row>
    <row r="181" spans="1:8">
      <c r="A181" s="151">
        <v>220302</v>
      </c>
      <c r="B181" s="151" t="s">
        <v>274</v>
      </c>
      <c r="C181" s="151" t="s">
        <v>301</v>
      </c>
      <c r="D181" s="152">
        <v>2</v>
      </c>
      <c r="E181" s="152" t="s">
        <v>2</v>
      </c>
      <c r="F181" s="19"/>
      <c r="G181" s="19">
        <v>0</v>
      </c>
      <c r="H181" t="str">
        <f>IF(C181="",B181,CONCATENATE(B181,"_",C181))</f>
        <v>预收账款_工程款</v>
      </c>
    </row>
    <row r="182" spans="1:8">
      <c r="A182" s="151">
        <v>220303</v>
      </c>
      <c r="B182" s="151" t="s">
        <v>274</v>
      </c>
      <c r="C182" s="151" t="s">
        <v>320</v>
      </c>
      <c r="D182" s="173">
        <v>2</v>
      </c>
      <c r="E182" s="173" t="s">
        <v>2</v>
      </c>
      <c r="F182" s="19"/>
      <c r="G182" s="19">
        <v>0</v>
      </c>
      <c r="H182" t="str">
        <f t="shared" ref="H182:H184" si="18">IF(C182="",B182,CONCATENATE(B182,"_",C182))</f>
        <v>预收账款_劳务费</v>
      </c>
    </row>
    <row r="183" spans="1:8">
      <c r="A183" s="151">
        <v>220304</v>
      </c>
      <c r="B183" s="151" t="s">
        <v>274</v>
      </c>
      <c r="C183" s="151" t="s">
        <v>321</v>
      </c>
      <c r="D183" s="173">
        <v>2</v>
      </c>
      <c r="E183" s="173" t="s">
        <v>2</v>
      </c>
      <c r="F183" s="19"/>
      <c r="G183" s="19">
        <v>0</v>
      </c>
      <c r="H183" t="str">
        <f t="shared" si="18"/>
        <v>预收账款_租金</v>
      </c>
    </row>
    <row r="184" spans="1:8">
      <c r="A184" s="151">
        <v>220305</v>
      </c>
      <c r="B184" s="151" t="s">
        <v>274</v>
      </c>
      <c r="C184" s="151" t="s">
        <v>324</v>
      </c>
      <c r="D184" s="173">
        <v>2</v>
      </c>
      <c r="E184" s="173" t="s">
        <v>2</v>
      </c>
      <c r="F184" s="19"/>
      <c r="G184" s="19">
        <v>0</v>
      </c>
      <c r="H184" t="str">
        <f t="shared" si="18"/>
        <v>预收账款_购货款</v>
      </c>
    </row>
    <row r="185" spans="1:8">
      <c r="A185">
        <v>220399</v>
      </c>
      <c r="B185" t="s">
        <v>274</v>
      </c>
      <c r="C185" t="s">
        <v>355</v>
      </c>
      <c r="D185" s="152">
        <v>2</v>
      </c>
      <c r="E185" s="152" t="s">
        <v>2</v>
      </c>
      <c r="F185" s="19"/>
      <c r="G185" s="19">
        <v>0</v>
      </c>
      <c r="H185" t="str">
        <f>IF(C185="",B185,CONCATENATE(B185,"_",C185))</f>
        <v>预收账款_预收账款结转</v>
      </c>
    </row>
    <row r="186" spans="1:8">
      <c r="A186">
        <v>2211</v>
      </c>
      <c r="B186" t="s">
        <v>5</v>
      </c>
      <c r="D186" s="32">
        <v>1</v>
      </c>
      <c r="E186" s="128" t="s">
        <v>2</v>
      </c>
      <c r="F186" s="19"/>
      <c r="G186" s="25">
        <f>SUM(G187:G194)</f>
        <v>-115201.39</v>
      </c>
      <c r="H186" t="str">
        <f t="shared" si="10"/>
        <v>应付职工薪酬</v>
      </c>
    </row>
    <row r="187" spans="1:8">
      <c r="A187">
        <v>221101</v>
      </c>
      <c r="B187" t="s">
        <v>5</v>
      </c>
      <c r="C187" t="s">
        <v>6</v>
      </c>
      <c r="D187" s="128">
        <v>2</v>
      </c>
      <c r="E187" s="128" t="s">
        <v>2</v>
      </c>
      <c r="F187" s="19"/>
      <c r="G187" s="7">
        <v>-73571.41</v>
      </c>
      <c r="H187" t="str">
        <f t="shared" si="10"/>
        <v>应付职工薪酬_工资</v>
      </c>
    </row>
    <row r="188" spans="1:8">
      <c r="A188">
        <v>221102</v>
      </c>
      <c r="B188" t="s">
        <v>5</v>
      </c>
      <c r="C188" t="s">
        <v>7</v>
      </c>
      <c r="D188" s="128">
        <v>2</v>
      </c>
      <c r="E188" s="128" t="s">
        <v>2</v>
      </c>
      <c r="F188" s="19"/>
      <c r="G188" s="7">
        <v>-41629.980000000003</v>
      </c>
      <c r="H188" t="str">
        <f t="shared" si="10"/>
        <v>应付职工薪酬_职工福利</v>
      </c>
    </row>
    <row r="189" spans="1:8">
      <c r="A189">
        <v>221103</v>
      </c>
      <c r="B189" t="s">
        <v>5</v>
      </c>
      <c r="C189" t="s">
        <v>8</v>
      </c>
      <c r="D189" s="128">
        <v>2</v>
      </c>
      <c r="E189" s="128" t="s">
        <v>2</v>
      </c>
      <c r="F189" s="19"/>
      <c r="G189" s="7">
        <v>0</v>
      </c>
      <c r="H189" t="str">
        <f t="shared" si="10"/>
        <v>应付职工薪酬_社会保险费</v>
      </c>
    </row>
    <row r="190" spans="1:8">
      <c r="A190">
        <v>221104</v>
      </c>
      <c r="B190" t="s">
        <v>5</v>
      </c>
      <c r="C190" t="s">
        <v>9</v>
      </c>
      <c r="D190" s="128">
        <v>2</v>
      </c>
      <c r="E190" s="128" t="s">
        <v>2</v>
      </c>
      <c r="F190" s="19"/>
      <c r="G190" s="7">
        <v>0</v>
      </c>
      <c r="H190" t="str">
        <f t="shared" si="10"/>
        <v>应付职工薪酬_住房公积金</v>
      </c>
    </row>
    <row r="191" spans="1:8">
      <c r="A191">
        <v>221105</v>
      </c>
      <c r="B191" t="s">
        <v>5</v>
      </c>
      <c r="C191" t="s">
        <v>10</v>
      </c>
      <c r="D191" s="128">
        <v>2</v>
      </c>
      <c r="E191" s="128" t="s">
        <v>2</v>
      </c>
      <c r="F191" s="19"/>
      <c r="G191" s="7">
        <v>0</v>
      </c>
      <c r="H191" t="str">
        <f t="shared" si="10"/>
        <v>应付职工薪酬_工会经费</v>
      </c>
    </row>
    <row r="192" spans="1:8">
      <c r="A192">
        <v>221106</v>
      </c>
      <c r="B192" t="s">
        <v>5</v>
      </c>
      <c r="C192" t="s">
        <v>11</v>
      </c>
      <c r="D192" s="128">
        <v>2</v>
      </c>
      <c r="E192" s="128" t="s">
        <v>2</v>
      </c>
      <c r="F192" s="19"/>
      <c r="G192" s="7">
        <v>0</v>
      </c>
      <c r="H192" t="str">
        <f t="shared" si="10"/>
        <v>应付职工薪酬_职工教育经费</v>
      </c>
    </row>
    <row r="193" spans="1:8">
      <c r="A193">
        <v>221107</v>
      </c>
      <c r="B193" t="s">
        <v>5</v>
      </c>
      <c r="C193" s="22" t="s">
        <v>189</v>
      </c>
      <c r="D193" s="128">
        <v>2</v>
      </c>
      <c r="E193" s="128" t="s">
        <v>2</v>
      </c>
      <c r="F193" s="19"/>
      <c r="G193" s="7">
        <v>0</v>
      </c>
      <c r="H193" t="str">
        <f>IF(C193="",B193,CONCATENATE(B193,"_",C193))</f>
        <v>应付职工薪酬_非货币性福利</v>
      </c>
    </row>
    <row r="194" spans="1:8">
      <c r="A194">
        <v>221108</v>
      </c>
      <c r="B194" t="s">
        <v>5</v>
      </c>
      <c r="C194" s="22" t="s">
        <v>190</v>
      </c>
      <c r="D194" s="128">
        <v>2</v>
      </c>
      <c r="E194" s="128" t="s">
        <v>2</v>
      </c>
      <c r="F194" s="19"/>
      <c r="G194" s="7">
        <v>0</v>
      </c>
      <c r="H194" t="str">
        <f t="shared" si="10"/>
        <v>应付职工薪酬_辞退福利</v>
      </c>
    </row>
    <row r="195" spans="1:8">
      <c r="A195">
        <v>2221</v>
      </c>
      <c r="B195" t="s">
        <v>12</v>
      </c>
      <c r="D195" s="32">
        <v>1</v>
      </c>
      <c r="E195" s="128" t="s">
        <v>2</v>
      </c>
      <c r="F195" s="19"/>
      <c r="G195" s="25">
        <f>SUMIF($D196:$D218,"=2",G196:G218)</f>
        <v>-13933.85</v>
      </c>
      <c r="H195" t="str">
        <f t="shared" si="10"/>
        <v>应交税费</v>
      </c>
    </row>
    <row r="196" spans="1:8">
      <c r="A196">
        <v>222101</v>
      </c>
      <c r="B196" t="s">
        <v>12</v>
      </c>
      <c r="C196" t="s">
        <v>13</v>
      </c>
      <c r="D196" s="128">
        <v>2</v>
      </c>
      <c r="E196" s="128" t="s">
        <v>2</v>
      </c>
      <c r="F196" s="19"/>
      <c r="G196" s="7">
        <v>0</v>
      </c>
      <c r="H196" t="str">
        <f t="shared" si="10"/>
        <v>应交税费_应交增值税</v>
      </c>
    </row>
    <row r="197" spans="1:8" hidden="1">
      <c r="A197">
        <v>22210101</v>
      </c>
      <c r="B197" t="s">
        <v>12</v>
      </c>
      <c r="C197" t="s">
        <v>191</v>
      </c>
      <c r="D197" s="128">
        <v>3</v>
      </c>
      <c r="E197" s="128" t="s">
        <v>2</v>
      </c>
      <c r="F197" s="19"/>
      <c r="G197" s="7">
        <v>0</v>
      </c>
      <c r="H197" t="str">
        <f t="shared" si="10"/>
        <v>应交税费_应交增值税(进项税额)</v>
      </c>
    </row>
    <row r="198" spans="1:8" hidden="1">
      <c r="A198">
        <v>22210102</v>
      </c>
      <c r="B198" t="s">
        <v>12</v>
      </c>
      <c r="C198" t="s">
        <v>192</v>
      </c>
      <c r="D198" s="128">
        <v>3</v>
      </c>
      <c r="E198" s="128" t="s">
        <v>2</v>
      </c>
      <c r="F198" s="19"/>
      <c r="G198" s="7">
        <v>0</v>
      </c>
      <c r="H198" t="str">
        <f t="shared" si="10"/>
        <v>应交税费_应交增值税(已交税金)</v>
      </c>
    </row>
    <row r="199" spans="1:8" hidden="1">
      <c r="A199">
        <v>22210103</v>
      </c>
      <c r="B199" t="s">
        <v>12</v>
      </c>
      <c r="C199" t="s">
        <v>193</v>
      </c>
      <c r="D199" s="128">
        <v>3</v>
      </c>
      <c r="E199" s="128" t="s">
        <v>2</v>
      </c>
      <c r="F199" s="19"/>
      <c r="G199" s="7">
        <v>0</v>
      </c>
      <c r="H199" t="str">
        <f t="shared" si="10"/>
        <v>应交税费_应交增值税(转出未交增值税)</v>
      </c>
    </row>
    <row r="200" spans="1:8" hidden="1">
      <c r="A200">
        <v>22210104</v>
      </c>
      <c r="B200" t="s">
        <v>12</v>
      </c>
      <c r="C200" t="s">
        <v>194</v>
      </c>
      <c r="D200" s="128">
        <v>3</v>
      </c>
      <c r="E200" s="128" t="s">
        <v>2</v>
      </c>
      <c r="F200" s="19"/>
      <c r="G200" s="7">
        <v>0</v>
      </c>
      <c r="H200" t="str">
        <f t="shared" si="10"/>
        <v>应交税费_应交增值税(减免税款)</v>
      </c>
    </row>
    <row r="201" spans="1:8" hidden="1">
      <c r="A201">
        <v>22210105</v>
      </c>
      <c r="B201" t="s">
        <v>12</v>
      </c>
      <c r="C201" t="s">
        <v>195</v>
      </c>
      <c r="D201" s="128">
        <v>3</v>
      </c>
      <c r="E201" s="128" t="s">
        <v>2</v>
      </c>
      <c r="F201" s="19"/>
      <c r="G201" s="7">
        <v>0</v>
      </c>
      <c r="H201" t="str">
        <f t="shared" si="10"/>
        <v>应交税费_应交增值税(销项税额)</v>
      </c>
    </row>
    <row r="202" spans="1:8" hidden="1">
      <c r="A202">
        <v>22210106</v>
      </c>
      <c r="B202" t="s">
        <v>12</v>
      </c>
      <c r="C202" t="s">
        <v>196</v>
      </c>
      <c r="D202" s="128">
        <v>3</v>
      </c>
      <c r="E202" s="128" t="s">
        <v>2</v>
      </c>
      <c r="F202" s="19"/>
      <c r="G202" s="7">
        <v>0</v>
      </c>
      <c r="H202" t="str">
        <f t="shared" si="10"/>
        <v>应交税费_应交增值税(出口退税)</v>
      </c>
    </row>
    <row r="203" spans="1:8" hidden="1">
      <c r="A203">
        <v>22210107</v>
      </c>
      <c r="B203" t="s">
        <v>12</v>
      </c>
      <c r="C203" t="s">
        <v>197</v>
      </c>
      <c r="D203" s="128">
        <v>3</v>
      </c>
      <c r="E203" s="128" t="s">
        <v>2</v>
      </c>
      <c r="F203" s="19"/>
      <c r="G203" s="7">
        <v>0</v>
      </c>
      <c r="H203" t="str">
        <f t="shared" si="10"/>
        <v>应交税费_应交增值税(进项税额转出)</v>
      </c>
    </row>
    <row r="204" spans="1:8" hidden="1">
      <c r="A204">
        <v>22210108</v>
      </c>
      <c r="B204" t="s">
        <v>12</v>
      </c>
      <c r="C204" t="s">
        <v>198</v>
      </c>
      <c r="D204" s="128">
        <v>3</v>
      </c>
      <c r="E204" s="128" t="s">
        <v>2</v>
      </c>
      <c r="F204" s="19"/>
      <c r="G204" s="7">
        <v>0</v>
      </c>
      <c r="H204" t="str">
        <f t="shared" si="10"/>
        <v>应交税费_应交增值税(出口抵减内销产品应纳税额)</v>
      </c>
    </row>
    <row r="205" spans="1:8" hidden="1">
      <c r="A205">
        <v>22210109</v>
      </c>
      <c r="B205" t="s">
        <v>12</v>
      </c>
      <c r="C205" t="s">
        <v>199</v>
      </c>
      <c r="D205" s="128">
        <v>3</v>
      </c>
      <c r="E205" s="128" t="s">
        <v>2</v>
      </c>
      <c r="F205" s="19"/>
      <c r="G205" s="7">
        <v>0</v>
      </c>
      <c r="H205" t="str">
        <f t="shared" si="10"/>
        <v>应交税费_应交增值税(转出多交增值税)</v>
      </c>
    </row>
    <row r="206" spans="1:8">
      <c r="A206">
        <v>222102</v>
      </c>
      <c r="B206" t="s">
        <v>12</v>
      </c>
      <c r="C206" t="s">
        <v>200</v>
      </c>
      <c r="D206" s="128">
        <v>2</v>
      </c>
      <c r="E206" s="128" t="s">
        <v>2</v>
      </c>
      <c r="F206" s="19"/>
      <c r="G206" s="29">
        <v>-15253.42</v>
      </c>
      <c r="H206" t="str">
        <f t="shared" si="10"/>
        <v>应交税费_未交增值税</v>
      </c>
    </row>
    <row r="207" spans="1:8">
      <c r="A207">
        <v>222103</v>
      </c>
      <c r="B207" t="s">
        <v>12</v>
      </c>
      <c r="C207" t="s">
        <v>356</v>
      </c>
      <c r="D207" s="174">
        <v>2</v>
      </c>
      <c r="E207" s="174" t="s">
        <v>2</v>
      </c>
      <c r="F207" s="19"/>
      <c r="G207" s="29">
        <v>0</v>
      </c>
      <c r="H207" t="str">
        <f t="shared" ref="H207" si="19">IF(C207="",B207,CONCATENATE(B207,"_",C207))</f>
        <v>应交税费_应交消费税</v>
      </c>
    </row>
    <row r="208" spans="1:8">
      <c r="A208">
        <v>222104</v>
      </c>
      <c r="B208" t="s">
        <v>12</v>
      </c>
      <c r="C208" t="s">
        <v>201</v>
      </c>
      <c r="D208" s="128">
        <v>2</v>
      </c>
      <c r="E208" s="128" t="s">
        <v>2</v>
      </c>
      <c r="F208" s="19"/>
      <c r="G208" s="29">
        <v>886.44</v>
      </c>
      <c r="H208" t="str">
        <f t="shared" si="10"/>
        <v>应交税费_应交营业税</v>
      </c>
    </row>
    <row r="209" spans="1:8">
      <c r="A209">
        <v>222105</v>
      </c>
      <c r="B209" t="s">
        <v>12</v>
      </c>
      <c r="C209" t="s">
        <v>317</v>
      </c>
      <c r="D209" s="128">
        <v>2</v>
      </c>
      <c r="E209" s="128" t="s">
        <v>2</v>
      </c>
      <c r="F209" s="19"/>
      <c r="G209" s="29">
        <v>266.02999999999997</v>
      </c>
      <c r="H209" t="str">
        <f t="shared" si="10"/>
        <v>应交税费_应交土地增值税</v>
      </c>
    </row>
    <row r="210" spans="1:8">
      <c r="A210">
        <v>222106</v>
      </c>
      <c r="B210" t="s">
        <v>12</v>
      </c>
      <c r="C210" t="s">
        <v>202</v>
      </c>
      <c r="D210" s="128">
        <v>2</v>
      </c>
      <c r="E210" s="128" t="s">
        <v>2</v>
      </c>
      <c r="F210" s="19"/>
      <c r="G210" s="29">
        <v>114.01</v>
      </c>
      <c r="H210" t="str">
        <f t="shared" si="10"/>
        <v>应交税费_应交城建税</v>
      </c>
    </row>
    <row r="211" spans="1:8">
      <c r="A211">
        <v>222107</v>
      </c>
      <c r="B211" t="s">
        <v>12</v>
      </c>
      <c r="C211" t="s">
        <v>357</v>
      </c>
      <c r="D211" s="128">
        <v>2</v>
      </c>
      <c r="E211" s="128" t="s">
        <v>2</v>
      </c>
      <c r="F211" s="19"/>
      <c r="G211" s="29">
        <v>0</v>
      </c>
      <c r="H211" t="str">
        <f t="shared" si="10"/>
        <v>应交税费_应交房产税</v>
      </c>
    </row>
    <row r="212" spans="1:8">
      <c r="A212">
        <v>222108</v>
      </c>
      <c r="B212" t="s">
        <v>12</v>
      </c>
      <c r="C212" s="22" t="s">
        <v>359</v>
      </c>
      <c r="D212" s="170">
        <v>2</v>
      </c>
      <c r="E212" s="170" t="s">
        <v>2</v>
      </c>
      <c r="F212" s="19"/>
      <c r="G212" s="29">
        <v>0</v>
      </c>
      <c r="H212" t="str">
        <f>IF(C212="",B212,CONCATENATE(B212,"_",C212))</f>
        <v>应交税费_土地使用税</v>
      </c>
    </row>
    <row r="213" spans="1:8">
      <c r="A213">
        <v>222109</v>
      </c>
      <c r="B213" t="s">
        <v>12</v>
      </c>
      <c r="C213" s="22" t="s">
        <v>241</v>
      </c>
      <c r="D213" s="128">
        <v>2</v>
      </c>
      <c r="E213" s="128" t="s">
        <v>2</v>
      </c>
      <c r="F213" s="19"/>
      <c r="G213" s="29">
        <v>0</v>
      </c>
      <c r="H213" t="str">
        <f>IF(C213="",B213,CONCATENATE(B213,"_",C213))</f>
        <v>应交税费_车船使用税</v>
      </c>
    </row>
    <row r="214" spans="1:8" ht="14.25" customHeight="1">
      <c r="A214">
        <v>222110</v>
      </c>
      <c r="B214" t="s">
        <v>12</v>
      </c>
      <c r="C214" t="s">
        <v>316</v>
      </c>
      <c r="D214" s="128">
        <v>2</v>
      </c>
      <c r="E214" s="128" t="s">
        <v>2</v>
      </c>
      <c r="F214" s="19"/>
      <c r="G214" s="29">
        <v>0</v>
      </c>
      <c r="H214" t="str">
        <f>IF(C214="",B214,CONCATENATE(B214,"_",C214))</f>
        <v>应交税费_应交企业所得税</v>
      </c>
    </row>
    <row r="215" spans="1:8">
      <c r="A215">
        <v>222111</v>
      </c>
      <c r="B215" t="s">
        <v>12</v>
      </c>
      <c r="C215" t="s">
        <v>203</v>
      </c>
      <c r="D215" s="174">
        <v>2</v>
      </c>
      <c r="E215" s="174" t="s">
        <v>2</v>
      </c>
      <c r="F215" s="19"/>
      <c r="G215" s="29"/>
      <c r="H215" t="str">
        <f t="shared" ref="H215:H217" si="20">IF(C215="",B215,CONCATENATE(B215,"_",C215))</f>
        <v>应交税费_应交个人所得税</v>
      </c>
    </row>
    <row r="216" spans="1:8">
      <c r="A216">
        <v>222112</v>
      </c>
      <c r="B216" t="s">
        <v>12</v>
      </c>
      <c r="C216" s="22" t="s">
        <v>360</v>
      </c>
      <c r="D216" s="174">
        <v>2</v>
      </c>
      <c r="E216" s="174" t="s">
        <v>2</v>
      </c>
      <c r="F216" s="19"/>
      <c r="G216" s="29"/>
      <c r="H216" t="str">
        <f t="shared" si="20"/>
        <v>应交税费_代扣代缴税费</v>
      </c>
    </row>
    <row r="217" spans="1:8">
      <c r="A217">
        <v>222113</v>
      </c>
      <c r="B217" t="s">
        <v>12</v>
      </c>
      <c r="C217" s="22" t="s">
        <v>358</v>
      </c>
      <c r="D217" s="174">
        <v>2</v>
      </c>
      <c r="E217" s="174" t="s">
        <v>2</v>
      </c>
      <c r="F217" s="19"/>
      <c r="G217" s="29">
        <v>53.09</v>
      </c>
      <c r="H217" t="str">
        <f t="shared" si="20"/>
        <v>应交税费_教育费附加</v>
      </c>
    </row>
    <row r="218" spans="1:8">
      <c r="A218">
        <v>222114</v>
      </c>
      <c r="B218" t="s">
        <v>12</v>
      </c>
      <c r="C218" s="22" t="s">
        <v>361</v>
      </c>
      <c r="D218" s="128">
        <v>2</v>
      </c>
      <c r="E218" s="128" t="s">
        <v>2</v>
      </c>
      <c r="F218" s="19"/>
      <c r="G218" s="29"/>
      <c r="H218" t="str">
        <f t="shared" si="10"/>
        <v>应交税费_保险保障基金</v>
      </c>
    </row>
    <row r="219" spans="1:8">
      <c r="A219">
        <v>2231</v>
      </c>
      <c r="B219" t="s">
        <v>14</v>
      </c>
      <c r="D219" s="32">
        <v>1</v>
      </c>
      <c r="E219" s="128" t="s">
        <v>2</v>
      </c>
      <c r="F219" s="19"/>
      <c r="G219" s="25">
        <v>0</v>
      </c>
      <c r="H219" t="str">
        <f t="shared" si="10"/>
        <v>应付利息</v>
      </c>
    </row>
    <row r="220" spans="1:8">
      <c r="A220">
        <v>2232</v>
      </c>
      <c r="B220" t="s">
        <v>15</v>
      </c>
      <c r="D220" s="32">
        <v>1</v>
      </c>
      <c r="E220" s="128" t="s">
        <v>2</v>
      </c>
      <c r="F220" s="19"/>
      <c r="G220" s="25">
        <v>0</v>
      </c>
      <c r="H220" t="str">
        <f t="shared" si="10"/>
        <v>应付股利</v>
      </c>
    </row>
    <row r="221" spans="1:8">
      <c r="A221">
        <v>2241</v>
      </c>
      <c r="B221" t="s">
        <v>16</v>
      </c>
      <c r="D221" s="32">
        <v>1</v>
      </c>
      <c r="E221" s="128" t="s">
        <v>2</v>
      </c>
      <c r="F221" s="19"/>
      <c r="G221" s="25">
        <f>SUMIF(D222:D234,"=2",G222:G234)</f>
        <v>1467623.99</v>
      </c>
      <c r="H221" t="str">
        <f t="shared" si="10"/>
        <v>其他应付款</v>
      </c>
    </row>
    <row r="222" spans="1:8">
      <c r="A222" s="151">
        <v>224101</v>
      </c>
      <c r="B222" s="151" t="s">
        <v>99</v>
      </c>
      <c r="C222" s="151" t="s">
        <v>331</v>
      </c>
      <c r="D222" s="128">
        <v>2</v>
      </c>
      <c r="E222" s="128" t="s">
        <v>2</v>
      </c>
      <c r="F222" s="19"/>
      <c r="G222" s="7">
        <f>SUMIF(D223:D234,"=3",G223:G234)</f>
        <v>1467623.99</v>
      </c>
      <c r="H222" t="str">
        <f t="shared" si="10"/>
        <v>其他应付款_其他单位往来</v>
      </c>
    </row>
    <row r="223" spans="1:8">
      <c r="A223">
        <v>22410101</v>
      </c>
      <c r="B223" t="s">
        <v>16</v>
      </c>
      <c r="C223" s="22" t="s">
        <v>523</v>
      </c>
      <c r="D223" s="164">
        <v>3</v>
      </c>
      <c r="E223" s="164" t="s">
        <v>2</v>
      </c>
      <c r="F223" s="19"/>
      <c r="G223" s="7">
        <v>825000</v>
      </c>
      <c r="H223" t="str">
        <f>IF(C223="",B223,CONCATENATE(B223,"_",C223))</f>
        <v>其他应付款_其他单位往来_乘风房开</v>
      </c>
    </row>
    <row r="224" spans="1:8">
      <c r="A224">
        <v>22410102</v>
      </c>
      <c r="B224" t="s">
        <v>16</v>
      </c>
      <c r="C224" s="22" t="s">
        <v>364</v>
      </c>
      <c r="D224" s="128">
        <v>3</v>
      </c>
      <c r="E224" s="128" t="s">
        <v>2</v>
      </c>
      <c r="F224" s="19"/>
      <c r="G224" s="7">
        <v>30000</v>
      </c>
      <c r="H224" t="str">
        <f t="shared" si="10"/>
        <v>其他应付款_其他单位往来_畅畅公司</v>
      </c>
    </row>
    <row r="225" spans="1:8">
      <c r="A225">
        <v>22410103</v>
      </c>
      <c r="B225" t="s">
        <v>16</v>
      </c>
      <c r="C225" s="22" t="s">
        <v>524</v>
      </c>
      <c r="D225" s="128">
        <v>3</v>
      </c>
      <c r="E225" s="128" t="s">
        <v>2</v>
      </c>
      <c r="F225" s="19"/>
      <c r="G225" s="7">
        <v>320</v>
      </c>
      <c r="H225" t="str">
        <f>IF(C225="",B225,CONCATENATE(B225,"_",C225))</f>
        <v>其他应付款_其他单位往来_天诚设备</v>
      </c>
    </row>
    <row r="226" spans="1:8">
      <c r="A226">
        <v>22410104</v>
      </c>
      <c r="B226" t="s">
        <v>16</v>
      </c>
      <c r="C226" s="22" t="s">
        <v>525</v>
      </c>
      <c r="D226" s="128">
        <v>3</v>
      </c>
      <c r="E226" s="128" t="s">
        <v>2</v>
      </c>
      <c r="F226" s="19"/>
      <c r="G226" s="169">
        <v>127.89</v>
      </c>
      <c r="H226" t="str">
        <f t="shared" si="10"/>
        <v>其他应付款_其他单位往来_铁明建材</v>
      </c>
    </row>
    <row r="227" spans="1:8">
      <c r="A227">
        <v>22410105</v>
      </c>
      <c r="B227" t="s">
        <v>16</v>
      </c>
      <c r="C227" t="s">
        <v>526</v>
      </c>
      <c r="D227" s="128">
        <v>3</v>
      </c>
      <c r="E227" s="128" t="s">
        <v>2</v>
      </c>
      <c r="F227" s="19"/>
      <c r="G227" s="7">
        <v>612176.1</v>
      </c>
      <c r="H227" t="str">
        <f t="shared" si="10"/>
        <v>其他应付款_其他单位往来_山利建材</v>
      </c>
    </row>
    <row r="228" spans="1:8">
      <c r="A228">
        <v>22410106</v>
      </c>
      <c r="B228" t="s">
        <v>16</v>
      </c>
      <c r="C228" t="s">
        <v>527</v>
      </c>
      <c r="D228" s="128">
        <v>3</v>
      </c>
      <c r="E228" s="128" t="s">
        <v>2</v>
      </c>
      <c r="F228" s="19"/>
      <c r="G228" s="7">
        <v>0</v>
      </c>
      <c r="H228" t="str">
        <f t="shared" si="10"/>
        <v>其他应付款_其他单位往来_</v>
      </c>
    </row>
    <row r="229" spans="1:8">
      <c r="A229">
        <v>22410107</v>
      </c>
      <c r="B229" t="s">
        <v>16</v>
      </c>
      <c r="C229" t="s">
        <v>527</v>
      </c>
      <c r="D229" s="128">
        <v>3</v>
      </c>
      <c r="E229" s="128" t="s">
        <v>2</v>
      </c>
      <c r="F229" s="19"/>
      <c r="G229" s="7">
        <v>0</v>
      </c>
      <c r="H229" t="str">
        <f t="shared" ref="H229:H374" si="21">IF(C229="",B229,CONCATENATE(B229,"_",C229))</f>
        <v>其他应付款_其他单位往来_</v>
      </c>
    </row>
    <row r="230" spans="1:8">
      <c r="A230">
        <v>22410108</v>
      </c>
      <c r="B230" t="s">
        <v>16</v>
      </c>
      <c r="C230" t="s">
        <v>527</v>
      </c>
      <c r="D230" s="147">
        <v>3</v>
      </c>
      <c r="E230" s="147" t="s">
        <v>2</v>
      </c>
      <c r="F230" s="19"/>
      <c r="G230" s="7">
        <v>0</v>
      </c>
      <c r="H230" t="str">
        <f t="shared" ref="H230:H233" si="22">IF(C230="",B230,CONCATENATE(B230,"_",C230))</f>
        <v>其他应付款_其他单位往来_</v>
      </c>
    </row>
    <row r="231" spans="1:8">
      <c r="A231">
        <v>22410109</v>
      </c>
      <c r="B231" t="s">
        <v>16</v>
      </c>
      <c r="C231" t="s">
        <v>527</v>
      </c>
      <c r="D231" s="154">
        <v>3</v>
      </c>
      <c r="E231" s="154" t="s">
        <v>2</v>
      </c>
      <c r="F231" s="19"/>
      <c r="G231" s="7">
        <v>0</v>
      </c>
      <c r="H231" t="str">
        <f t="shared" si="22"/>
        <v>其他应付款_其他单位往来_</v>
      </c>
    </row>
    <row r="232" spans="1:8">
      <c r="A232">
        <v>22410110</v>
      </c>
      <c r="B232" t="s">
        <v>16</v>
      </c>
      <c r="C232" t="s">
        <v>527</v>
      </c>
      <c r="D232" s="154">
        <v>3</v>
      </c>
      <c r="E232" s="154" t="s">
        <v>2</v>
      </c>
      <c r="F232" s="19"/>
      <c r="G232" s="7">
        <v>0</v>
      </c>
      <c r="H232" t="str">
        <f t="shared" si="22"/>
        <v>其他应付款_其他单位往来_</v>
      </c>
    </row>
    <row r="233" spans="1:8">
      <c r="A233" s="151">
        <v>224102</v>
      </c>
      <c r="B233" s="151" t="s">
        <v>99</v>
      </c>
      <c r="C233" s="151" t="s">
        <v>362</v>
      </c>
      <c r="D233" s="159">
        <v>2</v>
      </c>
      <c r="E233" s="159" t="s">
        <v>2</v>
      </c>
      <c r="F233" s="19"/>
      <c r="G233" s="7">
        <v>0</v>
      </c>
      <c r="H233" t="str">
        <f t="shared" si="22"/>
        <v>其他应付款_代收代付款项</v>
      </c>
    </row>
    <row r="234" spans="1:8">
      <c r="A234" s="151">
        <v>224103</v>
      </c>
      <c r="B234" s="151" t="s">
        <v>99</v>
      </c>
      <c r="C234" s="151" t="s">
        <v>363</v>
      </c>
      <c r="D234" s="128">
        <v>2</v>
      </c>
      <c r="E234" s="128" t="s">
        <v>2</v>
      </c>
      <c r="F234" s="19"/>
      <c r="G234" s="7">
        <v>0</v>
      </c>
      <c r="H234" t="str">
        <f t="shared" si="21"/>
        <v>其他应付款_保证金</v>
      </c>
    </row>
    <row r="235" spans="1:8">
      <c r="A235">
        <v>2314</v>
      </c>
      <c r="B235" t="s">
        <v>365</v>
      </c>
      <c r="D235" s="32">
        <v>1</v>
      </c>
      <c r="E235" s="174" t="s">
        <v>2</v>
      </c>
      <c r="F235" s="19"/>
      <c r="G235" s="25">
        <v>0</v>
      </c>
      <c r="H235" t="str">
        <f>IF(C235="",B235,CONCATENATE(B235,"_",C235))</f>
        <v>代理业务负债</v>
      </c>
    </row>
    <row r="236" spans="1:8">
      <c r="A236">
        <v>2401</v>
      </c>
      <c r="B236" t="s">
        <v>313</v>
      </c>
      <c r="D236" s="32">
        <v>1</v>
      </c>
      <c r="E236" s="170" t="s">
        <v>2</v>
      </c>
      <c r="F236" s="19"/>
      <c r="G236" s="25">
        <v>0</v>
      </c>
      <c r="H236" t="str">
        <f>IF(C236="",B236,CONCATENATE(B236,"_",C236))</f>
        <v>递延收益</v>
      </c>
    </row>
    <row r="237" spans="1:8">
      <c r="A237">
        <v>2501</v>
      </c>
      <c r="B237" t="s">
        <v>204</v>
      </c>
      <c r="D237" s="32">
        <v>1</v>
      </c>
      <c r="E237" s="128" t="s">
        <v>2</v>
      </c>
      <c r="F237" s="19"/>
      <c r="G237" s="25">
        <v>0</v>
      </c>
      <c r="H237" t="str">
        <f t="shared" si="21"/>
        <v>长期借款</v>
      </c>
    </row>
    <row r="238" spans="1:8">
      <c r="A238">
        <v>2502</v>
      </c>
      <c r="B238" t="s">
        <v>205</v>
      </c>
      <c r="D238" s="32">
        <v>1</v>
      </c>
      <c r="E238" s="128" t="s">
        <v>2</v>
      </c>
      <c r="F238" s="19"/>
      <c r="G238" s="25">
        <v>0</v>
      </c>
      <c r="H238" t="str">
        <f t="shared" si="21"/>
        <v>应付债券</v>
      </c>
    </row>
    <row r="239" spans="1:8">
      <c r="A239">
        <v>2701</v>
      </c>
      <c r="B239" t="s">
        <v>206</v>
      </c>
      <c r="D239" s="32">
        <v>1</v>
      </c>
      <c r="E239" s="128" t="s">
        <v>2</v>
      </c>
      <c r="F239" s="19"/>
      <c r="G239" s="25">
        <v>0</v>
      </c>
      <c r="H239" t="str">
        <f t="shared" si="21"/>
        <v>长期应付款</v>
      </c>
    </row>
    <row r="240" spans="1:8">
      <c r="A240">
        <v>2711</v>
      </c>
      <c r="B240" t="s">
        <v>207</v>
      </c>
      <c r="D240" s="32">
        <v>1</v>
      </c>
      <c r="E240" s="128" t="s">
        <v>2</v>
      </c>
      <c r="F240" s="19"/>
      <c r="G240" s="25">
        <v>0</v>
      </c>
      <c r="H240" t="str">
        <f t="shared" si="21"/>
        <v>专项应付款</v>
      </c>
    </row>
    <row r="241" spans="1:8">
      <c r="A241">
        <v>2801</v>
      </c>
      <c r="B241" t="s">
        <v>17</v>
      </c>
      <c r="D241" s="32">
        <v>1</v>
      </c>
      <c r="E241" s="128" t="s">
        <v>2</v>
      </c>
      <c r="F241" s="19"/>
      <c r="G241" s="25">
        <v>0</v>
      </c>
      <c r="H241" t="str">
        <f>IF(C241="",B241,CONCATENATE(B241,"_",C241))</f>
        <v>预计负债</v>
      </c>
    </row>
    <row r="242" spans="1:8">
      <c r="A242">
        <v>2901</v>
      </c>
      <c r="B242" t="s">
        <v>208</v>
      </c>
      <c r="D242" s="32">
        <v>1</v>
      </c>
      <c r="E242" s="128" t="s">
        <v>2</v>
      </c>
      <c r="F242" s="19"/>
      <c r="G242" s="25">
        <v>0</v>
      </c>
      <c r="H242" t="str">
        <f t="shared" si="21"/>
        <v>递延所得税负债</v>
      </c>
    </row>
    <row r="243" spans="1:8">
      <c r="A243">
        <v>4001</v>
      </c>
      <c r="B243" s="22" t="s">
        <v>209</v>
      </c>
      <c r="D243" s="32">
        <v>1</v>
      </c>
      <c r="E243" s="128" t="s">
        <v>2</v>
      </c>
      <c r="F243" s="19"/>
      <c r="G243" s="25">
        <f>SUM(G244:G246)</f>
        <v>8000000</v>
      </c>
      <c r="H243" t="str">
        <f t="shared" si="21"/>
        <v>实收资本(或股本)</v>
      </c>
    </row>
    <row r="244" spans="1:8">
      <c r="A244">
        <v>400101</v>
      </c>
      <c r="B244" s="22" t="s">
        <v>209</v>
      </c>
      <c r="C244" t="s">
        <v>528</v>
      </c>
      <c r="D244" s="128">
        <v>2</v>
      </c>
      <c r="E244" s="128" t="s">
        <v>2</v>
      </c>
      <c r="F244" s="19"/>
      <c r="G244" s="7">
        <v>4000000</v>
      </c>
      <c r="H244" t="str">
        <f t="shared" si="21"/>
        <v>实收资本(或股本)_公司1</v>
      </c>
    </row>
    <row r="245" spans="1:8">
      <c r="A245">
        <v>400102</v>
      </c>
      <c r="B245" s="22" t="s">
        <v>209</v>
      </c>
      <c r="C245" t="s">
        <v>529</v>
      </c>
      <c r="D245" s="128">
        <v>2</v>
      </c>
      <c r="E245" s="128" t="s">
        <v>2</v>
      </c>
      <c r="F245" s="19"/>
      <c r="G245" s="7">
        <v>2000000</v>
      </c>
      <c r="H245" t="str">
        <f t="shared" si="21"/>
        <v>实收资本(或股本)_公司2</v>
      </c>
    </row>
    <row r="246" spans="1:8">
      <c r="A246">
        <v>400103</v>
      </c>
      <c r="B246" s="22" t="s">
        <v>209</v>
      </c>
      <c r="C246" t="s">
        <v>530</v>
      </c>
      <c r="D246" s="128">
        <v>2</v>
      </c>
      <c r="E246" s="128" t="s">
        <v>2</v>
      </c>
      <c r="F246" s="19"/>
      <c r="G246" s="7">
        <v>2000000</v>
      </c>
      <c r="H246" t="str">
        <f t="shared" si="21"/>
        <v>实收资本(或股本)_公司3</v>
      </c>
    </row>
    <row r="247" spans="1:8">
      <c r="A247">
        <v>4002</v>
      </c>
      <c r="B247" t="s">
        <v>18</v>
      </c>
      <c r="D247" s="32">
        <v>1</v>
      </c>
      <c r="E247" s="128" t="s">
        <v>2</v>
      </c>
      <c r="F247" s="19"/>
      <c r="G247" s="25">
        <f>SUM(G248:G249)</f>
        <v>0</v>
      </c>
      <c r="H247" t="str">
        <f t="shared" si="21"/>
        <v>资本公积</v>
      </c>
    </row>
    <row r="248" spans="1:8">
      <c r="A248">
        <v>400201</v>
      </c>
      <c r="B248" t="s">
        <v>18</v>
      </c>
      <c r="C248" t="s">
        <v>210</v>
      </c>
      <c r="D248" s="128">
        <v>2</v>
      </c>
      <c r="E248" s="128" t="s">
        <v>2</v>
      </c>
      <c r="F248" s="19"/>
      <c r="G248" s="7">
        <v>0</v>
      </c>
      <c r="H248" t="str">
        <f t="shared" si="21"/>
        <v>资本公积_资本溢价</v>
      </c>
    </row>
    <row r="249" spans="1:8">
      <c r="A249">
        <v>400202</v>
      </c>
      <c r="B249" t="s">
        <v>18</v>
      </c>
      <c r="C249" t="s">
        <v>211</v>
      </c>
      <c r="D249" s="128">
        <v>2</v>
      </c>
      <c r="E249" s="128" t="s">
        <v>2</v>
      </c>
      <c r="F249" s="19"/>
      <c r="G249" s="7">
        <v>0</v>
      </c>
      <c r="H249" t="str">
        <f t="shared" si="21"/>
        <v>资本公积_其他资本公积</v>
      </c>
    </row>
    <row r="250" spans="1:8">
      <c r="A250">
        <v>4101</v>
      </c>
      <c r="B250" t="s">
        <v>19</v>
      </c>
      <c r="D250" s="32">
        <v>1</v>
      </c>
      <c r="E250" s="128" t="s">
        <v>2</v>
      </c>
      <c r="F250" s="19"/>
      <c r="G250" s="25">
        <f>SUM(G251:G253)</f>
        <v>39864.21</v>
      </c>
      <c r="H250" t="str">
        <f t="shared" si="21"/>
        <v>盈余公积</v>
      </c>
    </row>
    <row r="251" spans="1:8">
      <c r="A251">
        <v>410101</v>
      </c>
      <c r="B251" t="s">
        <v>19</v>
      </c>
      <c r="C251" t="s">
        <v>212</v>
      </c>
      <c r="D251" s="128">
        <v>2</v>
      </c>
      <c r="E251" s="128" t="s">
        <v>2</v>
      </c>
      <c r="F251" s="19"/>
      <c r="G251" s="7">
        <v>39864.21</v>
      </c>
      <c r="H251" t="str">
        <f t="shared" si="21"/>
        <v>盈余公积_法定盈余公积</v>
      </c>
    </row>
    <row r="252" spans="1:8">
      <c r="A252">
        <v>410102</v>
      </c>
      <c r="B252" t="s">
        <v>19</v>
      </c>
      <c r="C252" t="s">
        <v>213</v>
      </c>
      <c r="D252" s="128">
        <v>2</v>
      </c>
      <c r="E252" s="128" t="s">
        <v>2</v>
      </c>
      <c r="F252" s="19"/>
      <c r="G252" s="7">
        <v>0</v>
      </c>
      <c r="H252" t="str">
        <f t="shared" si="21"/>
        <v>盈余公积_任意盈余公积</v>
      </c>
    </row>
    <row r="253" spans="1:8">
      <c r="A253">
        <v>410103</v>
      </c>
      <c r="B253" t="s">
        <v>19</v>
      </c>
      <c r="C253" t="s">
        <v>214</v>
      </c>
      <c r="D253" s="128">
        <v>2</v>
      </c>
      <c r="E253" s="128" t="s">
        <v>2</v>
      </c>
      <c r="F253" s="19"/>
      <c r="G253" s="7">
        <v>0</v>
      </c>
      <c r="H253" t="str">
        <f t="shared" si="21"/>
        <v>盈余公积_盈余公积补亏</v>
      </c>
    </row>
    <row r="254" spans="1:8">
      <c r="A254">
        <v>4103</v>
      </c>
      <c r="B254" t="s">
        <v>215</v>
      </c>
      <c r="D254" s="32">
        <v>1</v>
      </c>
      <c r="E254" s="128" t="s">
        <v>2</v>
      </c>
      <c r="F254" s="19"/>
      <c r="G254" s="25">
        <v>0</v>
      </c>
      <c r="H254" t="str">
        <f t="shared" si="21"/>
        <v>本年利润</v>
      </c>
    </row>
    <row r="255" spans="1:8">
      <c r="A255">
        <v>4104</v>
      </c>
      <c r="B255" t="s">
        <v>216</v>
      </c>
      <c r="D255" s="32">
        <v>1</v>
      </c>
      <c r="E255" s="128" t="s">
        <v>2</v>
      </c>
      <c r="F255" s="19"/>
      <c r="G255" s="25">
        <f>SUM(G256:G259)</f>
        <v>60100.63</v>
      </c>
      <c r="H255" t="str">
        <f t="shared" si="21"/>
        <v>利润分配</v>
      </c>
    </row>
    <row r="256" spans="1:8">
      <c r="A256">
        <v>410401</v>
      </c>
      <c r="B256" t="s">
        <v>216</v>
      </c>
      <c r="C256" t="s">
        <v>217</v>
      </c>
      <c r="D256" s="128">
        <v>2</v>
      </c>
      <c r="E256" s="128" t="s">
        <v>2</v>
      </c>
      <c r="F256" s="19"/>
      <c r="G256" s="7">
        <v>60100.63</v>
      </c>
      <c r="H256" t="str">
        <f t="shared" si="21"/>
        <v>利润分配_未分配利润</v>
      </c>
    </row>
    <row r="257" spans="1:8">
      <c r="A257">
        <v>410402</v>
      </c>
      <c r="B257" t="s">
        <v>216</v>
      </c>
      <c r="C257" t="s">
        <v>218</v>
      </c>
      <c r="D257" s="128">
        <v>2</v>
      </c>
      <c r="E257" s="128" t="s">
        <v>2</v>
      </c>
      <c r="F257" s="19"/>
      <c r="G257" s="7">
        <v>0</v>
      </c>
      <c r="H257" t="str">
        <f t="shared" si="21"/>
        <v>利润分配_提取法定盈余公积</v>
      </c>
    </row>
    <row r="258" spans="1:8">
      <c r="A258">
        <v>410403</v>
      </c>
      <c r="B258" t="s">
        <v>216</v>
      </c>
      <c r="C258" t="s">
        <v>219</v>
      </c>
      <c r="D258" s="128">
        <v>2</v>
      </c>
      <c r="E258" s="128" t="s">
        <v>2</v>
      </c>
      <c r="F258" s="19"/>
      <c r="G258" s="7">
        <v>0</v>
      </c>
      <c r="H258" t="str">
        <f t="shared" si="21"/>
        <v>利润分配_提取任意盈余公积</v>
      </c>
    </row>
    <row r="259" spans="1:8">
      <c r="A259">
        <v>410404</v>
      </c>
      <c r="B259" t="s">
        <v>216</v>
      </c>
      <c r="C259" t="s">
        <v>214</v>
      </c>
      <c r="D259" s="128">
        <v>2</v>
      </c>
      <c r="E259" s="128" t="s">
        <v>2</v>
      </c>
      <c r="F259" s="19"/>
      <c r="G259" s="7">
        <v>0</v>
      </c>
      <c r="H259" t="str">
        <f t="shared" si="21"/>
        <v>利润分配_盈余公积补亏</v>
      </c>
    </row>
    <row r="260" spans="1:8">
      <c r="A260">
        <v>4201</v>
      </c>
      <c r="B260" t="s">
        <v>281</v>
      </c>
      <c r="D260" s="32">
        <v>1</v>
      </c>
      <c r="E260" s="150" t="s">
        <v>2</v>
      </c>
      <c r="F260" s="19"/>
      <c r="G260" s="25">
        <v>0</v>
      </c>
      <c r="H260" t="str">
        <f t="shared" ref="H260:H271" si="23">IF(C260="",B260,CONCATENATE(B260,"_",C260))</f>
        <v>库存股</v>
      </c>
    </row>
    <row r="261" spans="1:8">
      <c r="A261">
        <v>5001</v>
      </c>
      <c r="B261" t="s">
        <v>314</v>
      </c>
      <c r="D261" s="32">
        <v>1</v>
      </c>
      <c r="E261" s="170" t="s">
        <v>2</v>
      </c>
      <c r="F261" s="19"/>
      <c r="G261" s="25">
        <v>0</v>
      </c>
      <c r="H261" t="str">
        <f t="shared" si="23"/>
        <v>开发成本</v>
      </c>
    </row>
    <row r="262" spans="1:8">
      <c r="A262">
        <v>500101</v>
      </c>
      <c r="B262" t="s">
        <v>314</v>
      </c>
      <c r="C262" t="s">
        <v>532</v>
      </c>
      <c r="D262" s="174">
        <v>2</v>
      </c>
      <c r="E262" s="174" t="s">
        <v>2</v>
      </c>
      <c r="F262" s="19"/>
      <c r="G262" s="25">
        <v>0</v>
      </c>
      <c r="H262" t="str">
        <f t="shared" ref="H262" si="24">IF(C262="",B262,CONCATENATE(B262,"_",C262))</f>
        <v>开发成本_四季花城</v>
      </c>
    </row>
    <row r="263" spans="1:8">
      <c r="A263">
        <v>50010101</v>
      </c>
      <c r="B263" t="s">
        <v>314</v>
      </c>
      <c r="C263" t="s">
        <v>533</v>
      </c>
      <c r="D263" s="170">
        <v>3</v>
      </c>
      <c r="E263" s="170" t="s">
        <v>2</v>
      </c>
      <c r="F263" s="19"/>
      <c r="G263" s="25">
        <v>0</v>
      </c>
      <c r="H263" t="str">
        <f t="shared" si="23"/>
        <v>开发成本_四季花城_土地征用及拆迁费</v>
      </c>
    </row>
    <row r="264" spans="1:8">
      <c r="A264">
        <v>50010102</v>
      </c>
      <c r="B264" t="s">
        <v>314</v>
      </c>
      <c r="C264" s="22" t="s">
        <v>534</v>
      </c>
      <c r="D264" s="170">
        <v>3</v>
      </c>
      <c r="E264" s="170" t="s">
        <v>2</v>
      </c>
      <c r="F264" s="19"/>
      <c r="G264" s="25">
        <v>0</v>
      </c>
      <c r="H264" t="str">
        <f t="shared" si="23"/>
        <v>开发成本_四季花城_前期工程费</v>
      </c>
    </row>
    <row r="265" spans="1:8">
      <c r="A265">
        <v>50010103</v>
      </c>
      <c r="B265" t="s">
        <v>314</v>
      </c>
      <c r="C265" s="22" t="s">
        <v>535</v>
      </c>
      <c r="D265" s="170">
        <v>3</v>
      </c>
      <c r="E265" s="170" t="s">
        <v>2</v>
      </c>
      <c r="F265" s="19"/>
      <c r="G265" s="25">
        <v>0</v>
      </c>
      <c r="H265" t="str">
        <f t="shared" si="23"/>
        <v>开发成本_四季花城_基础设施费</v>
      </c>
    </row>
    <row r="266" spans="1:8">
      <c r="A266">
        <v>50010104</v>
      </c>
      <c r="B266" t="s">
        <v>314</v>
      </c>
      <c r="C266" s="22" t="s">
        <v>536</v>
      </c>
      <c r="D266" s="170">
        <v>3</v>
      </c>
      <c r="E266" s="170" t="s">
        <v>2</v>
      </c>
      <c r="F266" s="22"/>
      <c r="G266" s="25">
        <v>0</v>
      </c>
      <c r="H266" t="str">
        <f t="shared" si="23"/>
        <v>开发成本_四季花城_建安工程费</v>
      </c>
    </row>
    <row r="267" spans="1:8">
      <c r="A267">
        <v>50010105</v>
      </c>
      <c r="B267" t="s">
        <v>314</v>
      </c>
      <c r="C267" s="22" t="s">
        <v>537</v>
      </c>
      <c r="D267" s="175">
        <v>3</v>
      </c>
      <c r="E267" s="175" t="s">
        <v>2</v>
      </c>
      <c r="F267" s="19"/>
      <c r="G267" s="25">
        <v>0</v>
      </c>
      <c r="H267" t="str">
        <f t="shared" ref="H267" si="25">IF(C267="",B267,CONCATENATE(B267,"_",C267))</f>
        <v>开发成本_四季花城_园林环境费</v>
      </c>
    </row>
    <row r="268" spans="1:8">
      <c r="A268">
        <v>50010106</v>
      </c>
      <c r="B268" t="s">
        <v>314</v>
      </c>
      <c r="C268" s="22" t="s">
        <v>538</v>
      </c>
      <c r="D268" s="170">
        <v>3</v>
      </c>
      <c r="E268" s="170" t="s">
        <v>2</v>
      </c>
      <c r="F268" s="19"/>
      <c r="G268" s="25">
        <v>0</v>
      </c>
      <c r="H268" t="str">
        <f t="shared" si="23"/>
        <v>开发成本_四季花城_公共配套费</v>
      </c>
    </row>
    <row r="269" spans="1:8">
      <c r="A269">
        <v>50010107</v>
      </c>
      <c r="B269" t="s">
        <v>314</v>
      </c>
      <c r="C269" s="22" t="s">
        <v>539</v>
      </c>
      <c r="D269" s="175">
        <v>3</v>
      </c>
      <c r="E269" s="175" t="s">
        <v>2</v>
      </c>
      <c r="F269" s="19"/>
      <c r="G269" s="25">
        <v>0</v>
      </c>
      <c r="H269" t="str">
        <f t="shared" ref="H269:H270" si="26">IF(C269="",B269,CONCATENATE(B269,"_",C269))</f>
        <v>开发成本_四季花城_开发间接费</v>
      </c>
    </row>
    <row r="270" spans="1:8">
      <c r="A270">
        <v>50010108</v>
      </c>
      <c r="B270" t="s">
        <v>314</v>
      </c>
      <c r="C270" s="22" t="s">
        <v>540</v>
      </c>
      <c r="D270" s="175">
        <v>3</v>
      </c>
      <c r="E270" s="175" t="s">
        <v>2</v>
      </c>
      <c r="F270" s="19"/>
      <c r="G270" s="25">
        <v>0</v>
      </c>
      <c r="H270" t="str">
        <f t="shared" si="26"/>
        <v>开发成本_四季花城_资金成本</v>
      </c>
    </row>
    <row r="271" spans="1:8">
      <c r="A271">
        <v>50010109</v>
      </c>
      <c r="B271" t="s">
        <v>314</v>
      </c>
      <c r="C271" s="22" t="s">
        <v>541</v>
      </c>
      <c r="D271" s="170">
        <v>3</v>
      </c>
      <c r="E271" s="170" t="s">
        <v>2</v>
      </c>
      <c r="F271" s="19"/>
      <c r="G271" s="25">
        <v>0</v>
      </c>
      <c r="H271" t="str">
        <f t="shared" si="23"/>
        <v>开发成本_四季花城_成本结转</v>
      </c>
    </row>
    <row r="272" spans="1:8">
      <c r="A272">
        <v>5101</v>
      </c>
      <c r="B272" t="s">
        <v>315</v>
      </c>
      <c r="D272" s="32">
        <v>1</v>
      </c>
      <c r="E272" s="170" t="s">
        <v>2</v>
      </c>
      <c r="F272" s="19"/>
      <c r="G272" s="25">
        <v>0</v>
      </c>
      <c r="H272" t="str">
        <f t="shared" ref="H272:H280" si="27">IF(C272="",B272,CONCATENATE(B272,"_",C272))</f>
        <v>开发间接费用</v>
      </c>
    </row>
    <row r="273" spans="1:8">
      <c r="A273">
        <v>510101</v>
      </c>
      <c r="B273" t="s">
        <v>315</v>
      </c>
      <c r="C273" t="s">
        <v>531</v>
      </c>
      <c r="D273" s="170">
        <v>2</v>
      </c>
      <c r="E273" s="170" t="s">
        <v>2</v>
      </c>
      <c r="F273" s="19"/>
      <c r="G273" s="25">
        <v>0</v>
      </c>
      <c r="H273" t="str">
        <f t="shared" si="27"/>
        <v>开发间接费用_四季花城</v>
      </c>
    </row>
    <row r="274" spans="1:8">
      <c r="A274">
        <v>51010101</v>
      </c>
      <c r="B274" t="s">
        <v>315</v>
      </c>
      <c r="C274" t="s">
        <v>542</v>
      </c>
      <c r="D274" s="170">
        <v>3</v>
      </c>
      <c r="E274" s="170" t="s">
        <v>2</v>
      </c>
      <c r="F274" s="19"/>
      <c r="G274" s="25">
        <v>0</v>
      </c>
      <c r="H274" t="str">
        <f t="shared" si="27"/>
        <v>开发间接费用_四季花城_职工薪酬</v>
      </c>
    </row>
    <row r="275" spans="1:8">
      <c r="A275">
        <v>5101010101</v>
      </c>
      <c r="B275" t="s">
        <v>315</v>
      </c>
      <c r="C275" t="s">
        <v>543</v>
      </c>
      <c r="D275" s="175">
        <v>4</v>
      </c>
      <c r="E275" s="175" t="s">
        <v>2</v>
      </c>
      <c r="F275" s="19"/>
      <c r="G275" s="25">
        <v>0</v>
      </c>
      <c r="H275" t="str">
        <f t="shared" ref="H275:H276" si="28">IF(C275="",B275,CONCATENATE(B275,"_",C275))</f>
        <v>开发间接费用_四季花城_职工薪酬_工资</v>
      </c>
    </row>
    <row r="276" spans="1:8">
      <c r="A276">
        <v>5101010102</v>
      </c>
      <c r="B276" t="s">
        <v>315</v>
      </c>
      <c r="C276" t="s">
        <v>544</v>
      </c>
      <c r="D276" s="175">
        <v>4</v>
      </c>
      <c r="E276" s="175" t="s">
        <v>2</v>
      </c>
      <c r="F276" s="19"/>
      <c r="G276" s="25">
        <v>0</v>
      </c>
      <c r="H276" t="str">
        <f t="shared" si="28"/>
        <v>开发间接费用_四季花城_职工薪酬_福利费用</v>
      </c>
    </row>
    <row r="277" spans="1:8">
      <c r="A277">
        <v>51010102</v>
      </c>
      <c r="B277" t="s">
        <v>315</v>
      </c>
      <c r="C277" t="s">
        <v>545</v>
      </c>
      <c r="D277" s="170">
        <v>3</v>
      </c>
      <c r="E277" s="170" t="s">
        <v>2</v>
      </c>
      <c r="F277"/>
      <c r="G277" s="25">
        <v>0</v>
      </c>
      <c r="H277" t="str">
        <f t="shared" si="27"/>
        <v>开发间接费用_四季花城_办公费</v>
      </c>
    </row>
    <row r="278" spans="1:8">
      <c r="A278">
        <v>51010103</v>
      </c>
      <c r="B278" t="s">
        <v>315</v>
      </c>
      <c r="C278" t="s">
        <v>546</v>
      </c>
      <c r="D278" s="170">
        <v>3</v>
      </c>
      <c r="E278" s="170" t="s">
        <v>2</v>
      </c>
      <c r="F278" s="19"/>
      <c r="G278" s="25">
        <v>0</v>
      </c>
      <c r="H278" t="str">
        <f t="shared" si="27"/>
        <v>开发间接费用_四季花城_差旅费</v>
      </c>
    </row>
    <row r="279" spans="1:8">
      <c r="A279">
        <v>51010104</v>
      </c>
      <c r="B279" t="s">
        <v>315</v>
      </c>
      <c r="C279" t="s">
        <v>547</v>
      </c>
      <c r="D279" s="170">
        <v>3</v>
      </c>
      <c r="E279" s="170" t="s">
        <v>2</v>
      </c>
      <c r="F279" s="19"/>
      <c r="G279" s="25">
        <v>0</v>
      </c>
      <c r="H279" t="str">
        <f t="shared" si="27"/>
        <v>开发间接费用_四季花城_业务招待费</v>
      </c>
    </row>
    <row r="280" spans="1:8">
      <c r="A280">
        <v>51010105</v>
      </c>
      <c r="B280" t="s">
        <v>315</v>
      </c>
      <c r="C280" t="s">
        <v>548</v>
      </c>
      <c r="D280" s="170">
        <v>3</v>
      </c>
      <c r="E280" s="170" t="s">
        <v>2</v>
      </c>
      <c r="F280" s="19"/>
      <c r="G280" s="25">
        <v>0</v>
      </c>
      <c r="H280" t="str">
        <f t="shared" si="27"/>
        <v>开发间接费用_四季花城_车辆费用</v>
      </c>
    </row>
    <row r="281" spans="1:8">
      <c r="A281">
        <v>51010106</v>
      </c>
      <c r="B281" t="s">
        <v>315</v>
      </c>
      <c r="C281" t="s">
        <v>549</v>
      </c>
      <c r="D281" s="170">
        <v>3</v>
      </c>
      <c r="E281" s="170" t="s">
        <v>2</v>
      </c>
      <c r="F281" s="19"/>
      <c r="G281" s="25">
        <v>0</v>
      </c>
      <c r="H281" t="str">
        <f>IF(C281="",B281,CONCATENATE(B281,"_",C281))</f>
        <v>开发间接费用_四季花城_通讯费</v>
      </c>
    </row>
    <row r="282" spans="1:8">
      <c r="A282">
        <v>51010107</v>
      </c>
      <c r="B282" t="s">
        <v>315</v>
      </c>
      <c r="C282" t="s">
        <v>550</v>
      </c>
      <c r="D282" s="175">
        <v>3</v>
      </c>
      <c r="E282" s="128" t="s">
        <v>2</v>
      </c>
      <c r="F282" s="19"/>
      <c r="G282" s="25">
        <v>0</v>
      </c>
      <c r="H282" t="str">
        <f t="shared" si="21"/>
        <v>开发间接费用_四季花城_折旧费</v>
      </c>
    </row>
    <row r="283" spans="1:8">
      <c r="A283">
        <v>51010108</v>
      </c>
      <c r="B283" t="s">
        <v>315</v>
      </c>
      <c r="C283" t="s">
        <v>551</v>
      </c>
      <c r="D283" s="175">
        <v>3</v>
      </c>
      <c r="E283" s="152" t="s">
        <v>2</v>
      </c>
      <c r="F283" s="19"/>
      <c r="G283" s="7">
        <v>0</v>
      </c>
      <c r="H283" t="str">
        <f>IF(C283="",B283,CONCATENATE(B283,"_",C283))</f>
        <v>开发间接费用_四季花城_会务费</v>
      </c>
    </row>
    <row r="284" spans="1:8">
      <c r="A284">
        <v>51010109</v>
      </c>
      <c r="B284" t="s">
        <v>315</v>
      </c>
      <c r="C284" t="s">
        <v>552</v>
      </c>
      <c r="D284" s="128">
        <v>3</v>
      </c>
      <c r="E284" s="128" t="s">
        <v>2</v>
      </c>
      <c r="F284" s="19"/>
      <c r="G284" s="7">
        <v>0</v>
      </c>
      <c r="H284" t="str">
        <f t="shared" si="21"/>
        <v>开发间接费用_四季花城_租赁费</v>
      </c>
    </row>
    <row r="285" spans="1:8">
      <c r="A285">
        <v>51010110</v>
      </c>
      <c r="B285" t="s">
        <v>315</v>
      </c>
      <c r="C285" t="s">
        <v>553</v>
      </c>
      <c r="D285" s="128">
        <v>3</v>
      </c>
      <c r="E285" s="128" t="s">
        <v>2</v>
      </c>
      <c r="F285" s="19"/>
      <c r="G285" s="7">
        <v>0</v>
      </c>
      <c r="H285" t="str">
        <f t="shared" si="21"/>
        <v>开发间接费用_四季花城_维修费</v>
      </c>
    </row>
    <row r="286" spans="1:8">
      <c r="A286">
        <v>51010111</v>
      </c>
      <c r="B286" t="s">
        <v>315</v>
      </c>
      <c r="C286" t="s">
        <v>554</v>
      </c>
      <c r="D286" s="152">
        <v>3</v>
      </c>
      <c r="E286" s="152" t="s">
        <v>2</v>
      </c>
      <c r="F286" s="19"/>
      <c r="G286" s="7">
        <v>0</v>
      </c>
      <c r="H286" t="str">
        <f>IF(C286="",B286,CONCATENATE(B286,"_",C286))</f>
        <v>开发间接费用_四季花城_保险费</v>
      </c>
    </row>
    <row r="287" spans="1:8">
      <c r="A287">
        <v>51010112</v>
      </c>
      <c r="B287" t="s">
        <v>315</v>
      </c>
      <c r="C287" t="s">
        <v>555</v>
      </c>
      <c r="D287" s="152">
        <v>3</v>
      </c>
      <c r="E287" s="152" t="s">
        <v>2</v>
      </c>
      <c r="F287" s="19"/>
      <c r="G287" s="7">
        <v>0</v>
      </c>
      <c r="H287" t="str">
        <f>IF(C287="",B287,CONCATENATE(B287,"_",C287))</f>
        <v>开发间接费用_四季花城_资产摊销</v>
      </c>
    </row>
    <row r="288" spans="1:8">
      <c r="A288">
        <v>51010113</v>
      </c>
      <c r="B288" t="s">
        <v>315</v>
      </c>
      <c r="C288" t="s">
        <v>556</v>
      </c>
      <c r="D288" s="128">
        <v>3</v>
      </c>
      <c r="E288" s="128" t="s">
        <v>2</v>
      </c>
      <c r="F288" s="19"/>
      <c r="G288" s="7">
        <v>0</v>
      </c>
      <c r="H288" t="str">
        <f t="shared" si="21"/>
        <v>开发间接费用_四季花城_水电物管费</v>
      </c>
    </row>
    <row r="289" spans="1:8">
      <c r="A289">
        <v>51010197</v>
      </c>
      <c r="B289" t="s">
        <v>315</v>
      </c>
      <c r="C289" t="s">
        <v>557</v>
      </c>
      <c r="D289" s="175">
        <v>3</v>
      </c>
      <c r="E289" s="152" t="s">
        <v>2</v>
      </c>
      <c r="F289" s="19"/>
      <c r="G289" s="7">
        <v>0</v>
      </c>
      <c r="H289" t="str">
        <f t="shared" si="21"/>
        <v>开发间接费用_四季花城_其他</v>
      </c>
    </row>
    <row r="290" spans="1:8">
      <c r="A290">
        <v>5201</v>
      </c>
      <c r="B290" t="s">
        <v>367</v>
      </c>
      <c r="D290" s="32">
        <v>1</v>
      </c>
      <c r="E290" s="175" t="s">
        <v>2</v>
      </c>
      <c r="F290" s="19"/>
      <c r="G290" s="25">
        <v>0</v>
      </c>
      <c r="H290" t="str">
        <f t="shared" si="21"/>
        <v>劳务成本</v>
      </c>
    </row>
    <row r="291" spans="1:8">
      <c r="A291">
        <v>520101</v>
      </c>
      <c r="B291" t="s">
        <v>367</v>
      </c>
      <c r="C291" t="s">
        <v>368</v>
      </c>
      <c r="D291" s="175">
        <v>2</v>
      </c>
      <c r="E291" s="175" t="s">
        <v>2</v>
      </c>
      <c r="F291" s="19"/>
      <c r="G291" s="25">
        <v>0</v>
      </c>
      <c r="H291" t="str">
        <f t="shared" si="21"/>
        <v>劳务成本_工程监理成本</v>
      </c>
    </row>
    <row r="292" spans="1:8">
      <c r="A292">
        <v>520102</v>
      </c>
      <c r="B292" t="s">
        <v>367</v>
      </c>
      <c r="C292" t="s">
        <v>370</v>
      </c>
      <c r="D292" s="175">
        <v>2</v>
      </c>
      <c r="E292" s="175" t="s">
        <v>2</v>
      </c>
      <c r="F292" s="19"/>
      <c r="G292" s="25">
        <v>0</v>
      </c>
      <c r="H292" t="str">
        <f t="shared" si="21"/>
        <v>劳务成本_工程施工成本</v>
      </c>
    </row>
    <row r="293" spans="1:8">
      <c r="A293">
        <v>520103</v>
      </c>
      <c r="B293" t="s">
        <v>367</v>
      </c>
      <c r="C293" t="s">
        <v>371</v>
      </c>
      <c r="D293" s="175">
        <v>2</v>
      </c>
      <c r="E293" s="175" t="s">
        <v>2</v>
      </c>
      <c r="F293" s="19"/>
      <c r="G293" s="25">
        <v>0</v>
      </c>
      <c r="H293" t="str">
        <f t="shared" si="21"/>
        <v>劳务成本_代理开发成本</v>
      </c>
    </row>
    <row r="294" spans="1:8">
      <c r="A294">
        <v>520197</v>
      </c>
      <c r="B294" t="s">
        <v>367</v>
      </c>
      <c r="C294" t="s">
        <v>372</v>
      </c>
      <c r="D294" s="175">
        <v>2</v>
      </c>
      <c r="E294" s="175" t="s">
        <v>2</v>
      </c>
      <c r="F294" s="19"/>
      <c r="G294" s="25">
        <v>0</v>
      </c>
      <c r="H294" t="str">
        <f t="shared" si="21"/>
        <v>劳务成本_其他</v>
      </c>
    </row>
    <row r="295" spans="1:8">
      <c r="A295">
        <v>520199</v>
      </c>
      <c r="B295" t="s">
        <v>367</v>
      </c>
      <c r="C295" t="s">
        <v>373</v>
      </c>
      <c r="D295" s="175">
        <v>2</v>
      </c>
      <c r="E295" s="175" t="s">
        <v>2</v>
      </c>
      <c r="F295" s="19"/>
      <c r="G295" s="25">
        <v>0</v>
      </c>
      <c r="H295" t="str">
        <f t="shared" si="21"/>
        <v>劳务成本_劳务成本结转</v>
      </c>
    </row>
    <row r="296" spans="1:8">
      <c r="A296">
        <v>5301</v>
      </c>
      <c r="B296" t="s">
        <v>374</v>
      </c>
      <c r="D296" s="32">
        <v>1</v>
      </c>
      <c r="E296" s="175" t="s">
        <v>2</v>
      </c>
      <c r="F296" s="19"/>
      <c r="G296" s="25">
        <v>0</v>
      </c>
      <c r="H296" t="str">
        <f t="shared" si="21"/>
        <v>研发支出</v>
      </c>
    </row>
    <row r="297" spans="1:8">
      <c r="A297">
        <v>5401</v>
      </c>
      <c r="B297" t="s">
        <v>375</v>
      </c>
      <c r="D297" s="32">
        <v>1</v>
      </c>
      <c r="E297" s="175" t="s">
        <v>2</v>
      </c>
      <c r="F297" s="19"/>
      <c r="G297" s="25">
        <v>0</v>
      </c>
      <c r="H297" t="str">
        <f t="shared" si="21"/>
        <v>工程施工</v>
      </c>
    </row>
    <row r="298" spans="1:8">
      <c r="A298">
        <v>5402</v>
      </c>
      <c r="B298" t="s">
        <v>273</v>
      </c>
      <c r="D298" s="32">
        <v>1</v>
      </c>
      <c r="E298" s="148" t="s">
        <v>2</v>
      </c>
      <c r="F298" s="19"/>
      <c r="G298" s="25">
        <v>0</v>
      </c>
      <c r="H298" t="str">
        <f>IF(C298="",B298,CONCATENATE(B298,"_",C298))</f>
        <v>工程结算</v>
      </c>
    </row>
    <row r="299" spans="1:8">
      <c r="A299">
        <v>6001</v>
      </c>
      <c r="B299" t="s">
        <v>220</v>
      </c>
      <c r="D299" s="32">
        <v>1</v>
      </c>
      <c r="E299" s="128" t="s">
        <v>2</v>
      </c>
      <c r="F299" s="19"/>
      <c r="G299" s="25">
        <v>0</v>
      </c>
      <c r="H299" t="str">
        <f t="shared" si="21"/>
        <v>主营业务收入</v>
      </c>
    </row>
    <row r="300" spans="1:8">
      <c r="A300">
        <v>600101</v>
      </c>
      <c r="B300" t="s">
        <v>220</v>
      </c>
      <c r="C300" t="s">
        <v>376</v>
      </c>
      <c r="D300" s="175">
        <v>2</v>
      </c>
      <c r="E300" s="175" t="s">
        <v>2</v>
      </c>
      <c r="F300" s="19"/>
      <c r="G300" s="25">
        <v>0</v>
      </c>
      <c r="H300" t="str">
        <f t="shared" si="21"/>
        <v>主营业务收入_不动产销售收入</v>
      </c>
    </row>
    <row r="301" spans="1:8">
      <c r="A301">
        <v>600102</v>
      </c>
      <c r="B301" t="s">
        <v>220</v>
      </c>
      <c r="C301" t="s">
        <v>377</v>
      </c>
      <c r="D301" s="175">
        <v>2</v>
      </c>
      <c r="E301" s="175" t="s">
        <v>2</v>
      </c>
      <c r="F301" s="19"/>
      <c r="G301" s="25">
        <v>0</v>
      </c>
      <c r="H301" t="str">
        <f t="shared" si="21"/>
        <v>主营业务收入_不动产租赁收入</v>
      </c>
    </row>
    <row r="302" spans="1:8">
      <c r="A302">
        <v>600103</v>
      </c>
      <c r="B302" t="s">
        <v>220</v>
      </c>
      <c r="C302" t="s">
        <v>378</v>
      </c>
      <c r="D302" s="175">
        <v>2</v>
      </c>
      <c r="E302" s="175" t="s">
        <v>2</v>
      </c>
      <c r="F302" s="19"/>
      <c r="G302" s="25">
        <v>0</v>
      </c>
      <c r="H302" t="str">
        <f t="shared" si="21"/>
        <v>主营业务收入_物业收入</v>
      </c>
    </row>
    <row r="303" spans="1:8">
      <c r="A303">
        <v>600104</v>
      </c>
      <c r="B303" t="s">
        <v>220</v>
      </c>
      <c r="C303" t="s">
        <v>379</v>
      </c>
      <c r="D303" s="175">
        <v>2</v>
      </c>
      <c r="E303" s="175" t="s">
        <v>2</v>
      </c>
      <c r="F303" s="19"/>
      <c r="G303" s="25">
        <v>0</v>
      </c>
      <c r="H303" t="str">
        <f t="shared" si="21"/>
        <v>主营业务收入_产品销售收入</v>
      </c>
    </row>
    <row r="304" spans="1:8">
      <c r="A304">
        <v>600105</v>
      </c>
      <c r="B304" t="s">
        <v>220</v>
      </c>
      <c r="C304" t="s">
        <v>380</v>
      </c>
      <c r="D304" s="175">
        <v>2</v>
      </c>
      <c r="E304" s="175" t="s">
        <v>2</v>
      </c>
      <c r="F304" s="19"/>
      <c r="G304" s="25">
        <v>0</v>
      </c>
      <c r="H304" t="str">
        <f t="shared" si="21"/>
        <v>主营业务收入_工程施工收入</v>
      </c>
    </row>
    <row r="305" spans="1:8">
      <c r="A305">
        <v>600106</v>
      </c>
      <c r="B305" t="s">
        <v>220</v>
      </c>
      <c r="C305" t="s">
        <v>381</v>
      </c>
      <c r="D305" s="175">
        <v>2</v>
      </c>
      <c r="E305" s="175" t="s">
        <v>2</v>
      </c>
      <c r="F305" s="19"/>
      <c r="G305" s="25">
        <v>0</v>
      </c>
      <c r="H305" t="str">
        <f t="shared" si="21"/>
        <v>主营业务收入_劳务收入</v>
      </c>
    </row>
    <row r="306" spans="1:8">
      <c r="A306">
        <v>600197</v>
      </c>
      <c r="B306" t="s">
        <v>220</v>
      </c>
      <c r="C306" t="s">
        <v>382</v>
      </c>
      <c r="D306" s="175">
        <v>2</v>
      </c>
      <c r="E306" s="175" t="s">
        <v>2</v>
      </c>
      <c r="F306" s="19"/>
      <c r="G306" s="25">
        <v>0</v>
      </c>
      <c r="H306" t="str">
        <f t="shared" ref="H306" si="29">IF(C306="",B306,CONCATENATE(B306,"_",C306))</f>
        <v>主营业务收入_其他经营收入</v>
      </c>
    </row>
    <row r="307" spans="1:8">
      <c r="A307">
        <v>6051</v>
      </c>
      <c r="B307" t="s">
        <v>221</v>
      </c>
      <c r="D307" s="32">
        <v>1</v>
      </c>
      <c r="E307" s="128" t="s">
        <v>2</v>
      </c>
      <c r="F307" s="19"/>
      <c r="G307" s="25">
        <v>0</v>
      </c>
      <c r="H307" t="str">
        <f t="shared" si="21"/>
        <v>其他业务收入</v>
      </c>
    </row>
    <row r="308" spans="1:8">
      <c r="A308">
        <v>605101</v>
      </c>
      <c r="B308" t="s">
        <v>221</v>
      </c>
      <c r="C308" t="s">
        <v>222</v>
      </c>
      <c r="D308" s="128">
        <v>2</v>
      </c>
      <c r="E308" s="128" t="s">
        <v>2</v>
      </c>
      <c r="F308" s="19"/>
      <c r="G308" s="7">
        <v>0</v>
      </c>
      <c r="H308" t="str">
        <f t="shared" si="21"/>
        <v>其他业务收入_出租固定资产</v>
      </c>
    </row>
    <row r="309" spans="1:8">
      <c r="A309">
        <v>605102</v>
      </c>
      <c r="B309" t="s">
        <v>221</v>
      </c>
      <c r="C309" t="s">
        <v>223</v>
      </c>
      <c r="D309" s="128">
        <v>2</v>
      </c>
      <c r="E309" s="128" t="s">
        <v>2</v>
      </c>
      <c r="F309" s="19"/>
      <c r="G309" s="7">
        <v>0</v>
      </c>
      <c r="H309" t="str">
        <f t="shared" si="21"/>
        <v>其他业务收入_出租无形资产</v>
      </c>
    </row>
    <row r="310" spans="1:8">
      <c r="A310">
        <v>605103</v>
      </c>
      <c r="B310" t="s">
        <v>221</v>
      </c>
      <c r="C310" t="s">
        <v>224</v>
      </c>
      <c r="D310" s="128">
        <v>2</v>
      </c>
      <c r="E310" s="128" t="s">
        <v>2</v>
      </c>
      <c r="F310" s="19"/>
      <c r="G310" s="7">
        <v>0</v>
      </c>
      <c r="H310" t="str">
        <f t="shared" si="21"/>
        <v>其他业务收入_出租包装物和商品</v>
      </c>
    </row>
    <row r="311" spans="1:8">
      <c r="A311">
        <v>605104</v>
      </c>
      <c r="B311" t="s">
        <v>221</v>
      </c>
      <c r="C311" t="s">
        <v>225</v>
      </c>
      <c r="D311" s="128">
        <v>2</v>
      </c>
      <c r="E311" s="128" t="s">
        <v>2</v>
      </c>
      <c r="F311" s="19"/>
      <c r="G311" s="7">
        <v>0</v>
      </c>
      <c r="H311" t="str">
        <f t="shared" si="21"/>
        <v xml:space="preserve">其他业务收入_销售材料 </v>
      </c>
    </row>
    <row r="312" spans="1:8">
      <c r="A312">
        <v>6101</v>
      </c>
      <c r="B312" t="s">
        <v>383</v>
      </c>
      <c r="D312" s="32">
        <v>1</v>
      </c>
      <c r="E312" s="128" t="s">
        <v>2</v>
      </c>
      <c r="F312" s="19"/>
      <c r="G312" s="25">
        <v>0</v>
      </c>
      <c r="H312" t="str">
        <f t="shared" si="21"/>
        <v>公允价值变动损益</v>
      </c>
    </row>
    <row r="313" spans="1:8">
      <c r="A313">
        <v>6111</v>
      </c>
      <c r="B313" t="s">
        <v>226</v>
      </c>
      <c r="D313" s="32">
        <v>1</v>
      </c>
      <c r="E313" s="128" t="s">
        <v>2</v>
      </c>
      <c r="F313" s="19"/>
      <c r="G313" s="25">
        <v>0</v>
      </c>
      <c r="H313" t="str">
        <f t="shared" si="21"/>
        <v>投资收益</v>
      </c>
    </row>
    <row r="314" spans="1:8">
      <c r="A314">
        <v>6301</v>
      </c>
      <c r="B314" t="s">
        <v>227</v>
      </c>
      <c r="D314" s="32">
        <v>1</v>
      </c>
      <c r="E314" s="128" t="s">
        <v>2</v>
      </c>
      <c r="F314" s="19"/>
      <c r="G314" s="25">
        <v>0</v>
      </c>
      <c r="H314" t="str">
        <f t="shared" si="21"/>
        <v>营业外收入</v>
      </c>
    </row>
    <row r="315" spans="1:8">
      <c r="A315">
        <v>630101</v>
      </c>
      <c r="B315" t="s">
        <v>227</v>
      </c>
      <c r="C315" t="s">
        <v>228</v>
      </c>
      <c r="D315" s="128">
        <v>2</v>
      </c>
      <c r="E315" s="128" t="s">
        <v>2</v>
      </c>
      <c r="F315" s="19"/>
      <c r="G315" s="7">
        <v>0</v>
      </c>
      <c r="H315" t="str">
        <f t="shared" si="21"/>
        <v>营业外收入_处置非流动资产利得</v>
      </c>
    </row>
    <row r="316" spans="1:8">
      <c r="A316">
        <v>630102</v>
      </c>
      <c r="B316" t="s">
        <v>227</v>
      </c>
      <c r="C316" t="s">
        <v>229</v>
      </c>
      <c r="D316" s="128">
        <v>2</v>
      </c>
      <c r="E316" s="128" t="s">
        <v>2</v>
      </c>
      <c r="F316" s="19"/>
      <c r="G316" s="7">
        <v>0</v>
      </c>
      <c r="H316" t="str">
        <f t="shared" si="21"/>
        <v>营业外收入_非货币性资产交换利得</v>
      </c>
    </row>
    <row r="317" spans="1:8">
      <c r="A317">
        <v>630103</v>
      </c>
      <c r="B317" t="s">
        <v>227</v>
      </c>
      <c r="C317" t="s">
        <v>230</v>
      </c>
      <c r="D317" s="128">
        <v>2</v>
      </c>
      <c r="E317" s="128" t="s">
        <v>2</v>
      </c>
      <c r="F317" s="19"/>
      <c r="G317" s="7">
        <v>0</v>
      </c>
      <c r="H317" t="str">
        <f t="shared" si="21"/>
        <v>营业外收入_债务重组利得</v>
      </c>
    </row>
    <row r="318" spans="1:8">
      <c r="A318">
        <v>630104</v>
      </c>
      <c r="B318" t="s">
        <v>227</v>
      </c>
      <c r="C318" t="s">
        <v>231</v>
      </c>
      <c r="D318" s="128">
        <v>2</v>
      </c>
      <c r="E318" s="128" t="s">
        <v>2</v>
      </c>
      <c r="F318" s="19"/>
      <c r="G318" s="7">
        <v>0</v>
      </c>
      <c r="H318" t="str">
        <f t="shared" si="21"/>
        <v>营业外收入_罚没利得</v>
      </c>
    </row>
    <row r="319" spans="1:8">
      <c r="A319">
        <v>630105</v>
      </c>
      <c r="B319" t="s">
        <v>227</v>
      </c>
      <c r="C319" t="s">
        <v>232</v>
      </c>
      <c r="D319" s="128">
        <v>2</v>
      </c>
      <c r="E319" s="128" t="s">
        <v>2</v>
      </c>
      <c r="F319" s="19"/>
      <c r="G319" s="7">
        <v>0</v>
      </c>
      <c r="H319" t="str">
        <f t="shared" si="21"/>
        <v>营业外收入_政府补助利得</v>
      </c>
    </row>
    <row r="320" spans="1:8">
      <c r="A320">
        <v>6401</v>
      </c>
      <c r="B320" t="s">
        <v>233</v>
      </c>
      <c r="D320" s="32">
        <v>1</v>
      </c>
      <c r="E320" s="128" t="s">
        <v>0</v>
      </c>
      <c r="F320" s="19"/>
      <c r="G320" s="25">
        <v>0</v>
      </c>
      <c r="H320" t="str">
        <f t="shared" si="21"/>
        <v>主营业务成本</v>
      </c>
    </row>
    <row r="321" spans="1:8">
      <c r="A321">
        <v>640101</v>
      </c>
      <c r="B321" t="s">
        <v>233</v>
      </c>
      <c r="C321" t="s">
        <v>384</v>
      </c>
      <c r="D321" s="175">
        <v>2</v>
      </c>
      <c r="E321" s="175" t="s">
        <v>2</v>
      </c>
      <c r="F321" s="19"/>
      <c r="G321" s="25">
        <v>0</v>
      </c>
      <c r="H321" t="str">
        <f t="shared" ref="H321:H327" si="30">IF(C321="",B321,CONCATENATE(B321,"_",C321))</f>
        <v>主营业务成本_不动产销售成本</v>
      </c>
    </row>
    <row r="322" spans="1:8">
      <c r="A322">
        <v>640102</v>
      </c>
      <c r="B322" t="s">
        <v>233</v>
      </c>
      <c r="C322" t="s">
        <v>385</v>
      </c>
      <c r="D322" s="175">
        <v>2</v>
      </c>
      <c r="E322" s="175" t="s">
        <v>2</v>
      </c>
      <c r="F322" s="19"/>
      <c r="G322" s="25">
        <v>0</v>
      </c>
      <c r="H322" t="str">
        <f t="shared" si="30"/>
        <v>主营业务成本_不动产租赁成本</v>
      </c>
    </row>
    <row r="323" spans="1:8">
      <c r="A323">
        <v>640103</v>
      </c>
      <c r="B323" t="s">
        <v>233</v>
      </c>
      <c r="C323" t="s">
        <v>386</v>
      </c>
      <c r="D323" s="175">
        <v>2</v>
      </c>
      <c r="E323" s="175" t="s">
        <v>2</v>
      </c>
      <c r="F323" s="19"/>
      <c r="G323" s="25">
        <v>0</v>
      </c>
      <c r="H323" t="str">
        <f t="shared" si="30"/>
        <v>主营业务成本_物业成本</v>
      </c>
    </row>
    <row r="324" spans="1:8">
      <c r="A324">
        <v>640104</v>
      </c>
      <c r="B324" t="s">
        <v>233</v>
      </c>
      <c r="C324" t="s">
        <v>387</v>
      </c>
      <c r="D324" s="175">
        <v>2</v>
      </c>
      <c r="E324" s="175" t="s">
        <v>2</v>
      </c>
      <c r="F324" s="19"/>
      <c r="G324" s="25">
        <v>0</v>
      </c>
      <c r="H324" t="str">
        <f t="shared" si="30"/>
        <v>主营业务成本_产品销售成本</v>
      </c>
    </row>
    <row r="325" spans="1:8">
      <c r="A325">
        <v>640105</v>
      </c>
      <c r="B325" t="s">
        <v>233</v>
      </c>
      <c r="C325" t="s">
        <v>369</v>
      </c>
      <c r="D325" s="175">
        <v>2</v>
      </c>
      <c r="E325" s="175" t="s">
        <v>2</v>
      </c>
      <c r="F325" s="19"/>
      <c r="G325" s="25">
        <v>0</v>
      </c>
      <c r="H325" t="str">
        <f t="shared" si="30"/>
        <v>主营业务成本_工程施工成本</v>
      </c>
    </row>
    <row r="326" spans="1:8">
      <c r="A326">
        <v>640106</v>
      </c>
      <c r="B326" t="s">
        <v>233</v>
      </c>
      <c r="C326" t="s">
        <v>366</v>
      </c>
      <c r="D326" s="175">
        <v>2</v>
      </c>
      <c r="E326" s="175" t="s">
        <v>2</v>
      </c>
      <c r="F326" s="19"/>
      <c r="G326" s="25">
        <v>0</v>
      </c>
      <c r="H326" t="str">
        <f t="shared" si="30"/>
        <v>主营业务成本_劳务成本</v>
      </c>
    </row>
    <row r="327" spans="1:8">
      <c r="A327">
        <v>640197</v>
      </c>
      <c r="B327" t="s">
        <v>233</v>
      </c>
      <c r="C327" t="s">
        <v>388</v>
      </c>
      <c r="D327" s="175">
        <v>2</v>
      </c>
      <c r="E327" s="175" t="s">
        <v>2</v>
      </c>
      <c r="F327" s="19"/>
      <c r="G327" s="25">
        <v>0</v>
      </c>
      <c r="H327" t="str">
        <f t="shared" si="30"/>
        <v>主营业务成本_其他经营成本</v>
      </c>
    </row>
    <row r="328" spans="1:8">
      <c r="A328">
        <v>6402</v>
      </c>
      <c r="B328" t="s">
        <v>288</v>
      </c>
      <c r="D328" s="32">
        <v>1</v>
      </c>
      <c r="E328" s="128" t="s">
        <v>0</v>
      </c>
      <c r="F328" s="19"/>
      <c r="G328" s="25">
        <v>0</v>
      </c>
      <c r="H328" t="str">
        <f t="shared" si="21"/>
        <v>其他业务成本</v>
      </c>
    </row>
    <row r="329" spans="1:8">
      <c r="A329">
        <v>640201</v>
      </c>
      <c r="B329" t="s">
        <v>288</v>
      </c>
      <c r="C329" t="s">
        <v>234</v>
      </c>
      <c r="D329" s="128">
        <v>2</v>
      </c>
      <c r="E329" s="128" t="s">
        <v>0</v>
      </c>
      <c r="F329" s="19"/>
      <c r="G329" s="7">
        <v>0</v>
      </c>
      <c r="H329" t="str">
        <f t="shared" si="21"/>
        <v xml:space="preserve">其他业务成本_销售材料的成本 </v>
      </c>
    </row>
    <row r="330" spans="1:8">
      <c r="A330">
        <v>640202</v>
      </c>
      <c r="B330" t="s">
        <v>288</v>
      </c>
      <c r="C330" t="s">
        <v>235</v>
      </c>
      <c r="D330" s="128">
        <v>2</v>
      </c>
      <c r="E330" s="128" t="s">
        <v>0</v>
      </c>
      <c r="F330" s="19"/>
      <c r="G330" s="7">
        <v>0</v>
      </c>
      <c r="H330" t="str">
        <f t="shared" si="21"/>
        <v>其他业务成本_出租固定资产的累计折旧</v>
      </c>
    </row>
    <row r="331" spans="1:8">
      <c r="A331">
        <v>640203</v>
      </c>
      <c r="B331" t="s">
        <v>288</v>
      </c>
      <c r="C331" t="s">
        <v>236</v>
      </c>
      <c r="D331" s="128">
        <v>2</v>
      </c>
      <c r="E331" s="128" t="s">
        <v>0</v>
      </c>
      <c r="F331" s="19"/>
      <c r="G331" s="7">
        <v>0</v>
      </c>
      <c r="H331" t="str">
        <f t="shared" si="21"/>
        <v>其他业务成本_出租无形资产的累计摊销</v>
      </c>
    </row>
    <row r="332" spans="1:8">
      <c r="A332">
        <v>640204</v>
      </c>
      <c r="B332" t="s">
        <v>288</v>
      </c>
      <c r="C332" t="s">
        <v>237</v>
      </c>
      <c r="D332" s="128">
        <v>2</v>
      </c>
      <c r="E332" s="128" t="s">
        <v>0</v>
      </c>
      <c r="F332" s="19"/>
      <c r="G332" s="7">
        <v>0</v>
      </c>
      <c r="H332" t="str">
        <f t="shared" si="21"/>
        <v>其他业务成本_出租包装物的成本</v>
      </c>
    </row>
    <row r="333" spans="1:8">
      <c r="A333">
        <v>6403</v>
      </c>
      <c r="B333" t="s">
        <v>20</v>
      </c>
      <c r="D333" s="32">
        <v>1</v>
      </c>
      <c r="E333" s="128" t="s">
        <v>0</v>
      </c>
      <c r="F333" s="19"/>
      <c r="G333" s="25">
        <v>0</v>
      </c>
      <c r="H333" t="str">
        <f t="shared" si="21"/>
        <v>营业税金及附加</v>
      </c>
    </row>
    <row r="334" spans="1:8">
      <c r="A334">
        <v>6601</v>
      </c>
      <c r="B334" t="s">
        <v>21</v>
      </c>
      <c r="D334" s="32">
        <v>1</v>
      </c>
      <c r="E334" s="128" t="s">
        <v>0</v>
      </c>
      <c r="F334" s="19"/>
      <c r="G334" s="25">
        <v>0</v>
      </c>
      <c r="H334" t="str">
        <f t="shared" si="21"/>
        <v>销售费用</v>
      </c>
    </row>
    <row r="335" spans="1:8">
      <c r="A335">
        <v>660101</v>
      </c>
      <c r="B335" t="s">
        <v>21</v>
      </c>
      <c r="C335" t="s">
        <v>389</v>
      </c>
      <c r="D335" s="175">
        <v>2</v>
      </c>
      <c r="E335" s="175" t="s">
        <v>0</v>
      </c>
      <c r="F335" s="19"/>
      <c r="G335" s="7">
        <v>0</v>
      </c>
      <c r="H335" t="str">
        <f t="shared" ref="H335:H358" si="31">IF(C335="",B335,CONCATENATE(B335,"_",C335))</f>
        <v>销售费用_职工薪酬</v>
      </c>
    </row>
    <row r="336" spans="1:8">
      <c r="A336">
        <v>66010101</v>
      </c>
      <c r="B336" t="s">
        <v>21</v>
      </c>
      <c r="C336" t="s">
        <v>439</v>
      </c>
      <c r="D336" s="175">
        <v>3</v>
      </c>
      <c r="E336" s="175" t="s">
        <v>0</v>
      </c>
      <c r="F336" s="19"/>
      <c r="G336" s="7">
        <v>0</v>
      </c>
      <c r="H336" t="str">
        <f t="shared" si="31"/>
        <v>销售费用_职工薪酬_工资</v>
      </c>
    </row>
    <row r="337" spans="1:8">
      <c r="A337">
        <v>66010102</v>
      </c>
      <c r="B337" t="s">
        <v>21</v>
      </c>
      <c r="C337" t="s">
        <v>440</v>
      </c>
      <c r="D337" s="175">
        <v>3</v>
      </c>
      <c r="E337" s="175" t="s">
        <v>0</v>
      </c>
      <c r="F337" s="19"/>
      <c r="G337" s="7">
        <v>0</v>
      </c>
      <c r="H337" t="str">
        <f t="shared" si="31"/>
        <v>销售费用_职工薪酬_福利费用</v>
      </c>
    </row>
    <row r="338" spans="1:8">
      <c r="A338">
        <v>660102</v>
      </c>
      <c r="B338" t="s">
        <v>21</v>
      </c>
      <c r="C338" t="s">
        <v>238</v>
      </c>
      <c r="D338" s="175">
        <v>2</v>
      </c>
      <c r="E338" s="175" t="s">
        <v>0</v>
      </c>
      <c r="F338" s="19"/>
      <c r="G338" s="7">
        <v>0</v>
      </c>
      <c r="H338" t="str">
        <f t="shared" si="31"/>
        <v>销售费用_办公费</v>
      </c>
    </row>
    <row r="339" spans="1:8">
      <c r="A339">
        <v>660103</v>
      </c>
      <c r="B339" t="s">
        <v>21</v>
      </c>
      <c r="C339" t="s">
        <v>239</v>
      </c>
      <c r="D339" s="175">
        <v>2</v>
      </c>
      <c r="E339" s="175" t="s">
        <v>0</v>
      </c>
      <c r="F339" s="19"/>
      <c r="G339" s="7">
        <v>0</v>
      </c>
      <c r="H339" t="str">
        <f t="shared" si="31"/>
        <v>销售费用_差旅费</v>
      </c>
    </row>
    <row r="340" spans="1:8">
      <c r="A340">
        <v>660104</v>
      </c>
      <c r="B340" t="s">
        <v>21</v>
      </c>
      <c r="C340" t="s">
        <v>390</v>
      </c>
      <c r="D340" s="175">
        <v>2</v>
      </c>
      <c r="E340" s="175" t="s">
        <v>0</v>
      </c>
      <c r="F340" s="19"/>
      <c r="G340" s="7">
        <v>0</v>
      </c>
      <c r="H340" t="str">
        <f t="shared" si="31"/>
        <v>销售费用_业务经费</v>
      </c>
    </row>
    <row r="341" spans="1:8">
      <c r="A341">
        <v>660105</v>
      </c>
      <c r="B341" t="s">
        <v>21</v>
      </c>
      <c r="C341" t="s">
        <v>391</v>
      </c>
      <c r="D341" s="175">
        <v>2</v>
      </c>
      <c r="E341" s="175" t="s">
        <v>0</v>
      </c>
      <c r="F341" s="19"/>
      <c r="G341" s="7">
        <v>0</v>
      </c>
      <c r="H341" t="str">
        <f t="shared" si="31"/>
        <v>销售费用_车辆费用</v>
      </c>
    </row>
    <row r="342" spans="1:8">
      <c r="A342">
        <v>660106</v>
      </c>
      <c r="B342" t="s">
        <v>21</v>
      </c>
      <c r="C342" t="s">
        <v>392</v>
      </c>
      <c r="D342" s="175">
        <v>2</v>
      </c>
      <c r="E342" s="175" t="s">
        <v>0</v>
      </c>
      <c r="F342" s="19"/>
      <c r="G342" s="7">
        <v>0</v>
      </c>
      <c r="H342" t="str">
        <f t="shared" si="31"/>
        <v>销售费用_通讯费</v>
      </c>
    </row>
    <row r="343" spans="1:8">
      <c r="A343">
        <v>660107</v>
      </c>
      <c r="B343" t="s">
        <v>21</v>
      </c>
      <c r="C343" t="s">
        <v>240</v>
      </c>
      <c r="D343" s="175">
        <v>2</v>
      </c>
      <c r="E343" s="175" t="s">
        <v>0</v>
      </c>
      <c r="F343" s="19"/>
      <c r="G343" s="7">
        <v>0</v>
      </c>
      <c r="H343" t="str">
        <f t="shared" si="31"/>
        <v>销售费用_折旧费</v>
      </c>
    </row>
    <row r="344" spans="1:8">
      <c r="A344">
        <v>660108</v>
      </c>
      <c r="B344" t="s">
        <v>21</v>
      </c>
      <c r="C344" t="s">
        <v>393</v>
      </c>
      <c r="D344" s="175">
        <v>2</v>
      </c>
      <c r="E344" s="175" t="s">
        <v>0</v>
      </c>
      <c r="F344" s="19"/>
      <c r="G344" s="7">
        <v>0</v>
      </c>
      <c r="H344" t="str">
        <f t="shared" si="31"/>
        <v>销售费用_会务费</v>
      </c>
    </row>
    <row r="345" spans="1:8">
      <c r="A345">
        <v>660109</v>
      </c>
      <c r="B345" t="s">
        <v>21</v>
      </c>
      <c r="C345" t="s">
        <v>394</v>
      </c>
      <c r="D345" s="175">
        <v>2</v>
      </c>
      <c r="E345" s="175" t="s">
        <v>0</v>
      </c>
      <c r="F345" s="19"/>
      <c r="G345" s="7">
        <v>0</v>
      </c>
      <c r="H345" t="str">
        <f t="shared" si="31"/>
        <v>销售费用_包装费</v>
      </c>
    </row>
    <row r="346" spans="1:8">
      <c r="A346">
        <v>660110</v>
      </c>
      <c r="B346" t="s">
        <v>21</v>
      </c>
      <c r="C346" t="s">
        <v>395</v>
      </c>
      <c r="D346" s="175">
        <v>2</v>
      </c>
      <c r="E346" s="175" t="s">
        <v>0</v>
      </c>
      <c r="F346" s="19"/>
      <c r="G346" s="7">
        <v>0</v>
      </c>
      <c r="H346" t="str">
        <f t="shared" si="31"/>
        <v>销售费用_运输费</v>
      </c>
    </row>
    <row r="347" spans="1:8">
      <c r="A347">
        <v>660111</v>
      </c>
      <c r="B347" t="s">
        <v>21</v>
      </c>
      <c r="C347" t="s">
        <v>396</v>
      </c>
      <c r="D347" s="175">
        <v>2</v>
      </c>
      <c r="E347" s="175" t="s">
        <v>0</v>
      </c>
      <c r="F347" s="19"/>
      <c r="G347" s="7">
        <v>0</v>
      </c>
      <c r="H347" t="str">
        <f t="shared" si="31"/>
        <v>销售费用_装卸费</v>
      </c>
    </row>
    <row r="348" spans="1:8">
      <c r="A348">
        <v>660112</v>
      </c>
      <c r="B348" t="s">
        <v>21</v>
      </c>
      <c r="C348" t="s">
        <v>397</v>
      </c>
      <c r="D348" s="175">
        <v>2</v>
      </c>
      <c r="E348" s="175" t="s">
        <v>0</v>
      </c>
      <c r="F348" s="19"/>
      <c r="G348" s="7">
        <v>0</v>
      </c>
      <c r="H348" t="str">
        <f t="shared" si="31"/>
        <v>销售费用_仓储保管费</v>
      </c>
    </row>
    <row r="349" spans="1:8">
      <c r="A349">
        <v>660113</v>
      </c>
      <c r="B349" t="s">
        <v>21</v>
      </c>
      <c r="C349" t="s">
        <v>398</v>
      </c>
      <c r="D349" s="175">
        <v>2</v>
      </c>
      <c r="E349" s="175" t="s">
        <v>0</v>
      </c>
      <c r="F349" s="19"/>
      <c r="G349" s="7">
        <v>0</v>
      </c>
      <c r="H349" t="str">
        <f t="shared" si="31"/>
        <v>销售费用_保险费</v>
      </c>
    </row>
    <row r="350" spans="1:8">
      <c r="A350">
        <v>660114</v>
      </c>
      <c r="B350" t="s">
        <v>21</v>
      </c>
      <c r="C350" t="s">
        <v>399</v>
      </c>
      <c r="D350" s="175">
        <v>2</v>
      </c>
      <c r="E350" s="175" t="s">
        <v>0</v>
      </c>
      <c r="F350" s="19"/>
      <c r="G350" s="7">
        <v>0</v>
      </c>
      <c r="H350" t="str">
        <f t="shared" si="31"/>
        <v>销售费用_销售服务费</v>
      </c>
    </row>
    <row r="351" spans="1:8">
      <c r="A351">
        <v>660115</v>
      </c>
      <c r="B351" t="s">
        <v>21</v>
      </c>
      <c r="C351" t="s">
        <v>400</v>
      </c>
      <c r="D351" s="175">
        <v>2</v>
      </c>
      <c r="E351" s="175" t="s">
        <v>0</v>
      </c>
      <c r="F351" s="19"/>
      <c r="G351" s="7">
        <v>0</v>
      </c>
      <c r="H351" t="str">
        <f t="shared" si="31"/>
        <v>销售费用_广告费</v>
      </c>
    </row>
    <row r="352" spans="1:8">
      <c r="A352">
        <v>660116</v>
      </c>
      <c r="B352" t="s">
        <v>21</v>
      </c>
      <c r="C352" t="s">
        <v>401</v>
      </c>
      <c r="D352" s="175">
        <v>2</v>
      </c>
      <c r="E352" s="175" t="s">
        <v>0</v>
      </c>
      <c r="F352" s="19"/>
      <c r="G352" s="7">
        <v>0</v>
      </c>
      <c r="H352" t="str">
        <f t="shared" si="31"/>
        <v>销售费用_样品及产品损耗</v>
      </c>
    </row>
    <row r="353" spans="1:8">
      <c r="A353">
        <v>660117</v>
      </c>
      <c r="B353" t="s">
        <v>21</v>
      </c>
      <c r="C353" t="s">
        <v>402</v>
      </c>
      <c r="D353" s="175">
        <v>2</v>
      </c>
      <c r="E353" s="175" t="s">
        <v>0</v>
      </c>
      <c r="F353" s="19"/>
      <c r="G353" s="7">
        <v>0</v>
      </c>
      <c r="H353" t="str">
        <f t="shared" si="31"/>
        <v>销售费用_委托代销手续费</v>
      </c>
    </row>
    <row r="354" spans="1:8">
      <c r="A354">
        <v>660118</v>
      </c>
      <c r="B354" t="s">
        <v>21</v>
      </c>
      <c r="C354" t="s">
        <v>403</v>
      </c>
      <c r="D354" s="175">
        <v>2</v>
      </c>
      <c r="E354" s="175" t="s">
        <v>0</v>
      </c>
      <c r="F354" s="19"/>
      <c r="G354" s="7">
        <v>0</v>
      </c>
      <c r="H354" t="str">
        <f t="shared" si="31"/>
        <v>销售费用_宣传展览费</v>
      </c>
    </row>
    <row r="355" spans="1:8">
      <c r="A355">
        <v>660119</v>
      </c>
      <c r="B355" t="s">
        <v>21</v>
      </c>
      <c r="C355" t="s">
        <v>404</v>
      </c>
      <c r="D355" s="175">
        <v>2</v>
      </c>
      <c r="E355" s="175" t="s">
        <v>0</v>
      </c>
      <c r="F355" s="19"/>
      <c r="G355" s="7">
        <v>0</v>
      </c>
      <c r="H355" t="str">
        <f t="shared" si="31"/>
        <v>销售费用_产权交易税费</v>
      </c>
    </row>
    <row r="356" spans="1:8">
      <c r="A356">
        <v>660120</v>
      </c>
      <c r="B356" t="s">
        <v>21</v>
      </c>
      <c r="C356" t="s">
        <v>405</v>
      </c>
      <c r="D356" s="175">
        <v>2</v>
      </c>
      <c r="E356" s="175" t="s">
        <v>0</v>
      </c>
      <c r="F356" s="19"/>
      <c r="G356" s="7">
        <v>0</v>
      </c>
      <c r="H356" t="str">
        <f t="shared" si="31"/>
        <v>销售费用_卖场装修费</v>
      </c>
    </row>
    <row r="357" spans="1:8">
      <c r="A357">
        <v>660121</v>
      </c>
      <c r="B357" t="s">
        <v>21</v>
      </c>
      <c r="C357" t="s">
        <v>406</v>
      </c>
      <c r="D357" s="175">
        <v>2</v>
      </c>
      <c r="E357" s="175" t="s">
        <v>0</v>
      </c>
      <c r="F357" s="19"/>
      <c r="G357" s="7">
        <v>0</v>
      </c>
      <c r="H357" t="str">
        <f t="shared" si="31"/>
        <v>销售费用_低值易耗品摊销</v>
      </c>
    </row>
    <row r="358" spans="1:8">
      <c r="A358">
        <v>660122</v>
      </c>
      <c r="B358" t="s">
        <v>21</v>
      </c>
      <c r="C358" t="s">
        <v>407</v>
      </c>
      <c r="D358" s="175">
        <v>2</v>
      </c>
      <c r="E358" s="175" t="s">
        <v>0</v>
      </c>
      <c r="F358" s="19"/>
      <c r="G358" s="7">
        <v>0</v>
      </c>
      <c r="H358" t="str">
        <f t="shared" si="31"/>
        <v>销售费用_其他</v>
      </c>
    </row>
    <row r="359" spans="1:8">
      <c r="A359">
        <v>6602</v>
      </c>
      <c r="B359" t="s">
        <v>22</v>
      </c>
      <c r="D359" s="32">
        <v>1</v>
      </c>
      <c r="E359" s="128" t="s">
        <v>0</v>
      </c>
      <c r="F359" s="19"/>
      <c r="G359" s="25">
        <v>0</v>
      </c>
      <c r="H359" t="str">
        <f t="shared" si="21"/>
        <v>管理费用</v>
      </c>
    </row>
    <row r="360" spans="1:8">
      <c r="A360">
        <v>660201</v>
      </c>
      <c r="B360" t="s">
        <v>22</v>
      </c>
      <c r="C360" t="s">
        <v>389</v>
      </c>
      <c r="D360" s="128">
        <v>2</v>
      </c>
      <c r="E360" s="128" t="s">
        <v>0</v>
      </c>
      <c r="F360" s="19"/>
      <c r="G360" s="7">
        <v>0</v>
      </c>
      <c r="H360" t="str">
        <f t="shared" si="21"/>
        <v>管理费用_职工薪酬</v>
      </c>
    </row>
    <row r="361" spans="1:8">
      <c r="A361">
        <v>66020101</v>
      </c>
      <c r="B361" t="s">
        <v>22</v>
      </c>
      <c r="C361" t="s">
        <v>439</v>
      </c>
      <c r="D361" s="128">
        <v>3</v>
      </c>
      <c r="E361" s="128" t="s">
        <v>0</v>
      </c>
      <c r="F361" s="19"/>
      <c r="G361" s="7">
        <v>0</v>
      </c>
      <c r="H361" t="str">
        <f t="shared" si="21"/>
        <v>管理费用_职工薪酬_工资</v>
      </c>
    </row>
    <row r="362" spans="1:8">
      <c r="A362">
        <v>66020102</v>
      </c>
      <c r="B362" t="s">
        <v>22</v>
      </c>
      <c r="C362" t="s">
        <v>440</v>
      </c>
      <c r="D362" s="128">
        <v>3</v>
      </c>
      <c r="E362" s="128" t="s">
        <v>0</v>
      </c>
      <c r="F362" s="19"/>
      <c r="G362" s="7">
        <v>0</v>
      </c>
      <c r="H362" t="str">
        <f t="shared" si="21"/>
        <v>管理费用_职工薪酬_福利费用</v>
      </c>
    </row>
    <row r="363" spans="1:8">
      <c r="A363">
        <v>660202</v>
      </c>
      <c r="B363" t="s">
        <v>22</v>
      </c>
      <c r="C363" t="s">
        <v>238</v>
      </c>
      <c r="D363" s="128">
        <v>2</v>
      </c>
      <c r="E363" s="128" t="s">
        <v>0</v>
      </c>
      <c r="F363" s="19"/>
      <c r="G363" s="7">
        <v>0</v>
      </c>
      <c r="H363" t="str">
        <f t="shared" si="21"/>
        <v>管理费用_办公费</v>
      </c>
    </row>
    <row r="364" spans="1:8">
      <c r="A364">
        <v>660203</v>
      </c>
      <c r="B364" t="s">
        <v>22</v>
      </c>
      <c r="C364" t="s">
        <v>239</v>
      </c>
      <c r="D364" s="128">
        <v>2</v>
      </c>
      <c r="E364" s="128" t="s">
        <v>0</v>
      </c>
      <c r="F364" s="19"/>
      <c r="G364" s="7">
        <v>0</v>
      </c>
      <c r="H364" t="str">
        <f t="shared" si="21"/>
        <v>管理费用_差旅费</v>
      </c>
    </row>
    <row r="365" spans="1:8">
      <c r="A365">
        <v>660204</v>
      </c>
      <c r="B365" t="s">
        <v>22</v>
      </c>
      <c r="C365" t="s">
        <v>408</v>
      </c>
      <c r="D365" s="128">
        <v>2</v>
      </c>
      <c r="E365" s="128" t="s">
        <v>0</v>
      </c>
      <c r="F365" s="19"/>
      <c r="G365" s="7">
        <v>0</v>
      </c>
      <c r="H365" t="str">
        <f t="shared" si="21"/>
        <v>管理费用_业务招待费</v>
      </c>
    </row>
    <row r="366" spans="1:8">
      <c r="A366">
        <v>660205</v>
      </c>
      <c r="B366" t="s">
        <v>22</v>
      </c>
      <c r="C366" t="s">
        <v>391</v>
      </c>
      <c r="D366" s="128">
        <v>2</v>
      </c>
      <c r="E366" s="128" t="s">
        <v>0</v>
      </c>
      <c r="F366" s="19"/>
      <c r="G366" s="7">
        <v>0</v>
      </c>
      <c r="H366" t="str">
        <f t="shared" si="21"/>
        <v>管理费用_车辆费用</v>
      </c>
    </row>
    <row r="367" spans="1:8">
      <c r="A367">
        <v>660206</v>
      </c>
      <c r="B367" t="s">
        <v>22</v>
      </c>
      <c r="C367" t="s">
        <v>392</v>
      </c>
      <c r="D367" s="128">
        <v>2</v>
      </c>
      <c r="E367" s="128" t="s">
        <v>0</v>
      </c>
      <c r="F367" s="19"/>
      <c r="G367" s="7">
        <v>0</v>
      </c>
      <c r="H367" t="str">
        <f t="shared" si="21"/>
        <v>管理费用_通讯费</v>
      </c>
    </row>
    <row r="368" spans="1:8">
      <c r="A368">
        <v>660207</v>
      </c>
      <c r="B368" t="s">
        <v>22</v>
      </c>
      <c r="C368" t="s">
        <v>240</v>
      </c>
      <c r="D368" s="128">
        <v>2</v>
      </c>
      <c r="E368" s="128" t="s">
        <v>0</v>
      </c>
      <c r="F368" s="19"/>
      <c r="G368" s="7">
        <v>0</v>
      </c>
      <c r="H368" t="str">
        <f t="shared" si="21"/>
        <v>管理费用_折旧费</v>
      </c>
    </row>
    <row r="369" spans="1:8">
      <c r="A369">
        <v>660208</v>
      </c>
      <c r="B369" t="s">
        <v>22</v>
      </c>
      <c r="C369" t="s">
        <v>393</v>
      </c>
      <c r="D369" s="128">
        <v>2</v>
      </c>
      <c r="E369" s="128" t="s">
        <v>0</v>
      </c>
      <c r="F369" s="19"/>
      <c r="G369" s="7">
        <v>0</v>
      </c>
      <c r="H369" t="str">
        <f t="shared" si="21"/>
        <v>管理费用_会务费</v>
      </c>
    </row>
    <row r="370" spans="1:8">
      <c r="A370">
        <v>660209</v>
      </c>
      <c r="B370" t="s">
        <v>22</v>
      </c>
      <c r="C370" t="s">
        <v>409</v>
      </c>
      <c r="D370" s="128">
        <v>2</v>
      </c>
      <c r="E370" s="128" t="s">
        <v>0</v>
      </c>
      <c r="F370" s="19"/>
      <c r="G370" s="7">
        <v>0</v>
      </c>
      <c r="H370" t="str">
        <f t="shared" si="21"/>
        <v>管理费用_筹建费</v>
      </c>
    </row>
    <row r="371" spans="1:8">
      <c r="A371">
        <v>660210</v>
      </c>
      <c r="B371" t="s">
        <v>22</v>
      </c>
      <c r="C371" t="s">
        <v>410</v>
      </c>
      <c r="D371" s="128">
        <v>2</v>
      </c>
      <c r="E371" s="128" t="s">
        <v>0</v>
      </c>
      <c r="F371" s="19"/>
      <c r="G371" s="7">
        <v>0</v>
      </c>
      <c r="H371" t="str">
        <f>IF(C371="",B371,CONCATENATE(B371,"_",C371))</f>
        <v>管理费用_物管费</v>
      </c>
    </row>
    <row r="372" spans="1:8">
      <c r="A372">
        <v>660211</v>
      </c>
      <c r="B372" t="s">
        <v>22</v>
      </c>
      <c r="C372" t="s">
        <v>398</v>
      </c>
      <c r="D372" s="128">
        <v>2</v>
      </c>
      <c r="E372" s="128" t="s">
        <v>0</v>
      </c>
      <c r="F372" s="19"/>
      <c r="G372" s="7">
        <v>0</v>
      </c>
      <c r="H372" t="str">
        <f>IF(C372="",B372,CONCATENATE(B372,"_",C372))</f>
        <v>管理费用_保险费</v>
      </c>
    </row>
    <row r="373" spans="1:8">
      <c r="A373">
        <v>660212</v>
      </c>
      <c r="B373" t="s">
        <v>22</v>
      </c>
      <c r="C373" t="s">
        <v>411</v>
      </c>
      <c r="D373" s="128">
        <v>2</v>
      </c>
      <c r="E373" s="128" t="s">
        <v>0</v>
      </c>
      <c r="F373" s="19"/>
      <c r="G373" s="7">
        <v>0</v>
      </c>
      <c r="H373" t="str">
        <f>IF(C373="",B373,CONCATENATE(B373,"_",C373))</f>
        <v>管理费用_修理费</v>
      </c>
    </row>
    <row r="374" spans="1:8">
      <c r="A374">
        <v>660213</v>
      </c>
      <c r="B374" t="s">
        <v>22</v>
      </c>
      <c r="C374" t="s">
        <v>412</v>
      </c>
      <c r="D374" s="128">
        <v>2</v>
      </c>
      <c r="E374" s="128" t="s">
        <v>0</v>
      </c>
      <c r="F374" s="19"/>
      <c r="G374" s="7">
        <v>0</v>
      </c>
      <c r="H374" t="str">
        <f t="shared" si="21"/>
        <v>管理费用_资产摊销</v>
      </c>
    </row>
    <row r="375" spans="1:8">
      <c r="A375">
        <v>660214</v>
      </c>
      <c r="B375" t="s">
        <v>22</v>
      </c>
      <c r="C375" t="s">
        <v>413</v>
      </c>
      <c r="D375" s="175">
        <v>2</v>
      </c>
      <c r="E375" s="175" t="s">
        <v>0</v>
      </c>
      <c r="F375" s="19"/>
      <c r="G375" s="7">
        <v>0</v>
      </c>
      <c r="H375" t="str">
        <f t="shared" ref="H375:H391" si="32">IF(C375="",B375,CONCATENATE(B375,"_",C375))</f>
        <v>管理费用_存货盘亏及毁损</v>
      </c>
    </row>
    <row r="376" spans="1:8">
      <c r="A376">
        <v>660215</v>
      </c>
      <c r="B376" t="s">
        <v>22</v>
      </c>
      <c r="C376" t="s">
        <v>414</v>
      </c>
      <c r="D376" s="175">
        <v>2</v>
      </c>
      <c r="E376" s="175" t="s">
        <v>0</v>
      </c>
      <c r="F376" s="19"/>
      <c r="G376" s="7">
        <v>0</v>
      </c>
      <c r="H376" t="str">
        <f t="shared" si="32"/>
        <v>管理费用_水电费</v>
      </c>
    </row>
    <row r="377" spans="1:8">
      <c r="A377">
        <v>660216</v>
      </c>
      <c r="B377" t="s">
        <v>22</v>
      </c>
      <c r="C377" t="s">
        <v>415</v>
      </c>
      <c r="D377" s="175">
        <v>2</v>
      </c>
      <c r="E377" s="175" t="s">
        <v>0</v>
      </c>
      <c r="F377" s="19"/>
      <c r="G377" s="7">
        <v>0</v>
      </c>
      <c r="H377" t="str">
        <f t="shared" si="32"/>
        <v>管理费用_租赁费</v>
      </c>
    </row>
    <row r="378" spans="1:8">
      <c r="A378">
        <v>660217</v>
      </c>
      <c r="B378" t="s">
        <v>22</v>
      </c>
      <c r="C378" t="s">
        <v>416</v>
      </c>
      <c r="D378" s="175">
        <v>2</v>
      </c>
      <c r="E378" s="175" t="s">
        <v>0</v>
      </c>
      <c r="F378" s="19"/>
      <c r="G378" s="7">
        <v>0</v>
      </c>
      <c r="H378" t="str">
        <f t="shared" si="32"/>
        <v>管理费用_诉讼仲裁费</v>
      </c>
    </row>
    <row r="379" spans="1:8">
      <c r="A379">
        <v>660218</v>
      </c>
      <c r="B379" t="s">
        <v>22</v>
      </c>
      <c r="C379" t="s">
        <v>417</v>
      </c>
      <c r="D379" s="175">
        <v>2</v>
      </c>
      <c r="E379" s="175" t="s">
        <v>0</v>
      </c>
      <c r="F379" s="19"/>
      <c r="G379" s="7">
        <v>0</v>
      </c>
      <c r="H379" t="str">
        <f t="shared" si="32"/>
        <v>管理费用_聘请中介机构费</v>
      </c>
    </row>
    <row r="380" spans="1:8">
      <c r="A380">
        <v>660219</v>
      </c>
      <c r="B380" t="s">
        <v>22</v>
      </c>
      <c r="C380" t="s">
        <v>418</v>
      </c>
      <c r="D380" s="175">
        <v>2</v>
      </c>
      <c r="E380" s="175" t="s">
        <v>0</v>
      </c>
      <c r="F380" s="19"/>
      <c r="G380" s="7">
        <v>0</v>
      </c>
      <c r="H380" t="str">
        <f t="shared" si="32"/>
        <v>管理费用_咨询费</v>
      </c>
    </row>
    <row r="381" spans="1:8">
      <c r="A381">
        <v>660220</v>
      </c>
      <c r="B381" t="s">
        <v>22</v>
      </c>
      <c r="C381" t="s">
        <v>419</v>
      </c>
      <c r="D381" s="175">
        <v>2</v>
      </c>
      <c r="E381" s="175" t="s">
        <v>0</v>
      </c>
      <c r="F381" s="19"/>
      <c r="G381" s="7">
        <v>0</v>
      </c>
      <c r="H381" t="str">
        <f t="shared" si="32"/>
        <v>管理费用_研究与开发费用</v>
      </c>
    </row>
    <row r="382" spans="1:8">
      <c r="A382">
        <v>660221</v>
      </c>
      <c r="B382" t="s">
        <v>22</v>
      </c>
      <c r="C382" t="s">
        <v>420</v>
      </c>
      <c r="D382" s="175">
        <v>2</v>
      </c>
      <c r="E382" s="175" t="s">
        <v>0</v>
      </c>
      <c r="F382" s="19"/>
      <c r="G382" s="7">
        <v>0</v>
      </c>
      <c r="H382" t="str">
        <f t="shared" si="32"/>
        <v>管理费用_技术转让费</v>
      </c>
    </row>
    <row r="383" spans="1:8">
      <c r="A383">
        <v>660222</v>
      </c>
      <c r="B383" t="s">
        <v>22</v>
      </c>
      <c r="C383" t="s">
        <v>421</v>
      </c>
      <c r="D383" s="175">
        <v>2</v>
      </c>
      <c r="E383" s="175" t="s">
        <v>0</v>
      </c>
      <c r="F383" s="19"/>
      <c r="G383" s="7">
        <v>0</v>
      </c>
      <c r="H383" t="str">
        <f t="shared" si="32"/>
        <v>管理费用_董事会费</v>
      </c>
    </row>
    <row r="384" spans="1:8">
      <c r="A384">
        <v>660223</v>
      </c>
      <c r="B384" t="s">
        <v>22</v>
      </c>
      <c r="C384" t="s">
        <v>422</v>
      </c>
      <c r="D384" s="175">
        <v>2</v>
      </c>
      <c r="E384" s="175" t="s">
        <v>0</v>
      </c>
      <c r="F384" s="19"/>
      <c r="G384" s="7">
        <v>0</v>
      </c>
      <c r="H384" t="str">
        <f t="shared" si="32"/>
        <v>管理费用_排污费</v>
      </c>
    </row>
    <row r="385" spans="1:8">
      <c r="A385">
        <v>660224</v>
      </c>
      <c r="B385" t="s">
        <v>22</v>
      </c>
      <c r="C385" s="22" t="s">
        <v>423</v>
      </c>
      <c r="D385" s="175">
        <v>2</v>
      </c>
      <c r="E385" s="175" t="s">
        <v>0</v>
      </c>
      <c r="F385" s="19"/>
      <c r="G385" s="7">
        <v>0</v>
      </c>
      <c r="H385" t="str">
        <f t="shared" si="32"/>
        <v>管理费用_税费</v>
      </c>
    </row>
    <row r="386" spans="1:8">
      <c r="A386">
        <v>66022401</v>
      </c>
      <c r="B386" t="s">
        <v>22</v>
      </c>
      <c r="C386" s="22" t="s">
        <v>428</v>
      </c>
      <c r="D386" s="175">
        <v>3</v>
      </c>
      <c r="E386" s="175" t="s">
        <v>0</v>
      </c>
      <c r="F386" s="19"/>
      <c r="G386" s="7">
        <v>0</v>
      </c>
      <c r="H386" t="str">
        <f t="shared" si="32"/>
        <v>管理费用_税费_印花税</v>
      </c>
    </row>
    <row r="387" spans="1:8">
      <c r="A387">
        <v>66022402</v>
      </c>
      <c r="B387" t="s">
        <v>22</v>
      </c>
      <c r="C387" s="22" t="s">
        <v>429</v>
      </c>
      <c r="D387" s="175">
        <v>3</v>
      </c>
      <c r="E387" s="175" t="s">
        <v>0</v>
      </c>
      <c r="F387" s="19"/>
      <c r="G387" s="7">
        <v>0</v>
      </c>
      <c r="H387" t="str">
        <f t="shared" si="32"/>
        <v>管理费用_税费_车船使用税</v>
      </c>
    </row>
    <row r="388" spans="1:8">
      <c r="A388">
        <v>66022403</v>
      </c>
      <c r="B388" t="s">
        <v>22</v>
      </c>
      <c r="C388" s="22" t="s">
        <v>430</v>
      </c>
      <c r="D388" s="175">
        <v>3</v>
      </c>
      <c r="E388" s="175" t="s">
        <v>0</v>
      </c>
      <c r="F388" s="19"/>
      <c r="G388" s="7">
        <v>0</v>
      </c>
      <c r="H388" t="str">
        <f t="shared" si="32"/>
        <v>管理费用_税费_土地使用税</v>
      </c>
    </row>
    <row r="389" spans="1:8">
      <c r="A389">
        <v>66022404</v>
      </c>
      <c r="B389" t="s">
        <v>22</v>
      </c>
      <c r="C389" s="22" t="s">
        <v>431</v>
      </c>
      <c r="D389" s="175">
        <v>3</v>
      </c>
      <c r="E389" s="175" t="s">
        <v>0</v>
      </c>
      <c r="F389" s="19"/>
      <c r="G389" s="7">
        <v>0</v>
      </c>
      <c r="H389" t="str">
        <f t="shared" si="32"/>
        <v>管理费用_税费_房产税</v>
      </c>
    </row>
    <row r="390" spans="1:8">
      <c r="A390">
        <v>660225</v>
      </c>
      <c r="B390" t="s">
        <v>22</v>
      </c>
      <c r="C390" t="s">
        <v>424</v>
      </c>
      <c r="D390" s="175">
        <v>2</v>
      </c>
      <c r="E390" s="175" t="s">
        <v>0</v>
      </c>
      <c r="F390" s="19"/>
      <c r="G390" s="7">
        <v>0</v>
      </c>
      <c r="H390" t="str">
        <f t="shared" si="32"/>
        <v>管理费用_企业宣传费</v>
      </c>
    </row>
    <row r="391" spans="1:8">
      <c r="A391">
        <v>660297</v>
      </c>
      <c r="B391" t="s">
        <v>22</v>
      </c>
      <c r="C391" s="22" t="s">
        <v>407</v>
      </c>
      <c r="D391" s="175">
        <v>2</v>
      </c>
      <c r="E391" s="175" t="s">
        <v>0</v>
      </c>
      <c r="F391" s="19"/>
      <c r="G391" s="7">
        <v>0</v>
      </c>
      <c r="H391" t="str">
        <f t="shared" si="32"/>
        <v>管理费用_其他</v>
      </c>
    </row>
    <row r="392" spans="1:8">
      <c r="A392">
        <v>6603</v>
      </c>
      <c r="B392" t="s">
        <v>242</v>
      </c>
      <c r="D392" s="32">
        <v>1</v>
      </c>
      <c r="E392" s="128" t="s">
        <v>0</v>
      </c>
      <c r="F392" s="19"/>
      <c r="G392" s="25">
        <v>0</v>
      </c>
      <c r="H392" t="str">
        <f t="shared" ref="H392:H409" si="33">IF(C392="",B392,CONCATENATE(B392,"_",C392))</f>
        <v>财务费用</v>
      </c>
    </row>
    <row r="393" spans="1:8">
      <c r="A393">
        <v>660301</v>
      </c>
      <c r="B393" t="s">
        <v>242</v>
      </c>
      <c r="C393" t="s">
        <v>262</v>
      </c>
      <c r="D393" s="128">
        <v>2</v>
      </c>
      <c r="E393" s="128" t="s">
        <v>0</v>
      </c>
      <c r="F393" s="19"/>
      <c r="G393" s="7">
        <v>0</v>
      </c>
      <c r="H393" t="str">
        <f t="shared" si="33"/>
        <v>财务费用_利息支出</v>
      </c>
    </row>
    <row r="394" spans="1:8">
      <c r="A394">
        <v>660302</v>
      </c>
      <c r="B394" t="s">
        <v>242</v>
      </c>
      <c r="C394" s="22" t="s">
        <v>425</v>
      </c>
      <c r="D394" s="147">
        <v>2</v>
      </c>
      <c r="E394" s="147" t="s">
        <v>0</v>
      </c>
      <c r="F394" s="19"/>
      <c r="G394" s="7">
        <v>0</v>
      </c>
      <c r="H394" t="str">
        <f>IF(C394="",B394,CONCATENATE(B394,"_",C394))</f>
        <v>财务费用_利息收入</v>
      </c>
    </row>
    <row r="395" spans="1:8">
      <c r="A395">
        <v>660303</v>
      </c>
      <c r="B395" t="s">
        <v>242</v>
      </c>
      <c r="C395" s="22" t="s">
        <v>426</v>
      </c>
      <c r="D395" s="175">
        <v>2</v>
      </c>
      <c r="E395" s="175" t="s">
        <v>0</v>
      </c>
      <c r="F395" s="19"/>
      <c r="G395" s="7">
        <v>0</v>
      </c>
      <c r="H395" t="str">
        <f t="shared" ref="H395:H396" si="34">IF(C395="",B395,CONCATENATE(B395,"_",C395))</f>
        <v>财务费用_汇总差额</v>
      </c>
    </row>
    <row r="396" spans="1:8">
      <c r="A396">
        <v>660304</v>
      </c>
      <c r="B396" t="s">
        <v>242</v>
      </c>
      <c r="C396" t="s">
        <v>243</v>
      </c>
      <c r="D396" s="175">
        <v>2</v>
      </c>
      <c r="E396" s="175" t="s">
        <v>0</v>
      </c>
      <c r="F396" s="19"/>
      <c r="G396" s="7">
        <v>0</v>
      </c>
      <c r="H396" t="str">
        <f t="shared" si="34"/>
        <v>财务费用_手续费</v>
      </c>
    </row>
    <row r="397" spans="1:8">
      <c r="A397">
        <v>660305</v>
      </c>
      <c r="B397" t="s">
        <v>242</v>
      </c>
      <c r="C397" s="22" t="s">
        <v>427</v>
      </c>
      <c r="D397" s="128">
        <v>2</v>
      </c>
      <c r="E397" s="128" t="s">
        <v>0</v>
      </c>
      <c r="F397" s="19"/>
      <c r="G397" s="7">
        <v>0</v>
      </c>
      <c r="H397" t="str">
        <f t="shared" si="33"/>
        <v>财务费用_现金折扣</v>
      </c>
    </row>
    <row r="398" spans="1:8">
      <c r="A398">
        <v>6701</v>
      </c>
      <c r="B398" t="s">
        <v>244</v>
      </c>
      <c r="D398" s="32">
        <v>1</v>
      </c>
      <c r="E398" s="128" t="s">
        <v>0</v>
      </c>
      <c r="F398" s="19"/>
      <c r="G398" s="25">
        <v>0</v>
      </c>
      <c r="H398" t="str">
        <f t="shared" si="33"/>
        <v>资产减值损失</v>
      </c>
    </row>
    <row r="399" spans="1:8">
      <c r="A399">
        <v>6711</v>
      </c>
      <c r="B399" t="s">
        <v>245</v>
      </c>
      <c r="D399" s="32">
        <v>1</v>
      </c>
      <c r="E399" s="128" t="s">
        <v>0</v>
      </c>
      <c r="F399" s="19"/>
      <c r="G399" s="25">
        <v>0</v>
      </c>
      <c r="H399" t="str">
        <f t="shared" si="33"/>
        <v>营业外支出</v>
      </c>
    </row>
    <row r="400" spans="1:8">
      <c r="A400">
        <v>671101</v>
      </c>
      <c r="B400" t="s">
        <v>245</v>
      </c>
      <c r="C400" t="s">
        <v>246</v>
      </c>
      <c r="D400" s="128">
        <v>2</v>
      </c>
      <c r="E400" s="128" t="s">
        <v>0</v>
      </c>
      <c r="F400" s="19"/>
      <c r="G400" s="7">
        <v>0</v>
      </c>
      <c r="H400" t="str">
        <f t="shared" si="33"/>
        <v>营业外支出_处置非流动资产损失</v>
      </c>
    </row>
    <row r="401" spans="1:8">
      <c r="A401">
        <v>671102</v>
      </c>
      <c r="B401" t="s">
        <v>245</v>
      </c>
      <c r="C401" t="s">
        <v>247</v>
      </c>
      <c r="D401" s="128">
        <v>2</v>
      </c>
      <c r="E401" s="128" t="s">
        <v>0</v>
      </c>
      <c r="F401" s="19"/>
      <c r="G401" s="7">
        <v>0</v>
      </c>
      <c r="H401" t="str">
        <f t="shared" si="33"/>
        <v>营业外支出_非货币性资产交换损失</v>
      </c>
    </row>
    <row r="402" spans="1:8">
      <c r="A402">
        <v>671103</v>
      </c>
      <c r="B402" t="s">
        <v>245</v>
      </c>
      <c r="C402" t="s">
        <v>248</v>
      </c>
      <c r="D402" s="128">
        <v>2</v>
      </c>
      <c r="E402" s="128" t="s">
        <v>0</v>
      </c>
      <c r="F402" s="19"/>
      <c r="G402" s="7">
        <v>0</v>
      </c>
      <c r="H402" t="str">
        <f t="shared" si="33"/>
        <v>营业外支出_债务重组损失</v>
      </c>
    </row>
    <row r="403" spans="1:8">
      <c r="A403">
        <v>671104</v>
      </c>
      <c r="B403" t="s">
        <v>245</v>
      </c>
      <c r="C403" t="s">
        <v>249</v>
      </c>
      <c r="D403" s="128">
        <v>2</v>
      </c>
      <c r="E403" s="128" t="s">
        <v>0</v>
      </c>
      <c r="F403" s="19"/>
      <c r="G403" s="7">
        <v>0</v>
      </c>
      <c r="H403" t="str">
        <f t="shared" si="33"/>
        <v>营业外支出_罚款支出</v>
      </c>
    </row>
    <row r="404" spans="1:8">
      <c r="A404">
        <v>671105</v>
      </c>
      <c r="B404" t="s">
        <v>245</v>
      </c>
      <c r="C404" t="s">
        <v>250</v>
      </c>
      <c r="D404" s="128">
        <v>2</v>
      </c>
      <c r="E404" s="128" t="s">
        <v>0</v>
      </c>
      <c r="F404" s="19"/>
      <c r="G404" s="7">
        <v>0</v>
      </c>
      <c r="H404" t="str">
        <f t="shared" si="33"/>
        <v>营业外支出_捐赠支出</v>
      </c>
    </row>
    <row r="405" spans="1:8">
      <c r="A405">
        <v>671106</v>
      </c>
      <c r="B405" t="s">
        <v>245</v>
      </c>
      <c r="C405" t="s">
        <v>251</v>
      </c>
      <c r="D405" s="128">
        <v>2</v>
      </c>
      <c r="E405" s="128" t="s">
        <v>0</v>
      </c>
      <c r="F405" s="19"/>
      <c r="G405" s="7">
        <v>0</v>
      </c>
      <c r="H405" t="str">
        <f t="shared" si="33"/>
        <v>营业外支出_非常损失</v>
      </c>
    </row>
    <row r="406" spans="1:8">
      <c r="A406">
        <v>6801</v>
      </c>
      <c r="B406" t="s">
        <v>252</v>
      </c>
      <c r="D406" s="32">
        <v>1</v>
      </c>
      <c r="E406" s="128" t="s">
        <v>0</v>
      </c>
      <c r="F406" s="19"/>
      <c r="G406" s="25">
        <v>0</v>
      </c>
      <c r="H406" t="str">
        <f t="shared" si="33"/>
        <v>所得税费用</v>
      </c>
    </row>
    <row r="407" spans="1:8">
      <c r="A407">
        <v>680101</v>
      </c>
      <c r="B407" t="s">
        <v>252</v>
      </c>
      <c r="C407" t="s">
        <v>253</v>
      </c>
      <c r="D407" s="128">
        <v>2</v>
      </c>
      <c r="E407" s="128" t="s">
        <v>0</v>
      </c>
      <c r="F407" s="19"/>
      <c r="G407" s="7">
        <v>0</v>
      </c>
      <c r="H407" t="str">
        <f t="shared" si="33"/>
        <v>所得税费用_当期所得税费用</v>
      </c>
    </row>
    <row r="408" spans="1:8">
      <c r="A408">
        <v>680102</v>
      </c>
      <c r="B408" t="s">
        <v>252</v>
      </c>
      <c r="C408" t="s">
        <v>254</v>
      </c>
      <c r="D408" s="128">
        <v>2</v>
      </c>
      <c r="E408" s="128" t="s">
        <v>0</v>
      </c>
      <c r="F408" s="19"/>
      <c r="G408" s="7">
        <v>0</v>
      </c>
      <c r="H408" t="str">
        <f t="shared" si="33"/>
        <v>所得税费用_递延所得税费用</v>
      </c>
    </row>
    <row r="409" spans="1:8">
      <c r="A409">
        <v>6901</v>
      </c>
      <c r="B409" t="s">
        <v>255</v>
      </c>
      <c r="D409" s="32">
        <v>1</v>
      </c>
      <c r="E409" s="128" t="s">
        <v>0</v>
      </c>
      <c r="F409" s="19"/>
      <c r="G409" s="25">
        <v>0</v>
      </c>
      <c r="H409" t="str">
        <f t="shared" si="33"/>
        <v>以前年度损益调整</v>
      </c>
    </row>
    <row r="410" spans="1:8">
      <c r="D410" s="45"/>
      <c r="E410" s="128"/>
      <c r="F410" s="19"/>
      <c r="G410" s="19"/>
    </row>
    <row r="411" spans="1:8">
      <c r="D411" s="45"/>
      <c r="E411" s="44"/>
      <c r="F411" s="19"/>
      <c r="G411" s="7"/>
    </row>
    <row r="412" spans="1:8">
      <c r="D412" s="45"/>
      <c r="E412" s="44"/>
      <c r="F412" s="19"/>
      <c r="G412" s="7"/>
    </row>
    <row r="413" spans="1:8">
      <c r="D413" s="45"/>
      <c r="E413" s="44"/>
      <c r="F413" s="19"/>
      <c r="G413" s="7"/>
    </row>
    <row r="414" spans="1:8">
      <c r="D414" s="45"/>
      <c r="E414" s="44"/>
      <c r="F414" s="19"/>
      <c r="G414" s="7"/>
    </row>
    <row r="415" spans="1:8">
      <c r="D415" s="45"/>
      <c r="E415" s="44"/>
      <c r="F415" s="19"/>
      <c r="G415" s="7"/>
    </row>
    <row r="416" spans="1:8">
      <c r="D416" s="45"/>
      <c r="E416" s="44"/>
      <c r="F416" s="19"/>
      <c r="G416" s="7"/>
    </row>
    <row r="417" spans="4:7">
      <c r="D417" s="45"/>
      <c r="E417" s="44"/>
      <c r="F417" s="19"/>
      <c r="G417" s="7"/>
    </row>
  </sheetData>
  <autoFilter ref="A4:G410"/>
  <mergeCells count="1">
    <mergeCell ref="A1:A2"/>
  </mergeCells>
  <phoneticPr fontId="2" type="noConversion"/>
  <conditionalFormatting sqref="A5:G409">
    <cfRule type="expression" dxfId="8" priority="1">
      <formula>$D5=1</formula>
    </cfRule>
  </conditionalFormatting>
  <dataValidations xWindow="569" yWindow="571" count="2">
    <dataValidation type="list" allowBlank="1" showInputMessage="1" showErrorMessage="1" promptTitle="请选择该科目的余额方向" prompt="只有两种选择“借”或“贷”" sqref="E5:E417">
      <formula1>"借,贷"</formula1>
    </dataValidation>
    <dataValidation type="custom" allowBlank="1" showInputMessage="1" showErrorMessage="1" sqref="A5:A11">
      <formula1>COUNTIF(A:A,A5)=1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N189"/>
  <sheetViews>
    <sheetView workbookViewId="0">
      <pane ySplit="4" topLeftCell="A8" activePane="bottomLeft" state="frozen"/>
      <selection pane="bottomLeft" activeCell="C12" sqref="C12"/>
    </sheetView>
  </sheetViews>
  <sheetFormatPr defaultRowHeight="14.25"/>
  <cols>
    <col min="1" max="2" width="5.5" customWidth="1"/>
    <col min="3" max="5" width="8.75" customWidth="1"/>
    <col min="6" max="6" width="7" hidden="1" customWidth="1"/>
    <col min="7" max="7" width="8.75" hidden="1" customWidth="1"/>
    <col min="8" max="8" width="14.875" customWidth="1"/>
    <col min="9" max="9" width="10.875" customWidth="1"/>
    <col min="10" max="10" width="28.125" customWidth="1"/>
    <col min="11" max="12" width="15.5" customWidth="1"/>
    <col min="13" max="13" width="14.875" customWidth="1"/>
    <col min="14" max="14" width="14.75" customWidth="1"/>
  </cols>
  <sheetData>
    <row r="1" spans="1:14" s="4" customFormat="1" ht="32.25" thickBot="1">
      <c r="A1" s="493" t="str">
        <f>Co&amp;A2&amp;"会计凭证"</f>
        <v>远大开发有限公司2013年会计凭证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37" t="str">
        <f>HYPERLINK("#目录!C3","返回")</f>
        <v>返回</v>
      </c>
    </row>
    <row r="2" spans="1:14" s="4" customFormat="1" ht="15" customHeight="1">
      <c r="A2" s="502" t="str">
        <f>资产负债表!J1&amp;"年"</f>
        <v>2013年</v>
      </c>
      <c r="B2" s="503"/>
      <c r="C2" s="53"/>
      <c r="D2" s="54"/>
      <c r="E2" s="54"/>
      <c r="F2" s="57"/>
      <c r="G2" s="53"/>
      <c r="H2" s="53"/>
      <c r="I2" s="13"/>
      <c r="J2" s="53"/>
      <c r="K2" s="53"/>
      <c r="L2" s="53"/>
      <c r="M2" s="500" t="str">
        <f ca="1">IF(M3=N3,"经试算借贷余额已平衡","经试算借贷余额不平衡")</f>
        <v>经试算借贷余额已平衡</v>
      </c>
      <c r="N2" s="501"/>
    </row>
    <row r="3" spans="1:14" s="4" customFormat="1" ht="15" customHeight="1" thickBot="1">
      <c r="A3" s="504"/>
      <c r="B3" s="505"/>
      <c r="C3" s="52" t="s">
        <v>67</v>
      </c>
      <c r="D3" s="129" t="s">
        <v>156</v>
      </c>
      <c r="E3" s="60" t="s">
        <v>68</v>
      </c>
      <c r="F3" s="61"/>
      <c r="G3" s="66"/>
      <c r="H3" s="65" t="s">
        <v>64</v>
      </c>
      <c r="I3" s="51" t="s">
        <v>72</v>
      </c>
      <c r="J3" s="64" t="s">
        <v>45</v>
      </c>
      <c r="K3" s="65" t="s">
        <v>65</v>
      </c>
      <c r="L3" s="65" t="s">
        <v>66</v>
      </c>
      <c r="M3" s="126">
        <f ca="1">SUBTOTAL(9,OFFSET(K$4,1,,COUNTA($A:$A)))</f>
        <v>16211.56</v>
      </c>
      <c r="N3" s="126">
        <f ca="1">SUBTOTAL(9,OFFSET(L$4,1,,COUNTA($A:$A)))</f>
        <v>16211.56</v>
      </c>
    </row>
    <row r="4" spans="1:14" s="4" customFormat="1" ht="15" thickBot="1">
      <c r="A4" s="12" t="s">
        <v>46</v>
      </c>
      <c r="B4" s="12" t="s">
        <v>47</v>
      </c>
      <c r="C4" s="50"/>
      <c r="D4" s="127"/>
      <c r="E4" s="58"/>
      <c r="F4" s="59"/>
      <c r="G4" s="67"/>
      <c r="H4" s="67"/>
      <c r="I4" s="14"/>
      <c r="J4" s="63"/>
      <c r="K4" s="63"/>
      <c r="L4" s="63"/>
      <c r="M4" s="15" t="s">
        <v>48</v>
      </c>
      <c r="N4" s="2">
        <f ca="1">M3-N3</f>
        <v>0</v>
      </c>
    </row>
    <row r="5" spans="1:14" s="141" customFormat="1" ht="15" thickBot="1">
      <c r="A5" s="16">
        <v>1</v>
      </c>
      <c r="B5" s="133">
        <v>8</v>
      </c>
      <c r="C5" s="134">
        <f ca="1">IF(INDIRECT("RC[-2]",)=INDIRECT("R[1]C[-2]",),INDIRECT("R[-1]C",)+(ROUND(SUM(INDIRECT("R4C11:R[-1]C11",)),2)-ROUND(SUM(INDIRECT("R4C12:R[-1]C12",)),2)=0),)</f>
        <v>1</v>
      </c>
      <c r="D5" s="133">
        <v>1</v>
      </c>
      <c r="E5" s="135" t="s">
        <v>256</v>
      </c>
      <c r="F5" s="136">
        <f>COUNTIF(E$5:E5,LOOKUP(2,1/(E$5:E5&lt;&gt;""),E$5:E5))</f>
        <v>1</v>
      </c>
      <c r="G5" s="137" t="str">
        <f>LOOKUP(2,1/(E$5:E5&lt;&gt;""),E$5:E5)</f>
        <v>现付</v>
      </c>
      <c r="H5" s="138" t="s">
        <v>260</v>
      </c>
      <c r="I5" s="139">
        <f t="shared" ref="I5:I73" ca="1" si="0">INDEX(科目代码,MATCH($J5,账户查询,))</f>
        <v>10020101</v>
      </c>
      <c r="J5" s="125" t="s">
        <v>998</v>
      </c>
      <c r="K5" s="56">
        <v>4000</v>
      </c>
      <c r="L5" s="56"/>
      <c r="M5" s="140"/>
      <c r="N5" s="140"/>
    </row>
    <row r="6" spans="1:14" s="141" customFormat="1" ht="15" thickBot="1">
      <c r="A6" s="16">
        <v>1</v>
      </c>
      <c r="B6" s="133">
        <v>8</v>
      </c>
      <c r="C6" s="134">
        <f t="shared" ref="C6:C74" ca="1" si="1">IF(INDIRECT("RC[-2]",)=INDIRECT("R[1]C[-2]",),INDIRECT("R[-1]C",)+(ROUND(SUM(INDIRECT("R4C11:R[-1]C11",)),2)-ROUND(SUM(INDIRECT("R4C12:R[-1]C12",)),2)=0),)</f>
        <v>1</v>
      </c>
      <c r="D6" s="133">
        <v>1</v>
      </c>
      <c r="E6" s="135"/>
      <c r="F6" s="136">
        <f>COUNTIF(E$5:E6,LOOKUP(2,1/(E$5:E6&lt;&gt;""),E$5:E6))</f>
        <v>1</v>
      </c>
      <c r="G6" s="137" t="str">
        <f>LOOKUP(2,1/(E$5:E6&lt;&gt;""),E$5:E6)</f>
        <v>现付</v>
      </c>
      <c r="H6" s="138" t="s">
        <v>260</v>
      </c>
      <c r="I6" s="139">
        <f t="shared" ca="1" si="0"/>
        <v>1001</v>
      </c>
      <c r="J6" s="125" t="s">
        <v>25</v>
      </c>
      <c r="K6" s="56"/>
      <c r="L6" s="56">
        <v>4000</v>
      </c>
      <c r="M6" s="140"/>
      <c r="N6" s="140"/>
    </row>
    <row r="7" spans="1:14" s="140" customFormat="1" ht="15" thickBot="1">
      <c r="A7" s="16">
        <v>1</v>
      </c>
      <c r="B7" s="133">
        <v>8</v>
      </c>
      <c r="C7" s="134">
        <f t="shared" ca="1" si="1"/>
        <v>2</v>
      </c>
      <c r="D7" s="133">
        <v>4</v>
      </c>
      <c r="E7" s="135" t="s">
        <v>257</v>
      </c>
      <c r="F7" s="136">
        <f>COUNTIF(E$5:E7,LOOKUP(2,1/(E$5:E7&lt;&gt;""),E$5:E7))</f>
        <v>1</v>
      </c>
      <c r="G7" s="137" t="str">
        <f>LOOKUP(2,1/(E$5:E7&lt;&gt;""),E$5:E7)</f>
        <v>银付</v>
      </c>
      <c r="H7" s="55" t="s">
        <v>442</v>
      </c>
      <c r="I7" s="139">
        <f t="shared" ca="1" si="0"/>
        <v>660211</v>
      </c>
      <c r="J7" s="125" t="s">
        <v>443</v>
      </c>
      <c r="K7" s="56">
        <v>3601.82</v>
      </c>
      <c r="L7" s="56"/>
    </row>
    <row r="8" spans="1:14" s="140" customFormat="1" ht="15" thickBot="1">
      <c r="A8" s="16">
        <v>1</v>
      </c>
      <c r="B8" s="133">
        <v>8</v>
      </c>
      <c r="C8" s="134">
        <f t="shared" ca="1" si="1"/>
        <v>2</v>
      </c>
      <c r="D8" s="133">
        <v>4</v>
      </c>
      <c r="E8" s="135"/>
      <c r="F8" s="136">
        <f>COUNTIF(E$5:E8,LOOKUP(2,1/(E$5:E8&lt;&gt;""),E$5:E8))</f>
        <v>1</v>
      </c>
      <c r="G8" s="137" t="str">
        <f>LOOKUP(2,1/(E$5:E8&lt;&gt;""),E$5:E8)</f>
        <v>银付</v>
      </c>
      <c r="H8" s="55" t="s">
        <v>442</v>
      </c>
      <c r="I8" s="139">
        <f t="shared" ca="1" si="0"/>
        <v>12210401</v>
      </c>
      <c r="J8" s="125" t="s">
        <v>309</v>
      </c>
      <c r="K8" s="56">
        <v>1379.98</v>
      </c>
      <c r="L8" s="56"/>
    </row>
    <row r="9" spans="1:14" s="140" customFormat="1" ht="15" thickBot="1">
      <c r="A9" s="16">
        <v>1</v>
      </c>
      <c r="B9" s="133">
        <v>8</v>
      </c>
      <c r="C9" s="134">
        <f t="shared" ca="1" si="1"/>
        <v>2</v>
      </c>
      <c r="D9" s="133">
        <v>4</v>
      </c>
      <c r="E9" s="135"/>
      <c r="F9" s="136">
        <f>COUNTIF(E$5:E9,LOOKUP(2,1/(E$5:E9&lt;&gt;""),E$5:E9))</f>
        <v>1</v>
      </c>
      <c r="G9" s="137" t="str">
        <f>LOOKUP(2,1/(E$5:E9&lt;&gt;""),E$5:E9)</f>
        <v>银付</v>
      </c>
      <c r="H9" s="55" t="s">
        <v>442</v>
      </c>
      <c r="I9" s="139">
        <f t="shared" ca="1" si="0"/>
        <v>10020101</v>
      </c>
      <c r="J9" s="125" t="s">
        <v>998</v>
      </c>
      <c r="K9" s="56"/>
      <c r="L9" s="56">
        <v>4981.8</v>
      </c>
    </row>
    <row r="10" spans="1:14" ht="15" thickBot="1">
      <c r="A10" s="16">
        <v>1</v>
      </c>
      <c r="B10" s="133">
        <v>14</v>
      </c>
      <c r="C10" s="134">
        <f t="shared" ca="1" si="1"/>
        <v>3</v>
      </c>
      <c r="D10" s="133">
        <v>1</v>
      </c>
      <c r="E10" s="135" t="s">
        <v>257</v>
      </c>
      <c r="F10" s="136">
        <f>COUNTIF(E$5:E10,LOOKUP(2,1/(E$5:E10&lt;&gt;""),E$5:E10))</f>
        <v>2</v>
      </c>
      <c r="G10" s="137" t="str">
        <f>LOOKUP(2,1/(E$5:E10&lt;&gt;""),E$5:E10)</f>
        <v>银付</v>
      </c>
      <c r="H10" s="55" t="s">
        <v>449</v>
      </c>
      <c r="I10" s="139">
        <f t="shared" ca="1" si="0"/>
        <v>660304</v>
      </c>
      <c r="J10" s="125" t="s">
        <v>444</v>
      </c>
      <c r="K10" s="56">
        <v>37.5</v>
      </c>
      <c r="L10" s="56"/>
    </row>
    <row r="11" spans="1:14" ht="15" thickBot="1">
      <c r="A11" s="16">
        <v>1</v>
      </c>
      <c r="B11" s="133">
        <v>14</v>
      </c>
      <c r="C11" s="134">
        <f t="shared" ca="1" si="1"/>
        <v>3</v>
      </c>
      <c r="D11" s="133">
        <v>1</v>
      </c>
      <c r="E11" s="135"/>
      <c r="F11" s="136">
        <f>COUNTIF(E$5:E11,LOOKUP(2,1/(E$5:E11&lt;&gt;""),E$5:E11))</f>
        <v>2</v>
      </c>
      <c r="G11" s="137" t="str">
        <f>LOOKUP(2,1/(E$5:E11&lt;&gt;""),E$5:E11)</f>
        <v>银付</v>
      </c>
      <c r="H11" s="55" t="s">
        <v>449</v>
      </c>
      <c r="I11" s="139">
        <f t="shared" ca="1" si="0"/>
        <v>10020101</v>
      </c>
      <c r="J11" s="125" t="s">
        <v>998</v>
      </c>
      <c r="K11" s="56"/>
      <c r="L11" s="56">
        <v>37.5</v>
      </c>
    </row>
    <row r="12" spans="1:14" s="140" customFormat="1" ht="15" thickBot="1">
      <c r="A12" s="483">
        <v>1</v>
      </c>
      <c r="B12" s="484">
        <v>31</v>
      </c>
      <c r="C12" s="494" t="s">
        <v>1001</v>
      </c>
      <c r="D12" s="484"/>
      <c r="E12" s="486" t="s">
        <v>26</v>
      </c>
      <c r="F12" s="487">
        <f>COUNTIF(E$5:E12,LOOKUP(2,1/(E$5:E12&lt;&gt;""),E$5:E12))</f>
        <v>1</v>
      </c>
      <c r="G12" s="488" t="str">
        <f>LOOKUP(2,1/(E$5:E12&lt;&gt;""),E$5:E12)</f>
        <v>转</v>
      </c>
      <c r="H12" s="489" t="s">
        <v>302</v>
      </c>
      <c r="I12" s="490">
        <f t="shared" ca="1" si="0"/>
        <v>4103</v>
      </c>
      <c r="J12" s="491" t="s">
        <v>52</v>
      </c>
      <c r="K12" s="492">
        <v>3601.82</v>
      </c>
      <c r="L12" s="492"/>
    </row>
    <row r="13" spans="1:14" s="140" customFormat="1" ht="15" thickBot="1">
      <c r="A13" s="483">
        <v>1</v>
      </c>
      <c r="B13" s="484">
        <v>31</v>
      </c>
      <c r="C13" s="494" t="s">
        <v>1001</v>
      </c>
      <c r="D13" s="484"/>
      <c r="E13" s="486"/>
      <c r="F13" s="487">
        <f>COUNTIF(E$5:E13,LOOKUP(2,1/(E$5:E13&lt;&gt;""),E$5:E13))</f>
        <v>1</v>
      </c>
      <c r="G13" s="488" t="str">
        <f>LOOKUP(2,1/(E$5:E13&lt;&gt;""),E$5:E13)</f>
        <v>转</v>
      </c>
      <c r="H13" s="489" t="s">
        <v>302</v>
      </c>
      <c r="I13" s="490">
        <f t="shared" ca="1" si="0"/>
        <v>660211</v>
      </c>
      <c r="J13" s="491" t="s">
        <v>443</v>
      </c>
      <c r="K13" s="492"/>
      <c r="L13" s="492">
        <f>3601.82/6</f>
        <v>600.29999999999995</v>
      </c>
    </row>
    <row r="14" spans="1:14" s="140" customFormat="1" ht="15" thickBot="1">
      <c r="A14" s="483">
        <v>1</v>
      </c>
      <c r="B14" s="484">
        <v>31</v>
      </c>
      <c r="C14" s="494" t="s">
        <v>1001</v>
      </c>
      <c r="D14" s="484"/>
      <c r="E14" s="486"/>
      <c r="F14" s="487">
        <f>COUNTIF(E$5:E14,LOOKUP(2,1/(E$5:E14&lt;&gt;""),E$5:E14))</f>
        <v>1</v>
      </c>
      <c r="G14" s="488" t="str">
        <f>LOOKUP(2,1/(E$5:E14&lt;&gt;""),E$5:E14)</f>
        <v>转</v>
      </c>
      <c r="H14" s="489" t="s">
        <v>302</v>
      </c>
      <c r="I14" s="490">
        <f t="shared" ca="1" si="0"/>
        <v>660211</v>
      </c>
      <c r="J14" s="491" t="s">
        <v>443</v>
      </c>
      <c r="K14" s="492"/>
      <c r="L14" s="492">
        <f t="shared" ref="L14:L17" si="2">3601.82/6</f>
        <v>600.29999999999995</v>
      </c>
    </row>
    <row r="15" spans="1:14" s="140" customFormat="1" ht="15" thickBot="1">
      <c r="A15" s="483">
        <v>1</v>
      </c>
      <c r="B15" s="484">
        <v>31</v>
      </c>
      <c r="C15" s="494" t="s">
        <v>1001</v>
      </c>
      <c r="D15" s="484"/>
      <c r="E15" s="486"/>
      <c r="F15" s="487">
        <f>COUNTIF(E$5:E15,LOOKUP(2,1/(E$5:E15&lt;&gt;""),E$5:E15))</f>
        <v>1</v>
      </c>
      <c r="G15" s="488" t="str">
        <f>LOOKUP(2,1/(E$5:E15&lt;&gt;""),E$5:E15)</f>
        <v>转</v>
      </c>
      <c r="H15" s="489" t="s">
        <v>302</v>
      </c>
      <c r="I15" s="490">
        <f t="shared" ca="1" si="0"/>
        <v>660211</v>
      </c>
      <c r="J15" s="491" t="s">
        <v>443</v>
      </c>
      <c r="K15" s="492"/>
      <c r="L15" s="492">
        <f t="shared" si="2"/>
        <v>600.29999999999995</v>
      </c>
    </row>
    <row r="16" spans="1:14" s="140" customFormat="1" ht="15" thickBot="1">
      <c r="A16" s="483">
        <v>1</v>
      </c>
      <c r="B16" s="484">
        <v>31</v>
      </c>
      <c r="C16" s="494" t="s">
        <v>1001</v>
      </c>
      <c r="D16" s="484"/>
      <c r="E16" s="486"/>
      <c r="F16" s="487">
        <f>COUNTIF(E$5:E16,LOOKUP(2,1/(E$5:E16&lt;&gt;""),E$5:E16))</f>
        <v>1</v>
      </c>
      <c r="G16" s="488" t="str">
        <f>LOOKUP(2,1/(E$5:E16&lt;&gt;""),E$5:E16)</f>
        <v>转</v>
      </c>
      <c r="H16" s="489" t="s">
        <v>302</v>
      </c>
      <c r="I16" s="490">
        <f t="shared" ca="1" si="0"/>
        <v>660211</v>
      </c>
      <c r="J16" s="491" t="s">
        <v>443</v>
      </c>
      <c r="K16" s="492"/>
      <c r="L16" s="492">
        <f t="shared" si="2"/>
        <v>600.29999999999995</v>
      </c>
    </row>
    <row r="17" spans="1:14" s="140" customFormat="1" ht="15" thickBot="1">
      <c r="A17" s="483">
        <v>1</v>
      </c>
      <c r="B17" s="484">
        <v>31</v>
      </c>
      <c r="C17" s="494" t="s">
        <v>1001</v>
      </c>
      <c r="D17" s="484"/>
      <c r="E17" s="486"/>
      <c r="F17" s="487">
        <f>COUNTIF(E$5:E17,LOOKUP(2,1/(E$5:E17&lt;&gt;""),E$5:E17))</f>
        <v>1</v>
      </c>
      <c r="G17" s="488" t="str">
        <f>LOOKUP(2,1/(E$5:E17&lt;&gt;""),E$5:E17)</f>
        <v>转</v>
      </c>
      <c r="H17" s="489" t="s">
        <v>302</v>
      </c>
      <c r="I17" s="490">
        <f t="shared" ca="1" si="0"/>
        <v>660211</v>
      </c>
      <c r="J17" s="491" t="s">
        <v>443</v>
      </c>
      <c r="K17" s="492"/>
      <c r="L17" s="492">
        <f t="shared" si="2"/>
        <v>600.29999999999995</v>
      </c>
    </row>
    <row r="18" spans="1:14" s="140" customFormat="1" ht="15" thickBot="1">
      <c r="A18" s="483">
        <v>1</v>
      </c>
      <c r="B18" s="484">
        <v>31</v>
      </c>
      <c r="C18" s="494" t="s">
        <v>1002</v>
      </c>
      <c r="D18" s="484"/>
      <c r="E18" s="486"/>
      <c r="F18" s="487">
        <f>COUNTIF(E$5:E18,LOOKUP(2,1/(E$5:E18&lt;&gt;""),E$5:E18))</f>
        <v>1</v>
      </c>
      <c r="G18" s="488" t="str">
        <f>LOOKUP(2,1/(E$5:E18&lt;&gt;""),E$5:E18)</f>
        <v>转</v>
      </c>
      <c r="H18" s="489" t="s">
        <v>302</v>
      </c>
      <c r="I18" s="490">
        <f t="shared" ca="1" si="0"/>
        <v>660211</v>
      </c>
      <c r="J18" s="491" t="s">
        <v>443</v>
      </c>
      <c r="K18" s="492"/>
      <c r="L18" s="492">
        <f>3601.82/6+0.02</f>
        <v>600.32000000000005</v>
      </c>
    </row>
    <row r="19" spans="1:14" s="140" customFormat="1" ht="15" thickBot="1">
      <c r="A19" s="16">
        <v>1</v>
      </c>
      <c r="B19" s="133">
        <v>31</v>
      </c>
      <c r="C19" s="485">
        <v>5</v>
      </c>
      <c r="D19" s="133"/>
      <c r="E19" s="135" t="s">
        <v>26</v>
      </c>
      <c r="F19" s="136">
        <f>COUNTIF(E$5:E19,LOOKUP(2,1/(E$5:E19&lt;&gt;""),E$5:E19))</f>
        <v>2</v>
      </c>
      <c r="G19" s="137" t="str">
        <f>LOOKUP(2,1/(E$5:E19&lt;&gt;""),E$5:E19)</f>
        <v>转</v>
      </c>
      <c r="H19" s="55" t="s">
        <v>302</v>
      </c>
      <c r="I19" s="139">
        <f t="shared" ca="1" si="0"/>
        <v>4103</v>
      </c>
      <c r="J19" s="125" t="s">
        <v>52</v>
      </c>
      <c r="K19" s="56">
        <v>37.5</v>
      </c>
      <c r="L19" s="56"/>
    </row>
    <row r="20" spans="1:14" s="140" customFormat="1" ht="15" thickBot="1">
      <c r="A20" s="16">
        <v>1</v>
      </c>
      <c r="B20" s="133">
        <v>31</v>
      </c>
      <c r="C20" s="134">
        <f t="shared" ca="1" si="1"/>
        <v>5</v>
      </c>
      <c r="D20" s="133"/>
      <c r="E20" s="135"/>
      <c r="F20" s="136">
        <f>COUNTIF(E$5:E20,LOOKUP(2,1/(E$5:E20&lt;&gt;""),E$5:E20))</f>
        <v>2</v>
      </c>
      <c r="G20" s="137" t="str">
        <f>LOOKUP(2,1/(E$5:E20&lt;&gt;""),E$5:E20)</f>
        <v>转</v>
      </c>
      <c r="H20" s="55" t="s">
        <v>302</v>
      </c>
      <c r="I20" s="139">
        <f t="shared" ca="1" si="0"/>
        <v>660304</v>
      </c>
      <c r="J20" s="125" t="s">
        <v>444</v>
      </c>
      <c r="K20" s="56"/>
      <c r="L20" s="56">
        <v>37.5</v>
      </c>
    </row>
    <row r="21" spans="1:14" s="140" customFormat="1" ht="15" thickBot="1">
      <c r="A21" s="16">
        <v>1</v>
      </c>
      <c r="B21" s="133">
        <v>31</v>
      </c>
      <c r="C21" s="134">
        <f t="shared" ca="1" si="1"/>
        <v>0</v>
      </c>
      <c r="D21" s="133"/>
      <c r="E21" s="55"/>
      <c r="F21" s="55"/>
      <c r="G21" s="55"/>
      <c r="H21" s="55"/>
      <c r="I21" s="139"/>
      <c r="J21" s="125"/>
      <c r="K21" s="56"/>
      <c r="L21" s="56"/>
    </row>
    <row r="22" spans="1:14" ht="15" thickBot="1">
      <c r="A22" s="16">
        <v>2</v>
      </c>
      <c r="B22" s="133">
        <v>5</v>
      </c>
      <c r="C22" s="134">
        <f t="shared" ca="1" si="1"/>
        <v>1</v>
      </c>
      <c r="D22" s="133">
        <v>1</v>
      </c>
      <c r="E22" s="135" t="s">
        <v>257</v>
      </c>
      <c r="F22" s="136">
        <f>COUNTIF(E$22:E22,LOOKUP(2,1/(E$22:E22&lt;&gt;""),E$22:E22))</f>
        <v>1</v>
      </c>
      <c r="G22" s="137" t="str">
        <f>LOOKUP(2,1/(E$22:E22&lt;&gt;""),E$22:E22)</f>
        <v>银付</v>
      </c>
      <c r="H22" s="55" t="s">
        <v>445</v>
      </c>
      <c r="I22" s="139">
        <f t="shared" ca="1" si="0"/>
        <v>660304</v>
      </c>
      <c r="J22" s="125" t="s">
        <v>444</v>
      </c>
      <c r="K22" s="56">
        <v>3</v>
      </c>
      <c r="L22" s="56"/>
    </row>
    <row r="23" spans="1:14" ht="15" thickBot="1">
      <c r="A23" s="16">
        <v>2</v>
      </c>
      <c r="B23" s="133">
        <v>5</v>
      </c>
      <c r="C23" s="134">
        <f t="shared" ca="1" si="1"/>
        <v>1</v>
      </c>
      <c r="D23" s="133">
        <v>1</v>
      </c>
      <c r="E23" s="135"/>
      <c r="F23" s="136">
        <f>COUNTIF(E$22:E23,LOOKUP(2,1/(E$22:E23&lt;&gt;""),E$22:E23))</f>
        <v>1</v>
      </c>
      <c r="G23" s="137" t="str">
        <f>LOOKUP(2,1/(E$22:E23&lt;&gt;""),E$22:E23)</f>
        <v>银付</v>
      </c>
      <c r="H23" s="55" t="s">
        <v>445</v>
      </c>
      <c r="I23" s="139">
        <f t="shared" ca="1" si="0"/>
        <v>10020101</v>
      </c>
      <c r="J23" s="125" t="s">
        <v>998</v>
      </c>
      <c r="K23" s="56"/>
      <c r="L23" s="56">
        <v>3</v>
      </c>
    </row>
    <row r="24" spans="1:14" s="140" customFormat="1" ht="15" thickBot="1">
      <c r="A24" s="16">
        <v>2</v>
      </c>
      <c r="B24" s="133">
        <v>28</v>
      </c>
      <c r="C24" s="134">
        <f t="shared" ca="1" si="1"/>
        <v>2</v>
      </c>
      <c r="D24" s="133"/>
      <c r="E24" s="135" t="s">
        <v>26</v>
      </c>
      <c r="F24" s="136">
        <f>COUNTIF(E$22:E24,LOOKUP(2,1/(E$22:E24&lt;&gt;""),E$22:E24))</f>
        <v>1</v>
      </c>
      <c r="G24" s="137" t="str">
        <f>LOOKUP(2,1/(E$22:E24&lt;&gt;""),E$22:E24)</f>
        <v>转</v>
      </c>
      <c r="H24" s="55" t="s">
        <v>463</v>
      </c>
      <c r="I24" s="139">
        <f t="shared" ca="1" si="0"/>
        <v>4103</v>
      </c>
      <c r="J24" s="125" t="s">
        <v>52</v>
      </c>
      <c r="K24" s="56">
        <v>3</v>
      </c>
      <c r="L24" s="56"/>
    </row>
    <row r="25" spans="1:14" s="140" customFormat="1" ht="15" thickBot="1">
      <c r="A25" s="16">
        <v>2</v>
      </c>
      <c r="B25" s="133">
        <v>28</v>
      </c>
      <c r="C25" s="134">
        <f t="shared" ca="1" si="1"/>
        <v>2</v>
      </c>
      <c r="D25" s="133"/>
      <c r="E25" s="135"/>
      <c r="F25" s="136">
        <f>COUNTIF(E$22:E25,LOOKUP(2,1/(E$22:E25&lt;&gt;""),E$22:E25))</f>
        <v>1</v>
      </c>
      <c r="G25" s="137" t="str">
        <f>LOOKUP(2,1/(E$22:E25&lt;&gt;""),E$22:E25)</f>
        <v>转</v>
      </c>
      <c r="H25" s="55" t="s">
        <v>463</v>
      </c>
      <c r="I25" s="139">
        <f t="shared" ca="1" si="0"/>
        <v>660304</v>
      </c>
      <c r="J25" s="125" t="s">
        <v>444</v>
      </c>
      <c r="K25" s="56"/>
      <c r="L25" s="56">
        <v>3</v>
      </c>
    </row>
    <row r="26" spans="1:14" s="140" customFormat="1" ht="15" thickBot="1">
      <c r="A26" s="16">
        <v>2</v>
      </c>
      <c r="B26" s="133">
        <v>28</v>
      </c>
      <c r="C26" s="134">
        <f t="shared" ca="1" si="1"/>
        <v>0</v>
      </c>
      <c r="D26" s="133"/>
      <c r="E26" s="135"/>
      <c r="F26" s="136"/>
      <c r="G26" s="137"/>
      <c r="H26" s="55"/>
      <c r="I26" s="139"/>
      <c r="J26" s="125"/>
      <c r="K26" s="56"/>
      <c r="L26" s="56"/>
    </row>
    <row r="27" spans="1:14" s="140" customFormat="1" ht="15" thickBot="1">
      <c r="A27" s="16">
        <v>3</v>
      </c>
      <c r="B27" s="133">
        <v>17</v>
      </c>
      <c r="C27" s="134">
        <f t="shared" ca="1" si="1"/>
        <v>1</v>
      </c>
      <c r="D27" s="133">
        <v>1</v>
      </c>
      <c r="E27" s="135" t="s">
        <v>257</v>
      </c>
      <c r="F27" s="136">
        <f>COUNTIF(E$27:E27,LOOKUP(2,1/(E$27:E27&lt;&gt;""),E$27:E27))</f>
        <v>1</v>
      </c>
      <c r="G27" s="137" t="str">
        <f>LOOKUP(2,1/(E$27:E27&lt;&gt;""),E$27:E27)</f>
        <v>银付</v>
      </c>
      <c r="H27" s="55" t="s">
        <v>450</v>
      </c>
      <c r="I27" s="139">
        <f t="shared" ca="1" si="0"/>
        <v>12210401</v>
      </c>
      <c r="J27" s="125" t="s">
        <v>309</v>
      </c>
      <c r="K27" s="56">
        <v>124.34</v>
      </c>
      <c r="L27" s="56"/>
    </row>
    <row r="28" spans="1:14" s="141" customFormat="1" ht="15" thickBot="1">
      <c r="A28" s="16">
        <v>3</v>
      </c>
      <c r="B28" s="133">
        <v>17</v>
      </c>
      <c r="C28" s="134">
        <f t="shared" ca="1" si="1"/>
        <v>1</v>
      </c>
      <c r="D28" s="134">
        <v>1</v>
      </c>
      <c r="E28" s="135"/>
      <c r="F28" s="136">
        <f>COUNTIF(E$27:E28,LOOKUP(2,1/(E$27:E28&lt;&gt;""),E$27:E28))</f>
        <v>1</v>
      </c>
      <c r="G28" s="137" t="str">
        <f>LOOKUP(2,1/(E$27:E28&lt;&gt;""),E$27:E28)</f>
        <v>银付</v>
      </c>
      <c r="H28" s="55" t="s">
        <v>450</v>
      </c>
      <c r="I28" s="139">
        <f t="shared" ca="1" si="0"/>
        <v>10020101</v>
      </c>
      <c r="J28" s="125" t="s">
        <v>998</v>
      </c>
      <c r="K28" s="56"/>
      <c r="L28" s="56">
        <v>124.34</v>
      </c>
      <c r="M28" s="140"/>
      <c r="N28" s="140"/>
    </row>
    <row r="29" spans="1:14" s="141" customFormat="1" ht="15" thickBot="1">
      <c r="A29" s="16">
        <v>3</v>
      </c>
      <c r="B29" s="133">
        <v>19</v>
      </c>
      <c r="C29" s="134">
        <f t="shared" ca="1" si="1"/>
        <v>2</v>
      </c>
      <c r="D29" s="133">
        <v>1</v>
      </c>
      <c r="E29" s="135" t="s">
        <v>257</v>
      </c>
      <c r="F29" s="136">
        <f>COUNTIF(E$27:E29,LOOKUP(2,1/(E$27:E29&lt;&gt;""),E$27:E29))</f>
        <v>2</v>
      </c>
      <c r="G29" s="137" t="str">
        <f>LOOKUP(2,1/(E$27:E29&lt;&gt;""),E$27:E29)</f>
        <v>银付</v>
      </c>
      <c r="H29" s="55" t="s">
        <v>446</v>
      </c>
      <c r="I29" s="139">
        <f t="shared" ca="1" si="0"/>
        <v>660304</v>
      </c>
      <c r="J29" s="125" t="s">
        <v>444</v>
      </c>
      <c r="K29" s="56">
        <v>400</v>
      </c>
      <c r="L29" s="56"/>
      <c r="M29" s="140"/>
      <c r="N29" s="140"/>
    </row>
    <row r="30" spans="1:14" s="141" customFormat="1" ht="15" thickBot="1">
      <c r="A30" s="16">
        <v>3</v>
      </c>
      <c r="B30" s="133">
        <v>19</v>
      </c>
      <c r="C30" s="134">
        <f t="shared" ca="1" si="1"/>
        <v>2</v>
      </c>
      <c r="D30" s="133">
        <v>1</v>
      </c>
      <c r="E30" s="135"/>
      <c r="F30" s="136">
        <f>COUNTIF(E$27:E30,LOOKUP(2,1/(E$27:E30&lt;&gt;""),E$27:E30))</f>
        <v>2</v>
      </c>
      <c r="G30" s="137" t="str">
        <f>LOOKUP(2,1/(E$27:E30&lt;&gt;""),E$27:E30)</f>
        <v>银付</v>
      </c>
      <c r="H30" s="55" t="s">
        <v>446</v>
      </c>
      <c r="I30" s="139">
        <f t="shared" ca="1" si="0"/>
        <v>10020101</v>
      </c>
      <c r="J30" s="125" t="s">
        <v>998</v>
      </c>
      <c r="K30" s="56"/>
      <c r="L30" s="56">
        <v>400</v>
      </c>
      <c r="M30" s="140"/>
      <c r="N30" s="140"/>
    </row>
    <row r="31" spans="1:14" s="141" customFormat="1" ht="15" thickBot="1">
      <c r="A31" s="16">
        <v>3</v>
      </c>
      <c r="B31" s="133">
        <v>21</v>
      </c>
      <c r="C31" s="134">
        <f t="shared" ca="1" si="1"/>
        <v>3</v>
      </c>
      <c r="D31" s="133">
        <v>1</v>
      </c>
      <c r="E31" s="135" t="s">
        <v>24</v>
      </c>
      <c r="F31" s="136">
        <f>COUNTIF(E$27:E31,LOOKUP(2,1/(E$27:E31&lt;&gt;""),E$27:E31))</f>
        <v>1</v>
      </c>
      <c r="G31" s="137" t="str">
        <f>LOOKUP(2,1/(E$27:E31&lt;&gt;""),E$27:E31)</f>
        <v>银收</v>
      </c>
      <c r="H31" s="55" t="s">
        <v>447</v>
      </c>
      <c r="I31" s="139">
        <f t="shared" ca="1" si="0"/>
        <v>10020101</v>
      </c>
      <c r="J31" s="125" t="s">
        <v>998</v>
      </c>
      <c r="K31" s="56">
        <v>270.79000000000002</v>
      </c>
      <c r="L31" s="56"/>
      <c r="M31" s="140"/>
      <c r="N31" s="140"/>
    </row>
    <row r="32" spans="1:14" s="141" customFormat="1" ht="15" thickBot="1">
      <c r="A32" s="16">
        <v>3</v>
      </c>
      <c r="B32" s="133">
        <v>21</v>
      </c>
      <c r="C32" s="134">
        <f t="shared" ca="1" si="1"/>
        <v>3</v>
      </c>
      <c r="D32" s="133">
        <v>1</v>
      </c>
      <c r="E32" s="135"/>
      <c r="F32" s="136">
        <f>COUNTIF(E$27:E32,LOOKUP(2,1/(E$27:E32&lt;&gt;""),E$27:E32))</f>
        <v>1</v>
      </c>
      <c r="G32" s="137" t="str">
        <f>LOOKUP(2,1/(E$27:E32&lt;&gt;""),E$27:E32)</f>
        <v>银收</v>
      </c>
      <c r="H32" s="55" t="s">
        <v>447</v>
      </c>
      <c r="I32" s="139">
        <f t="shared" ca="1" si="0"/>
        <v>660302</v>
      </c>
      <c r="J32" s="125" t="s">
        <v>448</v>
      </c>
      <c r="K32" s="56">
        <v>-270.79000000000002</v>
      </c>
      <c r="L32" s="56"/>
      <c r="M32" s="140"/>
      <c r="N32" s="140"/>
    </row>
    <row r="33" spans="1:14" s="141" customFormat="1" ht="15" thickBot="1">
      <c r="A33" s="16">
        <v>3</v>
      </c>
      <c r="B33" s="133">
        <v>26</v>
      </c>
      <c r="C33" s="134">
        <f t="shared" ca="1" si="1"/>
        <v>4</v>
      </c>
      <c r="D33" s="133">
        <v>1</v>
      </c>
      <c r="E33" s="135" t="s">
        <v>26</v>
      </c>
      <c r="F33" s="136">
        <f>COUNTIF(E$27:E33,LOOKUP(2,1/(E$27:E33&lt;&gt;""),E$27:E33))</f>
        <v>1</v>
      </c>
      <c r="G33" s="137" t="str">
        <f>LOOKUP(2,1/(E$27:E33&lt;&gt;""),E$27:E33)</f>
        <v>转</v>
      </c>
      <c r="H33" s="55" t="s">
        <v>455</v>
      </c>
      <c r="I33" s="139">
        <f t="shared" ca="1" si="0"/>
        <v>6403</v>
      </c>
      <c r="J33" s="125" t="s">
        <v>456</v>
      </c>
      <c r="K33" s="56">
        <v>1</v>
      </c>
      <c r="L33" s="56"/>
      <c r="M33" s="140"/>
      <c r="N33" s="140"/>
    </row>
    <row r="34" spans="1:14" s="141" customFormat="1" ht="15" thickBot="1">
      <c r="A34" s="16">
        <v>3</v>
      </c>
      <c r="B34" s="133">
        <v>26</v>
      </c>
      <c r="C34" s="134">
        <f t="shared" ca="1" si="1"/>
        <v>4</v>
      </c>
      <c r="D34" s="133">
        <v>1</v>
      </c>
      <c r="E34" s="135"/>
      <c r="F34" s="136">
        <f>COUNTIF(E$27:E34,LOOKUP(2,1/(E$27:E34&lt;&gt;""),E$27:E34))</f>
        <v>1</v>
      </c>
      <c r="G34" s="137" t="str">
        <f>LOOKUP(2,1/(E$27:E34&lt;&gt;""),E$27:E34)</f>
        <v>转</v>
      </c>
      <c r="H34" s="55" t="s">
        <v>455</v>
      </c>
      <c r="I34" s="139">
        <f t="shared" ca="1" si="0"/>
        <v>222102</v>
      </c>
      <c r="J34" s="125" t="s">
        <v>452</v>
      </c>
      <c r="K34" s="56"/>
      <c r="L34" s="56">
        <v>1</v>
      </c>
      <c r="M34" s="140"/>
      <c r="N34" s="140"/>
    </row>
    <row r="35" spans="1:14" s="141" customFormat="1" ht="15" thickBot="1">
      <c r="A35" s="16">
        <v>3</v>
      </c>
      <c r="B35" s="133">
        <v>26</v>
      </c>
      <c r="C35" s="134">
        <f t="shared" ca="1" si="1"/>
        <v>5</v>
      </c>
      <c r="D35" s="133">
        <v>1</v>
      </c>
      <c r="E35" s="135" t="s">
        <v>257</v>
      </c>
      <c r="F35" s="136">
        <f>COUNTIF(E$27:E35,LOOKUP(2,1/(E$27:E35&lt;&gt;""),E$27:E35))</f>
        <v>3</v>
      </c>
      <c r="G35" s="137" t="str">
        <f>LOOKUP(2,1/(E$27:E35&lt;&gt;""),E$27:E35)</f>
        <v>银付</v>
      </c>
      <c r="H35" s="55" t="s">
        <v>451</v>
      </c>
      <c r="I35" s="139">
        <f t="shared" ca="1" si="0"/>
        <v>222102</v>
      </c>
      <c r="J35" s="125" t="s">
        <v>452</v>
      </c>
      <c r="K35" s="56">
        <v>1</v>
      </c>
      <c r="L35" s="56"/>
      <c r="M35" s="140"/>
      <c r="N35" s="140"/>
    </row>
    <row r="36" spans="1:14" s="141" customFormat="1" ht="15" thickBot="1">
      <c r="A36" s="16">
        <v>3</v>
      </c>
      <c r="B36" s="133">
        <v>26</v>
      </c>
      <c r="C36" s="134">
        <f t="shared" ca="1" si="1"/>
        <v>5</v>
      </c>
      <c r="D36" s="133">
        <v>1</v>
      </c>
      <c r="E36" s="135"/>
      <c r="F36" s="136">
        <f>COUNTIF(E$27:E36,LOOKUP(2,1/(E$27:E36&lt;&gt;""),E$27:E36))</f>
        <v>3</v>
      </c>
      <c r="G36" s="137" t="str">
        <f>LOOKUP(2,1/(E$27:E36&lt;&gt;""),E$27:E36)</f>
        <v>银付</v>
      </c>
      <c r="H36" s="55" t="s">
        <v>451</v>
      </c>
      <c r="I36" s="139">
        <f t="shared" ca="1" si="0"/>
        <v>10020101</v>
      </c>
      <c r="J36" s="125" t="s">
        <v>998</v>
      </c>
      <c r="K36" s="56"/>
      <c r="L36" s="56">
        <v>1</v>
      </c>
      <c r="M36" s="140"/>
      <c r="N36" s="140"/>
    </row>
    <row r="37" spans="1:14" s="141" customFormat="1" ht="15" thickBot="1">
      <c r="A37" s="16">
        <v>3</v>
      </c>
      <c r="B37" s="133">
        <v>26</v>
      </c>
      <c r="C37" s="134">
        <f t="shared" ca="1" si="1"/>
        <v>6</v>
      </c>
      <c r="D37" s="133">
        <v>1</v>
      </c>
      <c r="E37" s="135" t="s">
        <v>257</v>
      </c>
      <c r="F37" s="136">
        <f>COUNTIF(E$27:E37,LOOKUP(2,1/(E$27:E37&lt;&gt;""),E$27:E37))</f>
        <v>4</v>
      </c>
      <c r="G37" s="137" t="str">
        <f>LOOKUP(2,1/(E$27:E37&lt;&gt;""),E$27:E37)</f>
        <v>银付</v>
      </c>
      <c r="H37" s="55" t="s">
        <v>453</v>
      </c>
      <c r="I37" s="139">
        <f t="shared" ca="1" si="0"/>
        <v>671104</v>
      </c>
      <c r="J37" s="125" t="s">
        <v>454</v>
      </c>
      <c r="K37" s="56">
        <v>0.01</v>
      </c>
      <c r="L37" s="56"/>
      <c r="M37" s="140"/>
      <c r="N37" s="140"/>
    </row>
    <row r="38" spans="1:14" s="141" customFormat="1" ht="15" thickBot="1">
      <c r="A38" s="16">
        <v>3</v>
      </c>
      <c r="B38" s="133">
        <v>26</v>
      </c>
      <c r="C38" s="134">
        <f t="shared" ca="1" si="1"/>
        <v>6</v>
      </c>
      <c r="D38" s="133">
        <v>1</v>
      </c>
      <c r="E38" s="135"/>
      <c r="F38" s="136">
        <f>COUNTIF(E$27:E38,LOOKUP(2,1/(E$27:E38&lt;&gt;""),E$27:E38))</f>
        <v>4</v>
      </c>
      <c r="G38" s="137" t="str">
        <f>LOOKUP(2,1/(E$27:E38&lt;&gt;""),E$27:E38)</f>
        <v>银付</v>
      </c>
      <c r="H38" s="55" t="s">
        <v>453</v>
      </c>
      <c r="I38" s="139">
        <f t="shared" ca="1" si="0"/>
        <v>10020101</v>
      </c>
      <c r="J38" s="125" t="s">
        <v>998</v>
      </c>
      <c r="K38" s="56"/>
      <c r="L38" s="56">
        <v>0.01</v>
      </c>
      <c r="M38" s="140"/>
      <c r="N38" s="140"/>
    </row>
    <row r="39" spans="1:14" s="140" customFormat="1" ht="15" thickBot="1">
      <c r="A39" s="16">
        <v>3</v>
      </c>
      <c r="B39" s="133">
        <v>31</v>
      </c>
      <c r="C39" s="134">
        <f t="shared" ca="1" si="1"/>
        <v>7</v>
      </c>
      <c r="D39" s="133"/>
      <c r="E39" s="135" t="s">
        <v>26</v>
      </c>
      <c r="F39" s="136">
        <f>COUNTIF(E$27:E39,LOOKUP(2,1/(E$27:E39&lt;&gt;""),E$27:E39))</f>
        <v>2</v>
      </c>
      <c r="G39" s="137" t="str">
        <f>LOOKUP(2,1/(E$27:E39&lt;&gt;""),E$27:E39)</f>
        <v>转</v>
      </c>
      <c r="H39" s="55" t="s">
        <v>464</v>
      </c>
      <c r="I39" s="139">
        <f t="shared" ca="1" si="0"/>
        <v>4103</v>
      </c>
      <c r="J39" s="125" t="s">
        <v>52</v>
      </c>
      <c r="K39" s="56">
        <v>1</v>
      </c>
      <c r="L39" s="56"/>
    </row>
    <row r="40" spans="1:14" s="140" customFormat="1" ht="15" thickBot="1">
      <c r="A40" s="16">
        <v>3</v>
      </c>
      <c r="B40" s="133">
        <v>31</v>
      </c>
      <c r="C40" s="134">
        <f t="shared" ca="1" si="1"/>
        <v>7</v>
      </c>
      <c r="D40" s="133"/>
      <c r="E40" s="135"/>
      <c r="F40" s="136">
        <f>COUNTIF(E$27:E40,LOOKUP(2,1/(E$27:E40&lt;&gt;""),E$27:E40))</f>
        <v>2</v>
      </c>
      <c r="G40" s="137" t="str">
        <f>LOOKUP(2,1/(E$27:E40&lt;&gt;""),E$27:E40)</f>
        <v>转</v>
      </c>
      <c r="H40" s="55" t="s">
        <v>464</v>
      </c>
      <c r="I40" s="139">
        <f t="shared" ca="1" si="0"/>
        <v>6403</v>
      </c>
      <c r="J40" s="125" t="s">
        <v>456</v>
      </c>
      <c r="K40" s="56"/>
      <c r="L40" s="56">
        <v>1</v>
      </c>
    </row>
    <row r="41" spans="1:14" s="140" customFormat="1" ht="15" thickBot="1">
      <c r="A41" s="16">
        <v>3</v>
      </c>
      <c r="B41" s="133">
        <v>31</v>
      </c>
      <c r="C41" s="134">
        <f t="shared" ca="1" si="1"/>
        <v>8</v>
      </c>
      <c r="D41" s="133"/>
      <c r="E41" s="135" t="s">
        <v>26</v>
      </c>
      <c r="F41" s="136">
        <f>COUNTIF(E$27:E41,LOOKUP(2,1/(E$27:E41&lt;&gt;""),E$27:E41))</f>
        <v>3</v>
      </c>
      <c r="G41" s="137" t="str">
        <f>LOOKUP(2,1/(E$27:E41&lt;&gt;""),E$27:E41)</f>
        <v>转</v>
      </c>
      <c r="H41" s="55" t="s">
        <v>464</v>
      </c>
      <c r="I41" s="139">
        <f t="shared" ca="1" si="0"/>
        <v>4103</v>
      </c>
      <c r="J41" s="125" t="s">
        <v>52</v>
      </c>
      <c r="K41" s="56">
        <v>0.01</v>
      </c>
      <c r="L41" s="56"/>
    </row>
    <row r="42" spans="1:14" s="140" customFormat="1" ht="15" thickBot="1">
      <c r="A42" s="16">
        <v>3</v>
      </c>
      <c r="B42" s="133">
        <v>31</v>
      </c>
      <c r="C42" s="134">
        <f t="shared" ca="1" si="1"/>
        <v>8</v>
      </c>
      <c r="D42" s="133"/>
      <c r="E42" s="135"/>
      <c r="F42" s="136">
        <f>COUNTIF(E$27:E42,LOOKUP(2,1/(E$27:E42&lt;&gt;""),E$27:E42))</f>
        <v>3</v>
      </c>
      <c r="G42" s="137" t="str">
        <f>LOOKUP(2,1/(E$27:E42&lt;&gt;""),E$27:E42)</f>
        <v>转</v>
      </c>
      <c r="H42" s="55" t="s">
        <v>464</v>
      </c>
      <c r="I42" s="139">
        <f t="shared" ca="1" si="0"/>
        <v>671104</v>
      </c>
      <c r="J42" s="125" t="s">
        <v>454</v>
      </c>
      <c r="K42" s="56"/>
      <c r="L42" s="56">
        <v>0.01</v>
      </c>
    </row>
    <row r="43" spans="1:14" s="140" customFormat="1" ht="15" thickBot="1">
      <c r="A43" s="16">
        <v>3</v>
      </c>
      <c r="B43" s="133">
        <v>31</v>
      </c>
      <c r="C43" s="134">
        <f t="shared" ca="1" si="1"/>
        <v>9</v>
      </c>
      <c r="D43" s="133"/>
      <c r="E43" s="135" t="s">
        <v>26</v>
      </c>
      <c r="F43" s="136">
        <f>COUNTIF(E$27:E43,LOOKUP(2,1/(E$27:E43&lt;&gt;""),E$27:E43))</f>
        <v>4</v>
      </c>
      <c r="G43" s="137" t="str">
        <f>LOOKUP(2,1/(E$27:E43&lt;&gt;""),E$27:E43)</f>
        <v>转</v>
      </c>
      <c r="H43" s="55" t="s">
        <v>464</v>
      </c>
      <c r="I43" s="139">
        <f t="shared" ca="1" si="0"/>
        <v>4103</v>
      </c>
      <c r="J43" s="125" t="s">
        <v>52</v>
      </c>
      <c r="K43" s="56">
        <v>129.21</v>
      </c>
      <c r="L43" s="56"/>
    </row>
    <row r="44" spans="1:14" s="140" customFormat="1" ht="15" thickBot="1">
      <c r="A44" s="16">
        <v>3</v>
      </c>
      <c r="B44" s="133">
        <v>31</v>
      </c>
      <c r="C44" s="134">
        <f t="shared" ca="1" si="1"/>
        <v>9</v>
      </c>
      <c r="D44" s="133"/>
      <c r="E44" s="135"/>
      <c r="F44" s="136">
        <f>COUNTIF(E$27:E44,LOOKUP(2,1/(E$27:E44&lt;&gt;""),E$27:E44))</f>
        <v>4</v>
      </c>
      <c r="G44" s="137" t="str">
        <f>LOOKUP(2,1/(E$27:E44&lt;&gt;""),E$27:E44)</f>
        <v>转</v>
      </c>
      <c r="H44" s="55" t="s">
        <v>464</v>
      </c>
      <c r="I44" s="139">
        <f t="shared" ca="1" si="0"/>
        <v>660302</v>
      </c>
      <c r="J44" s="125" t="s">
        <v>448</v>
      </c>
      <c r="K44" s="56"/>
      <c r="L44" s="56">
        <v>-270.79000000000002</v>
      </c>
    </row>
    <row r="45" spans="1:14" s="140" customFormat="1" ht="15" thickBot="1">
      <c r="A45" s="16">
        <v>3</v>
      </c>
      <c r="B45" s="133">
        <v>31</v>
      </c>
      <c r="C45" s="134">
        <f t="shared" ca="1" si="1"/>
        <v>9</v>
      </c>
      <c r="D45" s="133"/>
      <c r="E45" s="135"/>
      <c r="F45" s="136">
        <f>COUNTIF(E$27:E45,LOOKUP(2,1/(E$27:E45&lt;&gt;""),E$27:E45))</f>
        <v>4</v>
      </c>
      <c r="G45" s="137" t="str">
        <f>LOOKUP(2,1/(E$27:E45&lt;&gt;""),E$27:E45)</f>
        <v>转</v>
      </c>
      <c r="H45" s="55" t="s">
        <v>464</v>
      </c>
      <c r="I45" s="139">
        <f t="shared" ca="1" si="0"/>
        <v>660304</v>
      </c>
      <c r="J45" s="125" t="s">
        <v>444</v>
      </c>
      <c r="K45" s="56"/>
      <c r="L45" s="56">
        <v>400</v>
      </c>
    </row>
    <row r="46" spans="1:14" s="140" customFormat="1" ht="15" thickBot="1">
      <c r="A46" s="16">
        <v>3</v>
      </c>
      <c r="B46" s="133">
        <v>31</v>
      </c>
      <c r="C46" s="134">
        <f t="shared" ca="1" si="1"/>
        <v>0</v>
      </c>
      <c r="D46" s="133"/>
      <c r="E46" s="135"/>
      <c r="F46" s="136"/>
      <c r="G46" s="137"/>
      <c r="H46" s="55"/>
      <c r="I46" s="139"/>
      <c r="J46" s="125"/>
      <c r="K46" s="56"/>
      <c r="L46" s="56"/>
    </row>
    <row r="47" spans="1:14" s="141" customFormat="1" ht="15" thickBot="1">
      <c r="A47" s="16">
        <v>4</v>
      </c>
      <c r="B47" s="133">
        <v>12</v>
      </c>
      <c r="C47" s="134">
        <f t="shared" ca="1" si="1"/>
        <v>1</v>
      </c>
      <c r="D47" s="133">
        <v>1</v>
      </c>
      <c r="E47" s="135" t="s">
        <v>257</v>
      </c>
      <c r="F47" s="136">
        <f>COUNTIF(E$47:E47,LOOKUP(2,1/(E$47:E47&lt;&gt;""),E$47:E47))</f>
        <v>1</v>
      </c>
      <c r="G47" s="137" t="str">
        <f>LOOKUP(2,1/(E$47:E47&lt;&gt;""),E$47:E47)</f>
        <v>银付</v>
      </c>
      <c r="H47" s="55" t="s">
        <v>449</v>
      </c>
      <c r="I47" s="139">
        <f t="shared" ca="1" si="0"/>
        <v>660304</v>
      </c>
      <c r="J47" s="125" t="s">
        <v>444</v>
      </c>
      <c r="K47" s="56">
        <v>37.5</v>
      </c>
      <c r="L47" s="56"/>
      <c r="M47" s="140"/>
      <c r="N47" s="140"/>
    </row>
    <row r="48" spans="1:14" s="141" customFormat="1" ht="15" thickBot="1">
      <c r="A48" s="16">
        <v>4</v>
      </c>
      <c r="B48" s="133">
        <v>12</v>
      </c>
      <c r="C48" s="134">
        <f t="shared" ca="1" si="1"/>
        <v>1</v>
      </c>
      <c r="D48" s="133">
        <v>1</v>
      </c>
      <c r="E48" s="135"/>
      <c r="F48" s="136">
        <f>COUNTIF(E$47:E48,LOOKUP(2,1/(E$47:E48&lt;&gt;""),E$47:E48))</f>
        <v>1</v>
      </c>
      <c r="G48" s="137" t="str">
        <f>LOOKUP(2,1/(E$47:E48&lt;&gt;""),E$47:E48)</f>
        <v>银付</v>
      </c>
      <c r="H48" s="55" t="s">
        <v>449</v>
      </c>
      <c r="I48" s="139">
        <f t="shared" ca="1" si="0"/>
        <v>10020101</v>
      </c>
      <c r="J48" s="125" t="s">
        <v>998</v>
      </c>
      <c r="K48" s="56"/>
      <c r="L48" s="56">
        <v>37.5</v>
      </c>
      <c r="M48" s="140"/>
      <c r="N48" s="140"/>
    </row>
    <row r="49" spans="1:14" s="140" customFormat="1" ht="15" thickBot="1">
      <c r="A49" s="16">
        <v>4</v>
      </c>
      <c r="B49" s="133">
        <v>30</v>
      </c>
      <c r="C49" s="134">
        <f t="shared" ca="1" si="1"/>
        <v>2</v>
      </c>
      <c r="D49" s="133"/>
      <c r="E49" s="135" t="s">
        <v>26</v>
      </c>
      <c r="F49" s="136">
        <f>COUNTIF(E$47:E49,LOOKUP(2,1/(E$47:E49&lt;&gt;""),E$47:E49))</f>
        <v>1</v>
      </c>
      <c r="G49" s="137" t="str">
        <f>LOOKUP(2,1/(E$47:E49&lt;&gt;""),E$47:E49)</f>
        <v>转</v>
      </c>
      <c r="H49" s="55" t="s">
        <v>465</v>
      </c>
      <c r="I49" s="139">
        <f t="shared" ca="1" si="0"/>
        <v>4103</v>
      </c>
      <c r="J49" s="125" t="s">
        <v>52</v>
      </c>
      <c r="K49" s="56">
        <v>37.5</v>
      </c>
      <c r="L49" s="56"/>
    </row>
    <row r="50" spans="1:14" s="140" customFormat="1" ht="15" thickBot="1">
      <c r="A50" s="16">
        <v>4</v>
      </c>
      <c r="B50" s="133">
        <v>30</v>
      </c>
      <c r="C50" s="134">
        <f t="shared" ca="1" si="1"/>
        <v>2</v>
      </c>
      <c r="D50" s="133"/>
      <c r="E50" s="135"/>
      <c r="F50" s="136">
        <f>COUNTIF(E$47:E50,LOOKUP(2,1/(E$47:E50&lt;&gt;""),E$47:E50))</f>
        <v>1</v>
      </c>
      <c r="G50" s="137" t="str">
        <f>LOOKUP(2,1/(E$47:E50&lt;&gt;""),E$47:E50)</f>
        <v>转</v>
      </c>
      <c r="H50" s="55" t="s">
        <v>465</v>
      </c>
      <c r="I50" s="139">
        <f t="shared" ca="1" si="0"/>
        <v>660304</v>
      </c>
      <c r="J50" s="125" t="s">
        <v>444</v>
      </c>
      <c r="K50" s="56"/>
      <c r="L50" s="56">
        <v>37.5</v>
      </c>
    </row>
    <row r="51" spans="1:14" s="140" customFormat="1" ht="15" thickBot="1">
      <c r="A51" s="16">
        <v>4</v>
      </c>
      <c r="B51" s="133">
        <v>30</v>
      </c>
      <c r="C51" s="134">
        <f t="shared" ca="1" si="1"/>
        <v>0</v>
      </c>
      <c r="D51" s="133"/>
      <c r="E51" s="135"/>
      <c r="F51" s="136"/>
      <c r="G51" s="137"/>
      <c r="H51" s="55"/>
      <c r="I51" s="139"/>
      <c r="J51" s="125"/>
      <c r="K51" s="56"/>
      <c r="L51" s="56"/>
    </row>
    <row r="52" spans="1:14" s="141" customFormat="1" ht="15" thickBot="1">
      <c r="A52" s="16">
        <v>5</v>
      </c>
      <c r="B52" s="133">
        <v>12</v>
      </c>
      <c r="C52" s="134">
        <f t="shared" ca="1" si="1"/>
        <v>1</v>
      </c>
      <c r="D52" s="133">
        <v>1</v>
      </c>
      <c r="E52" s="135" t="s">
        <v>26</v>
      </c>
      <c r="F52" s="136">
        <f>COUNTIF(E$52:E52,LOOKUP(2,1/(E$52:E52&lt;&gt;""),E$52:E52))</f>
        <v>1</v>
      </c>
      <c r="G52" s="137" t="str">
        <f>LOOKUP(2,1/(E$52:E52&lt;&gt;""),E$52:E52)</f>
        <v>转</v>
      </c>
      <c r="H52" s="55" t="s">
        <v>455</v>
      </c>
      <c r="I52" s="139">
        <f t="shared" ca="1" si="0"/>
        <v>6403</v>
      </c>
      <c r="J52" s="125" t="s">
        <v>456</v>
      </c>
      <c r="K52" s="56">
        <v>150</v>
      </c>
      <c r="L52" s="56"/>
      <c r="M52" s="140"/>
      <c r="N52" s="140"/>
    </row>
    <row r="53" spans="1:14" s="141" customFormat="1" ht="15" thickBot="1">
      <c r="A53" s="16">
        <v>5</v>
      </c>
      <c r="B53" s="133">
        <v>12</v>
      </c>
      <c r="C53" s="134">
        <f t="shared" ca="1" si="1"/>
        <v>1</v>
      </c>
      <c r="D53" s="133">
        <v>1</v>
      </c>
      <c r="E53" s="135"/>
      <c r="F53" s="136">
        <f>COUNTIF(E$52:E53,LOOKUP(2,1/(E$52:E53&lt;&gt;""),E$52:E53))</f>
        <v>1</v>
      </c>
      <c r="G53" s="137" t="str">
        <f>LOOKUP(2,1/(E$52:E53&lt;&gt;""),E$52:E53)</f>
        <v>转</v>
      </c>
      <c r="H53" s="55" t="s">
        <v>455</v>
      </c>
      <c r="I53" s="139">
        <f t="shared" ca="1" si="0"/>
        <v>222102</v>
      </c>
      <c r="J53" s="125" t="s">
        <v>452</v>
      </c>
      <c r="K53" s="56"/>
      <c r="L53" s="56">
        <v>150</v>
      </c>
      <c r="M53" s="140"/>
      <c r="N53" s="140"/>
    </row>
    <row r="54" spans="1:14" s="141" customFormat="1" ht="15" thickBot="1">
      <c r="A54" s="16">
        <v>5</v>
      </c>
      <c r="B54" s="133">
        <v>12</v>
      </c>
      <c r="C54" s="134">
        <f t="shared" ca="1" si="1"/>
        <v>2</v>
      </c>
      <c r="D54" s="133">
        <v>1</v>
      </c>
      <c r="E54" s="135" t="s">
        <v>257</v>
      </c>
      <c r="F54" s="136">
        <f>COUNTIF(E$52:E54,LOOKUP(2,1/(E$52:E54&lt;&gt;""),E$52:E54))</f>
        <v>1</v>
      </c>
      <c r="G54" s="137" t="str">
        <f>LOOKUP(2,1/(E$52:E54&lt;&gt;""),E$52:E54)</f>
        <v>银付</v>
      </c>
      <c r="H54" s="55" t="s">
        <v>451</v>
      </c>
      <c r="I54" s="139">
        <f t="shared" ca="1" si="0"/>
        <v>222102</v>
      </c>
      <c r="J54" s="125" t="s">
        <v>452</v>
      </c>
      <c r="K54" s="56">
        <v>150</v>
      </c>
      <c r="L54" s="56"/>
      <c r="M54" s="140"/>
      <c r="N54" s="140"/>
    </row>
    <row r="55" spans="1:14" s="141" customFormat="1" ht="15" thickBot="1">
      <c r="A55" s="16">
        <v>5</v>
      </c>
      <c r="B55" s="133">
        <v>12</v>
      </c>
      <c r="C55" s="134">
        <f t="shared" ca="1" si="1"/>
        <v>2</v>
      </c>
      <c r="D55" s="133">
        <v>1</v>
      </c>
      <c r="E55" s="135"/>
      <c r="F55" s="136">
        <f>COUNTIF(E$52:E55,LOOKUP(2,1/(E$52:E55&lt;&gt;""),E$52:E55))</f>
        <v>1</v>
      </c>
      <c r="G55" s="137" t="str">
        <f>LOOKUP(2,1/(E$52:E55&lt;&gt;""),E$52:E55)</f>
        <v>银付</v>
      </c>
      <c r="H55" s="55" t="s">
        <v>451</v>
      </c>
      <c r="I55" s="139">
        <f t="shared" ca="1" si="0"/>
        <v>10020101</v>
      </c>
      <c r="J55" s="125" t="s">
        <v>998</v>
      </c>
      <c r="K55" s="56"/>
      <c r="L55" s="56">
        <v>150</v>
      </c>
      <c r="M55" s="140"/>
      <c r="N55" s="140"/>
    </row>
    <row r="56" spans="1:14" s="141" customFormat="1" ht="15" thickBot="1">
      <c r="A56" s="16">
        <v>5</v>
      </c>
      <c r="B56" s="133">
        <v>12</v>
      </c>
      <c r="C56" s="134">
        <f t="shared" ca="1" si="1"/>
        <v>3</v>
      </c>
      <c r="D56" s="133">
        <v>1</v>
      </c>
      <c r="E56" s="135" t="s">
        <v>257</v>
      </c>
      <c r="F56" s="136">
        <f>COUNTIF(E$52:E56,LOOKUP(2,1/(E$52:E56&lt;&gt;""),E$52:E56))</f>
        <v>2</v>
      </c>
      <c r="G56" s="137" t="str">
        <f>LOOKUP(2,1/(E$52:E56&lt;&gt;""),E$52:E56)</f>
        <v>银付</v>
      </c>
      <c r="H56" s="55" t="s">
        <v>453</v>
      </c>
      <c r="I56" s="139">
        <f t="shared" ca="1" si="0"/>
        <v>671104</v>
      </c>
      <c r="J56" s="125" t="s">
        <v>454</v>
      </c>
      <c r="K56" s="56">
        <v>0.15</v>
      </c>
      <c r="L56" s="56"/>
      <c r="M56" s="140"/>
      <c r="N56" s="140"/>
    </row>
    <row r="57" spans="1:14" s="141" customFormat="1" ht="15" thickBot="1">
      <c r="A57" s="16">
        <v>5</v>
      </c>
      <c r="B57" s="133">
        <v>12</v>
      </c>
      <c r="C57" s="134">
        <f t="shared" ca="1" si="1"/>
        <v>3</v>
      </c>
      <c r="D57" s="133">
        <v>1</v>
      </c>
      <c r="E57" s="135"/>
      <c r="F57" s="136">
        <f>COUNTIF(E$52:E57,LOOKUP(2,1/(E$52:E57&lt;&gt;""),E$52:E57))</f>
        <v>2</v>
      </c>
      <c r="G57" s="137" t="str">
        <f>LOOKUP(2,1/(E$52:E57&lt;&gt;""),E$52:E57)</f>
        <v>银付</v>
      </c>
      <c r="H57" s="55" t="s">
        <v>453</v>
      </c>
      <c r="I57" s="139">
        <f t="shared" ca="1" si="0"/>
        <v>10020101</v>
      </c>
      <c r="J57" s="125" t="s">
        <v>998</v>
      </c>
      <c r="K57" s="56"/>
      <c r="L57" s="56">
        <v>0.15</v>
      </c>
      <c r="M57" s="140"/>
      <c r="N57" s="140"/>
    </row>
    <row r="58" spans="1:14" ht="15" thickBot="1">
      <c r="A58" s="16">
        <v>5</v>
      </c>
      <c r="B58" s="133">
        <v>20</v>
      </c>
      <c r="C58" s="134">
        <f t="shared" ca="1" si="1"/>
        <v>4</v>
      </c>
      <c r="D58" s="133">
        <v>1</v>
      </c>
      <c r="E58" s="135" t="s">
        <v>257</v>
      </c>
      <c r="F58" s="136">
        <f>COUNTIF(E$52:E58,LOOKUP(2,1/(E$52:E58&lt;&gt;""),E$52:E58))</f>
        <v>3</v>
      </c>
      <c r="G58" s="137" t="str">
        <f>LOOKUP(2,1/(E$52:E58&lt;&gt;""),E$52:E58)</f>
        <v>银付</v>
      </c>
      <c r="H58" s="55" t="s">
        <v>445</v>
      </c>
      <c r="I58" s="139">
        <f t="shared" ca="1" si="0"/>
        <v>660304</v>
      </c>
      <c r="J58" s="125" t="s">
        <v>444</v>
      </c>
      <c r="K58" s="56">
        <v>2</v>
      </c>
      <c r="L58" s="56"/>
    </row>
    <row r="59" spans="1:14" ht="15" thickBot="1">
      <c r="A59" s="16">
        <v>5</v>
      </c>
      <c r="B59" s="133">
        <v>20</v>
      </c>
      <c r="C59" s="134">
        <f t="shared" ca="1" si="1"/>
        <v>4</v>
      </c>
      <c r="D59" s="133">
        <v>1</v>
      </c>
      <c r="E59" s="135"/>
      <c r="F59" s="136">
        <f>COUNTIF(E$52:E59,LOOKUP(2,1/(E$52:E59&lt;&gt;""),E$52:E59))</f>
        <v>3</v>
      </c>
      <c r="G59" s="137" t="str">
        <f>LOOKUP(2,1/(E$52:E59&lt;&gt;""),E$52:E59)</f>
        <v>银付</v>
      </c>
      <c r="H59" s="55" t="s">
        <v>445</v>
      </c>
      <c r="I59" s="139">
        <f t="shared" ca="1" si="0"/>
        <v>10020101</v>
      </c>
      <c r="J59" s="125" t="s">
        <v>998</v>
      </c>
      <c r="K59" s="56"/>
      <c r="L59" s="56">
        <v>2</v>
      </c>
    </row>
    <row r="60" spans="1:14" s="141" customFormat="1" ht="15" thickBot="1">
      <c r="A60" s="16">
        <v>5</v>
      </c>
      <c r="B60" s="133">
        <v>27</v>
      </c>
      <c r="C60" s="134">
        <f t="shared" ca="1" si="1"/>
        <v>5</v>
      </c>
      <c r="D60" s="133">
        <v>1</v>
      </c>
      <c r="E60" s="135" t="s">
        <v>257</v>
      </c>
      <c r="F60" s="136">
        <f>COUNTIF(E$52:E60,LOOKUP(2,1/(E$52:E60&lt;&gt;""),E$52:E60))</f>
        <v>4</v>
      </c>
      <c r="G60" s="137" t="str">
        <f>LOOKUP(2,1/(E$52:E60&lt;&gt;""),E$52:E60)</f>
        <v>银付</v>
      </c>
      <c r="H60" s="55" t="s">
        <v>446</v>
      </c>
      <c r="I60" s="139">
        <f t="shared" ca="1" si="0"/>
        <v>660304</v>
      </c>
      <c r="J60" s="125" t="s">
        <v>444</v>
      </c>
      <c r="K60" s="56">
        <v>60</v>
      </c>
      <c r="L60" s="56"/>
      <c r="M60" s="140"/>
      <c r="N60" s="140"/>
    </row>
    <row r="61" spans="1:14" s="141" customFormat="1" ht="15" thickBot="1">
      <c r="A61" s="16">
        <v>5</v>
      </c>
      <c r="B61" s="133">
        <v>27</v>
      </c>
      <c r="C61" s="134">
        <f t="shared" ca="1" si="1"/>
        <v>5</v>
      </c>
      <c r="D61" s="133">
        <v>1</v>
      </c>
      <c r="E61" s="135"/>
      <c r="F61" s="136">
        <f>COUNTIF(E$52:E61,LOOKUP(2,1/(E$52:E61&lt;&gt;""),E$52:E61))</f>
        <v>4</v>
      </c>
      <c r="G61" s="137" t="str">
        <f>LOOKUP(2,1/(E$52:E61&lt;&gt;""),E$52:E61)</f>
        <v>银付</v>
      </c>
      <c r="H61" s="55" t="s">
        <v>446</v>
      </c>
      <c r="I61" s="139">
        <f t="shared" ca="1" si="0"/>
        <v>10020101</v>
      </c>
      <c r="J61" s="125" t="s">
        <v>998</v>
      </c>
      <c r="K61" s="56"/>
      <c r="L61" s="56">
        <v>60</v>
      </c>
      <c r="M61" s="140"/>
      <c r="N61" s="140"/>
    </row>
    <row r="62" spans="1:14" s="140" customFormat="1" ht="15" thickBot="1">
      <c r="A62" s="16">
        <v>5</v>
      </c>
      <c r="B62" s="133">
        <v>31</v>
      </c>
      <c r="C62" s="134">
        <f t="shared" ca="1" si="1"/>
        <v>6</v>
      </c>
      <c r="D62" s="133"/>
      <c r="E62" s="135" t="s">
        <v>26</v>
      </c>
      <c r="F62" s="136">
        <f>COUNTIF(E$52:E62,LOOKUP(2,1/(E$52:E62&lt;&gt;""),E$52:E62))</f>
        <v>2</v>
      </c>
      <c r="G62" s="137" t="str">
        <f>LOOKUP(2,1/(E$52:E62&lt;&gt;""),E$52:E62)</f>
        <v>转</v>
      </c>
      <c r="H62" s="55" t="s">
        <v>466</v>
      </c>
      <c r="I62" s="139">
        <f t="shared" ca="1" si="0"/>
        <v>4103</v>
      </c>
      <c r="J62" s="125" t="s">
        <v>52</v>
      </c>
      <c r="K62" s="56">
        <v>150</v>
      </c>
      <c r="L62" s="56"/>
    </row>
    <row r="63" spans="1:14" s="140" customFormat="1" ht="15" thickBot="1">
      <c r="A63" s="16">
        <v>5</v>
      </c>
      <c r="B63" s="133">
        <v>31</v>
      </c>
      <c r="C63" s="134">
        <f t="shared" ca="1" si="1"/>
        <v>6</v>
      </c>
      <c r="D63" s="133"/>
      <c r="E63" s="135"/>
      <c r="F63" s="136">
        <f>COUNTIF(E$52:E63,LOOKUP(2,1/(E$52:E63&lt;&gt;""),E$52:E63))</f>
        <v>2</v>
      </c>
      <c r="G63" s="137" t="str">
        <f>LOOKUP(2,1/(E$52:E63&lt;&gt;""),E$52:E63)</f>
        <v>转</v>
      </c>
      <c r="H63" s="55" t="s">
        <v>466</v>
      </c>
      <c r="I63" s="139">
        <f t="shared" ca="1" si="0"/>
        <v>6403</v>
      </c>
      <c r="J63" s="125" t="s">
        <v>456</v>
      </c>
      <c r="K63" s="56"/>
      <c r="L63" s="56">
        <v>150</v>
      </c>
    </row>
    <row r="64" spans="1:14" s="140" customFormat="1" ht="15" thickBot="1">
      <c r="A64" s="16">
        <v>5</v>
      </c>
      <c r="B64" s="133">
        <v>31</v>
      </c>
      <c r="C64" s="134">
        <f t="shared" ca="1" si="1"/>
        <v>7</v>
      </c>
      <c r="D64" s="133"/>
      <c r="E64" s="135" t="s">
        <v>26</v>
      </c>
      <c r="F64" s="136">
        <f>COUNTIF(E$52:E64,LOOKUP(2,1/(E$52:E64&lt;&gt;""),E$52:E64))</f>
        <v>3</v>
      </c>
      <c r="G64" s="137" t="str">
        <f>LOOKUP(2,1/(E$52:E64&lt;&gt;""),E$52:E64)</f>
        <v>转</v>
      </c>
      <c r="H64" s="55" t="s">
        <v>466</v>
      </c>
      <c r="I64" s="139">
        <f t="shared" ca="1" si="0"/>
        <v>4103</v>
      </c>
      <c r="J64" s="125" t="s">
        <v>52</v>
      </c>
      <c r="K64" s="56">
        <v>0.15</v>
      </c>
      <c r="L64" s="56"/>
    </row>
    <row r="65" spans="1:14" s="140" customFormat="1" ht="15" thickBot="1">
      <c r="A65" s="16">
        <v>5</v>
      </c>
      <c r="B65" s="133">
        <v>31</v>
      </c>
      <c r="C65" s="134">
        <f t="shared" ca="1" si="1"/>
        <v>7</v>
      </c>
      <c r="D65" s="133"/>
      <c r="E65" s="135"/>
      <c r="F65" s="136">
        <f>COUNTIF(E$52:E65,LOOKUP(2,1/(E$52:E65&lt;&gt;""),E$52:E65))</f>
        <v>3</v>
      </c>
      <c r="G65" s="137" t="str">
        <f>LOOKUP(2,1/(E$52:E65&lt;&gt;""),E$52:E65)</f>
        <v>转</v>
      </c>
      <c r="H65" s="55" t="s">
        <v>466</v>
      </c>
      <c r="I65" s="139">
        <f t="shared" ca="1" si="0"/>
        <v>671104</v>
      </c>
      <c r="J65" s="125" t="s">
        <v>454</v>
      </c>
      <c r="K65" s="56"/>
      <c r="L65" s="56">
        <v>0.15</v>
      </c>
    </row>
    <row r="66" spans="1:14" s="140" customFormat="1" ht="15" thickBot="1">
      <c r="A66" s="16">
        <v>5</v>
      </c>
      <c r="B66" s="133">
        <v>31</v>
      </c>
      <c r="C66" s="134">
        <f t="shared" ca="1" si="1"/>
        <v>8</v>
      </c>
      <c r="D66" s="133"/>
      <c r="E66" s="135" t="s">
        <v>26</v>
      </c>
      <c r="F66" s="136">
        <f>COUNTIF(E$52:E66,LOOKUP(2,1/(E$52:E66&lt;&gt;""),E$52:E66))</f>
        <v>4</v>
      </c>
      <c r="G66" s="137" t="str">
        <f>LOOKUP(2,1/(E$52:E66&lt;&gt;""),E$52:E66)</f>
        <v>转</v>
      </c>
      <c r="H66" s="55" t="s">
        <v>466</v>
      </c>
      <c r="I66" s="139">
        <f t="shared" ca="1" si="0"/>
        <v>4103</v>
      </c>
      <c r="J66" s="125" t="s">
        <v>52</v>
      </c>
      <c r="K66" s="56">
        <v>62</v>
      </c>
      <c r="L66" s="56"/>
    </row>
    <row r="67" spans="1:14" s="140" customFormat="1" ht="15" thickBot="1">
      <c r="A67" s="16">
        <v>5</v>
      </c>
      <c r="B67" s="133">
        <v>31</v>
      </c>
      <c r="C67" s="134">
        <f t="shared" ca="1" si="1"/>
        <v>8</v>
      </c>
      <c r="D67" s="133"/>
      <c r="E67" s="135"/>
      <c r="F67" s="136">
        <f>COUNTIF(E$52:E67,LOOKUP(2,1/(E$52:E67&lt;&gt;""),E$52:E67))</f>
        <v>4</v>
      </c>
      <c r="G67" s="137" t="str">
        <f>LOOKUP(2,1/(E$52:E67&lt;&gt;""),E$52:E67)</f>
        <v>转</v>
      </c>
      <c r="H67" s="55" t="s">
        <v>466</v>
      </c>
      <c r="I67" s="139">
        <f t="shared" ca="1" si="0"/>
        <v>660304</v>
      </c>
      <c r="J67" s="125" t="s">
        <v>444</v>
      </c>
      <c r="K67" s="56"/>
      <c r="L67" s="56">
        <v>62</v>
      </c>
    </row>
    <row r="68" spans="1:14" s="140" customFormat="1" ht="15" thickBot="1">
      <c r="A68" s="16">
        <v>5</v>
      </c>
      <c r="B68" s="133">
        <v>31</v>
      </c>
      <c r="C68" s="134">
        <f t="shared" ca="1" si="1"/>
        <v>0</v>
      </c>
      <c r="D68" s="133"/>
      <c r="E68" s="135"/>
      <c r="F68" s="136"/>
      <c r="G68" s="137"/>
      <c r="H68" s="55"/>
      <c r="I68" s="139"/>
      <c r="J68" s="125"/>
      <c r="K68" s="56"/>
      <c r="L68" s="56"/>
    </row>
    <row r="69" spans="1:14" s="141" customFormat="1" ht="15" thickBot="1">
      <c r="A69" s="16">
        <v>6</v>
      </c>
      <c r="B69" s="133">
        <v>8</v>
      </c>
      <c r="C69" s="134">
        <f t="shared" ca="1" si="1"/>
        <v>1</v>
      </c>
      <c r="D69" s="133">
        <v>1</v>
      </c>
      <c r="E69" s="135" t="s">
        <v>26</v>
      </c>
      <c r="F69" s="136">
        <f>COUNTIF(E$69:E69,LOOKUP(2,1/(E$69:E69&lt;&gt;""),E$69:E69))</f>
        <v>1</v>
      </c>
      <c r="G69" s="137" t="str">
        <f>LOOKUP(2,1/(E$69:E69&lt;&gt;""),E$69:E69)</f>
        <v>转</v>
      </c>
      <c r="H69" s="55" t="s">
        <v>455</v>
      </c>
      <c r="I69" s="139">
        <f t="shared" ca="1" si="0"/>
        <v>6403</v>
      </c>
      <c r="J69" s="125" t="s">
        <v>456</v>
      </c>
      <c r="K69" s="56">
        <v>150</v>
      </c>
      <c r="L69" s="56"/>
      <c r="M69" s="140"/>
      <c r="N69" s="140"/>
    </row>
    <row r="70" spans="1:14" s="141" customFormat="1" ht="15" thickBot="1">
      <c r="A70" s="16">
        <v>6</v>
      </c>
      <c r="B70" s="133">
        <v>8</v>
      </c>
      <c r="C70" s="134">
        <f t="shared" ca="1" si="1"/>
        <v>1</v>
      </c>
      <c r="D70" s="133">
        <v>1</v>
      </c>
      <c r="E70" s="135"/>
      <c r="F70" s="136">
        <f>COUNTIF(E$69:E70,LOOKUP(2,1/(E$69:E70&lt;&gt;""),E$69:E70))</f>
        <v>1</v>
      </c>
      <c r="G70" s="137" t="str">
        <f>LOOKUP(2,1/(E$69:E70&lt;&gt;""),E$69:E70)</f>
        <v>转</v>
      </c>
      <c r="H70" s="55" t="s">
        <v>455</v>
      </c>
      <c r="I70" s="139">
        <f t="shared" ca="1" si="0"/>
        <v>222102</v>
      </c>
      <c r="J70" s="125" t="s">
        <v>452</v>
      </c>
      <c r="K70" s="56"/>
      <c r="L70" s="56">
        <v>150</v>
      </c>
      <c r="M70" s="140"/>
      <c r="N70" s="140"/>
    </row>
    <row r="71" spans="1:14" s="141" customFormat="1" ht="15" thickBot="1">
      <c r="A71" s="16">
        <v>6</v>
      </c>
      <c r="B71" s="133">
        <v>8</v>
      </c>
      <c r="C71" s="134">
        <f t="shared" ca="1" si="1"/>
        <v>2</v>
      </c>
      <c r="D71" s="133">
        <v>1</v>
      </c>
      <c r="E71" s="135" t="s">
        <v>257</v>
      </c>
      <c r="F71" s="136">
        <f>COUNTIF(E$69:E71,LOOKUP(2,1/(E$69:E71&lt;&gt;""),E$69:E71))</f>
        <v>1</v>
      </c>
      <c r="G71" s="137" t="str">
        <f>LOOKUP(2,1/(E$69:E71&lt;&gt;""),E$69:E71)</f>
        <v>银付</v>
      </c>
      <c r="H71" s="55" t="s">
        <v>451</v>
      </c>
      <c r="I71" s="139">
        <f t="shared" ca="1" si="0"/>
        <v>222102</v>
      </c>
      <c r="J71" s="125" t="s">
        <v>452</v>
      </c>
      <c r="K71" s="56">
        <v>150</v>
      </c>
      <c r="L71" s="56"/>
      <c r="M71" s="140"/>
      <c r="N71" s="140"/>
    </row>
    <row r="72" spans="1:14" s="141" customFormat="1" ht="15" thickBot="1">
      <c r="A72" s="16">
        <v>6</v>
      </c>
      <c r="B72" s="133">
        <v>8</v>
      </c>
      <c r="C72" s="134">
        <f t="shared" ca="1" si="1"/>
        <v>2</v>
      </c>
      <c r="D72" s="133">
        <v>1</v>
      </c>
      <c r="E72" s="135"/>
      <c r="F72" s="136">
        <f>COUNTIF(E$69:E72,LOOKUP(2,1/(E$69:E72&lt;&gt;""),E$69:E72))</f>
        <v>1</v>
      </c>
      <c r="G72" s="137" t="str">
        <f>LOOKUP(2,1/(E$69:E72&lt;&gt;""),E$69:E72)</f>
        <v>银付</v>
      </c>
      <c r="H72" s="55" t="s">
        <v>451</v>
      </c>
      <c r="I72" s="139">
        <f t="shared" ca="1" si="0"/>
        <v>10020101</v>
      </c>
      <c r="J72" s="125" t="s">
        <v>998</v>
      </c>
      <c r="K72" s="56"/>
      <c r="L72" s="56">
        <v>150</v>
      </c>
      <c r="M72" s="140"/>
      <c r="N72" s="140"/>
    </row>
    <row r="73" spans="1:14" s="140" customFormat="1" ht="15" thickBot="1">
      <c r="A73" s="16">
        <v>6</v>
      </c>
      <c r="B73" s="133">
        <v>9</v>
      </c>
      <c r="C73" s="134">
        <f t="shared" ca="1" si="1"/>
        <v>3</v>
      </c>
      <c r="D73" s="133">
        <v>1</v>
      </c>
      <c r="E73" s="135" t="s">
        <v>26</v>
      </c>
      <c r="F73" s="136">
        <f>COUNTIF(E$69:E73,LOOKUP(2,1/(E$69:E73&lt;&gt;""),E$69:E73))</f>
        <v>2</v>
      </c>
      <c r="G73" s="137" t="str">
        <f>LOOKUP(2,1/(E$69:E73&lt;&gt;""),E$69:E73)</f>
        <v>转</v>
      </c>
      <c r="H73" s="55" t="s">
        <v>467</v>
      </c>
      <c r="I73" s="139">
        <f t="shared" ca="1" si="0"/>
        <v>6403</v>
      </c>
      <c r="J73" s="125" t="s">
        <v>456</v>
      </c>
      <c r="K73" s="56">
        <v>16.5</v>
      </c>
      <c r="L73" s="56"/>
    </row>
    <row r="74" spans="1:14" s="140" customFormat="1" ht="15" thickBot="1">
      <c r="A74" s="16">
        <v>6</v>
      </c>
      <c r="B74" s="133">
        <v>9</v>
      </c>
      <c r="C74" s="134">
        <f t="shared" ca="1" si="1"/>
        <v>3</v>
      </c>
      <c r="D74" s="133">
        <v>1</v>
      </c>
      <c r="E74" s="135"/>
      <c r="F74" s="136">
        <f>COUNTIF(E$69:E74,LOOKUP(2,1/(E$69:E74&lt;&gt;""),E$69:E74))</f>
        <v>2</v>
      </c>
      <c r="G74" s="137" t="str">
        <f>LOOKUP(2,1/(E$69:E74&lt;&gt;""),E$69:E74)</f>
        <v>转</v>
      </c>
      <c r="H74" s="55" t="s">
        <v>467</v>
      </c>
      <c r="I74" s="139">
        <f t="shared" ref="I74:I137" ca="1" si="3">INDEX(科目代码,MATCH($J74,账户查询,))</f>
        <v>222106</v>
      </c>
      <c r="J74" s="125" t="s">
        <v>51</v>
      </c>
      <c r="K74" s="56"/>
      <c r="L74" s="56">
        <v>10.5</v>
      </c>
    </row>
    <row r="75" spans="1:14" s="140" customFormat="1" ht="15" thickBot="1">
      <c r="A75" s="16">
        <v>6</v>
      </c>
      <c r="B75" s="133">
        <v>9</v>
      </c>
      <c r="C75" s="134">
        <f t="shared" ref="C75:C138" ca="1" si="4">IF(INDIRECT("RC[-2]",)=INDIRECT("R[1]C[-2]",),INDIRECT("R[-1]C",)+(ROUND(SUM(INDIRECT("R4C11:R[-1]C11",)),2)-ROUND(SUM(INDIRECT("R4C12:R[-1]C12",)),2)=0),)</f>
        <v>3</v>
      </c>
      <c r="D75" s="133">
        <v>1</v>
      </c>
      <c r="E75" s="135" t="s">
        <v>26</v>
      </c>
      <c r="F75" s="136">
        <f>COUNTIF(E$69:E75,LOOKUP(2,1/(E$69:E75&lt;&gt;""),E$69:E75))</f>
        <v>3</v>
      </c>
      <c r="G75" s="137" t="str">
        <f>LOOKUP(2,1/(E$69:E75&lt;&gt;""),E$69:E75)</f>
        <v>转</v>
      </c>
      <c r="H75" s="55" t="s">
        <v>467</v>
      </c>
      <c r="I75" s="139">
        <f t="shared" ca="1" si="3"/>
        <v>222113</v>
      </c>
      <c r="J75" s="125" t="s">
        <v>433</v>
      </c>
      <c r="K75" s="56"/>
      <c r="L75" s="56">
        <v>4.5</v>
      </c>
    </row>
    <row r="76" spans="1:14" s="140" customFormat="1" ht="15" thickBot="1">
      <c r="A76" s="16">
        <v>6</v>
      </c>
      <c r="B76" s="133">
        <v>9</v>
      </c>
      <c r="C76" s="134">
        <f t="shared" ca="1" si="4"/>
        <v>3</v>
      </c>
      <c r="D76" s="133">
        <v>1</v>
      </c>
      <c r="E76" s="135"/>
      <c r="F76" s="136">
        <f>COUNTIF(E$69:E76,LOOKUP(2,1/(E$69:E76&lt;&gt;""),E$69:E76))</f>
        <v>3</v>
      </c>
      <c r="G76" s="137" t="str">
        <f>LOOKUP(2,1/(E$69:E76&lt;&gt;""),E$69:E76)</f>
        <v>转</v>
      </c>
      <c r="H76" s="55" t="s">
        <v>467</v>
      </c>
      <c r="I76" s="139">
        <f t="shared" ca="1" si="3"/>
        <v>222113</v>
      </c>
      <c r="J76" s="125" t="s">
        <v>433</v>
      </c>
      <c r="K76" s="56"/>
      <c r="L76" s="56">
        <v>1.5</v>
      </c>
    </row>
    <row r="77" spans="1:14" s="140" customFormat="1" ht="15" thickBot="1">
      <c r="A77" s="16">
        <v>6</v>
      </c>
      <c r="B77" s="133">
        <v>9</v>
      </c>
      <c r="C77" s="134">
        <f t="shared" ca="1" si="4"/>
        <v>4</v>
      </c>
      <c r="D77" s="133">
        <v>1</v>
      </c>
      <c r="E77" s="135" t="s">
        <v>257</v>
      </c>
      <c r="F77" s="136">
        <f>COUNTIF(E$69:E77,LOOKUP(2,1/(E$69:E77&lt;&gt;""),E$69:E77))</f>
        <v>2</v>
      </c>
      <c r="G77" s="137" t="str">
        <f>LOOKUP(2,1/(E$69:E77&lt;&gt;""),E$69:E77)</f>
        <v>银付</v>
      </c>
      <c r="H77" s="55" t="s">
        <v>457</v>
      </c>
      <c r="I77" s="139">
        <f t="shared" ca="1" si="3"/>
        <v>222106</v>
      </c>
      <c r="J77" s="125" t="s">
        <v>51</v>
      </c>
      <c r="K77" s="56">
        <v>10.5</v>
      </c>
      <c r="L77" s="56"/>
    </row>
    <row r="78" spans="1:14" s="140" customFormat="1" ht="15" thickBot="1">
      <c r="A78" s="16">
        <v>6</v>
      </c>
      <c r="B78" s="133">
        <v>9</v>
      </c>
      <c r="C78" s="134">
        <f t="shared" ca="1" si="4"/>
        <v>4</v>
      </c>
      <c r="D78" s="133">
        <v>1</v>
      </c>
      <c r="E78" s="135"/>
      <c r="F78" s="136">
        <f>COUNTIF(E$69:E78,LOOKUP(2,1/(E$69:E78&lt;&gt;""),E$69:E78))</f>
        <v>2</v>
      </c>
      <c r="G78" s="137" t="str">
        <f>LOOKUP(2,1/(E$69:E78&lt;&gt;""),E$69:E78)</f>
        <v>银付</v>
      </c>
      <c r="H78" s="55" t="s">
        <v>457</v>
      </c>
      <c r="I78" s="139">
        <f t="shared" ca="1" si="3"/>
        <v>222113</v>
      </c>
      <c r="J78" s="125" t="s">
        <v>433</v>
      </c>
      <c r="K78" s="56">
        <v>4.5</v>
      </c>
      <c r="L78" s="56"/>
    </row>
    <row r="79" spans="1:14" s="140" customFormat="1" ht="15" thickBot="1">
      <c r="A79" s="16">
        <v>6</v>
      </c>
      <c r="B79" s="133">
        <v>9</v>
      </c>
      <c r="C79" s="134">
        <f t="shared" ca="1" si="4"/>
        <v>4</v>
      </c>
      <c r="D79" s="133">
        <v>1</v>
      </c>
      <c r="E79" s="135"/>
      <c r="F79" s="136">
        <f>COUNTIF(E$69:E79,LOOKUP(2,1/(E$69:E79&lt;&gt;""),E$69:E79))</f>
        <v>2</v>
      </c>
      <c r="G79" s="137" t="str">
        <f>LOOKUP(2,1/(E$69:E79&lt;&gt;""),E$69:E79)</f>
        <v>银付</v>
      </c>
      <c r="H79" s="55" t="s">
        <v>457</v>
      </c>
      <c r="I79" s="139">
        <f t="shared" ca="1" si="3"/>
        <v>222113</v>
      </c>
      <c r="J79" s="125" t="s">
        <v>433</v>
      </c>
      <c r="K79" s="56">
        <v>1.5</v>
      </c>
      <c r="L79" s="56"/>
    </row>
    <row r="80" spans="1:14" s="140" customFormat="1" ht="15" thickBot="1">
      <c r="A80" s="16">
        <v>6</v>
      </c>
      <c r="B80" s="133">
        <v>9</v>
      </c>
      <c r="C80" s="134">
        <f t="shared" ca="1" si="4"/>
        <v>4</v>
      </c>
      <c r="D80" s="133">
        <v>1</v>
      </c>
      <c r="E80" s="135"/>
      <c r="F80" s="136">
        <f>COUNTIF(E$69:E80,LOOKUP(2,1/(E$69:E80&lt;&gt;""),E$69:E80))</f>
        <v>2</v>
      </c>
      <c r="G80" s="137" t="str">
        <f>LOOKUP(2,1/(E$69:E80&lt;&gt;""),E$69:E80)</f>
        <v>银付</v>
      </c>
      <c r="H80" s="55" t="s">
        <v>457</v>
      </c>
      <c r="I80" s="139">
        <f t="shared" ca="1" si="3"/>
        <v>10020101</v>
      </c>
      <c r="J80" s="125" t="s">
        <v>998</v>
      </c>
      <c r="K80" s="56"/>
      <c r="L80" s="56">
        <v>16.5</v>
      </c>
    </row>
    <row r="81" spans="1:14" ht="15" thickBot="1">
      <c r="A81" s="16">
        <v>6</v>
      </c>
      <c r="B81" s="133">
        <v>11</v>
      </c>
      <c r="C81" s="134">
        <f t="shared" ca="1" si="4"/>
        <v>5</v>
      </c>
      <c r="D81" s="133">
        <v>1</v>
      </c>
      <c r="E81" s="135" t="s">
        <v>257</v>
      </c>
      <c r="F81" s="136">
        <f>COUNTIF(E$69:E81,LOOKUP(2,1/(E$69:E81&lt;&gt;""),E$69:E81))</f>
        <v>3</v>
      </c>
      <c r="G81" s="137" t="str">
        <f>LOOKUP(2,1/(E$69:E81&lt;&gt;""),E$69:E81)</f>
        <v>银付</v>
      </c>
      <c r="H81" s="55" t="s">
        <v>445</v>
      </c>
      <c r="I81" s="139">
        <f t="shared" ca="1" si="3"/>
        <v>660304</v>
      </c>
      <c r="J81" s="125" t="s">
        <v>444</v>
      </c>
      <c r="K81" s="56">
        <v>1</v>
      </c>
      <c r="L81" s="56"/>
    </row>
    <row r="82" spans="1:14" ht="15" thickBot="1">
      <c r="A82" s="16">
        <v>6</v>
      </c>
      <c r="B82" s="133">
        <v>11</v>
      </c>
      <c r="C82" s="134">
        <f t="shared" ca="1" si="4"/>
        <v>5</v>
      </c>
      <c r="D82" s="133">
        <v>1</v>
      </c>
      <c r="E82" s="135"/>
      <c r="F82" s="136">
        <f>COUNTIF(E$69:E82,LOOKUP(2,1/(E$69:E82&lt;&gt;""),E$69:E82))</f>
        <v>3</v>
      </c>
      <c r="G82" s="137" t="str">
        <f>LOOKUP(2,1/(E$69:E82&lt;&gt;""),E$69:E82)</f>
        <v>银付</v>
      </c>
      <c r="H82" s="55" t="s">
        <v>445</v>
      </c>
      <c r="I82" s="139">
        <f t="shared" ca="1" si="3"/>
        <v>10020101</v>
      </c>
      <c r="J82" s="125" t="s">
        <v>998</v>
      </c>
      <c r="K82" s="56"/>
      <c r="L82" s="56">
        <v>1</v>
      </c>
    </row>
    <row r="83" spans="1:14" s="141" customFormat="1" ht="15" thickBot="1">
      <c r="A83" s="16">
        <v>6</v>
      </c>
      <c r="B83" s="133">
        <v>21</v>
      </c>
      <c r="C83" s="134">
        <f t="shared" ca="1" si="4"/>
        <v>6</v>
      </c>
      <c r="D83" s="133">
        <v>1</v>
      </c>
      <c r="E83" s="135" t="s">
        <v>24</v>
      </c>
      <c r="F83" s="136">
        <f>COUNTIF(E$69:E83,LOOKUP(2,1/(E$69:E83&lt;&gt;""),E$69:E83))</f>
        <v>1</v>
      </c>
      <c r="G83" s="137" t="str">
        <f>LOOKUP(2,1/(E$69:E83&lt;&gt;""),E$69:E83)</f>
        <v>银收</v>
      </c>
      <c r="H83" s="55" t="s">
        <v>458</v>
      </c>
      <c r="I83" s="139">
        <f t="shared" ca="1" si="3"/>
        <v>10020101</v>
      </c>
      <c r="J83" s="125" t="s">
        <v>998</v>
      </c>
      <c r="K83" s="56">
        <v>27.33</v>
      </c>
      <c r="L83" s="56"/>
      <c r="M83" s="140"/>
      <c r="N83" s="140"/>
    </row>
    <row r="84" spans="1:14" s="141" customFormat="1" ht="15" thickBot="1">
      <c r="A84" s="16">
        <v>6</v>
      </c>
      <c r="B84" s="133">
        <v>21</v>
      </c>
      <c r="C84" s="134">
        <f t="shared" ca="1" si="4"/>
        <v>6</v>
      </c>
      <c r="D84" s="133">
        <v>1</v>
      </c>
      <c r="E84" s="135"/>
      <c r="F84" s="136">
        <f>COUNTIF(E$69:E84,LOOKUP(2,1/(E$69:E84&lt;&gt;""),E$69:E84))</f>
        <v>1</v>
      </c>
      <c r="G84" s="137" t="str">
        <f>LOOKUP(2,1/(E$69:E84&lt;&gt;""),E$69:E84)</f>
        <v>银收</v>
      </c>
      <c r="H84" s="55" t="s">
        <v>458</v>
      </c>
      <c r="I84" s="139">
        <f t="shared" ca="1" si="3"/>
        <v>660302</v>
      </c>
      <c r="J84" s="125" t="s">
        <v>448</v>
      </c>
      <c r="K84" s="56">
        <v>-27.33</v>
      </c>
      <c r="L84" s="56"/>
      <c r="M84" s="140"/>
      <c r="N84" s="140"/>
    </row>
    <row r="85" spans="1:14" s="140" customFormat="1" ht="15" thickBot="1">
      <c r="A85" s="16">
        <v>6</v>
      </c>
      <c r="B85" s="133">
        <v>30</v>
      </c>
      <c r="C85" s="134">
        <f t="shared" ca="1" si="4"/>
        <v>7</v>
      </c>
      <c r="D85" s="133"/>
      <c r="E85" s="135" t="s">
        <v>26</v>
      </c>
      <c r="F85" s="136">
        <f>COUNTIF(E$69:E85,LOOKUP(2,1/(E$69:E85&lt;&gt;""),E$69:E85))</f>
        <v>4</v>
      </c>
      <c r="G85" s="137" t="str">
        <f>LOOKUP(2,1/(E$69:E85&lt;&gt;""),E$69:E85)</f>
        <v>转</v>
      </c>
      <c r="H85" s="55" t="s">
        <v>468</v>
      </c>
      <c r="I85" s="139">
        <f t="shared" ca="1" si="3"/>
        <v>4103</v>
      </c>
      <c r="J85" s="125" t="s">
        <v>52</v>
      </c>
      <c r="K85" s="56">
        <v>166.5</v>
      </c>
      <c r="L85" s="56"/>
    </row>
    <row r="86" spans="1:14" s="140" customFormat="1" ht="15" thickBot="1">
      <c r="A86" s="16">
        <v>6</v>
      </c>
      <c r="B86" s="133">
        <v>30</v>
      </c>
      <c r="C86" s="134">
        <f t="shared" ca="1" si="4"/>
        <v>7</v>
      </c>
      <c r="D86" s="133"/>
      <c r="E86" s="135"/>
      <c r="F86" s="136">
        <f>COUNTIF(E$69:E86,LOOKUP(2,1/(E$69:E86&lt;&gt;""),E$69:E86))</f>
        <v>4</v>
      </c>
      <c r="G86" s="137" t="str">
        <f>LOOKUP(2,1/(E$69:E86&lt;&gt;""),E$69:E86)</f>
        <v>转</v>
      </c>
      <c r="H86" s="55" t="s">
        <v>468</v>
      </c>
      <c r="I86" s="139">
        <f t="shared" ca="1" si="3"/>
        <v>6403</v>
      </c>
      <c r="J86" s="125" t="s">
        <v>456</v>
      </c>
      <c r="K86" s="56"/>
      <c r="L86" s="56">
        <v>166.5</v>
      </c>
    </row>
    <row r="87" spans="1:14" s="140" customFormat="1" ht="15" thickBot="1">
      <c r="A87" s="16">
        <v>6</v>
      </c>
      <c r="B87" s="133">
        <v>30</v>
      </c>
      <c r="C87" s="134">
        <f t="shared" ca="1" si="4"/>
        <v>8</v>
      </c>
      <c r="D87" s="133"/>
      <c r="E87" s="135" t="s">
        <v>26</v>
      </c>
      <c r="F87" s="136">
        <f>COUNTIF(E$69:E87,LOOKUP(2,1/(E$69:E87&lt;&gt;""),E$69:E87))</f>
        <v>5</v>
      </c>
      <c r="G87" s="137" t="str">
        <f>LOOKUP(2,1/(E$69:E87&lt;&gt;""),E$69:E87)</f>
        <v>转</v>
      </c>
      <c r="H87" s="55" t="s">
        <v>468</v>
      </c>
      <c r="I87" s="139">
        <f t="shared" ca="1" si="3"/>
        <v>4103</v>
      </c>
      <c r="J87" s="125" t="s">
        <v>52</v>
      </c>
      <c r="K87" s="56">
        <v>-26.33</v>
      </c>
      <c r="L87" s="56"/>
    </row>
    <row r="88" spans="1:14" s="140" customFormat="1" ht="15" thickBot="1">
      <c r="A88" s="16">
        <v>6</v>
      </c>
      <c r="B88" s="133">
        <v>30</v>
      </c>
      <c r="C88" s="134">
        <f t="shared" ca="1" si="4"/>
        <v>8</v>
      </c>
      <c r="D88" s="133"/>
      <c r="E88" s="135"/>
      <c r="F88" s="136">
        <f>COUNTIF(E$69:E88,LOOKUP(2,1/(E$69:E88&lt;&gt;""),E$69:E88))</f>
        <v>5</v>
      </c>
      <c r="G88" s="137" t="str">
        <f>LOOKUP(2,1/(E$69:E88&lt;&gt;""),E$69:E88)</f>
        <v>转</v>
      </c>
      <c r="H88" s="55" t="s">
        <v>468</v>
      </c>
      <c r="I88" s="139">
        <f t="shared" ca="1" si="3"/>
        <v>660302</v>
      </c>
      <c r="J88" s="125" t="s">
        <v>448</v>
      </c>
      <c r="K88" s="56"/>
      <c r="L88" s="56">
        <v>-27.33</v>
      </c>
    </row>
    <row r="89" spans="1:14" s="140" customFormat="1" ht="15" thickBot="1">
      <c r="A89" s="16">
        <v>6</v>
      </c>
      <c r="B89" s="133">
        <v>30</v>
      </c>
      <c r="C89" s="134">
        <f t="shared" ca="1" si="4"/>
        <v>8</v>
      </c>
      <c r="D89" s="133"/>
      <c r="E89" s="135"/>
      <c r="F89" s="136">
        <f>COUNTIF(E$69:E89,LOOKUP(2,1/(E$69:E89&lt;&gt;""),E$69:E89))</f>
        <v>5</v>
      </c>
      <c r="G89" s="137" t="str">
        <f>LOOKUP(2,1/(E$69:E89&lt;&gt;""),E$69:E89)</f>
        <v>转</v>
      </c>
      <c r="H89" s="55" t="s">
        <v>468</v>
      </c>
      <c r="I89" s="139">
        <f t="shared" ca="1" si="3"/>
        <v>660304</v>
      </c>
      <c r="J89" s="125" t="s">
        <v>444</v>
      </c>
      <c r="K89" s="56"/>
      <c r="L89" s="56">
        <v>1</v>
      </c>
    </row>
    <row r="90" spans="1:14" s="140" customFormat="1" ht="15" thickBot="1">
      <c r="A90" s="16">
        <v>6</v>
      </c>
      <c r="B90" s="133">
        <v>30</v>
      </c>
      <c r="C90" s="134">
        <f t="shared" ca="1" si="4"/>
        <v>0</v>
      </c>
      <c r="D90" s="133"/>
      <c r="E90" s="135"/>
      <c r="F90" s="136"/>
      <c r="G90" s="137"/>
      <c r="H90" s="55"/>
      <c r="I90" s="139"/>
      <c r="J90" s="125"/>
      <c r="K90" s="56"/>
      <c r="L90" s="56"/>
    </row>
    <row r="91" spans="1:14" s="140" customFormat="1" ht="15" thickBot="1">
      <c r="A91" s="16">
        <v>7</v>
      </c>
      <c r="B91" s="133">
        <v>8</v>
      </c>
      <c r="C91" s="134">
        <f t="shared" ca="1" si="4"/>
        <v>1</v>
      </c>
      <c r="D91" s="133">
        <v>1</v>
      </c>
      <c r="E91" s="135" t="s">
        <v>26</v>
      </c>
      <c r="F91" s="136">
        <f>COUNTIF(E$91:E91,LOOKUP(2,1/(E$91:E91&lt;&gt;""),E$91:E91))</f>
        <v>1</v>
      </c>
      <c r="G91" s="137" t="str">
        <f>LOOKUP(2,1/(E$91:E91&lt;&gt;""),E$91:E91)</f>
        <v>转</v>
      </c>
      <c r="H91" s="55" t="s">
        <v>470</v>
      </c>
      <c r="I91" s="139">
        <f t="shared" ca="1" si="3"/>
        <v>6403</v>
      </c>
      <c r="J91" s="125" t="s">
        <v>456</v>
      </c>
      <c r="K91" s="56">
        <v>16.5</v>
      </c>
      <c r="L91" s="56"/>
    </row>
    <row r="92" spans="1:14" s="140" customFormat="1" ht="15" thickBot="1">
      <c r="A92" s="16">
        <v>7</v>
      </c>
      <c r="B92" s="133">
        <v>8</v>
      </c>
      <c r="C92" s="134">
        <f t="shared" ca="1" si="4"/>
        <v>1</v>
      </c>
      <c r="D92" s="133">
        <v>1</v>
      </c>
      <c r="E92" s="135"/>
      <c r="F92" s="136">
        <f>COUNTIF(E$91:E92,LOOKUP(2,1/(E$91:E92&lt;&gt;""),E$91:E92))</f>
        <v>1</v>
      </c>
      <c r="G92" s="137" t="str">
        <f>LOOKUP(2,1/(E$91:E92&lt;&gt;""),E$91:E92)</f>
        <v>转</v>
      </c>
      <c r="H92" s="55" t="s">
        <v>470</v>
      </c>
      <c r="I92" s="139">
        <f t="shared" ca="1" si="3"/>
        <v>222106</v>
      </c>
      <c r="J92" s="125" t="s">
        <v>51</v>
      </c>
      <c r="K92" s="56"/>
      <c r="L92" s="56">
        <v>10.5</v>
      </c>
    </row>
    <row r="93" spans="1:14" s="140" customFormat="1" ht="15" thickBot="1">
      <c r="A93" s="16">
        <v>7</v>
      </c>
      <c r="B93" s="133">
        <v>8</v>
      </c>
      <c r="C93" s="134">
        <f t="shared" ca="1" si="4"/>
        <v>1</v>
      </c>
      <c r="D93" s="133">
        <v>1</v>
      </c>
      <c r="E93" s="135"/>
      <c r="F93" s="136">
        <f>COUNTIF(E$91:E93,LOOKUP(2,1/(E$91:E93&lt;&gt;""),E$91:E93))</f>
        <v>1</v>
      </c>
      <c r="G93" s="137" t="str">
        <f>LOOKUP(2,1/(E$91:E93&lt;&gt;""),E$91:E93)</f>
        <v>转</v>
      </c>
      <c r="H93" s="55" t="s">
        <v>470</v>
      </c>
      <c r="I93" s="139">
        <f t="shared" ca="1" si="3"/>
        <v>222113</v>
      </c>
      <c r="J93" s="125" t="s">
        <v>433</v>
      </c>
      <c r="K93" s="56"/>
      <c r="L93" s="56">
        <v>4.5</v>
      </c>
    </row>
    <row r="94" spans="1:14" s="140" customFormat="1" ht="15" thickBot="1">
      <c r="A94" s="16">
        <v>7</v>
      </c>
      <c r="B94" s="133">
        <v>8</v>
      </c>
      <c r="C94" s="134">
        <f t="shared" ca="1" si="4"/>
        <v>1</v>
      </c>
      <c r="D94" s="133">
        <v>1</v>
      </c>
      <c r="E94" s="135"/>
      <c r="F94" s="136">
        <f>COUNTIF(E$91:E94,LOOKUP(2,1/(E$91:E94&lt;&gt;""),E$91:E94))</f>
        <v>1</v>
      </c>
      <c r="G94" s="137" t="str">
        <f>LOOKUP(2,1/(E$91:E94&lt;&gt;""),E$91:E94)</f>
        <v>转</v>
      </c>
      <c r="H94" s="55" t="s">
        <v>470</v>
      </c>
      <c r="I94" s="139">
        <f t="shared" ca="1" si="3"/>
        <v>222113</v>
      </c>
      <c r="J94" s="125" t="s">
        <v>433</v>
      </c>
      <c r="K94" s="56"/>
      <c r="L94" s="56">
        <v>1.5</v>
      </c>
    </row>
    <row r="95" spans="1:14" s="140" customFormat="1" ht="15" thickBot="1">
      <c r="A95" s="16">
        <v>7</v>
      </c>
      <c r="B95" s="133">
        <v>8</v>
      </c>
      <c r="C95" s="134">
        <f t="shared" ca="1" si="4"/>
        <v>2</v>
      </c>
      <c r="D95" s="133">
        <v>1</v>
      </c>
      <c r="E95" s="135" t="s">
        <v>257</v>
      </c>
      <c r="F95" s="136">
        <f>COUNTIF(E$91:E95,LOOKUP(2,1/(E$91:E95&lt;&gt;""),E$91:E95))</f>
        <v>1</v>
      </c>
      <c r="G95" s="137" t="str">
        <f>LOOKUP(2,1/(E$91:E95&lt;&gt;""),E$91:E95)</f>
        <v>银付</v>
      </c>
      <c r="H95" s="55" t="s">
        <v>459</v>
      </c>
      <c r="I95" s="139">
        <f t="shared" ca="1" si="3"/>
        <v>222106</v>
      </c>
      <c r="J95" s="125" t="s">
        <v>51</v>
      </c>
      <c r="K95" s="56">
        <v>10.5</v>
      </c>
      <c r="L95" s="56"/>
    </row>
    <row r="96" spans="1:14" s="140" customFormat="1" ht="15" thickBot="1">
      <c r="A96" s="16">
        <v>7</v>
      </c>
      <c r="B96" s="133">
        <v>8</v>
      </c>
      <c r="C96" s="134">
        <f t="shared" ca="1" si="4"/>
        <v>2</v>
      </c>
      <c r="D96" s="133">
        <v>1</v>
      </c>
      <c r="E96" s="135"/>
      <c r="F96" s="136">
        <f>COUNTIF(E$91:E96,LOOKUP(2,1/(E$91:E96&lt;&gt;""),E$91:E96))</f>
        <v>1</v>
      </c>
      <c r="G96" s="137" t="str">
        <f>LOOKUP(2,1/(E$91:E96&lt;&gt;""),E$91:E96)</f>
        <v>银付</v>
      </c>
      <c r="H96" s="55" t="s">
        <v>459</v>
      </c>
      <c r="I96" s="139">
        <f t="shared" ca="1" si="3"/>
        <v>222113</v>
      </c>
      <c r="J96" s="125" t="s">
        <v>433</v>
      </c>
      <c r="K96" s="56">
        <v>4.5</v>
      </c>
      <c r="L96" s="56"/>
    </row>
    <row r="97" spans="1:14" s="140" customFormat="1" ht="15" thickBot="1">
      <c r="A97" s="16">
        <v>7</v>
      </c>
      <c r="B97" s="133">
        <v>8</v>
      </c>
      <c r="C97" s="134">
        <f t="shared" ca="1" si="4"/>
        <v>2</v>
      </c>
      <c r="D97" s="133">
        <v>1</v>
      </c>
      <c r="E97" s="135"/>
      <c r="F97" s="136">
        <f>COUNTIF(E$91:E97,LOOKUP(2,1/(E$91:E97&lt;&gt;""),E$91:E97))</f>
        <v>1</v>
      </c>
      <c r="G97" s="137" t="str">
        <f>LOOKUP(2,1/(E$91:E97&lt;&gt;""),E$91:E97)</f>
        <v>银付</v>
      </c>
      <c r="H97" s="55" t="s">
        <v>459</v>
      </c>
      <c r="I97" s="139">
        <f t="shared" ca="1" si="3"/>
        <v>222113</v>
      </c>
      <c r="J97" s="125" t="s">
        <v>433</v>
      </c>
      <c r="K97" s="56">
        <v>1.5</v>
      </c>
      <c r="L97" s="56"/>
    </row>
    <row r="98" spans="1:14" s="140" customFormat="1" ht="15" thickBot="1">
      <c r="A98" s="16">
        <v>7</v>
      </c>
      <c r="B98" s="133">
        <v>8</v>
      </c>
      <c r="C98" s="134">
        <f t="shared" ca="1" si="4"/>
        <v>2</v>
      </c>
      <c r="D98" s="133">
        <v>1</v>
      </c>
      <c r="E98" s="135"/>
      <c r="F98" s="136">
        <f>COUNTIF(E$91:E98,LOOKUP(2,1/(E$91:E98&lt;&gt;""),E$91:E98))</f>
        <v>1</v>
      </c>
      <c r="G98" s="137" t="str">
        <f>LOOKUP(2,1/(E$91:E98&lt;&gt;""),E$91:E98)</f>
        <v>银付</v>
      </c>
      <c r="H98" s="55" t="s">
        <v>459</v>
      </c>
      <c r="I98" s="139">
        <f t="shared" ca="1" si="3"/>
        <v>10020101</v>
      </c>
      <c r="J98" s="125" t="s">
        <v>998</v>
      </c>
      <c r="K98" s="56"/>
      <c r="L98" s="56">
        <v>16.5</v>
      </c>
    </row>
    <row r="99" spans="1:14" s="141" customFormat="1" ht="15" thickBot="1">
      <c r="A99" s="16">
        <v>7</v>
      </c>
      <c r="B99" s="133">
        <v>13</v>
      </c>
      <c r="C99" s="134">
        <f t="shared" ca="1" si="4"/>
        <v>3</v>
      </c>
      <c r="D99" s="133">
        <v>1</v>
      </c>
      <c r="E99" s="135" t="s">
        <v>26</v>
      </c>
      <c r="F99" s="136">
        <f>COUNTIF(E$91:E99,LOOKUP(2,1/(E$91:E99&lt;&gt;""),E$91:E99))</f>
        <v>2</v>
      </c>
      <c r="G99" s="137" t="str">
        <f>LOOKUP(2,1/(E$91:E99&lt;&gt;""),E$91:E99)</f>
        <v>转</v>
      </c>
      <c r="H99" s="55" t="s">
        <v>455</v>
      </c>
      <c r="I99" s="139">
        <f t="shared" ca="1" si="3"/>
        <v>6403</v>
      </c>
      <c r="J99" s="125" t="s">
        <v>456</v>
      </c>
      <c r="K99" s="56">
        <v>150</v>
      </c>
      <c r="L99" s="56"/>
      <c r="M99" s="140"/>
      <c r="N99" s="140"/>
    </row>
    <row r="100" spans="1:14" s="141" customFormat="1" ht="15" thickBot="1">
      <c r="A100" s="16">
        <v>7</v>
      </c>
      <c r="B100" s="133">
        <v>13</v>
      </c>
      <c r="C100" s="134">
        <f t="shared" ca="1" si="4"/>
        <v>3</v>
      </c>
      <c r="D100" s="133">
        <v>1</v>
      </c>
      <c r="E100" s="135"/>
      <c r="F100" s="136">
        <f>COUNTIF(E$91:E100,LOOKUP(2,1/(E$91:E100&lt;&gt;""),E$91:E100))</f>
        <v>2</v>
      </c>
      <c r="G100" s="137" t="str">
        <f>LOOKUP(2,1/(E$91:E100&lt;&gt;""),E$91:E100)</f>
        <v>转</v>
      </c>
      <c r="H100" s="55" t="s">
        <v>455</v>
      </c>
      <c r="I100" s="139">
        <f t="shared" ca="1" si="3"/>
        <v>222102</v>
      </c>
      <c r="J100" s="125" t="s">
        <v>452</v>
      </c>
      <c r="K100" s="56"/>
      <c r="L100" s="56">
        <v>150</v>
      </c>
      <c r="M100" s="140"/>
      <c r="N100" s="140"/>
    </row>
    <row r="101" spans="1:14" s="141" customFormat="1" ht="15" thickBot="1">
      <c r="A101" s="16">
        <v>7</v>
      </c>
      <c r="B101" s="133">
        <v>13</v>
      </c>
      <c r="C101" s="134">
        <f t="shared" ca="1" si="4"/>
        <v>4</v>
      </c>
      <c r="D101" s="133">
        <v>1</v>
      </c>
      <c r="E101" s="135" t="s">
        <v>257</v>
      </c>
      <c r="F101" s="136">
        <f>COUNTIF(E$91:E101,LOOKUP(2,1/(E$91:E101&lt;&gt;""),E$91:E101))</f>
        <v>2</v>
      </c>
      <c r="G101" s="137" t="str">
        <f>LOOKUP(2,1/(E$91:E101&lt;&gt;""),E$91:E101)</f>
        <v>银付</v>
      </c>
      <c r="H101" s="55" t="s">
        <v>451</v>
      </c>
      <c r="I101" s="139">
        <f t="shared" ca="1" si="3"/>
        <v>222102</v>
      </c>
      <c r="J101" s="125" t="s">
        <v>452</v>
      </c>
      <c r="K101" s="56">
        <v>150</v>
      </c>
      <c r="L101" s="56"/>
      <c r="M101" s="140"/>
      <c r="N101" s="140"/>
    </row>
    <row r="102" spans="1:14" s="141" customFormat="1" ht="15" thickBot="1">
      <c r="A102" s="16">
        <v>7</v>
      </c>
      <c r="B102" s="133">
        <v>13</v>
      </c>
      <c r="C102" s="134">
        <f t="shared" ca="1" si="4"/>
        <v>4</v>
      </c>
      <c r="D102" s="133">
        <v>1</v>
      </c>
      <c r="E102" s="135"/>
      <c r="F102" s="136">
        <f>COUNTIF(E$91:E102,LOOKUP(2,1/(E$91:E102&lt;&gt;""),E$91:E102))</f>
        <v>2</v>
      </c>
      <c r="G102" s="137" t="str">
        <f>LOOKUP(2,1/(E$91:E102&lt;&gt;""),E$91:E102)</f>
        <v>银付</v>
      </c>
      <c r="H102" s="55" t="s">
        <v>451</v>
      </c>
      <c r="I102" s="139">
        <f t="shared" ca="1" si="3"/>
        <v>10020101</v>
      </c>
      <c r="J102" s="125" t="s">
        <v>998</v>
      </c>
      <c r="K102" s="56"/>
      <c r="L102" s="56">
        <v>150</v>
      </c>
      <c r="M102" s="140"/>
      <c r="N102" s="140"/>
    </row>
    <row r="103" spans="1:14" s="141" customFormat="1" ht="15" thickBot="1">
      <c r="A103" s="16">
        <v>7</v>
      </c>
      <c r="B103" s="133">
        <v>13</v>
      </c>
      <c r="C103" s="134">
        <f t="shared" ca="1" si="4"/>
        <v>5</v>
      </c>
      <c r="D103" s="133">
        <v>1</v>
      </c>
      <c r="E103" s="135" t="s">
        <v>257</v>
      </c>
      <c r="F103" s="136">
        <f>COUNTIF(E$91:E103,LOOKUP(2,1/(E$91:E103&lt;&gt;""),E$91:E103))</f>
        <v>3</v>
      </c>
      <c r="G103" s="137" t="str">
        <f>LOOKUP(2,1/(E$91:E103&lt;&gt;""),E$91:E103)</f>
        <v>银付</v>
      </c>
      <c r="H103" s="55" t="s">
        <v>449</v>
      </c>
      <c r="I103" s="139">
        <f t="shared" ca="1" si="3"/>
        <v>660304</v>
      </c>
      <c r="J103" s="125" t="s">
        <v>444</v>
      </c>
      <c r="K103" s="56">
        <v>37.5</v>
      </c>
      <c r="L103" s="56"/>
      <c r="M103" s="140"/>
      <c r="N103" s="140"/>
    </row>
    <row r="104" spans="1:14" s="141" customFormat="1" ht="15" thickBot="1">
      <c r="A104" s="16">
        <v>7</v>
      </c>
      <c r="B104" s="133">
        <v>13</v>
      </c>
      <c r="C104" s="134">
        <f t="shared" ca="1" si="4"/>
        <v>5</v>
      </c>
      <c r="D104" s="133">
        <v>1</v>
      </c>
      <c r="E104" s="135"/>
      <c r="F104" s="136">
        <f>COUNTIF(E$91:E104,LOOKUP(2,1/(E$91:E104&lt;&gt;""),E$91:E104))</f>
        <v>3</v>
      </c>
      <c r="G104" s="137" t="str">
        <f>LOOKUP(2,1/(E$91:E104&lt;&gt;""),E$91:E104)</f>
        <v>银付</v>
      </c>
      <c r="H104" s="55" t="s">
        <v>449</v>
      </c>
      <c r="I104" s="139">
        <f t="shared" ca="1" si="3"/>
        <v>10020101</v>
      </c>
      <c r="J104" s="125" t="s">
        <v>998</v>
      </c>
      <c r="K104" s="56"/>
      <c r="L104" s="56">
        <v>37.5</v>
      </c>
      <c r="M104" s="140"/>
      <c r="N104" s="140"/>
    </row>
    <row r="105" spans="1:14" s="140" customFormat="1" ht="15" thickBot="1">
      <c r="A105" s="16">
        <v>7</v>
      </c>
      <c r="B105" s="133">
        <v>31</v>
      </c>
      <c r="C105" s="134">
        <f t="shared" ca="1" si="4"/>
        <v>6</v>
      </c>
      <c r="D105" s="133"/>
      <c r="E105" s="135" t="s">
        <v>26</v>
      </c>
      <c r="F105" s="136">
        <f>COUNTIF(E$91:E105,LOOKUP(2,1/(E$91:E105&lt;&gt;""),E$91:E105))</f>
        <v>3</v>
      </c>
      <c r="G105" s="137" t="str">
        <f>LOOKUP(2,1/(E$91:E105&lt;&gt;""),E$91:E105)</f>
        <v>转</v>
      </c>
      <c r="H105" s="55" t="s">
        <v>469</v>
      </c>
      <c r="I105" s="139">
        <f t="shared" ca="1" si="3"/>
        <v>4103</v>
      </c>
      <c r="J105" s="125" t="s">
        <v>52</v>
      </c>
      <c r="K105" s="56">
        <v>166.5</v>
      </c>
      <c r="L105" s="56"/>
    </row>
    <row r="106" spans="1:14" s="140" customFormat="1" ht="15" thickBot="1">
      <c r="A106" s="16">
        <v>7</v>
      </c>
      <c r="B106" s="133">
        <v>31</v>
      </c>
      <c r="C106" s="134">
        <f t="shared" ca="1" si="4"/>
        <v>6</v>
      </c>
      <c r="D106" s="133"/>
      <c r="E106" s="135"/>
      <c r="F106" s="136">
        <f>COUNTIF(E$91:E106,LOOKUP(2,1/(E$91:E106&lt;&gt;""),E$91:E106))</f>
        <v>3</v>
      </c>
      <c r="G106" s="137" t="str">
        <f>LOOKUP(2,1/(E$91:E106&lt;&gt;""),E$91:E106)</f>
        <v>转</v>
      </c>
      <c r="H106" s="55" t="s">
        <v>469</v>
      </c>
      <c r="I106" s="139">
        <f t="shared" ca="1" si="3"/>
        <v>6403</v>
      </c>
      <c r="J106" s="125" t="s">
        <v>456</v>
      </c>
      <c r="K106" s="56"/>
      <c r="L106" s="56">
        <v>166.5</v>
      </c>
    </row>
    <row r="107" spans="1:14" s="140" customFormat="1" ht="15" thickBot="1">
      <c r="A107" s="16">
        <v>7</v>
      </c>
      <c r="B107" s="133">
        <v>31</v>
      </c>
      <c r="C107" s="134">
        <f t="shared" ca="1" si="4"/>
        <v>7</v>
      </c>
      <c r="D107" s="133"/>
      <c r="E107" s="135" t="s">
        <v>26</v>
      </c>
      <c r="F107" s="136">
        <f>COUNTIF(E$91:E107,LOOKUP(2,1/(E$91:E107&lt;&gt;""),E$91:E107))</f>
        <v>4</v>
      </c>
      <c r="G107" s="137" t="str">
        <f>LOOKUP(2,1/(E$91:E107&lt;&gt;""),E$91:E107)</f>
        <v>转</v>
      </c>
      <c r="H107" s="55" t="s">
        <v>469</v>
      </c>
      <c r="I107" s="139">
        <f t="shared" ca="1" si="3"/>
        <v>4103</v>
      </c>
      <c r="J107" s="125" t="s">
        <v>52</v>
      </c>
      <c r="K107" s="56">
        <v>37.5</v>
      </c>
      <c r="L107" s="56"/>
    </row>
    <row r="108" spans="1:14" s="140" customFormat="1" ht="15" thickBot="1">
      <c r="A108" s="16">
        <v>7</v>
      </c>
      <c r="B108" s="133">
        <v>31</v>
      </c>
      <c r="C108" s="134">
        <f t="shared" ca="1" si="4"/>
        <v>7</v>
      </c>
      <c r="D108" s="133"/>
      <c r="E108" s="135"/>
      <c r="F108" s="136">
        <f>COUNTIF(E$91:E108,LOOKUP(2,1/(E$91:E108&lt;&gt;""),E$91:E108))</f>
        <v>4</v>
      </c>
      <c r="G108" s="137" t="str">
        <f>LOOKUP(2,1/(E$91:E108&lt;&gt;""),E$91:E108)</f>
        <v>转</v>
      </c>
      <c r="H108" s="55" t="s">
        <v>469</v>
      </c>
      <c r="I108" s="139">
        <f t="shared" ca="1" si="3"/>
        <v>660304</v>
      </c>
      <c r="J108" s="125" t="s">
        <v>444</v>
      </c>
      <c r="K108" s="56"/>
      <c r="L108" s="56">
        <v>37.5</v>
      </c>
    </row>
    <row r="109" spans="1:14" s="140" customFormat="1" ht="15" thickBot="1">
      <c r="A109" s="16">
        <v>7</v>
      </c>
      <c r="B109" s="133">
        <v>31</v>
      </c>
      <c r="C109" s="134">
        <f t="shared" ca="1" si="4"/>
        <v>0</v>
      </c>
      <c r="D109" s="133"/>
      <c r="E109" s="135"/>
      <c r="F109" s="136"/>
      <c r="G109" s="137"/>
      <c r="H109" s="55"/>
      <c r="I109" s="139"/>
      <c r="J109" s="125"/>
      <c r="K109" s="56"/>
      <c r="L109" s="56"/>
    </row>
    <row r="110" spans="1:14" s="141" customFormat="1" ht="15" thickBot="1">
      <c r="A110" s="16">
        <v>8</v>
      </c>
      <c r="B110" s="133">
        <v>3</v>
      </c>
      <c r="C110" s="134">
        <f t="shared" ca="1" si="4"/>
        <v>1</v>
      </c>
      <c r="D110" s="133">
        <v>1</v>
      </c>
      <c r="E110" s="135" t="s">
        <v>26</v>
      </c>
      <c r="F110" s="136">
        <f>COUNTIF(E$110:E110,LOOKUP(2,1/(E$110:E110&lt;&gt;""),E$110:E110))</f>
        <v>1</v>
      </c>
      <c r="G110" s="137" t="str">
        <f>LOOKUP(2,1/(E$110:E110&lt;&gt;""),E$110:E110)</f>
        <v>转</v>
      </c>
      <c r="H110" s="55" t="s">
        <v>455</v>
      </c>
      <c r="I110" s="139">
        <f t="shared" ca="1" si="3"/>
        <v>6403</v>
      </c>
      <c r="J110" s="125" t="s">
        <v>456</v>
      </c>
      <c r="K110" s="56">
        <v>150</v>
      </c>
      <c r="L110" s="56"/>
      <c r="M110" s="140"/>
      <c r="N110" s="140"/>
    </row>
    <row r="111" spans="1:14" s="141" customFormat="1" ht="15" thickBot="1">
      <c r="A111" s="16">
        <v>8</v>
      </c>
      <c r="B111" s="133">
        <v>3</v>
      </c>
      <c r="C111" s="134">
        <f t="shared" ca="1" si="4"/>
        <v>1</v>
      </c>
      <c r="D111" s="133">
        <v>1</v>
      </c>
      <c r="E111" s="135"/>
      <c r="F111" s="136">
        <f>COUNTIF(E$110:E111,LOOKUP(2,1/(E$110:E111&lt;&gt;""),E$110:E111))</f>
        <v>1</v>
      </c>
      <c r="G111" s="137" t="str">
        <f>LOOKUP(2,1/(E$110:E111&lt;&gt;""),E$110:E111)</f>
        <v>转</v>
      </c>
      <c r="H111" s="55" t="s">
        <v>455</v>
      </c>
      <c r="I111" s="139">
        <f t="shared" ca="1" si="3"/>
        <v>222102</v>
      </c>
      <c r="J111" s="125" t="s">
        <v>452</v>
      </c>
      <c r="K111" s="56"/>
      <c r="L111" s="56">
        <v>150</v>
      </c>
      <c r="M111" s="140"/>
      <c r="N111" s="140"/>
    </row>
    <row r="112" spans="1:14" s="141" customFormat="1" ht="15" thickBot="1">
      <c r="A112" s="16">
        <v>8</v>
      </c>
      <c r="B112" s="133">
        <v>3</v>
      </c>
      <c r="C112" s="134">
        <f t="shared" ca="1" si="4"/>
        <v>2</v>
      </c>
      <c r="D112" s="133">
        <v>1</v>
      </c>
      <c r="E112" s="135" t="s">
        <v>257</v>
      </c>
      <c r="F112" s="136">
        <f>COUNTIF(E$110:E112,LOOKUP(2,1/(E$110:E112&lt;&gt;""),E$110:E112))</f>
        <v>1</v>
      </c>
      <c r="G112" s="137" t="str">
        <f>LOOKUP(2,1/(E$110:E112&lt;&gt;""),E$110:E112)</f>
        <v>银付</v>
      </c>
      <c r="H112" s="55" t="s">
        <v>451</v>
      </c>
      <c r="I112" s="139">
        <f t="shared" ca="1" si="3"/>
        <v>222102</v>
      </c>
      <c r="J112" s="125" t="s">
        <v>452</v>
      </c>
      <c r="K112" s="56">
        <v>150</v>
      </c>
      <c r="L112" s="56"/>
      <c r="M112" s="140"/>
      <c r="N112" s="140"/>
    </row>
    <row r="113" spans="1:14" s="141" customFormat="1" ht="15" thickBot="1">
      <c r="A113" s="16">
        <v>8</v>
      </c>
      <c r="B113" s="133">
        <v>3</v>
      </c>
      <c r="C113" s="134">
        <f t="shared" ca="1" si="4"/>
        <v>2</v>
      </c>
      <c r="D113" s="133">
        <v>1</v>
      </c>
      <c r="E113" s="135"/>
      <c r="F113" s="136">
        <f>COUNTIF(E$110:E113,LOOKUP(2,1/(E$110:E113&lt;&gt;""),E$110:E113))</f>
        <v>1</v>
      </c>
      <c r="G113" s="137" t="str">
        <f>LOOKUP(2,1/(E$110:E113&lt;&gt;""),E$110:E113)</f>
        <v>银付</v>
      </c>
      <c r="H113" s="55" t="s">
        <v>451</v>
      </c>
      <c r="I113" s="139">
        <f t="shared" ca="1" si="3"/>
        <v>10020101</v>
      </c>
      <c r="J113" s="125" t="s">
        <v>998</v>
      </c>
      <c r="K113" s="56"/>
      <c r="L113" s="56">
        <v>150</v>
      </c>
      <c r="M113" s="140"/>
      <c r="N113" s="140"/>
    </row>
    <row r="114" spans="1:14" s="140" customFormat="1" ht="15" thickBot="1">
      <c r="A114" s="16">
        <v>8</v>
      </c>
      <c r="B114" s="133">
        <v>9</v>
      </c>
      <c r="C114" s="134">
        <f t="shared" ca="1" si="4"/>
        <v>3</v>
      </c>
      <c r="D114" s="133">
        <v>1</v>
      </c>
      <c r="E114" s="135" t="s">
        <v>26</v>
      </c>
      <c r="F114" s="136">
        <f>COUNTIF(E$110:E114,LOOKUP(2,1/(E$110:E114&lt;&gt;""),E$110:E114))</f>
        <v>2</v>
      </c>
      <c r="G114" s="137" t="str">
        <f>LOOKUP(2,1/(E$110:E114&lt;&gt;""),E$110:E114)</f>
        <v>转</v>
      </c>
      <c r="H114" s="55" t="s">
        <v>471</v>
      </c>
      <c r="I114" s="139">
        <f t="shared" ca="1" si="3"/>
        <v>6403</v>
      </c>
      <c r="J114" s="125" t="s">
        <v>456</v>
      </c>
      <c r="K114" s="56">
        <v>16.5</v>
      </c>
      <c r="L114" s="56"/>
    </row>
    <row r="115" spans="1:14" s="140" customFormat="1" ht="15" thickBot="1">
      <c r="A115" s="16">
        <v>8</v>
      </c>
      <c r="B115" s="133">
        <v>9</v>
      </c>
      <c r="C115" s="134">
        <f t="shared" ca="1" si="4"/>
        <v>3</v>
      </c>
      <c r="D115" s="133">
        <v>1</v>
      </c>
      <c r="E115" s="135"/>
      <c r="F115" s="136">
        <f>COUNTIF(E$110:E115,LOOKUP(2,1/(E$110:E115&lt;&gt;""),E$110:E115))</f>
        <v>2</v>
      </c>
      <c r="G115" s="137" t="str">
        <f>LOOKUP(2,1/(E$110:E115&lt;&gt;""),E$110:E115)</f>
        <v>转</v>
      </c>
      <c r="H115" s="55" t="s">
        <v>471</v>
      </c>
      <c r="I115" s="139">
        <f t="shared" ca="1" si="3"/>
        <v>222106</v>
      </c>
      <c r="J115" s="125" t="s">
        <v>51</v>
      </c>
      <c r="K115" s="56"/>
      <c r="L115" s="56">
        <v>10.5</v>
      </c>
    </row>
    <row r="116" spans="1:14" s="140" customFormat="1" ht="15" thickBot="1">
      <c r="A116" s="16">
        <v>8</v>
      </c>
      <c r="B116" s="133">
        <v>9</v>
      </c>
      <c r="C116" s="134">
        <f t="shared" ca="1" si="4"/>
        <v>3</v>
      </c>
      <c r="D116" s="133">
        <v>1</v>
      </c>
      <c r="E116" s="135"/>
      <c r="F116" s="136">
        <f>COUNTIF(E$110:E116,LOOKUP(2,1/(E$110:E116&lt;&gt;""),E$110:E116))</f>
        <v>2</v>
      </c>
      <c r="G116" s="137" t="str">
        <f>LOOKUP(2,1/(E$110:E116&lt;&gt;""),E$110:E116)</f>
        <v>转</v>
      </c>
      <c r="H116" s="55" t="s">
        <v>471</v>
      </c>
      <c r="I116" s="139">
        <f t="shared" ca="1" si="3"/>
        <v>222113</v>
      </c>
      <c r="J116" s="125" t="s">
        <v>433</v>
      </c>
      <c r="K116" s="56"/>
      <c r="L116" s="56">
        <v>4.5</v>
      </c>
    </row>
    <row r="117" spans="1:14" s="140" customFormat="1" ht="15" thickBot="1">
      <c r="A117" s="16">
        <v>8</v>
      </c>
      <c r="B117" s="133">
        <v>9</v>
      </c>
      <c r="C117" s="134">
        <f t="shared" ca="1" si="4"/>
        <v>3</v>
      </c>
      <c r="D117" s="133">
        <v>1</v>
      </c>
      <c r="E117" s="135"/>
      <c r="F117" s="136">
        <f>COUNTIF(E$110:E117,LOOKUP(2,1/(E$110:E117&lt;&gt;""),E$110:E117))</f>
        <v>2</v>
      </c>
      <c r="G117" s="137" t="str">
        <f>LOOKUP(2,1/(E$110:E117&lt;&gt;""),E$110:E117)</f>
        <v>转</v>
      </c>
      <c r="H117" s="55" t="s">
        <v>471</v>
      </c>
      <c r="I117" s="139">
        <f t="shared" ca="1" si="3"/>
        <v>222113</v>
      </c>
      <c r="J117" s="125" t="s">
        <v>433</v>
      </c>
      <c r="K117" s="56"/>
      <c r="L117" s="56">
        <v>1.5</v>
      </c>
    </row>
    <row r="118" spans="1:14" s="140" customFormat="1" ht="15" thickBot="1">
      <c r="A118" s="16">
        <v>8</v>
      </c>
      <c r="B118" s="133">
        <v>9</v>
      </c>
      <c r="C118" s="134">
        <f t="shared" ca="1" si="4"/>
        <v>4</v>
      </c>
      <c r="D118" s="133">
        <v>1</v>
      </c>
      <c r="E118" s="135" t="s">
        <v>257</v>
      </c>
      <c r="F118" s="136">
        <f>COUNTIF(E$110:E118,LOOKUP(2,1/(E$110:E118&lt;&gt;""),E$110:E118))</f>
        <v>2</v>
      </c>
      <c r="G118" s="137" t="str">
        <f>LOOKUP(2,1/(E$110:E118&lt;&gt;""),E$110:E118)</f>
        <v>银付</v>
      </c>
      <c r="H118" s="55" t="s">
        <v>460</v>
      </c>
      <c r="I118" s="139">
        <f t="shared" ca="1" si="3"/>
        <v>222106</v>
      </c>
      <c r="J118" s="125" t="s">
        <v>51</v>
      </c>
      <c r="K118" s="56">
        <v>10.5</v>
      </c>
      <c r="L118" s="56"/>
    </row>
    <row r="119" spans="1:14" s="140" customFormat="1" ht="15" thickBot="1">
      <c r="A119" s="16">
        <v>8</v>
      </c>
      <c r="B119" s="133">
        <v>9</v>
      </c>
      <c r="C119" s="134">
        <f t="shared" ca="1" si="4"/>
        <v>4</v>
      </c>
      <c r="D119" s="133">
        <v>1</v>
      </c>
      <c r="E119" s="135"/>
      <c r="F119" s="136">
        <f>COUNTIF(E$110:E119,LOOKUP(2,1/(E$110:E119&lt;&gt;""),E$110:E119))</f>
        <v>2</v>
      </c>
      <c r="G119" s="137" t="str">
        <f>LOOKUP(2,1/(E$110:E119&lt;&gt;""),E$110:E119)</f>
        <v>银付</v>
      </c>
      <c r="H119" s="55" t="s">
        <v>460</v>
      </c>
      <c r="I119" s="139">
        <f t="shared" ca="1" si="3"/>
        <v>222113</v>
      </c>
      <c r="J119" s="125" t="s">
        <v>433</v>
      </c>
      <c r="K119" s="56">
        <v>4.5</v>
      </c>
      <c r="L119" s="56"/>
    </row>
    <row r="120" spans="1:14" s="140" customFormat="1" ht="15" thickBot="1">
      <c r="A120" s="16">
        <v>8</v>
      </c>
      <c r="B120" s="133">
        <v>9</v>
      </c>
      <c r="C120" s="134">
        <f t="shared" ca="1" si="4"/>
        <v>4</v>
      </c>
      <c r="D120" s="133">
        <v>1</v>
      </c>
      <c r="E120" s="135"/>
      <c r="F120" s="136">
        <f>COUNTIF(E$110:E120,LOOKUP(2,1/(E$110:E120&lt;&gt;""),E$110:E120))</f>
        <v>2</v>
      </c>
      <c r="G120" s="137" t="str">
        <f>LOOKUP(2,1/(E$110:E120&lt;&gt;""),E$110:E120)</f>
        <v>银付</v>
      </c>
      <c r="H120" s="55" t="s">
        <v>460</v>
      </c>
      <c r="I120" s="139">
        <f t="shared" ca="1" si="3"/>
        <v>222113</v>
      </c>
      <c r="J120" s="125" t="s">
        <v>433</v>
      </c>
      <c r="K120" s="56">
        <v>1.5</v>
      </c>
      <c r="L120" s="56"/>
    </row>
    <row r="121" spans="1:14" s="140" customFormat="1" ht="15" thickBot="1">
      <c r="A121" s="16">
        <v>8</v>
      </c>
      <c r="B121" s="133">
        <v>9</v>
      </c>
      <c r="C121" s="134">
        <f t="shared" ca="1" si="4"/>
        <v>4</v>
      </c>
      <c r="D121" s="133">
        <v>1</v>
      </c>
      <c r="E121" s="135"/>
      <c r="F121" s="136">
        <f>COUNTIF(E$110:E121,LOOKUP(2,1/(E$110:E121&lt;&gt;""),E$110:E121))</f>
        <v>2</v>
      </c>
      <c r="G121" s="137" t="str">
        <f>LOOKUP(2,1/(E$110:E121&lt;&gt;""),E$110:E121)</f>
        <v>银付</v>
      </c>
      <c r="H121" s="55" t="s">
        <v>460</v>
      </c>
      <c r="I121" s="139">
        <f t="shared" ca="1" si="3"/>
        <v>10020101</v>
      </c>
      <c r="J121" s="125" t="s">
        <v>998</v>
      </c>
      <c r="K121" s="56"/>
      <c r="L121" s="56">
        <v>16.5</v>
      </c>
    </row>
    <row r="122" spans="1:14" s="141" customFormat="1" ht="15" thickBot="1">
      <c r="A122" s="16">
        <v>8</v>
      </c>
      <c r="B122" s="133">
        <v>31</v>
      </c>
      <c r="C122" s="134">
        <f t="shared" ca="1" si="4"/>
        <v>5</v>
      </c>
      <c r="D122" s="133">
        <v>1</v>
      </c>
      <c r="E122" s="135" t="s">
        <v>257</v>
      </c>
      <c r="F122" s="136">
        <f>COUNTIF(E$110:E122,LOOKUP(2,1/(E$110:E122&lt;&gt;""),E$110:E122))</f>
        <v>3</v>
      </c>
      <c r="G122" s="137" t="str">
        <f>LOOKUP(2,1/(E$110:E122&lt;&gt;""),E$110:E122)</f>
        <v>银付</v>
      </c>
      <c r="H122" s="55" t="s">
        <v>446</v>
      </c>
      <c r="I122" s="139">
        <f t="shared" ca="1" si="3"/>
        <v>660304</v>
      </c>
      <c r="J122" s="125" t="s">
        <v>444</v>
      </c>
      <c r="K122" s="56">
        <v>60</v>
      </c>
      <c r="L122" s="56"/>
      <c r="M122" s="140"/>
      <c r="N122" s="140"/>
    </row>
    <row r="123" spans="1:14" s="141" customFormat="1" ht="15" thickBot="1">
      <c r="A123" s="16">
        <v>8</v>
      </c>
      <c r="B123" s="133">
        <v>31</v>
      </c>
      <c r="C123" s="134">
        <f t="shared" ca="1" si="4"/>
        <v>5</v>
      </c>
      <c r="D123" s="133">
        <v>1</v>
      </c>
      <c r="E123" s="135"/>
      <c r="F123" s="136">
        <f>COUNTIF(E$110:E123,LOOKUP(2,1/(E$110:E123&lt;&gt;""),E$110:E123))</f>
        <v>3</v>
      </c>
      <c r="G123" s="137" t="str">
        <f>LOOKUP(2,1/(E$110:E123&lt;&gt;""),E$110:E123)</f>
        <v>银付</v>
      </c>
      <c r="H123" s="55" t="s">
        <v>446</v>
      </c>
      <c r="I123" s="139">
        <f t="shared" ca="1" si="3"/>
        <v>10020101</v>
      </c>
      <c r="J123" s="125" t="s">
        <v>998</v>
      </c>
      <c r="K123" s="56"/>
      <c r="L123" s="56">
        <v>60</v>
      </c>
      <c r="M123" s="140"/>
      <c r="N123" s="140"/>
    </row>
    <row r="124" spans="1:14" s="140" customFormat="1" ht="15" thickBot="1">
      <c r="A124" s="16">
        <v>8</v>
      </c>
      <c r="B124" s="133">
        <v>31</v>
      </c>
      <c r="C124" s="134">
        <f t="shared" ca="1" si="4"/>
        <v>6</v>
      </c>
      <c r="D124" s="133"/>
      <c r="E124" s="135" t="s">
        <v>26</v>
      </c>
      <c r="F124" s="136">
        <f>COUNTIF(E$110:E124,LOOKUP(2,1/(E$110:E124&lt;&gt;""),E$110:E124))</f>
        <v>3</v>
      </c>
      <c r="G124" s="137" t="str">
        <f>LOOKUP(2,1/(E$110:E124&lt;&gt;""),E$110:E124)</f>
        <v>转</v>
      </c>
      <c r="H124" s="55" t="s">
        <v>472</v>
      </c>
      <c r="I124" s="139">
        <f t="shared" ca="1" si="3"/>
        <v>4103</v>
      </c>
      <c r="J124" s="125" t="s">
        <v>52</v>
      </c>
      <c r="K124" s="56">
        <v>166.5</v>
      </c>
      <c r="L124" s="56"/>
    </row>
    <row r="125" spans="1:14" s="140" customFormat="1" ht="15" thickBot="1">
      <c r="A125" s="16">
        <v>8</v>
      </c>
      <c r="B125" s="133">
        <v>31</v>
      </c>
      <c r="C125" s="134">
        <f t="shared" ca="1" si="4"/>
        <v>6</v>
      </c>
      <c r="D125" s="133"/>
      <c r="E125" s="135"/>
      <c r="F125" s="136">
        <f>COUNTIF(E$110:E125,LOOKUP(2,1/(E$110:E125&lt;&gt;""),E$110:E125))</f>
        <v>3</v>
      </c>
      <c r="G125" s="137" t="str">
        <f>LOOKUP(2,1/(E$110:E125&lt;&gt;""),E$110:E125)</f>
        <v>转</v>
      </c>
      <c r="H125" s="55" t="s">
        <v>472</v>
      </c>
      <c r="I125" s="139">
        <f t="shared" ca="1" si="3"/>
        <v>6403</v>
      </c>
      <c r="J125" s="125" t="s">
        <v>456</v>
      </c>
      <c r="K125" s="56"/>
      <c r="L125" s="56">
        <v>166.5</v>
      </c>
    </row>
    <row r="126" spans="1:14" s="140" customFormat="1" ht="15" thickBot="1">
      <c r="A126" s="16">
        <v>8</v>
      </c>
      <c r="B126" s="133">
        <v>31</v>
      </c>
      <c r="C126" s="134">
        <f t="shared" ca="1" si="4"/>
        <v>7</v>
      </c>
      <c r="D126" s="133"/>
      <c r="E126" s="135" t="s">
        <v>26</v>
      </c>
      <c r="F126" s="136">
        <f>COUNTIF(E$110:E126,LOOKUP(2,1/(E$110:E126&lt;&gt;""),E$110:E126))</f>
        <v>4</v>
      </c>
      <c r="G126" s="137" t="str">
        <f>LOOKUP(2,1/(E$110:E126&lt;&gt;""),E$110:E126)</f>
        <v>转</v>
      </c>
      <c r="H126" s="55" t="s">
        <v>472</v>
      </c>
      <c r="I126" s="139">
        <f t="shared" ca="1" si="3"/>
        <v>4103</v>
      </c>
      <c r="J126" s="125" t="s">
        <v>52</v>
      </c>
      <c r="K126" s="56">
        <v>60</v>
      </c>
      <c r="L126" s="56"/>
    </row>
    <row r="127" spans="1:14" s="140" customFormat="1" ht="15" thickBot="1">
      <c r="A127" s="16">
        <v>8</v>
      </c>
      <c r="B127" s="133">
        <v>31</v>
      </c>
      <c r="C127" s="134">
        <f t="shared" ca="1" si="4"/>
        <v>7</v>
      </c>
      <c r="D127" s="133"/>
      <c r="E127" s="135"/>
      <c r="F127" s="136">
        <f>COUNTIF(E$110:E127,LOOKUP(2,1/(E$110:E127&lt;&gt;""),E$110:E127))</f>
        <v>4</v>
      </c>
      <c r="G127" s="137" t="str">
        <f>LOOKUP(2,1/(E$110:E127&lt;&gt;""),E$110:E127)</f>
        <v>转</v>
      </c>
      <c r="H127" s="55" t="s">
        <v>472</v>
      </c>
      <c r="I127" s="139">
        <f t="shared" ca="1" si="3"/>
        <v>660304</v>
      </c>
      <c r="J127" s="125" t="s">
        <v>444</v>
      </c>
      <c r="K127" s="56"/>
      <c r="L127" s="56">
        <v>60</v>
      </c>
    </row>
    <row r="128" spans="1:14" s="140" customFormat="1" ht="15" thickBot="1">
      <c r="A128" s="16">
        <v>8</v>
      </c>
      <c r="B128" s="133">
        <v>31</v>
      </c>
      <c r="C128" s="134">
        <f t="shared" ca="1" si="4"/>
        <v>0</v>
      </c>
      <c r="D128" s="133"/>
      <c r="E128" s="135"/>
      <c r="F128" s="136"/>
      <c r="G128" s="137"/>
      <c r="H128" s="55"/>
      <c r="I128" s="139"/>
      <c r="J128" s="125"/>
      <c r="K128" s="56"/>
      <c r="L128" s="56"/>
    </row>
    <row r="129" spans="1:14" s="141" customFormat="1" ht="15" thickBot="1">
      <c r="A129" s="16">
        <v>9</v>
      </c>
      <c r="B129" s="133">
        <v>8</v>
      </c>
      <c r="C129" s="134">
        <f t="shared" ca="1" si="4"/>
        <v>1</v>
      </c>
      <c r="D129" s="133">
        <v>1</v>
      </c>
      <c r="E129" s="135" t="s">
        <v>26</v>
      </c>
      <c r="F129" s="136">
        <f>COUNTIF(E$129:E129,LOOKUP(2,1/(E$129:E129&lt;&gt;""),E$129:E129))</f>
        <v>1</v>
      </c>
      <c r="G129" s="137" t="str">
        <f>LOOKUP(2,1/(E$129:E129&lt;&gt;""),E$129:E129)</f>
        <v>转</v>
      </c>
      <c r="H129" s="55" t="s">
        <v>455</v>
      </c>
      <c r="I129" s="139">
        <f t="shared" ca="1" si="3"/>
        <v>6403</v>
      </c>
      <c r="J129" s="125" t="s">
        <v>456</v>
      </c>
      <c r="K129" s="56">
        <v>150</v>
      </c>
      <c r="L129" s="56"/>
      <c r="M129" s="140"/>
      <c r="N129" s="140"/>
    </row>
    <row r="130" spans="1:14" s="141" customFormat="1" ht="15" thickBot="1">
      <c r="A130" s="16">
        <v>9</v>
      </c>
      <c r="B130" s="133">
        <v>8</v>
      </c>
      <c r="C130" s="134">
        <f t="shared" ca="1" si="4"/>
        <v>1</v>
      </c>
      <c r="D130" s="133">
        <v>1</v>
      </c>
      <c r="E130" s="135"/>
      <c r="F130" s="136">
        <f>COUNTIF(E$129:E130,LOOKUP(2,1/(E$129:E130&lt;&gt;""),E$129:E130))</f>
        <v>1</v>
      </c>
      <c r="G130" s="137" t="str">
        <f>LOOKUP(2,1/(E$129:E130&lt;&gt;""),E$129:E130)</f>
        <v>转</v>
      </c>
      <c r="H130" s="55" t="s">
        <v>455</v>
      </c>
      <c r="I130" s="139">
        <f t="shared" ca="1" si="3"/>
        <v>222102</v>
      </c>
      <c r="J130" s="125" t="s">
        <v>452</v>
      </c>
      <c r="K130" s="56"/>
      <c r="L130" s="56">
        <v>150</v>
      </c>
      <c r="M130" s="140"/>
      <c r="N130" s="140"/>
    </row>
    <row r="131" spans="1:14" s="141" customFormat="1" ht="15" thickBot="1">
      <c r="A131" s="16">
        <v>9</v>
      </c>
      <c r="B131" s="133">
        <v>8</v>
      </c>
      <c r="C131" s="134">
        <f t="shared" ca="1" si="4"/>
        <v>2</v>
      </c>
      <c r="D131" s="133">
        <v>1</v>
      </c>
      <c r="E131" s="135" t="s">
        <v>257</v>
      </c>
      <c r="F131" s="136">
        <f>COUNTIF(E$129:E131,LOOKUP(2,1/(E$129:E131&lt;&gt;""),E$129:E131))</f>
        <v>1</v>
      </c>
      <c r="G131" s="137" t="str">
        <f>LOOKUP(2,1/(E$129:E131&lt;&gt;""),E$129:E131)</f>
        <v>银付</v>
      </c>
      <c r="H131" s="55" t="s">
        <v>451</v>
      </c>
      <c r="I131" s="139">
        <f t="shared" ca="1" si="3"/>
        <v>222102</v>
      </c>
      <c r="J131" s="125" t="s">
        <v>452</v>
      </c>
      <c r="K131" s="56">
        <v>150</v>
      </c>
      <c r="L131" s="56"/>
      <c r="M131" s="140"/>
      <c r="N131" s="140"/>
    </row>
    <row r="132" spans="1:14" s="141" customFormat="1" ht="15" thickBot="1">
      <c r="A132" s="16">
        <v>9</v>
      </c>
      <c r="B132" s="133">
        <v>8</v>
      </c>
      <c r="C132" s="134">
        <f t="shared" ca="1" si="4"/>
        <v>2</v>
      </c>
      <c r="D132" s="133">
        <v>1</v>
      </c>
      <c r="E132" s="135"/>
      <c r="F132" s="136">
        <f>COUNTIF(E$129:E132,LOOKUP(2,1/(E$129:E132&lt;&gt;""),E$129:E132))</f>
        <v>1</v>
      </c>
      <c r="G132" s="137" t="str">
        <f>LOOKUP(2,1/(E$129:E132&lt;&gt;""),E$129:E132)</f>
        <v>银付</v>
      </c>
      <c r="H132" s="55" t="s">
        <v>451</v>
      </c>
      <c r="I132" s="139">
        <f t="shared" ca="1" si="3"/>
        <v>10020101</v>
      </c>
      <c r="J132" s="125" t="s">
        <v>998</v>
      </c>
      <c r="K132" s="56"/>
      <c r="L132" s="56">
        <v>150</v>
      </c>
      <c r="M132" s="140"/>
      <c r="N132" s="140"/>
    </row>
    <row r="133" spans="1:14" s="140" customFormat="1" ht="15" thickBot="1">
      <c r="A133" s="16">
        <v>9</v>
      </c>
      <c r="B133" s="133">
        <v>14</v>
      </c>
      <c r="C133" s="134">
        <f t="shared" ca="1" si="4"/>
        <v>3</v>
      </c>
      <c r="D133" s="133">
        <v>1</v>
      </c>
      <c r="E133" s="135" t="s">
        <v>26</v>
      </c>
      <c r="F133" s="136">
        <f>COUNTIF(E$129:E133,LOOKUP(2,1/(E$129:E133&lt;&gt;""),E$129:E133))</f>
        <v>2</v>
      </c>
      <c r="G133" s="137" t="str">
        <f>LOOKUP(2,1/(E$129:E133&lt;&gt;""),E$129:E133)</f>
        <v>转</v>
      </c>
      <c r="H133" s="55" t="s">
        <v>473</v>
      </c>
      <c r="I133" s="139">
        <f t="shared" ca="1" si="3"/>
        <v>6403</v>
      </c>
      <c r="J133" s="125" t="s">
        <v>456</v>
      </c>
      <c r="K133" s="56">
        <v>16.5</v>
      </c>
      <c r="L133" s="56"/>
    </row>
    <row r="134" spans="1:14" s="140" customFormat="1" ht="15" thickBot="1">
      <c r="A134" s="16">
        <v>9</v>
      </c>
      <c r="B134" s="133">
        <v>14</v>
      </c>
      <c r="C134" s="134">
        <f t="shared" ca="1" si="4"/>
        <v>3</v>
      </c>
      <c r="D134" s="133">
        <v>1</v>
      </c>
      <c r="E134" s="135"/>
      <c r="F134" s="136">
        <f>COUNTIF(E$129:E134,LOOKUP(2,1/(E$129:E134&lt;&gt;""),E$129:E134))</f>
        <v>2</v>
      </c>
      <c r="G134" s="137" t="str">
        <f>LOOKUP(2,1/(E$129:E134&lt;&gt;""),E$129:E134)</f>
        <v>转</v>
      </c>
      <c r="H134" s="55" t="s">
        <v>473</v>
      </c>
      <c r="I134" s="139">
        <f t="shared" ca="1" si="3"/>
        <v>222106</v>
      </c>
      <c r="J134" s="125" t="s">
        <v>51</v>
      </c>
      <c r="K134" s="56"/>
      <c r="L134" s="56">
        <v>10.5</v>
      </c>
    </row>
    <row r="135" spans="1:14" s="140" customFormat="1" ht="15" thickBot="1">
      <c r="A135" s="16">
        <v>9</v>
      </c>
      <c r="B135" s="133">
        <v>14</v>
      </c>
      <c r="C135" s="134">
        <f t="shared" ca="1" si="4"/>
        <v>3</v>
      </c>
      <c r="D135" s="133">
        <v>1</v>
      </c>
      <c r="E135" s="135"/>
      <c r="F135" s="136">
        <f>COUNTIF(E$129:E135,LOOKUP(2,1/(E$129:E135&lt;&gt;""),E$129:E135))</f>
        <v>2</v>
      </c>
      <c r="G135" s="137" t="str">
        <f>LOOKUP(2,1/(E$129:E135&lt;&gt;""),E$129:E135)</f>
        <v>转</v>
      </c>
      <c r="H135" s="55" t="s">
        <v>473</v>
      </c>
      <c r="I135" s="139">
        <f t="shared" ca="1" si="3"/>
        <v>222113</v>
      </c>
      <c r="J135" s="125" t="s">
        <v>433</v>
      </c>
      <c r="K135" s="56"/>
      <c r="L135" s="56">
        <v>4.5</v>
      </c>
    </row>
    <row r="136" spans="1:14" s="140" customFormat="1" ht="15" thickBot="1">
      <c r="A136" s="16">
        <v>9</v>
      </c>
      <c r="B136" s="133">
        <v>14</v>
      </c>
      <c r="C136" s="134">
        <f t="shared" ca="1" si="4"/>
        <v>3</v>
      </c>
      <c r="D136" s="133">
        <v>1</v>
      </c>
      <c r="E136" s="135"/>
      <c r="F136" s="136">
        <f>COUNTIF(E$129:E136,LOOKUP(2,1/(E$129:E136&lt;&gt;""),E$129:E136))</f>
        <v>2</v>
      </c>
      <c r="G136" s="137" t="str">
        <f>LOOKUP(2,1/(E$129:E136&lt;&gt;""),E$129:E136)</f>
        <v>转</v>
      </c>
      <c r="H136" s="55" t="s">
        <v>473</v>
      </c>
      <c r="I136" s="139">
        <f t="shared" ca="1" si="3"/>
        <v>222113</v>
      </c>
      <c r="J136" s="125" t="s">
        <v>433</v>
      </c>
      <c r="K136" s="56"/>
      <c r="L136" s="56">
        <v>1.5</v>
      </c>
    </row>
    <row r="137" spans="1:14" s="140" customFormat="1" ht="15" thickBot="1">
      <c r="A137" s="16">
        <v>9</v>
      </c>
      <c r="B137" s="133">
        <v>14</v>
      </c>
      <c r="C137" s="134">
        <f t="shared" ca="1" si="4"/>
        <v>4</v>
      </c>
      <c r="D137" s="133">
        <v>1</v>
      </c>
      <c r="E137" s="135" t="s">
        <v>257</v>
      </c>
      <c r="F137" s="136">
        <f>COUNTIF(E$129:E137,LOOKUP(2,1/(E$129:E137&lt;&gt;""),E$129:E137))</f>
        <v>2</v>
      </c>
      <c r="G137" s="137" t="str">
        <f>LOOKUP(2,1/(E$129:E137&lt;&gt;""),E$129:E137)</f>
        <v>银付</v>
      </c>
      <c r="H137" s="55" t="s">
        <v>461</v>
      </c>
      <c r="I137" s="139">
        <f t="shared" ca="1" si="3"/>
        <v>222106</v>
      </c>
      <c r="J137" s="125" t="s">
        <v>51</v>
      </c>
      <c r="K137" s="56">
        <v>10.5</v>
      </c>
      <c r="L137" s="56"/>
    </row>
    <row r="138" spans="1:14" s="140" customFormat="1" ht="15" thickBot="1">
      <c r="A138" s="16">
        <v>9</v>
      </c>
      <c r="B138" s="133">
        <v>14</v>
      </c>
      <c r="C138" s="134">
        <f t="shared" ca="1" si="4"/>
        <v>4</v>
      </c>
      <c r="D138" s="133">
        <v>1</v>
      </c>
      <c r="E138" s="135"/>
      <c r="F138" s="136">
        <f>COUNTIF(E$129:E138,LOOKUP(2,1/(E$129:E138&lt;&gt;""),E$129:E138))</f>
        <v>2</v>
      </c>
      <c r="G138" s="137" t="str">
        <f>LOOKUP(2,1/(E$129:E138&lt;&gt;""),E$129:E138)</f>
        <v>银付</v>
      </c>
      <c r="H138" s="55" t="s">
        <v>461</v>
      </c>
      <c r="I138" s="139">
        <f t="shared" ref="I138:I188" ca="1" si="5">INDEX(科目代码,MATCH($J138,账户查询,))</f>
        <v>222113</v>
      </c>
      <c r="J138" s="125" t="s">
        <v>433</v>
      </c>
      <c r="K138" s="56">
        <v>4.5</v>
      </c>
      <c r="L138" s="56"/>
    </row>
    <row r="139" spans="1:14" s="140" customFormat="1" ht="15" thickBot="1">
      <c r="A139" s="16">
        <v>9</v>
      </c>
      <c r="B139" s="133">
        <v>14</v>
      </c>
      <c r="C139" s="134">
        <f t="shared" ref="C139:C188" ca="1" si="6">IF(INDIRECT("RC[-2]",)=INDIRECT("R[1]C[-2]",),INDIRECT("R[-1]C",)+(ROUND(SUM(INDIRECT("R4C11:R[-1]C11",)),2)-ROUND(SUM(INDIRECT("R4C12:R[-1]C12",)),2)=0),)</f>
        <v>4</v>
      </c>
      <c r="D139" s="133">
        <v>1</v>
      </c>
      <c r="E139" s="135"/>
      <c r="F139" s="136">
        <f>COUNTIF(E$129:E139,LOOKUP(2,1/(E$129:E139&lt;&gt;""),E$129:E139))</f>
        <v>2</v>
      </c>
      <c r="G139" s="137" t="str">
        <f>LOOKUP(2,1/(E$129:E139&lt;&gt;""),E$129:E139)</f>
        <v>银付</v>
      </c>
      <c r="H139" s="55" t="s">
        <v>461</v>
      </c>
      <c r="I139" s="139">
        <f t="shared" ca="1" si="5"/>
        <v>222113</v>
      </c>
      <c r="J139" s="125" t="s">
        <v>433</v>
      </c>
      <c r="K139" s="56">
        <v>1.5</v>
      </c>
      <c r="L139" s="56"/>
    </row>
    <row r="140" spans="1:14" s="140" customFormat="1" ht="15" thickBot="1">
      <c r="A140" s="16">
        <v>9</v>
      </c>
      <c r="B140" s="133">
        <v>14</v>
      </c>
      <c r="C140" s="134">
        <f t="shared" ca="1" si="6"/>
        <v>4</v>
      </c>
      <c r="D140" s="133">
        <v>1</v>
      </c>
      <c r="E140" s="135"/>
      <c r="F140" s="136">
        <f>COUNTIF(E$129:E140,LOOKUP(2,1/(E$129:E140&lt;&gt;""),E$129:E140))</f>
        <v>2</v>
      </c>
      <c r="G140" s="137" t="str">
        <f>LOOKUP(2,1/(E$129:E140&lt;&gt;""),E$129:E140)</f>
        <v>银付</v>
      </c>
      <c r="H140" s="55" t="s">
        <v>461</v>
      </c>
      <c r="I140" s="139">
        <f t="shared" ca="1" si="5"/>
        <v>10020101</v>
      </c>
      <c r="J140" s="125" t="s">
        <v>998</v>
      </c>
      <c r="K140" s="56"/>
      <c r="L140" s="56">
        <v>16.5</v>
      </c>
    </row>
    <row r="141" spans="1:14" s="141" customFormat="1" ht="15" thickBot="1">
      <c r="A141" s="16">
        <v>9</v>
      </c>
      <c r="B141" s="133">
        <v>21</v>
      </c>
      <c r="C141" s="134">
        <f t="shared" ca="1" si="6"/>
        <v>5</v>
      </c>
      <c r="D141" s="133">
        <v>1</v>
      </c>
      <c r="E141" s="135" t="s">
        <v>24</v>
      </c>
      <c r="F141" s="136">
        <f>COUNTIF(E$129:E141,LOOKUP(2,1/(E$129:E141&lt;&gt;""),E$129:E141))</f>
        <v>1</v>
      </c>
      <c r="G141" s="137" t="str">
        <f>LOOKUP(2,1/(E$129:E141&lt;&gt;""),E$129:E141)</f>
        <v>银收</v>
      </c>
      <c r="H141" s="55" t="s">
        <v>462</v>
      </c>
      <c r="I141" s="139">
        <f t="shared" ca="1" si="5"/>
        <v>10020101</v>
      </c>
      <c r="J141" s="125" t="s">
        <v>998</v>
      </c>
      <c r="K141" s="56">
        <v>1.6</v>
      </c>
      <c r="L141" s="56"/>
      <c r="M141" s="140"/>
      <c r="N141" s="140"/>
    </row>
    <row r="142" spans="1:14" s="141" customFormat="1" ht="15" thickBot="1">
      <c r="A142" s="16">
        <v>9</v>
      </c>
      <c r="B142" s="133">
        <v>21</v>
      </c>
      <c r="C142" s="134">
        <f t="shared" ca="1" si="6"/>
        <v>5</v>
      </c>
      <c r="D142" s="133">
        <v>1</v>
      </c>
      <c r="E142" s="135"/>
      <c r="F142" s="136">
        <f>COUNTIF(E$129:E142,LOOKUP(2,1/(E$129:E142&lt;&gt;""),E$129:E142))</f>
        <v>1</v>
      </c>
      <c r="G142" s="137" t="str">
        <f>LOOKUP(2,1/(E$129:E142&lt;&gt;""),E$129:E142)</f>
        <v>银收</v>
      </c>
      <c r="H142" s="55" t="s">
        <v>462</v>
      </c>
      <c r="I142" s="139">
        <f t="shared" ca="1" si="5"/>
        <v>660302</v>
      </c>
      <c r="J142" s="125" t="s">
        <v>448</v>
      </c>
      <c r="K142" s="56">
        <v>-1.6</v>
      </c>
      <c r="L142" s="56"/>
      <c r="M142" s="140"/>
      <c r="N142" s="140"/>
    </row>
    <row r="143" spans="1:14" s="140" customFormat="1" ht="15" thickBot="1">
      <c r="A143" s="16">
        <v>9</v>
      </c>
      <c r="B143" s="133">
        <v>30</v>
      </c>
      <c r="C143" s="134">
        <f t="shared" ca="1" si="6"/>
        <v>6</v>
      </c>
      <c r="D143" s="133"/>
      <c r="E143" s="135" t="s">
        <v>26</v>
      </c>
      <c r="F143" s="136">
        <f>COUNTIF(E$129:E143,LOOKUP(2,1/(E$129:E143&lt;&gt;""),E$129:E143))</f>
        <v>3</v>
      </c>
      <c r="G143" s="137" t="str">
        <f>LOOKUP(2,1/(E$129:E143&lt;&gt;""),E$129:E143)</f>
        <v>转</v>
      </c>
      <c r="H143" s="55" t="s">
        <v>474</v>
      </c>
      <c r="I143" s="139">
        <f t="shared" ca="1" si="5"/>
        <v>4103</v>
      </c>
      <c r="J143" s="125" t="s">
        <v>52</v>
      </c>
      <c r="K143" s="56">
        <v>166.5</v>
      </c>
      <c r="L143" s="56"/>
    </row>
    <row r="144" spans="1:14" s="140" customFormat="1" ht="15" thickBot="1">
      <c r="A144" s="16">
        <v>9</v>
      </c>
      <c r="B144" s="133">
        <v>30</v>
      </c>
      <c r="C144" s="134">
        <f t="shared" ca="1" si="6"/>
        <v>6</v>
      </c>
      <c r="D144" s="133"/>
      <c r="E144" s="135"/>
      <c r="F144" s="136">
        <f>COUNTIF(E$129:E144,LOOKUP(2,1/(E$129:E144&lt;&gt;""),E$129:E144))</f>
        <v>3</v>
      </c>
      <c r="G144" s="137" t="str">
        <f>LOOKUP(2,1/(E$129:E144&lt;&gt;""),E$129:E144)</f>
        <v>转</v>
      </c>
      <c r="H144" s="55" t="s">
        <v>474</v>
      </c>
      <c r="I144" s="139">
        <f t="shared" ca="1" si="5"/>
        <v>6403</v>
      </c>
      <c r="J144" s="125" t="s">
        <v>456</v>
      </c>
      <c r="K144" s="56"/>
      <c r="L144" s="56">
        <v>166.5</v>
      </c>
    </row>
    <row r="145" spans="1:14" s="140" customFormat="1" ht="15" thickBot="1">
      <c r="A145" s="16">
        <v>9</v>
      </c>
      <c r="B145" s="133">
        <v>30</v>
      </c>
      <c r="C145" s="134">
        <f t="shared" ca="1" si="6"/>
        <v>7</v>
      </c>
      <c r="D145" s="133"/>
      <c r="E145" s="135" t="s">
        <v>26</v>
      </c>
      <c r="F145" s="136">
        <f>COUNTIF(E$129:E145,LOOKUP(2,1/(E$129:E145&lt;&gt;""),E$129:E145))</f>
        <v>4</v>
      </c>
      <c r="G145" s="137" t="str">
        <f>LOOKUP(2,1/(E$129:E145&lt;&gt;""),E$129:E145)</f>
        <v>转</v>
      </c>
      <c r="H145" s="55" t="s">
        <v>474</v>
      </c>
      <c r="I145" s="139">
        <f t="shared" ca="1" si="5"/>
        <v>4103</v>
      </c>
      <c r="J145" s="125" t="s">
        <v>52</v>
      </c>
      <c r="K145" s="56">
        <v>-1.6</v>
      </c>
      <c r="L145" s="56"/>
    </row>
    <row r="146" spans="1:14" s="140" customFormat="1" ht="15" thickBot="1">
      <c r="A146" s="16">
        <v>9</v>
      </c>
      <c r="B146" s="133">
        <v>30</v>
      </c>
      <c r="C146" s="134">
        <f t="shared" ca="1" si="6"/>
        <v>7</v>
      </c>
      <c r="D146" s="133"/>
      <c r="E146" s="135"/>
      <c r="F146" s="136">
        <f>COUNTIF(E$129:E146,LOOKUP(2,1/(E$129:E146&lt;&gt;""),E$129:E146))</f>
        <v>4</v>
      </c>
      <c r="G146" s="137" t="str">
        <f>LOOKUP(2,1/(E$129:E146&lt;&gt;""),E$129:E146)</f>
        <v>转</v>
      </c>
      <c r="H146" s="55" t="s">
        <v>474</v>
      </c>
      <c r="I146" s="139">
        <f t="shared" ca="1" si="5"/>
        <v>660302</v>
      </c>
      <c r="J146" s="125" t="s">
        <v>448</v>
      </c>
      <c r="K146" s="56"/>
      <c r="L146" s="56">
        <v>-1.6</v>
      </c>
    </row>
    <row r="147" spans="1:14" s="140" customFormat="1" ht="15" thickBot="1">
      <c r="A147" s="16">
        <v>9</v>
      </c>
      <c r="B147" s="133">
        <v>30</v>
      </c>
      <c r="C147" s="134">
        <f t="shared" ca="1" si="6"/>
        <v>0</v>
      </c>
      <c r="D147" s="133"/>
      <c r="E147" s="135"/>
      <c r="F147" s="136"/>
      <c r="G147" s="137"/>
      <c r="H147" s="55"/>
      <c r="I147" s="139"/>
      <c r="J147" s="125"/>
      <c r="K147" s="56"/>
      <c r="L147" s="56"/>
    </row>
    <row r="148" spans="1:14" s="141" customFormat="1" ht="15" thickBot="1">
      <c r="A148" s="16">
        <v>10</v>
      </c>
      <c r="B148" s="133">
        <v>12</v>
      </c>
      <c r="C148" s="134">
        <f t="shared" ca="1" si="6"/>
        <v>1</v>
      </c>
      <c r="D148" s="133">
        <v>1</v>
      </c>
      <c r="E148" s="135" t="s">
        <v>257</v>
      </c>
      <c r="F148" s="136">
        <f>COUNTIF(E$148:E148,LOOKUP(2,1/(E$148:E148&lt;&gt;""),E$148:E148))</f>
        <v>1</v>
      </c>
      <c r="G148" s="137" t="str">
        <f>LOOKUP(2,1/(E$148:E148&lt;&gt;""),E$148:E148)</f>
        <v>银付</v>
      </c>
      <c r="H148" s="55" t="s">
        <v>449</v>
      </c>
      <c r="I148" s="139">
        <f t="shared" ca="1" si="5"/>
        <v>660304</v>
      </c>
      <c r="J148" s="125" t="s">
        <v>444</v>
      </c>
      <c r="K148" s="56">
        <v>37.5</v>
      </c>
      <c r="L148" s="56"/>
      <c r="M148" s="140"/>
      <c r="N148" s="140"/>
    </row>
    <row r="149" spans="1:14" s="141" customFormat="1" ht="15" thickBot="1">
      <c r="A149" s="16">
        <v>10</v>
      </c>
      <c r="B149" s="133">
        <v>12</v>
      </c>
      <c r="C149" s="134">
        <f t="shared" ca="1" si="6"/>
        <v>1</v>
      </c>
      <c r="D149" s="133">
        <v>1</v>
      </c>
      <c r="E149" s="135"/>
      <c r="F149" s="136">
        <f>COUNTIF(E$148:E149,LOOKUP(2,1/(E$148:E149&lt;&gt;""),E$148:E149))</f>
        <v>1</v>
      </c>
      <c r="G149" s="137" t="str">
        <f>LOOKUP(2,1/(E$148:E149&lt;&gt;""),E$148:E149)</f>
        <v>银付</v>
      </c>
      <c r="H149" s="55" t="s">
        <v>449</v>
      </c>
      <c r="I149" s="139">
        <f t="shared" ca="1" si="5"/>
        <v>10020101</v>
      </c>
      <c r="J149" s="125" t="s">
        <v>998</v>
      </c>
      <c r="K149" s="56"/>
      <c r="L149" s="56">
        <v>37.5</v>
      </c>
      <c r="M149" s="140"/>
      <c r="N149" s="140"/>
    </row>
    <row r="150" spans="1:14" s="140" customFormat="1" ht="15" thickBot="1">
      <c r="A150" s="16">
        <v>10</v>
      </c>
      <c r="B150" s="133">
        <v>31</v>
      </c>
      <c r="C150" s="134">
        <f t="shared" ca="1" si="6"/>
        <v>2</v>
      </c>
      <c r="D150" s="133"/>
      <c r="E150" s="135" t="s">
        <v>26</v>
      </c>
      <c r="F150" s="136">
        <f>COUNTIF(E$148:E150,LOOKUP(2,1/(E$148:E150&lt;&gt;""),E$148:E150))</f>
        <v>1</v>
      </c>
      <c r="G150" s="137" t="str">
        <f>LOOKUP(2,1/(E$148:E150&lt;&gt;""),E$148:E150)</f>
        <v>转</v>
      </c>
      <c r="H150" s="55" t="s">
        <v>475</v>
      </c>
      <c r="I150" s="139">
        <f t="shared" ca="1" si="5"/>
        <v>4103</v>
      </c>
      <c r="J150" s="125" t="s">
        <v>52</v>
      </c>
      <c r="K150" s="56">
        <v>37.5</v>
      </c>
      <c r="L150" s="56"/>
    </row>
    <row r="151" spans="1:14" s="140" customFormat="1" ht="15" thickBot="1">
      <c r="A151" s="16">
        <v>10</v>
      </c>
      <c r="B151" s="133">
        <v>31</v>
      </c>
      <c r="C151" s="134">
        <f t="shared" ca="1" si="6"/>
        <v>2</v>
      </c>
      <c r="D151" s="133"/>
      <c r="E151" s="135"/>
      <c r="F151" s="136">
        <f>COUNTIF(E$148:E151,LOOKUP(2,1/(E$148:E151&lt;&gt;""),E$148:E151))</f>
        <v>1</v>
      </c>
      <c r="G151" s="137" t="str">
        <f>LOOKUP(2,1/(E$148:E151&lt;&gt;""),E$148:E151)</f>
        <v>转</v>
      </c>
      <c r="H151" s="55" t="s">
        <v>475</v>
      </c>
      <c r="I151" s="139">
        <f t="shared" ca="1" si="5"/>
        <v>660304</v>
      </c>
      <c r="J151" s="125" t="s">
        <v>444</v>
      </c>
      <c r="K151" s="56"/>
      <c r="L151" s="56">
        <v>37.5</v>
      </c>
    </row>
    <row r="152" spans="1:14" s="140" customFormat="1" ht="15" thickBot="1">
      <c r="A152" s="16">
        <v>10</v>
      </c>
      <c r="B152" s="133">
        <v>31</v>
      </c>
      <c r="C152" s="134">
        <f t="shared" ca="1" si="6"/>
        <v>0</v>
      </c>
      <c r="D152" s="133"/>
      <c r="E152" s="135"/>
      <c r="F152" s="136"/>
      <c r="G152" s="137"/>
      <c r="H152" s="55"/>
      <c r="I152" s="139"/>
      <c r="J152" s="125"/>
      <c r="K152" s="56"/>
      <c r="L152" s="56"/>
    </row>
    <row r="153" spans="1:14" s="140" customFormat="1" ht="15" thickBot="1">
      <c r="A153" s="16">
        <v>11</v>
      </c>
      <c r="B153" s="133">
        <v>31</v>
      </c>
      <c r="C153" s="134">
        <f t="shared" ca="1" si="6"/>
        <v>1</v>
      </c>
      <c r="D153" s="133"/>
      <c r="E153" s="135" t="s">
        <v>26</v>
      </c>
      <c r="F153" s="136">
        <f>COUNTIF(E$153:E153,LOOKUP(2,1/(E$153:E153&lt;&gt;""),E$153:E153))</f>
        <v>1</v>
      </c>
      <c r="G153" s="137" t="str">
        <f>LOOKUP(2,1/(E$153:E153&lt;&gt;""),E$153:E153)</f>
        <v>转</v>
      </c>
      <c r="H153" s="138" t="s">
        <v>303</v>
      </c>
      <c r="I153" s="139">
        <f t="shared" ca="1" si="5"/>
        <v>6403</v>
      </c>
      <c r="J153" s="125" t="s">
        <v>20</v>
      </c>
      <c r="K153" s="56"/>
      <c r="L153" s="56"/>
    </row>
    <row r="154" spans="1:14" s="140" customFormat="1" ht="15" thickBot="1">
      <c r="A154" s="16">
        <v>11</v>
      </c>
      <c r="B154" s="133">
        <v>31</v>
      </c>
      <c r="C154" s="134">
        <f t="shared" ca="1" si="6"/>
        <v>2</v>
      </c>
      <c r="D154" s="133"/>
      <c r="E154" s="135" t="s">
        <v>26</v>
      </c>
      <c r="F154" s="136">
        <f>COUNTIF(E$148:E154,LOOKUP(2,1/(E$148:E154&lt;&gt;""),E$148:E154))</f>
        <v>3</v>
      </c>
      <c r="G154" s="137" t="str">
        <f>LOOKUP(2,1/(E$148:E154&lt;&gt;""),E$148:E154)</f>
        <v>转</v>
      </c>
      <c r="H154" s="138" t="s">
        <v>303</v>
      </c>
      <c r="I154" s="139">
        <f t="shared" ca="1" si="5"/>
        <v>222104</v>
      </c>
      <c r="J154" s="125" t="s">
        <v>50</v>
      </c>
      <c r="K154" s="56"/>
      <c r="L154" s="56"/>
    </row>
    <row r="155" spans="1:14" s="140" customFormat="1" ht="15" thickBot="1">
      <c r="A155" s="16">
        <v>11</v>
      </c>
      <c r="B155" s="133">
        <v>31</v>
      </c>
      <c r="C155" s="134">
        <f t="shared" ca="1" si="6"/>
        <v>3</v>
      </c>
      <c r="D155" s="133"/>
      <c r="E155" s="135" t="s">
        <v>26</v>
      </c>
      <c r="F155" s="136">
        <f>COUNTIF(E$148:E155,LOOKUP(2,1/(E$148:E155&lt;&gt;""),E$148:E155))</f>
        <v>4</v>
      </c>
      <c r="G155" s="137" t="str">
        <f>LOOKUP(2,1/(E$148:E155&lt;&gt;""),E$148:E155)</f>
        <v>转</v>
      </c>
      <c r="H155" s="138" t="s">
        <v>303</v>
      </c>
      <c r="I155" s="139">
        <f t="shared" ca="1" si="5"/>
        <v>222106</v>
      </c>
      <c r="J155" s="125" t="s">
        <v>51</v>
      </c>
      <c r="K155" s="56"/>
      <c r="L155" s="56"/>
    </row>
    <row r="156" spans="1:14" s="140" customFormat="1" ht="15" thickBot="1">
      <c r="A156" s="16">
        <v>11</v>
      </c>
      <c r="B156" s="133">
        <v>31</v>
      </c>
      <c r="C156" s="134">
        <f t="shared" ca="1" si="6"/>
        <v>4</v>
      </c>
      <c r="D156" s="133"/>
      <c r="E156" s="135" t="s">
        <v>26</v>
      </c>
      <c r="F156" s="136">
        <f>COUNTIF(E$148:E156,LOOKUP(2,1/(E$148:E156&lt;&gt;""),E$148:E156))</f>
        <v>5</v>
      </c>
      <c r="G156" s="137" t="str">
        <f>LOOKUP(2,1/(E$148:E156&lt;&gt;""),E$148:E156)</f>
        <v>转</v>
      </c>
      <c r="H156" s="138" t="s">
        <v>303</v>
      </c>
      <c r="I156" s="139">
        <f t="shared" ca="1" si="5"/>
        <v>222113</v>
      </c>
      <c r="J156" s="125" t="s">
        <v>433</v>
      </c>
      <c r="K156" s="56"/>
      <c r="L156" s="56"/>
    </row>
    <row r="157" spans="1:14" s="140" customFormat="1" ht="15" thickBot="1">
      <c r="A157" s="16">
        <v>11</v>
      </c>
      <c r="B157" s="133">
        <v>31</v>
      </c>
      <c r="C157" s="134">
        <f t="shared" ca="1" si="6"/>
        <v>5</v>
      </c>
      <c r="D157" s="133"/>
      <c r="E157" s="135" t="s">
        <v>26</v>
      </c>
      <c r="F157" s="136">
        <f>COUNTIF(E$148:E157,LOOKUP(2,1/(E$148:E157&lt;&gt;""),E$148:E157))</f>
        <v>6</v>
      </c>
      <c r="G157" s="137" t="str">
        <f>LOOKUP(2,1/(E$148:E157&lt;&gt;""),E$148:E157)</f>
        <v>转</v>
      </c>
      <c r="H157" s="138" t="s">
        <v>303</v>
      </c>
      <c r="I157" s="139">
        <f t="shared" ca="1" si="5"/>
        <v>222113</v>
      </c>
      <c r="J157" s="125" t="s">
        <v>433</v>
      </c>
      <c r="K157" s="56"/>
      <c r="L157" s="56"/>
    </row>
    <row r="158" spans="1:14" s="140" customFormat="1" ht="15" thickBot="1">
      <c r="A158" s="16">
        <v>11</v>
      </c>
      <c r="B158" s="133">
        <v>31</v>
      </c>
      <c r="C158" s="134">
        <f t="shared" ca="1" si="6"/>
        <v>6</v>
      </c>
      <c r="D158" s="133"/>
      <c r="E158" s="135" t="s">
        <v>26</v>
      </c>
      <c r="F158" s="136">
        <f>COUNTIF(E$148:E158,LOOKUP(2,1/(E$148:E158&lt;&gt;""),E$148:E158))</f>
        <v>7</v>
      </c>
      <c r="G158" s="137" t="str">
        <f>LOOKUP(2,1/(E$148:E158&lt;&gt;""),E$148:E158)</f>
        <v>转</v>
      </c>
      <c r="H158" s="138" t="s">
        <v>303</v>
      </c>
      <c r="I158" s="139">
        <f t="shared" ca="1" si="5"/>
        <v>222114</v>
      </c>
      <c r="J158" s="125" t="s">
        <v>434</v>
      </c>
      <c r="K158" s="56"/>
      <c r="L158" s="56"/>
    </row>
    <row r="159" spans="1:14" s="140" customFormat="1" ht="15" thickBot="1">
      <c r="A159" s="16">
        <v>11</v>
      </c>
      <c r="B159" s="133">
        <v>31</v>
      </c>
      <c r="C159" s="134">
        <f t="shared" ca="1" si="6"/>
        <v>7</v>
      </c>
      <c r="D159" s="133"/>
      <c r="E159" s="135" t="s">
        <v>26</v>
      </c>
      <c r="F159" s="136">
        <f>COUNTIF(E$148:E159,LOOKUP(2,1/(E$148:E159&lt;&gt;""),E$148:E159))</f>
        <v>8</v>
      </c>
      <c r="G159" s="137" t="str">
        <f>LOOKUP(2,1/(E$148:E159&lt;&gt;""),E$148:E159)</f>
        <v>转</v>
      </c>
      <c r="H159" s="138" t="s">
        <v>303</v>
      </c>
      <c r="I159" s="139">
        <f t="shared" ca="1" si="5"/>
        <v>6403</v>
      </c>
      <c r="J159" s="125" t="s">
        <v>20</v>
      </c>
      <c r="K159" s="56"/>
      <c r="L159" s="56"/>
    </row>
    <row r="160" spans="1:14" s="140" customFormat="1" ht="15" thickBot="1">
      <c r="A160" s="16">
        <v>11</v>
      </c>
      <c r="B160" s="133">
        <v>31</v>
      </c>
      <c r="C160" s="134">
        <f t="shared" ca="1" si="6"/>
        <v>8</v>
      </c>
      <c r="D160" s="133"/>
      <c r="E160" s="135" t="s">
        <v>26</v>
      </c>
      <c r="F160" s="136">
        <f>COUNTIF(E$148:E160,LOOKUP(2,1/(E$148:E160&lt;&gt;""),E$148:E160))</f>
        <v>9</v>
      </c>
      <c r="G160" s="137" t="str">
        <f>LOOKUP(2,1/(E$148:E160&lt;&gt;""),E$148:E160)</f>
        <v>转</v>
      </c>
      <c r="H160" s="138" t="s">
        <v>303</v>
      </c>
      <c r="I160" s="139">
        <f t="shared" ca="1" si="5"/>
        <v>222104</v>
      </c>
      <c r="J160" s="125" t="s">
        <v>50</v>
      </c>
      <c r="K160" s="56"/>
      <c r="L160" s="56"/>
    </row>
    <row r="161" spans="1:12" s="140" customFormat="1" ht="15" thickBot="1">
      <c r="A161" s="16">
        <v>11</v>
      </c>
      <c r="B161" s="133">
        <v>31</v>
      </c>
      <c r="C161" s="134">
        <f t="shared" ca="1" si="6"/>
        <v>9</v>
      </c>
      <c r="D161" s="133"/>
      <c r="E161" s="135" t="s">
        <v>26</v>
      </c>
      <c r="F161" s="136">
        <f>COUNTIF(E$148:E161,LOOKUP(2,1/(E$148:E161&lt;&gt;""),E$148:E161))</f>
        <v>10</v>
      </c>
      <c r="G161" s="137" t="str">
        <f>LOOKUP(2,1/(E$148:E161&lt;&gt;""),E$148:E161)</f>
        <v>转</v>
      </c>
      <c r="H161" s="138" t="s">
        <v>303</v>
      </c>
      <c r="I161" s="139">
        <f t="shared" ca="1" si="5"/>
        <v>222106</v>
      </c>
      <c r="J161" s="125" t="s">
        <v>51</v>
      </c>
      <c r="K161" s="56"/>
      <c r="L161" s="56"/>
    </row>
    <row r="162" spans="1:12" s="140" customFormat="1" ht="15" thickBot="1">
      <c r="A162" s="16">
        <v>11</v>
      </c>
      <c r="B162" s="133">
        <v>31</v>
      </c>
      <c r="C162" s="134">
        <f t="shared" ca="1" si="6"/>
        <v>10</v>
      </c>
      <c r="D162" s="133"/>
      <c r="E162" s="135" t="s">
        <v>26</v>
      </c>
      <c r="F162" s="136">
        <f>COUNTIF(E$148:E162,LOOKUP(2,1/(E$148:E162&lt;&gt;""),E$148:E162))</f>
        <v>11</v>
      </c>
      <c r="G162" s="137" t="str">
        <f>LOOKUP(2,1/(E$148:E162&lt;&gt;""),E$148:E162)</f>
        <v>转</v>
      </c>
      <c r="H162" s="138" t="s">
        <v>303</v>
      </c>
      <c r="I162" s="139">
        <f t="shared" ca="1" si="5"/>
        <v>222113</v>
      </c>
      <c r="J162" s="125" t="s">
        <v>433</v>
      </c>
      <c r="K162" s="56"/>
      <c r="L162" s="56"/>
    </row>
    <row r="163" spans="1:12" s="140" customFormat="1" ht="15" thickBot="1">
      <c r="A163" s="16">
        <v>11</v>
      </c>
      <c r="B163" s="133">
        <v>31</v>
      </c>
      <c r="C163" s="134">
        <f t="shared" ca="1" si="6"/>
        <v>11</v>
      </c>
      <c r="D163" s="133"/>
      <c r="E163" s="135" t="s">
        <v>26</v>
      </c>
      <c r="F163" s="136">
        <f>COUNTIF(E$148:E163,LOOKUP(2,1/(E$148:E163&lt;&gt;""),E$148:E163))</f>
        <v>12</v>
      </c>
      <c r="G163" s="137" t="str">
        <f>LOOKUP(2,1/(E$148:E163&lt;&gt;""),E$148:E163)</f>
        <v>转</v>
      </c>
      <c r="H163" s="138" t="s">
        <v>303</v>
      </c>
      <c r="I163" s="139">
        <f t="shared" ca="1" si="5"/>
        <v>222113</v>
      </c>
      <c r="J163" s="125" t="s">
        <v>433</v>
      </c>
      <c r="K163" s="56"/>
      <c r="L163" s="56"/>
    </row>
    <row r="164" spans="1:12" s="140" customFormat="1" ht="15" thickBot="1">
      <c r="A164" s="16">
        <v>11</v>
      </c>
      <c r="B164" s="133">
        <v>31</v>
      </c>
      <c r="C164" s="134">
        <f t="shared" ca="1" si="6"/>
        <v>12</v>
      </c>
      <c r="D164" s="133"/>
      <c r="E164" s="135" t="s">
        <v>26</v>
      </c>
      <c r="F164" s="136">
        <f>COUNTIF(E$148:E164,LOOKUP(2,1/(E$148:E164&lt;&gt;""),E$148:E164))</f>
        <v>13</v>
      </c>
      <c r="G164" s="137" t="str">
        <f>LOOKUP(2,1/(E$148:E164&lt;&gt;""),E$148:E164)</f>
        <v>转</v>
      </c>
      <c r="H164" s="138" t="s">
        <v>303</v>
      </c>
      <c r="I164" s="139">
        <f t="shared" ca="1" si="5"/>
        <v>222114</v>
      </c>
      <c r="J164" s="125" t="s">
        <v>434</v>
      </c>
      <c r="K164" s="56"/>
      <c r="L164" s="56"/>
    </row>
    <row r="165" spans="1:12" s="140" customFormat="1" ht="15" thickBot="1">
      <c r="A165" s="16">
        <v>11</v>
      </c>
      <c r="B165" s="133">
        <v>31</v>
      </c>
      <c r="C165" s="134">
        <f t="shared" ca="1" si="6"/>
        <v>13</v>
      </c>
      <c r="D165" s="133"/>
      <c r="E165" s="135" t="s">
        <v>26</v>
      </c>
      <c r="F165" s="136">
        <f>COUNTIF(E$148:E165,LOOKUP(2,1/(E$148:E165&lt;&gt;""),E$148:E165))</f>
        <v>14</v>
      </c>
      <c r="G165" s="137" t="str">
        <f>LOOKUP(2,1/(E$148:E165&lt;&gt;""),E$148:E165)</f>
        <v>转</v>
      </c>
      <c r="H165" s="138" t="s">
        <v>303</v>
      </c>
      <c r="I165" s="139">
        <f t="shared" ca="1" si="5"/>
        <v>6403</v>
      </c>
      <c r="J165" s="125" t="s">
        <v>20</v>
      </c>
      <c r="K165" s="56"/>
      <c r="L165" s="56"/>
    </row>
    <row r="166" spans="1:12" s="140" customFormat="1" ht="15" thickBot="1">
      <c r="A166" s="16">
        <v>11</v>
      </c>
      <c r="B166" s="133">
        <v>31</v>
      </c>
      <c r="C166" s="134">
        <f t="shared" ca="1" si="6"/>
        <v>14</v>
      </c>
      <c r="D166" s="133"/>
      <c r="E166" s="135" t="s">
        <v>26</v>
      </c>
      <c r="F166" s="136">
        <f>COUNTIF(E$148:E166,LOOKUP(2,1/(E$148:E166&lt;&gt;""),E$148:E166))</f>
        <v>15</v>
      </c>
      <c r="G166" s="137" t="str">
        <f>LOOKUP(2,1/(E$148:E166&lt;&gt;""),E$148:E166)</f>
        <v>转</v>
      </c>
      <c r="H166" s="138" t="s">
        <v>303</v>
      </c>
      <c r="I166" s="139">
        <f t="shared" ca="1" si="5"/>
        <v>222111</v>
      </c>
      <c r="J166" s="125" t="s">
        <v>258</v>
      </c>
      <c r="K166" s="56"/>
      <c r="L166" s="56"/>
    </row>
    <row r="167" spans="1:12" s="140" customFormat="1" ht="15" thickBot="1">
      <c r="A167" s="16">
        <v>11</v>
      </c>
      <c r="B167" s="133">
        <v>31</v>
      </c>
      <c r="C167" s="134">
        <f t="shared" ca="1" si="6"/>
        <v>15</v>
      </c>
      <c r="D167" s="133"/>
      <c r="E167" s="135" t="s">
        <v>26</v>
      </c>
      <c r="F167" s="136">
        <f>COUNTIF(E$148:E167,LOOKUP(2,1/(E$148:E167&lt;&gt;""),E$148:E167))</f>
        <v>16</v>
      </c>
      <c r="G167" s="137" t="str">
        <f>LOOKUP(2,1/(E$148:E167&lt;&gt;""),E$148:E167)</f>
        <v>转</v>
      </c>
      <c r="H167" s="138" t="s">
        <v>303</v>
      </c>
      <c r="I167" s="139">
        <f t="shared" ca="1" si="5"/>
        <v>680101</v>
      </c>
      <c r="J167" s="125" t="s">
        <v>259</v>
      </c>
      <c r="K167" s="56"/>
      <c r="L167" s="56"/>
    </row>
    <row r="168" spans="1:12" s="140" customFormat="1" ht="15" thickBot="1">
      <c r="A168" s="16">
        <v>11</v>
      </c>
      <c r="B168" s="133">
        <v>31</v>
      </c>
      <c r="C168" s="134">
        <f t="shared" ca="1" si="6"/>
        <v>16</v>
      </c>
      <c r="D168" s="133"/>
      <c r="E168" s="135" t="s">
        <v>26</v>
      </c>
      <c r="F168" s="136">
        <f>COUNTIF(E$148:E168,LOOKUP(2,1/(E$148:E168&lt;&gt;""),E$148:E168))</f>
        <v>17</v>
      </c>
      <c r="G168" s="137" t="str">
        <f>LOOKUP(2,1/(E$148:E168&lt;&gt;""),E$148:E168)</f>
        <v>转</v>
      </c>
      <c r="H168" s="138" t="s">
        <v>303</v>
      </c>
      <c r="I168" s="139">
        <f t="shared" ca="1" si="5"/>
        <v>222110</v>
      </c>
      <c r="J168" s="125" t="s">
        <v>318</v>
      </c>
      <c r="K168" s="56"/>
      <c r="L168" s="56"/>
    </row>
    <row r="169" spans="1:12" s="140" customFormat="1" ht="15" thickBot="1">
      <c r="A169" s="16">
        <v>11</v>
      </c>
      <c r="B169" s="133">
        <v>31</v>
      </c>
      <c r="C169" s="134">
        <f t="shared" ca="1" si="6"/>
        <v>17</v>
      </c>
      <c r="D169" s="133"/>
      <c r="E169" s="135" t="s">
        <v>26</v>
      </c>
      <c r="F169" s="136">
        <f>COUNTIF(E$148:E169,LOOKUP(2,1/(E$148:E169&lt;&gt;""),E$148:E169))</f>
        <v>18</v>
      </c>
      <c r="G169" s="137" t="str">
        <f>LOOKUP(2,1/(E$148:E169&lt;&gt;""),E$148:E169)</f>
        <v>转</v>
      </c>
      <c r="H169" s="55" t="s">
        <v>302</v>
      </c>
      <c r="I169" s="139">
        <f t="shared" ca="1" si="5"/>
        <v>600101</v>
      </c>
      <c r="J169" s="125" t="s">
        <v>436</v>
      </c>
      <c r="K169" s="56"/>
      <c r="L169" s="56"/>
    </row>
    <row r="170" spans="1:12" s="140" customFormat="1" ht="15" thickBot="1">
      <c r="A170" s="16">
        <v>11</v>
      </c>
      <c r="B170" s="133">
        <v>31</v>
      </c>
      <c r="C170" s="134">
        <f t="shared" ca="1" si="6"/>
        <v>18</v>
      </c>
      <c r="D170" s="133"/>
      <c r="E170" s="135" t="s">
        <v>26</v>
      </c>
      <c r="F170" s="136">
        <f>COUNTIF(E$148:E170,LOOKUP(2,1/(E$148:E170&lt;&gt;""),E$148:E170))</f>
        <v>19</v>
      </c>
      <c r="G170" s="137" t="str">
        <f>LOOKUP(2,1/(E$148:E170&lt;&gt;""),E$148:E170)</f>
        <v>转</v>
      </c>
      <c r="H170" s="55" t="s">
        <v>302</v>
      </c>
      <c r="I170" s="139">
        <f t="shared" ca="1" si="5"/>
        <v>600102</v>
      </c>
      <c r="J170" s="125" t="s">
        <v>437</v>
      </c>
      <c r="K170" s="56"/>
      <c r="L170" s="56"/>
    </row>
    <row r="171" spans="1:12" s="140" customFormat="1" ht="15" thickBot="1">
      <c r="A171" s="16">
        <v>11</v>
      </c>
      <c r="B171" s="133">
        <v>31</v>
      </c>
      <c r="C171" s="134">
        <f t="shared" ca="1" si="6"/>
        <v>19</v>
      </c>
      <c r="D171" s="133"/>
      <c r="E171" s="135" t="s">
        <v>26</v>
      </c>
      <c r="F171" s="136">
        <f>COUNTIF(E$148:E171,LOOKUP(2,1/(E$148:E171&lt;&gt;""),E$148:E171))</f>
        <v>20</v>
      </c>
      <c r="G171" s="137" t="str">
        <f>LOOKUP(2,1/(E$148:E171&lt;&gt;""),E$148:E171)</f>
        <v>转</v>
      </c>
      <c r="H171" s="55" t="s">
        <v>302</v>
      </c>
      <c r="I171" s="139">
        <f t="shared" ca="1" si="5"/>
        <v>4103</v>
      </c>
      <c r="J171" s="125" t="s">
        <v>52</v>
      </c>
      <c r="K171" s="56"/>
      <c r="L171" s="56"/>
    </row>
    <row r="172" spans="1:12" s="140" customFormat="1" ht="15" thickBot="1">
      <c r="A172" s="16">
        <v>11</v>
      </c>
      <c r="B172" s="133">
        <v>31</v>
      </c>
      <c r="C172" s="134">
        <f t="shared" ca="1" si="6"/>
        <v>20</v>
      </c>
      <c r="D172" s="133"/>
      <c r="E172" s="135" t="s">
        <v>26</v>
      </c>
      <c r="F172" s="136">
        <f>COUNTIF(E$148:E172,LOOKUP(2,1/(E$148:E172&lt;&gt;""),E$148:E172))</f>
        <v>21</v>
      </c>
      <c r="G172" s="137" t="str">
        <f>LOOKUP(2,1/(E$148:E172&lt;&gt;""),E$148:E172)</f>
        <v>转</v>
      </c>
      <c r="H172" s="55" t="s">
        <v>302</v>
      </c>
      <c r="I172" s="139">
        <f t="shared" ca="1" si="5"/>
        <v>640101</v>
      </c>
      <c r="J172" s="125" t="s">
        <v>438</v>
      </c>
      <c r="K172" s="56"/>
      <c r="L172" s="56"/>
    </row>
    <row r="173" spans="1:12" s="140" customFormat="1" ht="15" thickBot="1">
      <c r="A173" s="16">
        <v>11</v>
      </c>
      <c r="B173" s="133">
        <v>31</v>
      </c>
      <c r="C173" s="134">
        <f t="shared" ca="1" si="6"/>
        <v>21</v>
      </c>
      <c r="D173" s="133"/>
      <c r="E173" s="135" t="s">
        <v>26</v>
      </c>
      <c r="F173" s="136">
        <f>COUNTIF(E$148:E173,LOOKUP(2,1/(E$148:E173&lt;&gt;""),E$148:E173))</f>
        <v>22</v>
      </c>
      <c r="G173" s="137" t="str">
        <f>LOOKUP(2,1/(E$148:E173&lt;&gt;""),E$148:E173)</f>
        <v>转</v>
      </c>
      <c r="H173" s="55" t="s">
        <v>302</v>
      </c>
      <c r="I173" s="139">
        <f t="shared" ca="1" si="5"/>
        <v>50010102</v>
      </c>
      <c r="J173" s="125" t="s">
        <v>558</v>
      </c>
      <c r="K173" s="56"/>
      <c r="L173" s="56"/>
    </row>
    <row r="174" spans="1:12" s="140" customFormat="1" ht="15" thickBot="1">
      <c r="A174" s="16">
        <v>11</v>
      </c>
      <c r="B174" s="133">
        <v>31</v>
      </c>
      <c r="C174" s="134">
        <f t="shared" ca="1" si="6"/>
        <v>22</v>
      </c>
      <c r="D174" s="133"/>
      <c r="E174" s="135" t="s">
        <v>26</v>
      </c>
      <c r="F174" s="136">
        <f>COUNTIF(E$148:E174,LOOKUP(2,1/(E$148:E174&lt;&gt;""),E$148:E174))</f>
        <v>23</v>
      </c>
      <c r="G174" s="137" t="str">
        <f>LOOKUP(2,1/(E$148:E174&lt;&gt;""),E$148:E174)</f>
        <v>转</v>
      </c>
      <c r="H174" s="55" t="s">
        <v>302</v>
      </c>
      <c r="I174" s="139">
        <f t="shared" ca="1" si="5"/>
        <v>50010102</v>
      </c>
      <c r="J174" s="125" t="s">
        <v>558</v>
      </c>
      <c r="K174" s="56"/>
      <c r="L174" s="56"/>
    </row>
    <row r="175" spans="1:12" s="140" customFormat="1" ht="15" thickBot="1">
      <c r="A175" s="16">
        <v>11</v>
      </c>
      <c r="B175" s="133">
        <v>31</v>
      </c>
      <c r="C175" s="134">
        <f t="shared" ca="1" si="6"/>
        <v>23</v>
      </c>
      <c r="D175" s="133"/>
      <c r="E175" s="135" t="s">
        <v>26</v>
      </c>
      <c r="F175" s="136">
        <f>COUNTIF(E$148:E175,LOOKUP(2,1/(E$148:E175&lt;&gt;""),E$148:E175))</f>
        <v>24</v>
      </c>
      <c r="G175" s="137" t="str">
        <f>LOOKUP(2,1/(E$148:E175&lt;&gt;""),E$148:E175)</f>
        <v>转</v>
      </c>
      <c r="H175" s="55" t="s">
        <v>302</v>
      </c>
      <c r="I175" s="139">
        <f t="shared" ca="1" si="5"/>
        <v>4103</v>
      </c>
      <c r="J175" s="125" t="s">
        <v>52</v>
      </c>
      <c r="K175" s="56"/>
      <c r="L175" s="56"/>
    </row>
    <row r="176" spans="1:12" s="140" customFormat="1" ht="15" thickBot="1">
      <c r="A176" s="16">
        <v>11</v>
      </c>
      <c r="B176" s="133">
        <v>31</v>
      </c>
      <c r="C176" s="134">
        <f t="shared" ca="1" si="6"/>
        <v>24</v>
      </c>
      <c r="D176" s="133"/>
      <c r="E176" s="135" t="s">
        <v>26</v>
      </c>
      <c r="F176" s="136">
        <f>COUNTIF(E$148:E176,LOOKUP(2,1/(E$148:E176&lt;&gt;""),E$148:E176))</f>
        <v>25</v>
      </c>
      <c r="G176" s="137" t="str">
        <f>LOOKUP(2,1/(E$148:E176&lt;&gt;""),E$148:E176)</f>
        <v>转</v>
      </c>
      <c r="H176" s="55" t="s">
        <v>302</v>
      </c>
      <c r="I176" s="139">
        <f t="shared" ca="1" si="5"/>
        <v>6403</v>
      </c>
      <c r="J176" s="125" t="s">
        <v>20</v>
      </c>
      <c r="K176" s="56"/>
      <c r="L176" s="56"/>
    </row>
    <row r="177" spans="1:12" s="140" customFormat="1" ht="15" thickBot="1">
      <c r="A177" s="16">
        <v>11</v>
      </c>
      <c r="B177" s="133">
        <v>31</v>
      </c>
      <c r="C177" s="134">
        <f t="shared" ca="1" si="6"/>
        <v>25</v>
      </c>
      <c r="D177" s="133"/>
      <c r="E177" s="135" t="s">
        <v>26</v>
      </c>
      <c r="F177" s="136">
        <f>COUNTIF(E$148:E177,LOOKUP(2,1/(E$148:E177&lt;&gt;""),E$148:E177))</f>
        <v>26</v>
      </c>
      <c r="G177" s="137" t="str">
        <f>LOOKUP(2,1/(E$148:E177&lt;&gt;""),E$148:E177)</f>
        <v>转</v>
      </c>
      <c r="H177" s="55" t="s">
        <v>302</v>
      </c>
      <c r="I177" s="139">
        <f t="shared" ca="1" si="5"/>
        <v>4103</v>
      </c>
      <c r="J177" s="125" t="s">
        <v>52</v>
      </c>
      <c r="K177" s="56"/>
      <c r="L177" s="56"/>
    </row>
    <row r="178" spans="1:12" s="140" customFormat="1" ht="15" thickBot="1">
      <c r="A178" s="16">
        <v>11</v>
      </c>
      <c r="B178" s="133">
        <v>31</v>
      </c>
      <c r="C178" s="134">
        <f t="shared" ca="1" si="6"/>
        <v>26</v>
      </c>
      <c r="D178" s="133"/>
      <c r="E178" s="135" t="s">
        <v>26</v>
      </c>
      <c r="F178" s="136">
        <f>COUNTIF(E$148:E178,LOOKUP(2,1/(E$148:E178&lt;&gt;""),E$148:E178))</f>
        <v>27</v>
      </c>
      <c r="G178" s="137" t="str">
        <f>LOOKUP(2,1/(E$148:E178&lt;&gt;""),E$148:E178)</f>
        <v>转</v>
      </c>
      <c r="H178" s="55" t="s">
        <v>302</v>
      </c>
      <c r="I178" s="139">
        <f t="shared" ca="1" si="5"/>
        <v>640101</v>
      </c>
      <c r="J178" s="125" t="s">
        <v>438</v>
      </c>
      <c r="K178" s="56"/>
      <c r="L178" s="56"/>
    </row>
    <row r="179" spans="1:12" s="140" customFormat="1" ht="15" thickBot="1">
      <c r="A179" s="16">
        <v>11</v>
      </c>
      <c r="B179" s="133">
        <v>31</v>
      </c>
      <c r="C179" s="134">
        <f t="shared" ca="1" si="6"/>
        <v>27</v>
      </c>
      <c r="D179" s="133"/>
      <c r="E179" s="135" t="s">
        <v>26</v>
      </c>
      <c r="F179" s="136">
        <f>COUNTIF(E$148:E179,LOOKUP(2,1/(E$148:E179&lt;&gt;""),E$148:E179))</f>
        <v>28</v>
      </c>
      <c r="G179" s="137" t="str">
        <f>LOOKUP(2,1/(E$148:E179&lt;&gt;""),E$148:E179)</f>
        <v>转</v>
      </c>
      <c r="H179" s="55" t="s">
        <v>302</v>
      </c>
      <c r="I179" s="139">
        <f t="shared" ca="1" si="5"/>
        <v>4103</v>
      </c>
      <c r="J179" s="125" t="s">
        <v>52</v>
      </c>
      <c r="K179" s="56"/>
      <c r="L179" s="56"/>
    </row>
    <row r="180" spans="1:12" s="140" customFormat="1" ht="15" thickBot="1">
      <c r="A180" s="16">
        <v>11</v>
      </c>
      <c r="B180" s="133">
        <v>31</v>
      </c>
      <c r="C180" s="134">
        <f t="shared" ca="1" si="6"/>
        <v>28</v>
      </c>
      <c r="D180" s="133"/>
      <c r="E180" s="135" t="s">
        <v>26</v>
      </c>
      <c r="F180" s="136">
        <f>COUNTIF(E$148:E180,LOOKUP(2,1/(E$148:E180&lt;&gt;""),E$148:E180))</f>
        <v>29</v>
      </c>
      <c r="G180" s="137" t="str">
        <f>LOOKUP(2,1/(E$148:E180&lt;&gt;""),E$148:E180)</f>
        <v>转</v>
      </c>
      <c r="H180" s="55" t="s">
        <v>302</v>
      </c>
      <c r="I180" s="139">
        <f t="shared" ca="1" si="5"/>
        <v>680101</v>
      </c>
      <c r="J180" s="125" t="s">
        <v>259</v>
      </c>
      <c r="K180" s="56"/>
      <c r="L180" s="56"/>
    </row>
    <row r="181" spans="1:12" s="140" customFormat="1" ht="15" thickBot="1">
      <c r="A181" s="16">
        <v>11</v>
      </c>
      <c r="B181" s="133">
        <v>31</v>
      </c>
      <c r="C181" s="134">
        <f t="shared" ca="1" si="6"/>
        <v>29</v>
      </c>
      <c r="D181" s="133"/>
      <c r="E181" s="135" t="s">
        <v>26</v>
      </c>
      <c r="F181" s="136">
        <f>COUNTIF(E$148:E181,LOOKUP(2,1/(E$148:E181&lt;&gt;""),E$148:E181))</f>
        <v>30</v>
      </c>
      <c r="G181" s="137" t="str">
        <f>LOOKUP(2,1/(E$148:E181&lt;&gt;""),E$148:E181)</f>
        <v>转</v>
      </c>
      <c r="H181" s="55" t="s">
        <v>302</v>
      </c>
      <c r="I181" s="139">
        <f t="shared" ca="1" si="5"/>
        <v>4103</v>
      </c>
      <c r="J181" s="125" t="s">
        <v>52</v>
      </c>
      <c r="K181" s="56"/>
      <c r="L181" s="56"/>
    </row>
    <row r="182" spans="1:12" s="140" customFormat="1" ht="15" thickBot="1">
      <c r="A182" s="16">
        <v>11</v>
      </c>
      <c r="B182" s="133">
        <v>31</v>
      </c>
      <c r="C182" s="134">
        <f t="shared" ca="1" si="6"/>
        <v>30</v>
      </c>
      <c r="D182" s="133"/>
      <c r="E182" s="135" t="s">
        <v>26</v>
      </c>
      <c r="F182" s="136">
        <f>COUNTIF(E$148:E182,LOOKUP(2,1/(E$148:E182&lt;&gt;""),E$148:E182))</f>
        <v>31</v>
      </c>
      <c r="G182" s="137" t="str">
        <f>LOOKUP(2,1/(E$148:E182&lt;&gt;""),E$148:E182)</f>
        <v>转</v>
      </c>
      <c r="H182" s="55" t="s">
        <v>302</v>
      </c>
      <c r="I182" s="139">
        <f t="shared" ca="1" si="5"/>
        <v>66020101</v>
      </c>
      <c r="J182" s="125" t="s">
        <v>441</v>
      </c>
      <c r="K182" s="56"/>
      <c r="L182" s="56"/>
    </row>
    <row r="183" spans="1:12" s="140" customFormat="1" ht="15" thickBot="1">
      <c r="A183" s="16">
        <v>11</v>
      </c>
      <c r="B183" s="133">
        <v>31</v>
      </c>
      <c r="C183" s="134">
        <f t="shared" ca="1" si="6"/>
        <v>31</v>
      </c>
      <c r="D183" s="133"/>
      <c r="E183" s="135" t="s">
        <v>26</v>
      </c>
      <c r="F183" s="136">
        <f>COUNTIF(E$148:E183,LOOKUP(2,1/(E$148:E183&lt;&gt;""),E$148:E183))</f>
        <v>32</v>
      </c>
      <c r="G183" s="137" t="str">
        <f>LOOKUP(2,1/(E$148:E183&lt;&gt;""),E$148:E183)</f>
        <v>转</v>
      </c>
      <c r="H183" s="55" t="s">
        <v>302</v>
      </c>
      <c r="I183" s="139">
        <f t="shared" ca="1" si="5"/>
        <v>660202</v>
      </c>
      <c r="J183" s="125" t="s">
        <v>49</v>
      </c>
      <c r="K183" s="56"/>
      <c r="L183" s="56"/>
    </row>
    <row r="184" spans="1:12" s="140" customFormat="1" ht="15" thickBot="1">
      <c r="A184" s="16">
        <v>11</v>
      </c>
      <c r="B184" s="133">
        <v>31</v>
      </c>
      <c r="C184" s="134">
        <f t="shared" ca="1" si="6"/>
        <v>32</v>
      </c>
      <c r="D184" s="133"/>
      <c r="E184" s="135" t="s">
        <v>26</v>
      </c>
      <c r="F184" s="136">
        <f>COUNTIF(E$148:E184,LOOKUP(2,1/(E$148:E184&lt;&gt;""),E$148:E184))</f>
        <v>33</v>
      </c>
      <c r="G184" s="137" t="str">
        <f>LOOKUP(2,1/(E$148:E184&lt;&gt;""),E$148:E184)</f>
        <v>转</v>
      </c>
      <c r="H184" s="55" t="s">
        <v>302</v>
      </c>
      <c r="I184" s="139">
        <f t="shared" ca="1" si="5"/>
        <v>660202</v>
      </c>
      <c r="J184" s="125" t="s">
        <v>49</v>
      </c>
      <c r="K184" s="56"/>
      <c r="L184" s="56"/>
    </row>
    <row r="185" spans="1:12" s="140" customFormat="1" ht="15" thickBot="1">
      <c r="A185" s="16">
        <v>11</v>
      </c>
      <c r="B185" s="133">
        <v>31</v>
      </c>
      <c r="C185" s="134">
        <f t="shared" ca="1" si="6"/>
        <v>33</v>
      </c>
      <c r="D185" s="133"/>
      <c r="E185" s="135" t="s">
        <v>26</v>
      </c>
      <c r="F185" s="136">
        <f>COUNTIF(E$148:E185,LOOKUP(2,1/(E$148:E185&lt;&gt;""),E$148:E185))</f>
        <v>34</v>
      </c>
      <c r="G185" s="137" t="str">
        <f>LOOKUP(2,1/(E$148:E185&lt;&gt;""),E$148:E185)</f>
        <v>转</v>
      </c>
      <c r="H185" s="55" t="s">
        <v>302</v>
      </c>
      <c r="I185" s="139">
        <f t="shared" ca="1" si="5"/>
        <v>660225</v>
      </c>
      <c r="J185" s="125" t="s">
        <v>435</v>
      </c>
      <c r="K185" s="56"/>
      <c r="L185" s="56"/>
    </row>
    <row r="186" spans="1:12" s="140" customFormat="1" ht="15" thickBot="1">
      <c r="A186" s="16">
        <v>11</v>
      </c>
      <c r="B186" s="133">
        <v>31</v>
      </c>
      <c r="C186" s="134">
        <f t="shared" ca="1" si="6"/>
        <v>34</v>
      </c>
      <c r="D186" s="133"/>
      <c r="E186" s="135" t="s">
        <v>26</v>
      </c>
      <c r="F186" s="136">
        <f>COUNTIF(E$148:E186,LOOKUP(2,1/(E$148:E186&lt;&gt;""),E$148:E186))</f>
        <v>35</v>
      </c>
      <c r="G186" s="137" t="str">
        <f>LOOKUP(2,1/(E$148:E186&lt;&gt;""),E$148:E186)</f>
        <v>转</v>
      </c>
      <c r="H186" s="55" t="s">
        <v>302</v>
      </c>
      <c r="I186" s="139">
        <f t="shared" ca="1" si="5"/>
        <v>660215</v>
      </c>
      <c r="J186" s="125" t="s">
        <v>261</v>
      </c>
      <c r="K186" s="56"/>
      <c r="L186" s="56"/>
    </row>
    <row r="187" spans="1:12" s="140" customFormat="1" ht="15" thickBot="1">
      <c r="A187" s="16">
        <v>11</v>
      </c>
      <c r="B187" s="133">
        <v>31</v>
      </c>
      <c r="C187" s="134">
        <f t="shared" ca="1" si="6"/>
        <v>35</v>
      </c>
      <c r="D187" s="133"/>
      <c r="E187" s="135" t="s">
        <v>26</v>
      </c>
      <c r="F187" s="136">
        <f>COUNTIF(E$148:E187,LOOKUP(2,1/(E$148:E187&lt;&gt;""),E$148:E187))</f>
        <v>36</v>
      </c>
      <c r="G187" s="137" t="str">
        <f>LOOKUP(2,1/(E$148:E187&lt;&gt;""),E$148:E187)</f>
        <v>转</v>
      </c>
      <c r="H187" s="55" t="s">
        <v>302</v>
      </c>
      <c r="I187" s="139">
        <f t="shared" ca="1" si="5"/>
        <v>660215</v>
      </c>
      <c r="J187" s="125" t="s">
        <v>261</v>
      </c>
      <c r="K187" s="56"/>
      <c r="L187" s="56"/>
    </row>
    <row r="188" spans="1:12" s="140" customFormat="1" ht="15" thickBot="1">
      <c r="A188" s="16">
        <v>11</v>
      </c>
      <c r="B188" s="133">
        <v>31</v>
      </c>
      <c r="C188" s="134">
        <f t="shared" ca="1" si="6"/>
        <v>36</v>
      </c>
      <c r="D188" s="133"/>
      <c r="E188" s="135" t="s">
        <v>26</v>
      </c>
      <c r="F188" s="136">
        <f>COUNTIF(E$148:E188,LOOKUP(2,1/(E$148:E188&lt;&gt;""),E$148:E188))</f>
        <v>37</v>
      </c>
      <c r="G188" s="137" t="str">
        <f>LOOKUP(2,1/(E$148:E188&lt;&gt;""),E$148:E188)</f>
        <v>转</v>
      </c>
      <c r="H188" s="55" t="s">
        <v>302</v>
      </c>
      <c r="I188" s="139">
        <f t="shared" ca="1" si="5"/>
        <v>66022401</v>
      </c>
      <c r="J188" s="125" t="s">
        <v>432</v>
      </c>
      <c r="K188" s="56"/>
      <c r="L188" s="56"/>
    </row>
    <row r="189" spans="1:12" ht="15" thickBot="1">
      <c r="A189" s="16">
        <v>11</v>
      </c>
      <c r="B189" s="145">
        <v>31</v>
      </c>
    </row>
  </sheetData>
  <autoFilter ref="A4:L1438"/>
  <mergeCells count="2">
    <mergeCell ref="M2:N2"/>
    <mergeCell ref="A2:B3"/>
  </mergeCells>
  <phoneticPr fontId="2" type="noConversion"/>
  <dataValidations count="2">
    <dataValidation type="list" allowBlank="1" showInputMessage="1" showErrorMessage="1" sqref="J5:J188">
      <formula1>账户查询</formula1>
    </dataValidation>
    <dataValidation type="list" allowBlank="1" showInputMessage="1" showErrorMessage="1" sqref="E22:E188 E5:E20">
      <formula1>"现收,现付,银收,银付,转"</formula1>
    </dataValidation>
  </dataValidations>
  <pageMargins left="0.75" right="0.75" top="1" bottom="1" header="0.5" footer="0.5"/>
  <pageSetup paperSize="9" orientation="landscape" horizontalDpi="300" verticalDpi="300" r:id="rId1"/>
  <headerFooter alignWithMargins="0"/>
  <ignoredErrors>
    <ignoredError sqref="C189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3"/>
  <sheetViews>
    <sheetView workbookViewId="0">
      <pane xSplit="2" ySplit="4" topLeftCell="C5" activePane="bottomRight" state="frozen"/>
      <selection pane="topRight" activeCell="C1" sqref="C1"/>
      <selection pane="bottomLeft" activeCell="A6" sqref="A6"/>
      <selection pane="bottomRight" activeCell="G8" sqref="G8"/>
    </sheetView>
  </sheetViews>
  <sheetFormatPr defaultRowHeight="14.25"/>
  <cols>
    <col min="1" max="1" width="10.875" style="24" customWidth="1"/>
    <col min="2" max="2" width="33.875" style="24" customWidth="1"/>
    <col min="3" max="3" width="13.125" style="24" customWidth="1"/>
    <col min="4" max="6" width="15.875" style="24" customWidth="1"/>
    <col min="7" max="8" width="16.625" style="24" customWidth="1"/>
    <col min="9" max="9" width="15.875" style="24" customWidth="1"/>
    <col min="10" max="10" width="15" style="24" bestFit="1" customWidth="1"/>
    <col min="11" max="11" width="13.875" style="24" bestFit="1" customWidth="1"/>
    <col min="12" max="16384" width="9" style="24"/>
  </cols>
  <sheetData>
    <row r="1" spans="1:9" ht="28.5" customHeight="1">
      <c r="A1" s="38" t="str">
        <f>HYPERLINK("#目录!C3","返回")</f>
        <v>返回</v>
      </c>
      <c r="B1" s="48" t="s">
        <v>562</v>
      </c>
      <c r="C1" s="48"/>
      <c r="D1" s="48"/>
      <c r="E1" s="48"/>
      <c r="F1" s="48"/>
      <c r="G1" s="48"/>
      <c r="H1" s="48"/>
      <c r="I1" s="225">
        <f>MONTH(资产负债表!$E3)</f>
        <v>12</v>
      </c>
    </row>
    <row r="2" spans="1:9" ht="18.75" customHeight="1">
      <c r="B2" s="49" t="str">
        <f>TEXT(DATE(资产负债表!$J1,1,1),"e年m月d日至")&amp;TEXT(DATE(资产负债表!$J1,资产负债表!$L1+1,0),"e年m月d日")</f>
        <v>2013年1月1日至2013年12月31日</v>
      </c>
      <c r="C2" s="49"/>
      <c r="D2" s="49"/>
      <c r="E2" s="49"/>
      <c r="F2" s="49"/>
      <c r="G2" s="49"/>
      <c r="H2" s="49"/>
      <c r="I2" s="62"/>
    </row>
    <row r="3" spans="1:9" ht="14.25" customHeight="1">
      <c r="A3" s="506" t="s">
        <v>563</v>
      </c>
      <c r="B3" s="508" t="s">
        <v>564</v>
      </c>
      <c r="C3" s="509" t="s">
        <v>565</v>
      </c>
      <c r="D3" s="508" t="s">
        <v>566</v>
      </c>
      <c r="E3" s="68" t="s">
        <v>567</v>
      </c>
      <c r="F3" s="68"/>
      <c r="G3" s="68" t="s">
        <v>568</v>
      </c>
      <c r="H3" s="68"/>
      <c r="I3" s="508" t="s">
        <v>569</v>
      </c>
    </row>
    <row r="4" spans="1:9" ht="14.25" customHeight="1">
      <c r="A4" s="507"/>
      <c r="B4" s="508"/>
      <c r="C4" s="508"/>
      <c r="D4" s="508"/>
      <c r="E4" s="213" t="s">
        <v>570</v>
      </c>
      <c r="F4" s="213" t="s">
        <v>571</v>
      </c>
      <c r="G4" s="213" t="s">
        <v>572</v>
      </c>
      <c r="H4" s="213" t="s">
        <v>62</v>
      </c>
      <c r="I4" s="508"/>
    </row>
    <row r="5" spans="1:9" customFormat="1">
      <c r="A5">
        <f>会计科目表!A5</f>
        <v>1001</v>
      </c>
      <c r="B5" t="str">
        <f t="shared" ref="B5:B68" ca="1" si="0">INDEX(账户查询,MATCH($A5,科目代码,))</f>
        <v>库存现金</v>
      </c>
      <c r="C5" s="41">
        <f t="shared" ref="C5:C68" ca="1" si="1">INDEX(OFFSET(科目代码,,3),MATCH($A5,科目代码,))</f>
        <v>1</v>
      </c>
      <c r="D5" s="25">
        <f t="shared" ref="D5:D68" ca="1" si="2">INDEX(OFFSET(科目代码,,5,,2),MATCH($A5,科目代码,),2-(LEFT($A5,4)*1&lt;2001))</f>
        <v>134153.13</v>
      </c>
      <c r="E5" s="27">
        <f ca="1">SUMPRODUCT((科目编号=$A5)*(记账月份=$I$1),借方金额)</f>
        <v>0</v>
      </c>
      <c r="F5" s="27">
        <f ca="1">SUMPRODUCT((科目编号=$A5)*(记账月份=$I$1),贷方金额)</f>
        <v>0</v>
      </c>
      <c r="G5" s="27">
        <f ca="1">SUMPRODUCT((科目编号=$A5)*(记账月份&lt;=$I$1),借方金额)</f>
        <v>0</v>
      </c>
      <c r="H5" s="27">
        <f ca="1">SUMPRODUCT((科目编号=$A5)*(记账月份&lt;=$I$1),贷方金额)</f>
        <v>4000</v>
      </c>
      <c r="I5" s="27">
        <f t="shared" ref="I5:I68" ca="1" si="3">D5+G5-H5</f>
        <v>130153.13</v>
      </c>
    </row>
    <row r="6" spans="1:9" customFormat="1">
      <c r="A6">
        <f>会计科目表!A6</f>
        <v>1002</v>
      </c>
      <c r="B6" t="str">
        <f t="shared" ca="1" si="0"/>
        <v>银行存款</v>
      </c>
      <c r="C6" s="41">
        <f t="shared" ca="1" si="1"/>
        <v>1</v>
      </c>
      <c r="D6" s="25">
        <f t="shared" ca="1" si="2"/>
        <v>6895.07</v>
      </c>
      <c r="E6" s="27">
        <f ca="1">SUMIF($C7:$C10,"=2",E7:E10)</f>
        <v>0</v>
      </c>
      <c r="F6" s="27">
        <f t="shared" ref="F6:H6" ca="1" si="4">SUMIF($C7:$C10,"=2",F7:F10)</f>
        <v>0</v>
      </c>
      <c r="G6" s="27">
        <f t="shared" ca="1" si="4"/>
        <v>4299.72</v>
      </c>
      <c r="H6" s="27">
        <f t="shared" ca="1" si="4"/>
        <v>6599.3</v>
      </c>
      <c r="I6" s="25">
        <f t="shared" ca="1" si="3"/>
        <v>4595.49</v>
      </c>
    </row>
    <row r="7" spans="1:9" customFormat="1">
      <c r="A7">
        <f>会计科目表!A7</f>
        <v>100201</v>
      </c>
      <c r="B7" t="str">
        <f t="shared" ca="1" si="0"/>
        <v>银行存款_农业银行</v>
      </c>
      <c r="C7" s="21">
        <f t="shared" ca="1" si="1"/>
        <v>2</v>
      </c>
      <c r="D7" s="28">
        <f t="shared" ca="1" si="2"/>
        <v>6895.07</v>
      </c>
      <c r="E7" s="130">
        <f ca="1">SUMIF($C8:$C8,"=3",E8:E8)</f>
        <v>0</v>
      </c>
      <c r="F7" s="130">
        <f t="shared" ref="F7:H7" ca="1" si="5">SUMIF($C8:$C8,"=3",F8:F8)</f>
        <v>0</v>
      </c>
      <c r="G7" s="130">
        <f t="shared" ca="1" si="5"/>
        <v>4299.72</v>
      </c>
      <c r="H7" s="130">
        <f t="shared" ca="1" si="5"/>
        <v>6599.3</v>
      </c>
      <c r="I7" s="131">
        <f t="shared" ca="1" si="3"/>
        <v>4595.49</v>
      </c>
    </row>
    <row r="8" spans="1:9" customFormat="1">
      <c r="A8">
        <f>会计科目表!A8</f>
        <v>10020101</v>
      </c>
      <c r="B8" t="str">
        <f t="shared" ca="1" si="0"/>
        <v>银行存款_农业银行_人民支行</v>
      </c>
      <c r="C8" s="21">
        <f t="shared" ca="1" si="1"/>
        <v>3</v>
      </c>
      <c r="D8" s="28">
        <f t="shared" ca="1" si="2"/>
        <v>6895.07</v>
      </c>
      <c r="E8" s="130">
        <f ca="1">SUMPRODUCT((科目编号=$A8)*(记账月份=$I$1),借方金额)</f>
        <v>0</v>
      </c>
      <c r="F8" s="130">
        <f ca="1">SUMPRODUCT((科目编号=$A8)*(记账月份=$I$1),贷方金额)</f>
        <v>0</v>
      </c>
      <c r="G8" s="130">
        <f ca="1">SUMPRODUCT((科目编号=$A8)*(记账月份&lt;=$I$1),借方金额)</f>
        <v>4299.72</v>
      </c>
      <c r="H8" s="131">
        <f ca="1">SUMPRODUCT((科目编号=$A8)*(记账月份&lt;=$I$1),贷方金额)</f>
        <v>6599.3</v>
      </c>
      <c r="I8" s="131">
        <f t="shared" ca="1" si="3"/>
        <v>4595.49</v>
      </c>
    </row>
    <row r="9" spans="1:9" customFormat="1">
      <c r="A9">
        <f>会计科目表!A9</f>
        <v>100202</v>
      </c>
      <c r="B9" t="str">
        <f t="shared" ca="1" si="0"/>
        <v>银行存款_建设银行</v>
      </c>
      <c r="C9" s="21">
        <f t="shared" ca="1" si="1"/>
        <v>2</v>
      </c>
      <c r="D9" s="28">
        <f t="shared" ca="1" si="2"/>
        <v>0</v>
      </c>
      <c r="E9" s="130">
        <f t="shared" ref="E9:H10" ca="1" si="6">SUMIF($C10:$C10,"=3",E10:E10)</f>
        <v>0</v>
      </c>
      <c r="F9" s="130">
        <f t="shared" ca="1" si="6"/>
        <v>0</v>
      </c>
      <c r="G9" s="130">
        <f t="shared" ca="1" si="6"/>
        <v>0</v>
      </c>
      <c r="H9" s="130">
        <f t="shared" ca="1" si="6"/>
        <v>0</v>
      </c>
      <c r="I9" s="131">
        <f t="shared" ca="1" si="3"/>
        <v>0</v>
      </c>
    </row>
    <row r="10" spans="1:9" customFormat="1">
      <c r="A10">
        <f>会计科目表!A10</f>
        <v>100203</v>
      </c>
      <c r="B10" t="str">
        <f t="shared" ca="1" si="0"/>
        <v>银行存款_工商银行</v>
      </c>
      <c r="C10" s="21">
        <f t="shared" ca="1" si="1"/>
        <v>2</v>
      </c>
      <c r="D10" s="28">
        <f t="shared" ca="1" si="2"/>
        <v>0</v>
      </c>
      <c r="E10" s="130">
        <f t="shared" ca="1" si="6"/>
        <v>0</v>
      </c>
      <c r="F10" s="130">
        <f t="shared" ca="1" si="6"/>
        <v>0</v>
      </c>
      <c r="G10" s="130">
        <f t="shared" ca="1" si="6"/>
        <v>0</v>
      </c>
      <c r="H10" s="130">
        <f t="shared" ca="1" si="6"/>
        <v>0</v>
      </c>
      <c r="I10" s="131">
        <f t="shared" ca="1" si="3"/>
        <v>0</v>
      </c>
    </row>
    <row r="11" spans="1:9" customFormat="1">
      <c r="A11">
        <f>会计科目表!A11</f>
        <v>1012</v>
      </c>
      <c r="B11" t="str">
        <f t="shared" ca="1" si="0"/>
        <v>其他货币资金</v>
      </c>
      <c r="C11" s="41">
        <f t="shared" ca="1" si="1"/>
        <v>1</v>
      </c>
      <c r="D11" s="25">
        <f t="shared" ca="1" si="2"/>
        <v>0</v>
      </c>
      <c r="E11" s="25">
        <f ca="1">SUMPRODUCT((科目编号=$A11)*(记账月份=$I$1),借方金额)</f>
        <v>0</v>
      </c>
      <c r="F11" s="25">
        <f ca="1">SUMPRODUCT((科目编号=$A11)*(记账月份=$I$1),贷方金额)</f>
        <v>0</v>
      </c>
      <c r="G11" s="25">
        <f ca="1">SUMPRODUCT((科目编号=$A11)*(记账月份&lt;=$I$1),借方金额)</f>
        <v>0</v>
      </c>
      <c r="H11" s="25">
        <f ca="1">SUMPRODUCT((科目编号=$A11)*(记账月份&lt;=$I$1),贷方金额)</f>
        <v>0</v>
      </c>
      <c r="I11" s="25">
        <f t="shared" ca="1" si="3"/>
        <v>0</v>
      </c>
    </row>
    <row r="12" spans="1:9" customFormat="1">
      <c r="A12">
        <f>会计科目表!A12</f>
        <v>1101</v>
      </c>
      <c r="B12" t="str">
        <f t="shared" ca="1" si="0"/>
        <v>交易性金融资产</v>
      </c>
      <c r="C12" s="41">
        <f t="shared" ca="1" si="1"/>
        <v>1</v>
      </c>
      <c r="D12" s="25">
        <f t="shared" ca="1" si="2"/>
        <v>0</v>
      </c>
      <c r="E12" s="25">
        <f ca="1">SUMIF($C13:$C14,"=2",E13:E14)</f>
        <v>0</v>
      </c>
      <c r="F12" s="25">
        <f t="shared" ref="F12:H12" ca="1" si="7">SUMIF($C13:$C14,"=2",F13:F14)</f>
        <v>0</v>
      </c>
      <c r="G12" s="25">
        <f t="shared" ca="1" si="7"/>
        <v>0</v>
      </c>
      <c r="H12" s="25">
        <f t="shared" ca="1" si="7"/>
        <v>0</v>
      </c>
      <c r="I12" s="25">
        <f t="shared" ca="1" si="3"/>
        <v>0</v>
      </c>
    </row>
    <row r="13" spans="1:9" customFormat="1">
      <c r="A13">
        <f>会计科目表!A13</f>
        <v>110101</v>
      </c>
      <c r="B13" t="str">
        <f t="shared" ca="1" si="0"/>
        <v>交易性金融资产_成本</v>
      </c>
      <c r="C13" s="21">
        <f t="shared" ca="1" si="1"/>
        <v>2</v>
      </c>
      <c r="D13" s="19">
        <f t="shared" ca="1" si="2"/>
        <v>0</v>
      </c>
      <c r="E13" s="19">
        <f ca="1">SUMPRODUCT((科目编号=$A13)*(记账月份=$I$1),借方金额)</f>
        <v>0</v>
      </c>
      <c r="F13" s="19">
        <f ca="1">SUMPRODUCT((科目编号=$A13)*(记账月份=$I$1),贷方金额)</f>
        <v>0</v>
      </c>
      <c r="G13" s="130">
        <f ca="1">SUMPRODUCT((科目编号=$A13)*(记账月份&lt;=$I$1),借方金额)</f>
        <v>0</v>
      </c>
      <c r="H13" s="131">
        <f ca="1">SUMPRODUCT((科目编号=$A13)*(记账月份&lt;=$I$1),贷方金额)</f>
        <v>0</v>
      </c>
      <c r="I13" s="19">
        <f t="shared" ca="1" si="3"/>
        <v>0</v>
      </c>
    </row>
    <row r="14" spans="1:9" customFormat="1">
      <c r="A14">
        <f>会计科目表!A14</f>
        <v>110102</v>
      </c>
      <c r="B14" t="str">
        <f t="shared" ca="1" si="0"/>
        <v>交易性金融资产_公允价值变动</v>
      </c>
      <c r="C14" s="21">
        <f t="shared" ca="1" si="1"/>
        <v>2</v>
      </c>
      <c r="D14" s="19">
        <f t="shared" ca="1" si="2"/>
        <v>0</v>
      </c>
      <c r="E14" s="19">
        <f ca="1">SUMPRODUCT((科目编号=$A14)*(记账月份=$I$1),借方金额)</f>
        <v>0</v>
      </c>
      <c r="F14" s="19">
        <f ca="1">SUMPRODUCT((科目编号=$A14)*(记账月份=$I$1),贷方金额)</f>
        <v>0</v>
      </c>
      <c r="G14" s="130">
        <f ca="1">SUMPRODUCT((科目编号=$A14)*(记账月份&lt;=$I$1),借方金额)</f>
        <v>0</v>
      </c>
      <c r="H14" s="131">
        <f ca="1">SUMPRODUCT((科目编号=$A14)*(记账月份&lt;=$I$1),贷方金额)</f>
        <v>0</v>
      </c>
      <c r="I14" s="19">
        <f t="shared" ca="1" si="3"/>
        <v>0</v>
      </c>
    </row>
    <row r="15" spans="1:9" customFormat="1">
      <c r="A15">
        <f>会计科目表!A15</f>
        <v>1121</v>
      </c>
      <c r="B15" t="str">
        <f t="shared" ca="1" si="0"/>
        <v>应收票据</v>
      </c>
      <c r="C15" s="41">
        <f t="shared" ca="1" si="1"/>
        <v>1</v>
      </c>
      <c r="D15" s="25">
        <f t="shared" ca="1" si="2"/>
        <v>0</v>
      </c>
      <c r="E15" s="25">
        <f ca="1">SUMPRODUCT((科目编号=$A15)*(记账月份=$I$1),借方金额)</f>
        <v>0</v>
      </c>
      <c r="F15" s="25">
        <f ca="1">SUMPRODUCT((科目编号=$A15)*(记账月份=$I$1),贷方金额)</f>
        <v>0</v>
      </c>
      <c r="G15" s="25">
        <f ca="1">SUMPRODUCT((科目编号=$A15)*(记账月份&lt;=$I$1),借方金额)</f>
        <v>0</v>
      </c>
      <c r="H15" s="25">
        <f ca="1">SUMPRODUCT((科目编号=$A15)*(记账月份&lt;=$I$1),贷方金额)</f>
        <v>0</v>
      </c>
      <c r="I15" s="25">
        <f t="shared" ca="1" si="3"/>
        <v>0</v>
      </c>
    </row>
    <row r="16" spans="1:9" customFormat="1">
      <c r="A16">
        <f>会计科目表!A16</f>
        <v>1122</v>
      </c>
      <c r="B16" t="str">
        <f t="shared" ca="1" si="0"/>
        <v>应收账款</v>
      </c>
      <c r="C16" s="41">
        <f t="shared" ca="1" si="1"/>
        <v>1</v>
      </c>
      <c r="D16" s="25">
        <f t="shared" ca="1" si="2"/>
        <v>7630360.1699999999</v>
      </c>
      <c r="E16" s="25">
        <f ca="1">SUMIF($C17:$C36,"=2",E17:E36)</f>
        <v>0</v>
      </c>
      <c r="F16" s="25">
        <f ca="1">SUMIF($C17:$C36,"=2",F17:F36)</f>
        <v>0</v>
      </c>
      <c r="G16" s="25">
        <f ca="1">SUMIF($C17:$C36,"=2",G17:G36)</f>
        <v>0</v>
      </c>
      <c r="H16" s="25">
        <f ca="1">SUMIF($C17:$C36,"=2",H17:H36)</f>
        <v>0</v>
      </c>
      <c r="I16" s="25">
        <f t="shared" ca="1" si="3"/>
        <v>7630360.1699999999</v>
      </c>
    </row>
    <row r="17" spans="1:9" customFormat="1">
      <c r="A17">
        <f>会计科目表!A17</f>
        <v>112201</v>
      </c>
      <c r="B17" t="str">
        <f t="shared" ca="1" si="0"/>
        <v>应收账款_购房款</v>
      </c>
      <c r="C17" s="21">
        <f t="shared" ca="1" si="1"/>
        <v>2</v>
      </c>
      <c r="D17" s="19">
        <f t="shared" ca="1" si="2"/>
        <v>7630360.1699999999</v>
      </c>
      <c r="E17" s="19">
        <f ca="1">SUMIF($C18:$C27,"=3",E18:E27)</f>
        <v>0</v>
      </c>
      <c r="F17" s="19">
        <f ca="1">SUMIF($C18:$C27,"=3",F18:F27)</f>
        <v>0</v>
      </c>
      <c r="G17" s="19">
        <f ca="1">SUMIF($C18:$C27,"=3",G18:G27)</f>
        <v>0</v>
      </c>
      <c r="H17" s="19">
        <f ca="1">SUMIF($C18:$C27,"=3",H18:H27)</f>
        <v>0</v>
      </c>
      <c r="I17" s="19">
        <f t="shared" ca="1" si="3"/>
        <v>7630360.1699999999</v>
      </c>
    </row>
    <row r="18" spans="1:9" customFormat="1">
      <c r="A18">
        <f>会计科目表!A18</f>
        <v>11220101</v>
      </c>
      <c r="B18" t="str">
        <f t="shared" ca="1" si="0"/>
        <v>应收账款_购房款_中国股份有限公司</v>
      </c>
      <c r="C18" s="21">
        <f t="shared" ca="1" si="1"/>
        <v>3</v>
      </c>
      <c r="D18" s="19">
        <f t="shared" ca="1" si="2"/>
        <v>3262155.25</v>
      </c>
      <c r="E18" s="19">
        <f t="shared" ref="E18:E27" ca="1" si="8">SUMPRODUCT((科目编号=$A18)*(记账月份=$I$1),借方金额)</f>
        <v>0</v>
      </c>
      <c r="F18" s="19">
        <f t="shared" ref="F18:F27" ca="1" si="9">SUMPRODUCT((科目编号=$A18)*(记账月份=$I$1),贷方金额)</f>
        <v>0</v>
      </c>
      <c r="G18" s="19">
        <f t="shared" ref="G18:G27" ca="1" si="10">SUMPRODUCT((科目编号=$A18)*(记账月份&lt;=$I$1),借方金额)</f>
        <v>0</v>
      </c>
      <c r="H18" s="19">
        <f t="shared" ref="H18:H27" ca="1" si="11">SUMPRODUCT((科目编号=$A18)*(记账月份&lt;=$I$1),贷方金额)</f>
        <v>0</v>
      </c>
      <c r="I18" s="19">
        <f t="shared" ca="1" si="3"/>
        <v>3262155.25</v>
      </c>
    </row>
    <row r="19" spans="1:9" customFormat="1">
      <c r="A19">
        <f>会计科目表!A19</f>
        <v>11220102</v>
      </c>
      <c r="B19" t="str">
        <f t="shared" ca="1" si="0"/>
        <v>应收账款_购房款_中国集团有限公司</v>
      </c>
      <c r="C19" s="21">
        <f t="shared" ca="1" si="1"/>
        <v>3</v>
      </c>
      <c r="D19" s="19">
        <f t="shared" ca="1" si="2"/>
        <v>1248688.52</v>
      </c>
      <c r="E19" s="19">
        <f t="shared" ca="1" si="8"/>
        <v>0</v>
      </c>
      <c r="F19" s="19">
        <f t="shared" ca="1" si="9"/>
        <v>0</v>
      </c>
      <c r="G19" s="19">
        <f t="shared" ca="1" si="10"/>
        <v>0</v>
      </c>
      <c r="H19" s="19">
        <f t="shared" ca="1" si="11"/>
        <v>0</v>
      </c>
      <c r="I19" s="19">
        <f t="shared" ca="1" si="3"/>
        <v>1248688.52</v>
      </c>
    </row>
    <row r="20" spans="1:9" customFormat="1">
      <c r="A20">
        <f>会计科目表!A20</f>
        <v>11220103</v>
      </c>
      <c r="B20" t="str">
        <f t="shared" ca="1" si="0"/>
        <v>应收账款_购房款_</v>
      </c>
      <c r="C20" s="21">
        <f t="shared" ca="1" si="1"/>
        <v>3</v>
      </c>
      <c r="D20" s="19">
        <f t="shared" ca="1" si="2"/>
        <v>500000</v>
      </c>
      <c r="E20" s="19">
        <f t="shared" ca="1" si="8"/>
        <v>0</v>
      </c>
      <c r="F20" s="19">
        <f t="shared" ca="1" si="9"/>
        <v>0</v>
      </c>
      <c r="G20" s="19">
        <f t="shared" ca="1" si="10"/>
        <v>0</v>
      </c>
      <c r="H20" s="19">
        <f t="shared" ca="1" si="11"/>
        <v>0</v>
      </c>
      <c r="I20" s="19">
        <f t="shared" ca="1" si="3"/>
        <v>500000</v>
      </c>
    </row>
    <row r="21" spans="1:9" customFormat="1">
      <c r="A21">
        <f>会计科目表!A21</f>
        <v>11220104</v>
      </c>
      <c r="B21" t="str">
        <f t="shared" ca="1" si="0"/>
        <v>应收账款_购房款_</v>
      </c>
      <c r="C21" s="21">
        <f t="shared" ca="1" si="1"/>
        <v>3</v>
      </c>
      <c r="D21" s="19">
        <f t="shared" ca="1" si="2"/>
        <v>184266.84</v>
      </c>
      <c r="E21" s="19">
        <f t="shared" ca="1" si="8"/>
        <v>0</v>
      </c>
      <c r="F21" s="19">
        <f t="shared" ca="1" si="9"/>
        <v>0</v>
      </c>
      <c r="G21" s="19">
        <f t="shared" ca="1" si="10"/>
        <v>0</v>
      </c>
      <c r="H21" s="19">
        <f t="shared" ca="1" si="11"/>
        <v>0</v>
      </c>
      <c r="I21" s="19">
        <f t="shared" ca="1" si="3"/>
        <v>184266.84</v>
      </c>
    </row>
    <row r="22" spans="1:9" customFormat="1">
      <c r="A22">
        <f>会计科目表!A22</f>
        <v>11220105</v>
      </c>
      <c r="B22" t="str">
        <f t="shared" ca="1" si="0"/>
        <v>应收账款_购房款_</v>
      </c>
      <c r="C22" s="21">
        <f t="shared" ca="1" si="1"/>
        <v>3</v>
      </c>
      <c r="D22" s="19">
        <f t="shared" ca="1" si="2"/>
        <v>248821.68</v>
      </c>
      <c r="E22" s="19">
        <f t="shared" ca="1" si="8"/>
        <v>0</v>
      </c>
      <c r="F22" s="19">
        <f t="shared" ca="1" si="9"/>
        <v>0</v>
      </c>
      <c r="G22" s="19">
        <f t="shared" ca="1" si="10"/>
        <v>0</v>
      </c>
      <c r="H22" s="19">
        <f t="shared" ca="1" si="11"/>
        <v>0</v>
      </c>
      <c r="I22" s="19">
        <f t="shared" ca="1" si="3"/>
        <v>248821.68</v>
      </c>
    </row>
    <row r="23" spans="1:9" customFormat="1">
      <c r="A23">
        <f>会计科目表!A23</f>
        <v>11220106</v>
      </c>
      <c r="B23" t="str">
        <f t="shared" ca="1" si="0"/>
        <v>应收账款_购房款_</v>
      </c>
      <c r="C23" s="21">
        <f t="shared" ca="1" si="1"/>
        <v>3</v>
      </c>
      <c r="D23" s="19">
        <f t="shared" ca="1" si="2"/>
        <v>887525.63</v>
      </c>
      <c r="E23" s="19">
        <f t="shared" ca="1" si="8"/>
        <v>0</v>
      </c>
      <c r="F23" s="19">
        <f t="shared" ca="1" si="9"/>
        <v>0</v>
      </c>
      <c r="G23" s="19">
        <f t="shared" ca="1" si="10"/>
        <v>0</v>
      </c>
      <c r="H23" s="19">
        <f t="shared" ca="1" si="11"/>
        <v>0</v>
      </c>
      <c r="I23" s="19">
        <f t="shared" ca="1" si="3"/>
        <v>887525.63</v>
      </c>
    </row>
    <row r="24" spans="1:9" customFormat="1">
      <c r="A24">
        <f>会计科目表!A24</f>
        <v>11220107</v>
      </c>
      <c r="B24" t="str">
        <f t="shared" ca="1" si="0"/>
        <v>应收账款_购房款_</v>
      </c>
      <c r="C24" s="21">
        <f t="shared" ca="1" si="1"/>
        <v>3</v>
      </c>
      <c r="D24" s="19">
        <f t="shared" ca="1" si="2"/>
        <v>643652.57999999996</v>
      </c>
      <c r="E24" s="19">
        <f t="shared" ca="1" si="8"/>
        <v>0</v>
      </c>
      <c r="F24" s="19">
        <f t="shared" ca="1" si="9"/>
        <v>0</v>
      </c>
      <c r="G24" s="19">
        <f t="shared" ca="1" si="10"/>
        <v>0</v>
      </c>
      <c r="H24" s="19">
        <f t="shared" ca="1" si="11"/>
        <v>0</v>
      </c>
      <c r="I24" s="19">
        <f t="shared" ca="1" si="3"/>
        <v>643652.57999999996</v>
      </c>
    </row>
    <row r="25" spans="1:9" customFormat="1">
      <c r="A25">
        <f>会计科目表!A25</f>
        <v>11220108</v>
      </c>
      <c r="B25" t="str">
        <f t="shared" ca="1" si="0"/>
        <v>应收账款_购房款_</v>
      </c>
      <c r="C25" s="21">
        <f t="shared" ca="1" si="1"/>
        <v>3</v>
      </c>
      <c r="D25" s="19">
        <f t="shared" ca="1" si="2"/>
        <v>655249.67000000004</v>
      </c>
      <c r="E25" s="19">
        <f t="shared" ca="1" si="8"/>
        <v>0</v>
      </c>
      <c r="F25" s="19">
        <f t="shared" ca="1" si="9"/>
        <v>0</v>
      </c>
      <c r="G25" s="19">
        <f t="shared" ca="1" si="10"/>
        <v>0</v>
      </c>
      <c r="H25" s="19">
        <f t="shared" ca="1" si="11"/>
        <v>0</v>
      </c>
      <c r="I25" s="19">
        <f t="shared" ca="1" si="3"/>
        <v>655249.67000000004</v>
      </c>
    </row>
    <row r="26" spans="1:9" customFormat="1">
      <c r="A26">
        <f>会计科目表!A26</f>
        <v>11220109</v>
      </c>
      <c r="B26" t="str">
        <f t="shared" ca="1" si="0"/>
        <v>应收账款_购房款_</v>
      </c>
      <c r="C26" s="21">
        <f t="shared" ca="1" si="1"/>
        <v>3</v>
      </c>
      <c r="D26" s="19">
        <f t="shared" ca="1" si="2"/>
        <v>0</v>
      </c>
      <c r="E26" s="19">
        <f t="shared" ca="1" si="8"/>
        <v>0</v>
      </c>
      <c r="F26" s="19">
        <f t="shared" ca="1" si="9"/>
        <v>0</v>
      </c>
      <c r="G26" s="19">
        <f t="shared" ca="1" si="10"/>
        <v>0</v>
      </c>
      <c r="H26" s="19">
        <f t="shared" ca="1" si="11"/>
        <v>0</v>
      </c>
      <c r="I26" s="19">
        <f t="shared" ca="1" si="3"/>
        <v>0</v>
      </c>
    </row>
    <row r="27" spans="1:9" customFormat="1">
      <c r="A27">
        <f>会计科目表!A27</f>
        <v>11220110</v>
      </c>
      <c r="B27" t="str">
        <f t="shared" ca="1" si="0"/>
        <v>应收账款_购房款_</v>
      </c>
      <c r="C27" s="21">
        <f t="shared" ca="1" si="1"/>
        <v>3</v>
      </c>
      <c r="D27" s="19">
        <f t="shared" ca="1" si="2"/>
        <v>0</v>
      </c>
      <c r="E27" s="19">
        <f t="shared" ca="1" si="8"/>
        <v>0</v>
      </c>
      <c r="F27" s="19">
        <f t="shared" ca="1" si="9"/>
        <v>0</v>
      </c>
      <c r="G27" s="19">
        <f t="shared" ca="1" si="10"/>
        <v>0</v>
      </c>
      <c r="H27" s="19">
        <f t="shared" ca="1" si="11"/>
        <v>0</v>
      </c>
      <c r="I27" s="19">
        <f t="shared" ca="1" si="3"/>
        <v>0</v>
      </c>
    </row>
    <row r="28" spans="1:9" customFormat="1">
      <c r="A28">
        <f>会计科目表!A28</f>
        <v>112202</v>
      </c>
      <c r="B28" t="str">
        <f t="shared" ca="1" si="0"/>
        <v>应收账款_工程款</v>
      </c>
      <c r="C28" s="21">
        <f t="shared" ca="1" si="1"/>
        <v>2</v>
      </c>
      <c r="D28" s="19">
        <f t="shared" ca="1" si="2"/>
        <v>0</v>
      </c>
      <c r="E28" s="19">
        <f ca="1">SUMIF($C29:$C33,"=3",E29:E33)</f>
        <v>0</v>
      </c>
      <c r="F28" s="19">
        <f t="shared" ref="F28:H28" ca="1" si="12">SUMIF($C29:$C33,"=3",F29:F33)</f>
        <v>0</v>
      </c>
      <c r="G28" s="19">
        <f t="shared" ca="1" si="12"/>
        <v>0</v>
      </c>
      <c r="H28" s="19">
        <f t="shared" ca="1" si="12"/>
        <v>0</v>
      </c>
      <c r="I28" s="19">
        <f t="shared" ca="1" si="3"/>
        <v>0</v>
      </c>
    </row>
    <row r="29" spans="1:9" customFormat="1">
      <c r="A29">
        <f>会计科目表!A29</f>
        <v>11220201</v>
      </c>
      <c r="B29" t="str">
        <f t="shared" ca="1" si="0"/>
        <v>应收账款_工程款_黄金总队</v>
      </c>
      <c r="C29" s="21">
        <f t="shared" ca="1" si="1"/>
        <v>3</v>
      </c>
      <c r="D29" s="19">
        <f t="shared" ca="1" si="2"/>
        <v>0</v>
      </c>
      <c r="E29" s="19">
        <f t="shared" ref="E29:E36" ca="1" si="13">SUMPRODUCT((科目编号=$A29)*(记账月份=$I$1),借方金额)</f>
        <v>0</v>
      </c>
      <c r="F29" s="19">
        <f t="shared" ref="F29:F36" ca="1" si="14">SUMPRODUCT((科目编号=$A29)*(记账月份=$I$1),贷方金额)</f>
        <v>0</v>
      </c>
      <c r="G29" s="19">
        <f t="shared" ref="G29:G36" ca="1" si="15">SUMPRODUCT((科目编号=$A29)*(记账月份&lt;=$I$1),借方金额)</f>
        <v>0</v>
      </c>
      <c r="H29" s="19">
        <f t="shared" ref="H29:H36" ca="1" si="16">SUMPRODUCT((科目编号=$A29)*(记账月份&lt;=$I$1),贷方金额)</f>
        <v>0</v>
      </c>
      <c r="I29" s="19">
        <f t="shared" ca="1" si="3"/>
        <v>0</v>
      </c>
    </row>
    <row r="30" spans="1:9" customFormat="1">
      <c r="A30">
        <f>会计科目表!A30</f>
        <v>11220202</v>
      </c>
      <c r="B30" t="str">
        <f t="shared" ca="1" si="0"/>
        <v>应收账款_工程款_汽车城</v>
      </c>
      <c r="C30" s="21">
        <f t="shared" ca="1" si="1"/>
        <v>3</v>
      </c>
      <c r="D30" s="19">
        <f t="shared" ca="1" si="2"/>
        <v>0</v>
      </c>
      <c r="E30" s="19">
        <f t="shared" ca="1" si="13"/>
        <v>0</v>
      </c>
      <c r="F30" s="19">
        <f t="shared" ca="1" si="14"/>
        <v>0</v>
      </c>
      <c r="G30" s="19">
        <f t="shared" ca="1" si="15"/>
        <v>0</v>
      </c>
      <c r="H30" s="19">
        <f t="shared" ca="1" si="16"/>
        <v>0</v>
      </c>
      <c r="I30" s="19">
        <f t="shared" ca="1" si="3"/>
        <v>0</v>
      </c>
    </row>
    <row r="31" spans="1:9" customFormat="1">
      <c r="A31">
        <f>会计科目表!A31</f>
        <v>11220203</v>
      </c>
      <c r="B31" t="str">
        <f t="shared" ca="1" si="0"/>
        <v>应收账款</v>
      </c>
      <c r="C31" s="21">
        <f t="shared" ca="1" si="1"/>
        <v>3</v>
      </c>
      <c r="D31" s="19">
        <f t="shared" ca="1" si="2"/>
        <v>0</v>
      </c>
      <c r="E31" s="19">
        <f t="shared" ca="1" si="13"/>
        <v>0</v>
      </c>
      <c r="F31" s="19">
        <f t="shared" ca="1" si="14"/>
        <v>0</v>
      </c>
      <c r="G31" s="19">
        <f t="shared" ca="1" si="15"/>
        <v>0</v>
      </c>
      <c r="H31" s="19">
        <f t="shared" ca="1" si="16"/>
        <v>0</v>
      </c>
      <c r="I31" s="19">
        <f t="shared" ca="1" si="3"/>
        <v>0</v>
      </c>
    </row>
    <row r="32" spans="1:9" customFormat="1">
      <c r="A32">
        <f>会计科目表!A32</f>
        <v>11220204</v>
      </c>
      <c r="B32" t="str">
        <f t="shared" ca="1" si="0"/>
        <v>应收账款</v>
      </c>
      <c r="C32" s="21">
        <f t="shared" ca="1" si="1"/>
        <v>3</v>
      </c>
      <c r="D32" s="19">
        <f t="shared" ca="1" si="2"/>
        <v>0</v>
      </c>
      <c r="E32" s="19">
        <f t="shared" ca="1" si="13"/>
        <v>0</v>
      </c>
      <c r="F32" s="19">
        <f t="shared" ca="1" si="14"/>
        <v>0</v>
      </c>
      <c r="G32" s="19">
        <f t="shared" ca="1" si="15"/>
        <v>0</v>
      </c>
      <c r="H32" s="19">
        <f t="shared" ca="1" si="16"/>
        <v>0</v>
      </c>
      <c r="I32" s="19">
        <f t="shared" ca="1" si="3"/>
        <v>0</v>
      </c>
    </row>
    <row r="33" spans="1:9" customFormat="1">
      <c r="A33">
        <f>会计科目表!A33</f>
        <v>11220205</v>
      </c>
      <c r="B33" t="str">
        <f t="shared" ca="1" si="0"/>
        <v>应收账款</v>
      </c>
      <c r="C33" s="21">
        <f t="shared" ca="1" si="1"/>
        <v>3</v>
      </c>
      <c r="D33" s="19">
        <f t="shared" ca="1" si="2"/>
        <v>0</v>
      </c>
      <c r="E33" s="19">
        <f t="shared" ca="1" si="13"/>
        <v>0</v>
      </c>
      <c r="F33" s="19">
        <f t="shared" ca="1" si="14"/>
        <v>0</v>
      </c>
      <c r="G33" s="19">
        <f t="shared" ca="1" si="15"/>
        <v>0</v>
      </c>
      <c r="H33" s="19">
        <f t="shared" ca="1" si="16"/>
        <v>0</v>
      </c>
      <c r="I33" s="19">
        <f t="shared" ca="1" si="3"/>
        <v>0</v>
      </c>
    </row>
    <row r="34" spans="1:9" customFormat="1" ht="14.25" customHeight="1">
      <c r="A34">
        <f>会计科目表!A34</f>
        <v>112203</v>
      </c>
      <c r="B34" t="str">
        <f t="shared" ca="1" si="0"/>
        <v>应收账款_劳务费</v>
      </c>
      <c r="C34" s="21">
        <f t="shared" ca="1" si="1"/>
        <v>2</v>
      </c>
      <c r="D34" s="19">
        <f t="shared" ca="1" si="2"/>
        <v>0</v>
      </c>
      <c r="E34" s="19">
        <f t="shared" ca="1" si="13"/>
        <v>0</v>
      </c>
      <c r="F34" s="19">
        <f t="shared" ca="1" si="14"/>
        <v>0</v>
      </c>
      <c r="G34" s="19">
        <f t="shared" ca="1" si="15"/>
        <v>0</v>
      </c>
      <c r="H34" s="19">
        <f t="shared" ca="1" si="16"/>
        <v>0</v>
      </c>
      <c r="I34" s="19">
        <f t="shared" ca="1" si="3"/>
        <v>0</v>
      </c>
    </row>
    <row r="35" spans="1:9" customFormat="1" ht="14.25" customHeight="1">
      <c r="A35">
        <f>会计科目表!A35</f>
        <v>112204</v>
      </c>
      <c r="B35" t="str">
        <f t="shared" ca="1" si="0"/>
        <v>应收账款_购货款</v>
      </c>
      <c r="C35" s="21">
        <f t="shared" ca="1" si="1"/>
        <v>2</v>
      </c>
      <c r="D35" s="19">
        <f t="shared" ca="1" si="2"/>
        <v>0</v>
      </c>
      <c r="E35" s="19">
        <f t="shared" ca="1" si="13"/>
        <v>0</v>
      </c>
      <c r="F35" s="19">
        <f t="shared" ca="1" si="14"/>
        <v>0</v>
      </c>
      <c r="G35" s="19">
        <f t="shared" ca="1" si="15"/>
        <v>0</v>
      </c>
      <c r="H35" s="19">
        <f t="shared" ca="1" si="16"/>
        <v>0</v>
      </c>
      <c r="I35" s="19">
        <f t="shared" ca="1" si="3"/>
        <v>0</v>
      </c>
    </row>
    <row r="36" spans="1:9" customFormat="1" ht="14.25" customHeight="1">
      <c r="A36">
        <f>会计科目表!A36</f>
        <v>112205</v>
      </c>
      <c r="B36" t="str">
        <f t="shared" ca="1" si="0"/>
        <v>应收账款_租金</v>
      </c>
      <c r="C36" s="21">
        <f t="shared" ca="1" si="1"/>
        <v>2</v>
      </c>
      <c r="D36" s="19">
        <f t="shared" ca="1" si="2"/>
        <v>0</v>
      </c>
      <c r="E36" s="19">
        <f t="shared" ca="1" si="13"/>
        <v>0</v>
      </c>
      <c r="F36" s="19">
        <f t="shared" ca="1" si="14"/>
        <v>0</v>
      </c>
      <c r="G36" s="19">
        <f t="shared" ca="1" si="15"/>
        <v>0</v>
      </c>
      <c r="H36" s="19">
        <f t="shared" ca="1" si="16"/>
        <v>0</v>
      </c>
      <c r="I36" s="19">
        <f t="shared" ca="1" si="3"/>
        <v>0</v>
      </c>
    </row>
    <row r="37" spans="1:9" customFormat="1" ht="14.25" customHeight="1">
      <c r="A37">
        <f>会计科目表!A37</f>
        <v>1123</v>
      </c>
      <c r="B37" t="str">
        <f t="shared" ca="1" si="0"/>
        <v>预付账款</v>
      </c>
      <c r="C37" s="21">
        <f t="shared" ca="1" si="1"/>
        <v>1</v>
      </c>
      <c r="D37" s="19">
        <f t="shared" ca="1" si="2"/>
        <v>0</v>
      </c>
      <c r="E37" s="25">
        <f ca="1">SUMIF($C38:$C50,"=2",E38:E50)</f>
        <v>0</v>
      </c>
      <c r="F37" s="25">
        <f ca="1">SUMIF($C38:$C50,"=2",F38:F50)</f>
        <v>0</v>
      </c>
      <c r="G37" s="25">
        <f ca="1">SUMIF($C38:$C50,"=2",G38:G50)</f>
        <v>0</v>
      </c>
      <c r="H37" s="25">
        <f ca="1">SUMIF($C38:$C50,"=2",H38:H50)</f>
        <v>0</v>
      </c>
      <c r="I37" s="25">
        <f t="shared" ca="1" si="3"/>
        <v>0</v>
      </c>
    </row>
    <row r="38" spans="1:9" customFormat="1">
      <c r="A38">
        <f>会计科目表!A38</f>
        <v>112301</v>
      </c>
      <c r="B38" t="str">
        <f t="shared" ca="1" si="0"/>
        <v>预付账款_工程款</v>
      </c>
      <c r="C38" s="21">
        <f t="shared" ca="1" si="1"/>
        <v>2</v>
      </c>
      <c r="D38" s="19">
        <f t="shared" ca="1" si="2"/>
        <v>0</v>
      </c>
      <c r="E38" s="19">
        <f ca="1">SUMIF($C39:$C48,"=3",E39:E48)</f>
        <v>0</v>
      </c>
      <c r="F38" s="19">
        <f ca="1">SUMIF($C39:$C48,"=3",F39:F48)</f>
        <v>0</v>
      </c>
      <c r="G38" s="19">
        <f ca="1">SUMIF($C39:$C48,"=3",G39:G48)</f>
        <v>0</v>
      </c>
      <c r="H38" s="19">
        <f ca="1">SUMIF($C39:$C48,"=3",H39:H48)</f>
        <v>0</v>
      </c>
      <c r="I38" s="19">
        <f t="shared" ca="1" si="3"/>
        <v>0</v>
      </c>
    </row>
    <row r="39" spans="1:9" customFormat="1">
      <c r="A39">
        <f>会计科目表!A39</f>
        <v>11230101</v>
      </c>
      <c r="B39" t="str">
        <f t="shared" ca="1" si="0"/>
        <v>预付账款_工程款_宜之居装饰</v>
      </c>
      <c r="C39" s="21">
        <f t="shared" ca="1" si="1"/>
        <v>3</v>
      </c>
      <c r="D39" s="19">
        <f t="shared" ca="1" si="2"/>
        <v>0</v>
      </c>
      <c r="E39" s="19">
        <f t="shared" ref="E39:E48" ca="1" si="17">SUMPRODUCT((科目编号=$A39)*(记账月份=$I$1),借方金额)</f>
        <v>0</v>
      </c>
      <c r="F39" s="19">
        <f t="shared" ref="F39:F48" ca="1" si="18">SUMPRODUCT((科目编号=$A39)*(记账月份=$I$1),贷方金额)</f>
        <v>0</v>
      </c>
      <c r="G39" s="19">
        <f t="shared" ref="G39:G48" ca="1" si="19">SUMPRODUCT((科目编号=$A39)*(记账月份&lt;=$I$1),借方金额)</f>
        <v>0</v>
      </c>
      <c r="H39" s="19">
        <f t="shared" ref="H39:H48" ca="1" si="20">SUMPRODUCT((科目编号=$A39)*(记账月份&lt;=$I$1),贷方金额)</f>
        <v>0</v>
      </c>
      <c r="I39" s="19">
        <f t="shared" ca="1" si="3"/>
        <v>0</v>
      </c>
    </row>
    <row r="40" spans="1:9" customFormat="1">
      <c r="A40">
        <f>会计科目表!A40</f>
        <v>11230102</v>
      </c>
      <c r="B40" t="str">
        <f t="shared" ca="1" si="0"/>
        <v>预付账款_工程款_易百通科技</v>
      </c>
      <c r="C40" s="21">
        <f t="shared" ca="1" si="1"/>
        <v>3</v>
      </c>
      <c r="D40" s="19">
        <f t="shared" ca="1" si="2"/>
        <v>0</v>
      </c>
      <c r="E40" s="19">
        <f t="shared" ca="1" si="17"/>
        <v>0</v>
      </c>
      <c r="F40" s="19">
        <f t="shared" ca="1" si="18"/>
        <v>0</v>
      </c>
      <c r="G40" s="19">
        <f t="shared" ca="1" si="19"/>
        <v>0</v>
      </c>
      <c r="H40" s="19">
        <f t="shared" ca="1" si="20"/>
        <v>0</v>
      </c>
      <c r="I40" s="19">
        <f t="shared" ca="1" si="3"/>
        <v>0</v>
      </c>
    </row>
    <row r="41" spans="1:9" customFormat="1">
      <c r="A41">
        <f>会计科目表!A41</f>
        <v>11230103</v>
      </c>
      <c r="B41" t="str">
        <f t="shared" ca="1" si="0"/>
        <v>预付账款_工程款_</v>
      </c>
      <c r="C41" s="21">
        <f t="shared" ca="1" si="1"/>
        <v>3</v>
      </c>
      <c r="D41" s="19">
        <f t="shared" ca="1" si="2"/>
        <v>0</v>
      </c>
      <c r="E41" s="19">
        <f t="shared" ca="1" si="17"/>
        <v>0</v>
      </c>
      <c r="F41" s="19">
        <f t="shared" ca="1" si="18"/>
        <v>0</v>
      </c>
      <c r="G41" s="19">
        <f t="shared" ca="1" si="19"/>
        <v>0</v>
      </c>
      <c r="H41" s="19">
        <f t="shared" ca="1" si="20"/>
        <v>0</v>
      </c>
      <c r="I41" s="19">
        <f t="shared" ca="1" si="3"/>
        <v>0</v>
      </c>
    </row>
    <row r="42" spans="1:9" customFormat="1">
      <c r="A42">
        <f>会计科目表!A42</f>
        <v>11230104</v>
      </c>
      <c r="B42" t="str">
        <f t="shared" ca="1" si="0"/>
        <v>预付账款_工程款_</v>
      </c>
      <c r="C42" s="21">
        <f t="shared" ca="1" si="1"/>
        <v>3</v>
      </c>
      <c r="D42" s="19">
        <f t="shared" ca="1" si="2"/>
        <v>0</v>
      </c>
      <c r="E42" s="19">
        <f t="shared" ca="1" si="17"/>
        <v>0</v>
      </c>
      <c r="F42" s="19">
        <f t="shared" ca="1" si="18"/>
        <v>0</v>
      </c>
      <c r="G42" s="19">
        <f t="shared" ca="1" si="19"/>
        <v>0</v>
      </c>
      <c r="H42" s="19">
        <f t="shared" ca="1" si="20"/>
        <v>0</v>
      </c>
      <c r="I42" s="19">
        <f t="shared" ca="1" si="3"/>
        <v>0</v>
      </c>
    </row>
    <row r="43" spans="1:9" customFormat="1">
      <c r="A43">
        <f>会计科目表!A43</f>
        <v>11230105</v>
      </c>
      <c r="B43" t="str">
        <f t="shared" ca="1" si="0"/>
        <v>预付账款_工程款_</v>
      </c>
      <c r="C43" s="21">
        <f t="shared" ca="1" si="1"/>
        <v>3</v>
      </c>
      <c r="D43" s="19">
        <f t="shared" ca="1" si="2"/>
        <v>0</v>
      </c>
      <c r="E43" s="19">
        <f t="shared" ca="1" si="17"/>
        <v>0</v>
      </c>
      <c r="F43" s="19">
        <f t="shared" ca="1" si="18"/>
        <v>0</v>
      </c>
      <c r="G43" s="19">
        <f t="shared" ca="1" si="19"/>
        <v>0</v>
      </c>
      <c r="H43" s="19">
        <f t="shared" ca="1" si="20"/>
        <v>0</v>
      </c>
      <c r="I43" s="19">
        <f t="shared" ca="1" si="3"/>
        <v>0</v>
      </c>
    </row>
    <row r="44" spans="1:9" customFormat="1">
      <c r="A44">
        <f>会计科目表!A44</f>
        <v>11230106</v>
      </c>
      <c r="B44" t="str">
        <f t="shared" ca="1" si="0"/>
        <v>预付账款_工程款_</v>
      </c>
      <c r="C44" s="21">
        <f t="shared" ca="1" si="1"/>
        <v>3</v>
      </c>
      <c r="D44" s="19">
        <f t="shared" ca="1" si="2"/>
        <v>0</v>
      </c>
      <c r="E44" s="19">
        <f t="shared" ca="1" si="17"/>
        <v>0</v>
      </c>
      <c r="F44" s="19">
        <f t="shared" ca="1" si="18"/>
        <v>0</v>
      </c>
      <c r="G44" s="19">
        <f t="shared" ca="1" si="19"/>
        <v>0</v>
      </c>
      <c r="H44" s="19">
        <f t="shared" ca="1" si="20"/>
        <v>0</v>
      </c>
      <c r="I44" s="19">
        <f t="shared" ca="1" si="3"/>
        <v>0</v>
      </c>
    </row>
    <row r="45" spans="1:9" customFormat="1">
      <c r="A45">
        <f>会计科目表!A45</f>
        <v>11230107</v>
      </c>
      <c r="B45" t="str">
        <f t="shared" ca="1" si="0"/>
        <v>预付账款_工程款_</v>
      </c>
      <c r="C45" s="21">
        <f t="shared" ca="1" si="1"/>
        <v>3</v>
      </c>
      <c r="D45" s="19">
        <f t="shared" ca="1" si="2"/>
        <v>0</v>
      </c>
      <c r="E45" s="19">
        <f t="shared" ca="1" si="17"/>
        <v>0</v>
      </c>
      <c r="F45" s="19">
        <f t="shared" ca="1" si="18"/>
        <v>0</v>
      </c>
      <c r="G45" s="19">
        <f t="shared" ca="1" si="19"/>
        <v>0</v>
      </c>
      <c r="H45" s="19">
        <f t="shared" ca="1" si="20"/>
        <v>0</v>
      </c>
      <c r="I45" s="19">
        <f t="shared" ca="1" si="3"/>
        <v>0</v>
      </c>
    </row>
    <row r="46" spans="1:9" customFormat="1">
      <c r="A46">
        <f>会计科目表!A46</f>
        <v>11230108</v>
      </c>
      <c r="B46" t="str">
        <f t="shared" ca="1" si="0"/>
        <v>预付账款_工程款_</v>
      </c>
      <c r="C46" s="21">
        <f t="shared" ca="1" si="1"/>
        <v>3</v>
      </c>
      <c r="D46" s="19">
        <f t="shared" ca="1" si="2"/>
        <v>0</v>
      </c>
      <c r="E46" s="19">
        <f t="shared" ca="1" si="17"/>
        <v>0</v>
      </c>
      <c r="F46" s="19">
        <f t="shared" ca="1" si="18"/>
        <v>0</v>
      </c>
      <c r="G46" s="19">
        <f t="shared" ca="1" si="19"/>
        <v>0</v>
      </c>
      <c r="H46" s="19">
        <f t="shared" ca="1" si="20"/>
        <v>0</v>
      </c>
      <c r="I46" s="19">
        <f t="shared" ca="1" si="3"/>
        <v>0</v>
      </c>
    </row>
    <row r="47" spans="1:9" customFormat="1">
      <c r="A47">
        <f>会计科目表!A47</f>
        <v>11230109</v>
      </c>
      <c r="B47" t="str">
        <f t="shared" ca="1" si="0"/>
        <v>预付账款_工程款_</v>
      </c>
      <c r="C47" s="21">
        <f t="shared" ca="1" si="1"/>
        <v>3</v>
      </c>
      <c r="D47" s="19">
        <f t="shared" ca="1" si="2"/>
        <v>0</v>
      </c>
      <c r="E47" s="19">
        <f t="shared" ca="1" si="17"/>
        <v>0</v>
      </c>
      <c r="F47" s="19">
        <f t="shared" ca="1" si="18"/>
        <v>0</v>
      </c>
      <c r="G47" s="19">
        <f t="shared" ca="1" si="19"/>
        <v>0</v>
      </c>
      <c r="H47" s="19">
        <f t="shared" ca="1" si="20"/>
        <v>0</v>
      </c>
      <c r="I47" s="19">
        <f t="shared" ca="1" si="3"/>
        <v>0</v>
      </c>
    </row>
    <row r="48" spans="1:9" customFormat="1">
      <c r="A48">
        <f>会计科目表!A48</f>
        <v>11230110</v>
      </c>
      <c r="B48" t="str">
        <f t="shared" ca="1" si="0"/>
        <v>预付账款_工程款_</v>
      </c>
      <c r="C48" s="21">
        <f t="shared" ca="1" si="1"/>
        <v>3</v>
      </c>
      <c r="D48" s="19">
        <f t="shared" ca="1" si="2"/>
        <v>0</v>
      </c>
      <c r="E48" s="19">
        <f t="shared" ca="1" si="17"/>
        <v>0</v>
      </c>
      <c r="F48" s="19">
        <f t="shared" ca="1" si="18"/>
        <v>0</v>
      </c>
      <c r="G48" s="19">
        <f t="shared" ca="1" si="19"/>
        <v>0</v>
      </c>
      <c r="H48" s="19">
        <f t="shared" ca="1" si="20"/>
        <v>0</v>
      </c>
      <c r="I48" s="19">
        <f t="shared" ca="1" si="3"/>
        <v>0</v>
      </c>
    </row>
    <row r="49" spans="1:9" customFormat="1">
      <c r="A49">
        <f>会计科目表!A49</f>
        <v>112302</v>
      </c>
      <c r="B49" t="str">
        <f t="shared" ca="1" si="0"/>
        <v>预付账款_购货款</v>
      </c>
      <c r="C49" s="21">
        <f t="shared" ca="1" si="1"/>
        <v>2</v>
      </c>
      <c r="D49" s="19">
        <f t="shared" ca="1" si="2"/>
        <v>0</v>
      </c>
      <c r="E49" s="19">
        <f ca="1">SUMIF($C50:$C50,"=3",E50:E50)</f>
        <v>0</v>
      </c>
      <c r="F49" s="19">
        <f ca="1">SUMIF($C50:$C50,"=3",F50:F50)</f>
        <v>0</v>
      </c>
      <c r="G49" s="19">
        <f ca="1">SUMIF($C50:$C50,"=3",G50:G50)</f>
        <v>0</v>
      </c>
      <c r="H49" s="19">
        <f ca="1">SUMIF($C50:$C50,"=3",H50:H50)</f>
        <v>0</v>
      </c>
      <c r="I49" s="19">
        <f t="shared" ca="1" si="3"/>
        <v>0</v>
      </c>
    </row>
    <row r="50" spans="1:9" customFormat="1">
      <c r="A50">
        <f>会计科目表!A50</f>
        <v>11230201</v>
      </c>
      <c r="B50" t="str">
        <f t="shared" ca="1" si="0"/>
        <v>预付账款_购货款_义泰钢结构</v>
      </c>
      <c r="C50" s="21">
        <f t="shared" ca="1" si="1"/>
        <v>3</v>
      </c>
      <c r="D50" s="19">
        <f t="shared" ca="1" si="2"/>
        <v>0</v>
      </c>
      <c r="E50" s="19">
        <f ca="1">SUMPRODUCT((科目编号=$A50)*(记账月份=$I$1),借方金额)</f>
        <v>0</v>
      </c>
      <c r="F50" s="19">
        <f ca="1">SUMPRODUCT((科目编号=$A50)*(记账月份=$I$1),贷方金额)</f>
        <v>0</v>
      </c>
      <c r="G50" s="19">
        <f ca="1">SUMPRODUCT((科目编号=$A50)*(记账月份&lt;=$I$1),借方金额)</f>
        <v>0</v>
      </c>
      <c r="H50" s="19">
        <f ca="1">SUMPRODUCT((科目编号=$A50)*(记账月份&lt;=$I$1),贷方金额)</f>
        <v>0</v>
      </c>
      <c r="I50" s="19">
        <f t="shared" ca="1" si="3"/>
        <v>0</v>
      </c>
    </row>
    <row r="51" spans="1:9" customFormat="1">
      <c r="A51">
        <f>会计科目表!A51</f>
        <v>1131</v>
      </c>
      <c r="B51" t="str">
        <f t="shared" ca="1" si="0"/>
        <v>应收股利</v>
      </c>
      <c r="C51" s="41">
        <f t="shared" ca="1" si="1"/>
        <v>1</v>
      </c>
      <c r="D51" s="25">
        <f t="shared" ca="1" si="2"/>
        <v>0</v>
      </c>
      <c r="E51" s="25">
        <f ca="1">SUMPRODUCT((科目编号=$A51)*(记账月份=$I$1),借方金额)</f>
        <v>0</v>
      </c>
      <c r="F51" s="25">
        <f ca="1">SUMPRODUCT((科目编号=$A51)*(记账月份=$I$1),贷方金额)</f>
        <v>0</v>
      </c>
      <c r="G51" s="25">
        <f ca="1">SUMPRODUCT((科目编号=$A51)*(记账月份&lt;=$I$1),借方金额)</f>
        <v>0</v>
      </c>
      <c r="H51" s="25">
        <f ca="1">SUMPRODUCT((科目编号=$A51)*(记账月份&lt;=$I$1),贷方金额)</f>
        <v>0</v>
      </c>
      <c r="I51" s="25">
        <f t="shared" ca="1" si="3"/>
        <v>0</v>
      </c>
    </row>
    <row r="52" spans="1:9" customFormat="1">
      <c r="A52">
        <f>会计科目表!A52</f>
        <v>1132</v>
      </c>
      <c r="B52" t="str">
        <f t="shared" ca="1" si="0"/>
        <v>应收利息</v>
      </c>
      <c r="C52" s="41">
        <f t="shared" ca="1" si="1"/>
        <v>1</v>
      </c>
      <c r="D52" s="25">
        <f t="shared" ca="1" si="2"/>
        <v>0</v>
      </c>
      <c r="E52" s="25">
        <f ca="1">SUMPRODUCT((科目编号=$A52)*(记账月份=$I$1),借方金额)</f>
        <v>0</v>
      </c>
      <c r="F52" s="25">
        <f ca="1">SUMPRODUCT((科目编号=$A52)*(记账月份=$I$1),贷方金额)</f>
        <v>0</v>
      </c>
      <c r="G52" s="25">
        <f ca="1">SUMPRODUCT((科目编号=$A52)*(记账月份&lt;=$I$1),借方金额)</f>
        <v>0</v>
      </c>
      <c r="H52" s="25">
        <f ca="1">SUMPRODUCT((科目编号=$A52)*(记账月份&lt;=$I$1),贷方金额)</f>
        <v>0</v>
      </c>
      <c r="I52" s="25">
        <f t="shared" ca="1" si="3"/>
        <v>0</v>
      </c>
    </row>
    <row r="53" spans="1:9" customFormat="1">
      <c r="A53">
        <f>会计科目表!A53</f>
        <v>1221</v>
      </c>
      <c r="B53" t="str">
        <f t="shared" ca="1" si="0"/>
        <v>其他应收款</v>
      </c>
      <c r="C53" s="41">
        <f t="shared" ca="1" si="1"/>
        <v>1</v>
      </c>
      <c r="D53" s="25">
        <f t="shared" ca="1" si="2"/>
        <v>439512.5</v>
      </c>
      <c r="E53" s="25">
        <f ca="1">SUMIF($C54:$C72,"=2",E54:E72)</f>
        <v>0</v>
      </c>
      <c r="F53" s="25">
        <f ca="1">SUMIF($C54:$C72,"=2",F54:F72)</f>
        <v>0</v>
      </c>
      <c r="G53" s="25">
        <f ca="1">SUMIF($C54:$C72,"=2",G54:G72)</f>
        <v>1504.32</v>
      </c>
      <c r="H53" s="25">
        <f ca="1">SUMIF($C54:$C72,"=2",H54:H72)</f>
        <v>0</v>
      </c>
      <c r="I53" s="25">
        <f t="shared" ca="1" si="3"/>
        <v>441016.82</v>
      </c>
    </row>
    <row r="54" spans="1:9" customFormat="1">
      <c r="A54">
        <f>会计科目表!A54</f>
        <v>122101</v>
      </c>
      <c r="B54" t="str">
        <f t="shared" ca="1" si="0"/>
        <v>其他应收款_关联单位往来</v>
      </c>
      <c r="C54" s="21">
        <f t="shared" ca="1" si="1"/>
        <v>2</v>
      </c>
      <c r="D54" s="19">
        <f t="shared" ca="1" si="2"/>
        <v>227864.91</v>
      </c>
      <c r="E54" s="19">
        <f ca="1">SUMIF($C55:$C57,"=3",E55:E57)</f>
        <v>0</v>
      </c>
      <c r="F54" s="19">
        <f t="shared" ref="F54:H54" ca="1" si="21">SUMIF($C55:$C57,"=3",F55:F57)</f>
        <v>0</v>
      </c>
      <c r="G54" s="19">
        <f t="shared" ca="1" si="21"/>
        <v>0</v>
      </c>
      <c r="H54" s="19">
        <f t="shared" ca="1" si="21"/>
        <v>0</v>
      </c>
      <c r="I54" s="19">
        <f t="shared" ca="1" si="3"/>
        <v>227864.91</v>
      </c>
    </row>
    <row r="55" spans="1:9" customFormat="1">
      <c r="A55">
        <f>会计科目表!A55</f>
        <v>12210101</v>
      </c>
      <c r="B55" t="str">
        <f t="shared" ca="1" si="0"/>
        <v>其他应收款_关联单位往来_华西投资</v>
      </c>
      <c r="C55" s="21">
        <f t="shared" ca="1" si="1"/>
        <v>3</v>
      </c>
      <c r="D55" s="19">
        <f t="shared" ca="1" si="2"/>
        <v>87762.44</v>
      </c>
      <c r="E55" s="19">
        <f ca="1">SUMPRODUCT((科目编号=$A55)*(记账月份=$I$1),借方金额)</f>
        <v>0</v>
      </c>
      <c r="F55" s="19">
        <f ca="1">SUMPRODUCT((科目编号=$A55)*(记账月份=$I$1),贷方金额)</f>
        <v>0</v>
      </c>
      <c r="G55" s="19">
        <f ca="1">SUMPRODUCT((科目编号=$A55)*(记账月份&lt;=$I$1),借方金额)</f>
        <v>0</v>
      </c>
      <c r="H55" s="19">
        <f ca="1">SUMPRODUCT((科目编号=$A55)*(记账月份&lt;=$I$1),贷方金额)</f>
        <v>0</v>
      </c>
      <c r="I55" s="19">
        <f t="shared" ca="1" si="3"/>
        <v>87762.44</v>
      </c>
    </row>
    <row r="56" spans="1:9" customFormat="1" ht="14.25" customHeight="1">
      <c r="A56">
        <f>会计科目表!A56</f>
        <v>12210102</v>
      </c>
      <c r="B56" t="str">
        <f t="shared" ca="1" si="0"/>
        <v>其他应收款_关联单位往来_青少年宫</v>
      </c>
      <c r="C56" s="21">
        <f t="shared" ca="1" si="1"/>
        <v>3</v>
      </c>
      <c r="D56" s="19">
        <f t="shared" ca="1" si="2"/>
        <v>60102.47</v>
      </c>
      <c r="E56" s="19">
        <f ca="1">SUMPRODUCT((科目编号=$A56)*(记账月份=$I$1),借方金额)</f>
        <v>0</v>
      </c>
      <c r="F56" s="19">
        <f ca="1">SUMPRODUCT((科目编号=$A56)*(记账月份=$I$1),贷方金额)</f>
        <v>0</v>
      </c>
      <c r="G56" s="19">
        <f ca="1">SUMPRODUCT((科目编号=$A56)*(记账月份&lt;=$I$1),借方金额)</f>
        <v>0</v>
      </c>
      <c r="H56" s="19">
        <f ca="1">SUMPRODUCT((科目编号=$A56)*(记账月份&lt;=$I$1),贷方金额)</f>
        <v>0</v>
      </c>
      <c r="I56" s="19">
        <f t="shared" ca="1" si="3"/>
        <v>60102.47</v>
      </c>
    </row>
    <row r="57" spans="1:9" customFormat="1" ht="14.25" customHeight="1">
      <c r="A57">
        <f>会计科目表!A57</f>
        <v>12210103</v>
      </c>
      <c r="B57" t="str">
        <f t="shared" ca="1" si="0"/>
        <v>其他应收款_关联单位往来_日报咨询</v>
      </c>
      <c r="C57" s="21">
        <f t="shared" ca="1" si="1"/>
        <v>3</v>
      </c>
      <c r="D57" s="19">
        <f t="shared" ca="1" si="2"/>
        <v>80000</v>
      </c>
      <c r="E57" s="19">
        <f ca="1">SUMPRODUCT((科目编号=$A57)*(记账月份=$I$1),借方金额)</f>
        <v>0</v>
      </c>
      <c r="F57" s="19">
        <f ca="1">SUMPRODUCT((科目编号=$A57)*(记账月份=$I$1),贷方金额)</f>
        <v>0</v>
      </c>
      <c r="G57" s="19">
        <f ca="1">SUMPRODUCT((科目编号=$A57)*(记账月份&lt;=$I$1),借方金额)</f>
        <v>0</v>
      </c>
      <c r="H57" s="19">
        <f ca="1">SUMPRODUCT((科目编号=$A57)*(记账月份&lt;=$I$1),贷方金额)</f>
        <v>0</v>
      </c>
      <c r="I57" s="19">
        <f t="shared" ca="1" si="3"/>
        <v>80000</v>
      </c>
    </row>
    <row r="58" spans="1:9" customFormat="1" ht="14.25" customHeight="1">
      <c r="A58">
        <f>会计科目表!A58</f>
        <v>122102</v>
      </c>
      <c r="B58" t="str">
        <f t="shared" ca="1" si="0"/>
        <v>其他应收款_其他单位往来</v>
      </c>
      <c r="C58" s="21">
        <f t="shared" ca="1" si="1"/>
        <v>2</v>
      </c>
      <c r="D58" s="19">
        <f t="shared" ca="1" si="2"/>
        <v>181162</v>
      </c>
      <c r="E58" s="19">
        <f ca="1">SUMIF($C59:$C63,"=3",E59:E63)</f>
        <v>0</v>
      </c>
      <c r="F58" s="19">
        <f t="shared" ref="F58:H58" ca="1" si="22">SUMIF($C59:$C63,"=3",F59:F63)</f>
        <v>0</v>
      </c>
      <c r="G58" s="19">
        <f t="shared" ca="1" si="22"/>
        <v>0</v>
      </c>
      <c r="H58" s="19">
        <f t="shared" ca="1" si="22"/>
        <v>0</v>
      </c>
      <c r="I58" s="19">
        <f t="shared" ca="1" si="3"/>
        <v>181162</v>
      </c>
    </row>
    <row r="59" spans="1:9" customFormat="1" ht="14.25" customHeight="1">
      <c r="A59">
        <f>会计科目表!A59</f>
        <v>12210201</v>
      </c>
      <c r="B59" t="str">
        <f t="shared" ca="1" si="0"/>
        <v>其他应收款_其他单位往来_建云工程</v>
      </c>
      <c r="C59" s="21">
        <f t="shared" ca="1" si="1"/>
        <v>3</v>
      </c>
      <c r="D59" s="19">
        <f t="shared" ca="1" si="2"/>
        <v>35000</v>
      </c>
      <c r="E59" s="19">
        <f ca="1">SUMPRODUCT((科目编号=$A59)*(记账月份=$I$1),借方金额)</f>
        <v>0</v>
      </c>
      <c r="F59" s="19">
        <f ca="1">SUMPRODUCT((科目编号=$A59)*(记账月份=$I$1),贷方金额)</f>
        <v>0</v>
      </c>
      <c r="G59" s="19">
        <f ca="1">SUMPRODUCT((科目编号=$A59)*(记账月份&lt;=$I$1),借方金额)</f>
        <v>0</v>
      </c>
      <c r="H59" s="19">
        <f ca="1">SUMPRODUCT((科目编号=$A59)*(记账月份&lt;=$I$1),贷方金额)</f>
        <v>0</v>
      </c>
      <c r="I59" s="19">
        <f t="shared" ca="1" si="3"/>
        <v>35000</v>
      </c>
    </row>
    <row r="60" spans="1:9" customFormat="1" ht="14.25" customHeight="1">
      <c r="A60">
        <f>会计科目表!A60</f>
        <v>12210202</v>
      </c>
      <c r="B60" t="str">
        <f t="shared" ca="1" si="0"/>
        <v>其他应收款_其他单位往来_建浩工程</v>
      </c>
      <c r="C60" s="21">
        <f t="shared" ca="1" si="1"/>
        <v>3</v>
      </c>
      <c r="D60" s="19">
        <f t="shared" ca="1" si="2"/>
        <v>50000</v>
      </c>
      <c r="E60" s="19">
        <f ca="1">SUMPRODUCT((科目编号=$A60)*(记账月份=$I$1),借方金额)</f>
        <v>0</v>
      </c>
      <c r="F60" s="19">
        <f ca="1">SUMPRODUCT((科目编号=$A60)*(记账月份=$I$1),贷方金额)</f>
        <v>0</v>
      </c>
      <c r="G60" s="19">
        <f ca="1">SUMPRODUCT((科目编号=$A60)*(记账月份&lt;=$I$1),借方金额)</f>
        <v>0</v>
      </c>
      <c r="H60" s="19">
        <f ca="1">SUMPRODUCT((科目编号=$A60)*(记账月份&lt;=$I$1),贷方金额)</f>
        <v>0</v>
      </c>
      <c r="I60" s="19">
        <f t="shared" ca="1" si="3"/>
        <v>50000</v>
      </c>
    </row>
    <row r="61" spans="1:9" customFormat="1" ht="14.25" customHeight="1">
      <c r="A61">
        <f>会计科目表!A61</f>
        <v>12210203</v>
      </c>
      <c r="B61" t="str">
        <f t="shared" ca="1" si="0"/>
        <v>其他应收款_其他单位往来_网动器材</v>
      </c>
      <c r="C61" s="21">
        <f t="shared" ca="1" si="1"/>
        <v>3</v>
      </c>
      <c r="D61" s="19">
        <f t="shared" ca="1" si="2"/>
        <v>35000</v>
      </c>
      <c r="E61" s="19">
        <f ca="1">SUMPRODUCT((科目编号=$A61)*(记账月份=$I$1),借方金额)</f>
        <v>0</v>
      </c>
      <c r="F61" s="19">
        <f ca="1">SUMPRODUCT((科目编号=$A61)*(记账月份=$I$1),贷方金额)</f>
        <v>0</v>
      </c>
      <c r="G61" s="19">
        <f ca="1">SUMPRODUCT((科目编号=$A61)*(记账月份&lt;=$I$1),借方金额)</f>
        <v>0</v>
      </c>
      <c r="H61" s="19">
        <f ca="1">SUMPRODUCT((科目编号=$A61)*(记账月份&lt;=$I$1),贷方金额)</f>
        <v>0</v>
      </c>
      <c r="I61" s="19">
        <f t="shared" ca="1" si="3"/>
        <v>35000</v>
      </c>
    </row>
    <row r="62" spans="1:9" customFormat="1" ht="14.25" customHeight="1">
      <c r="A62">
        <f>会计科目表!A62</f>
        <v>12210204</v>
      </c>
      <c r="B62" t="str">
        <f t="shared" ca="1" si="0"/>
        <v>其他应收款_其他单位往来_联华工程</v>
      </c>
      <c r="C62" s="21">
        <f t="shared" ca="1" si="1"/>
        <v>3</v>
      </c>
      <c r="D62" s="19">
        <f t="shared" ca="1" si="2"/>
        <v>1162</v>
      </c>
      <c r="E62" s="19">
        <f ca="1">SUMPRODUCT((科目编号=$A62)*(记账月份=$I$1),借方金额)</f>
        <v>0</v>
      </c>
      <c r="F62" s="19">
        <f ca="1">SUMPRODUCT((科目编号=$A62)*(记账月份=$I$1),贷方金额)</f>
        <v>0</v>
      </c>
      <c r="G62" s="19">
        <f ca="1">SUMPRODUCT((科目编号=$A62)*(记账月份&lt;=$I$1),借方金额)</f>
        <v>0</v>
      </c>
      <c r="H62" s="19">
        <f ca="1">SUMPRODUCT((科目编号=$A62)*(记账月份&lt;=$I$1),贷方金额)</f>
        <v>0</v>
      </c>
      <c r="I62" s="19">
        <f t="shared" ca="1" si="3"/>
        <v>1162</v>
      </c>
    </row>
    <row r="63" spans="1:9" customFormat="1" ht="14.25" customHeight="1">
      <c r="A63">
        <f>会计科目表!A63</f>
        <v>12210205</v>
      </c>
      <c r="B63" t="str">
        <f t="shared" ca="1" si="0"/>
        <v>其他应收款_其他单位往来_建工五司</v>
      </c>
      <c r="C63" s="21">
        <f t="shared" ca="1" si="1"/>
        <v>3</v>
      </c>
      <c r="D63" s="19">
        <f t="shared" ca="1" si="2"/>
        <v>60000</v>
      </c>
      <c r="E63" s="19">
        <f ca="1">SUMPRODUCT((科目编号=$A63)*(记账月份=$I$1),借方金额)</f>
        <v>0</v>
      </c>
      <c r="F63" s="19">
        <f ca="1">SUMPRODUCT((科目编号=$A63)*(记账月份=$I$1),贷方金额)</f>
        <v>0</v>
      </c>
      <c r="G63" s="19">
        <f ca="1">SUMPRODUCT((科目编号=$A63)*(记账月份&lt;=$I$1),借方金额)</f>
        <v>0</v>
      </c>
      <c r="H63" s="19">
        <f ca="1">SUMPRODUCT((科目编号=$A63)*(记账月份&lt;=$I$1),贷方金额)</f>
        <v>0</v>
      </c>
      <c r="I63" s="19">
        <f t="shared" ca="1" si="3"/>
        <v>60000</v>
      </c>
    </row>
    <row r="64" spans="1:9" customFormat="1" ht="14.25" customHeight="1">
      <c r="A64">
        <f>会计科目表!A64</f>
        <v>122103</v>
      </c>
      <c r="B64" t="str">
        <f t="shared" ca="1" si="0"/>
        <v>其他应收款_内部员工往来</v>
      </c>
      <c r="C64" s="21">
        <f t="shared" ca="1" si="1"/>
        <v>2</v>
      </c>
      <c r="D64" s="19">
        <f t="shared" ca="1" si="2"/>
        <v>3560</v>
      </c>
      <c r="E64" s="19">
        <f ca="1">SUMIF($C65:$C66,"=3",E65:E66)</f>
        <v>0</v>
      </c>
      <c r="F64" s="19">
        <f t="shared" ref="F64:H64" ca="1" si="23">SUMIF($C65:$C66,"=3",F65:F66)</f>
        <v>0</v>
      </c>
      <c r="G64" s="19">
        <f t="shared" ca="1" si="23"/>
        <v>0</v>
      </c>
      <c r="H64" s="19">
        <f t="shared" ca="1" si="23"/>
        <v>0</v>
      </c>
      <c r="I64" s="19">
        <f t="shared" ca="1" si="3"/>
        <v>3560</v>
      </c>
    </row>
    <row r="65" spans="1:10" customFormat="1" ht="14.25" customHeight="1">
      <c r="A65">
        <f>会计科目表!A65</f>
        <v>12210301</v>
      </c>
      <c r="B65" t="str">
        <f t="shared" ca="1" si="0"/>
        <v>其他应收款_内部员工往来_张三</v>
      </c>
      <c r="C65" s="21">
        <f t="shared" ca="1" si="1"/>
        <v>3</v>
      </c>
      <c r="D65" s="19">
        <f t="shared" ca="1" si="2"/>
        <v>1560</v>
      </c>
      <c r="E65" s="19">
        <f ca="1">SUMPRODUCT((科目编号=$A65)*(记账月份=$I$1),借方金额)</f>
        <v>0</v>
      </c>
      <c r="F65" s="19">
        <f ca="1">SUMPRODUCT((科目编号=$A65)*(记账月份=$I$1),贷方金额)</f>
        <v>0</v>
      </c>
      <c r="G65" s="19">
        <f ca="1">SUMPRODUCT((科目编号=$A65)*(记账月份&lt;=$I$1),借方金额)</f>
        <v>0</v>
      </c>
      <c r="H65" s="19">
        <f ca="1">SUMPRODUCT((科目编号=$A65)*(记账月份&lt;=$I$1),贷方金额)</f>
        <v>0</v>
      </c>
      <c r="I65" s="19">
        <f t="shared" ca="1" si="3"/>
        <v>1560</v>
      </c>
    </row>
    <row r="66" spans="1:10" customFormat="1" ht="14.25" customHeight="1">
      <c r="A66">
        <f>会计科目表!A66</f>
        <v>12210302</v>
      </c>
      <c r="B66" t="str">
        <f t="shared" ca="1" si="0"/>
        <v>其他应收款_内部员工往来_李四</v>
      </c>
      <c r="C66" s="21">
        <f t="shared" ca="1" si="1"/>
        <v>3</v>
      </c>
      <c r="D66" s="19">
        <f t="shared" ca="1" si="2"/>
        <v>2000</v>
      </c>
      <c r="E66" s="19">
        <f ca="1">SUMPRODUCT((科目编号=$A66)*(记账月份=$I$1),借方金额)</f>
        <v>0</v>
      </c>
      <c r="F66" s="19">
        <f ca="1">SUMPRODUCT((科目编号=$A66)*(记账月份=$I$1),贷方金额)</f>
        <v>0</v>
      </c>
      <c r="G66" s="19">
        <f ca="1">SUMPRODUCT((科目编号=$A66)*(记账月份&lt;=$I$1),借方金额)</f>
        <v>0</v>
      </c>
      <c r="H66" s="19">
        <f ca="1">SUMPRODUCT((科目编号=$A66)*(记账月份&lt;=$I$1),贷方金额)</f>
        <v>0</v>
      </c>
      <c r="I66" s="19">
        <f t="shared" ca="1" si="3"/>
        <v>2000</v>
      </c>
    </row>
    <row r="67" spans="1:10" customFormat="1" ht="14.25" customHeight="1">
      <c r="A67">
        <f>会计科目表!A67</f>
        <v>122104</v>
      </c>
      <c r="B67" t="str">
        <f t="shared" ca="1" si="0"/>
        <v>其他应收款_代垫代付款项</v>
      </c>
      <c r="C67" s="21">
        <f t="shared" ca="1" si="1"/>
        <v>2</v>
      </c>
      <c r="D67" s="19">
        <f t="shared" ca="1" si="2"/>
        <v>26925.59</v>
      </c>
      <c r="E67" s="19">
        <f ca="1">SUMIF($C68:$C72,"=3",E68:E72)</f>
        <v>0</v>
      </c>
      <c r="F67" s="19">
        <f ca="1">SUMIF($C68:$C72,"=3",F68:F72)</f>
        <v>0</v>
      </c>
      <c r="G67" s="19">
        <f ca="1">SUMIF($C68:$C72,"=3",G68:G72)</f>
        <v>1504.32</v>
      </c>
      <c r="H67" s="19">
        <f ca="1">SUMIF($C68:$C72,"=3",H68:H72)</f>
        <v>0</v>
      </c>
      <c r="I67" s="19">
        <f t="shared" ca="1" si="3"/>
        <v>28429.91</v>
      </c>
    </row>
    <row r="68" spans="1:10" customFormat="1" ht="14.25" customHeight="1">
      <c r="A68">
        <f>会计科目表!A68</f>
        <v>12210401</v>
      </c>
      <c r="B68" t="str">
        <f t="shared" ca="1" si="0"/>
        <v>其他应收款_社会保险费</v>
      </c>
      <c r="C68" s="21">
        <f t="shared" ca="1" si="1"/>
        <v>3</v>
      </c>
      <c r="D68" s="19">
        <f t="shared" ca="1" si="2"/>
        <v>2600</v>
      </c>
      <c r="E68" s="19">
        <f t="shared" ref="E68:E75" ca="1" si="24">SUMPRODUCT((科目编号=$A68)*(记账月份=$I$1),借方金额)</f>
        <v>0</v>
      </c>
      <c r="F68" s="19">
        <f t="shared" ref="F68:F75" ca="1" si="25">SUMPRODUCT((科目编号=$A68)*(记账月份=$I$1),贷方金额)</f>
        <v>0</v>
      </c>
      <c r="G68" s="19">
        <f t="shared" ref="G68:G75" ca="1" si="26">SUMPRODUCT((科目编号=$A68)*(记账月份&lt;=$I$1),借方金额)</f>
        <v>1504.32</v>
      </c>
      <c r="H68" s="19">
        <f t="shared" ref="H68:H75" ca="1" si="27">SUMPRODUCT((科目编号=$A68)*(记账月份&lt;=$I$1),贷方金额)</f>
        <v>0</v>
      </c>
      <c r="I68" s="19">
        <f t="shared" ca="1" si="3"/>
        <v>4104.32</v>
      </c>
    </row>
    <row r="69" spans="1:10" customFormat="1" ht="14.25" customHeight="1">
      <c r="A69">
        <f>会计科目表!A69</f>
        <v>12210402</v>
      </c>
      <c r="B69" t="str">
        <f t="shared" ref="B69:B132" ca="1" si="28">INDEX(账户查询,MATCH($A69,科目代码,))</f>
        <v>其他应收款_住房公积金</v>
      </c>
      <c r="C69" s="21">
        <f t="shared" ref="C69:C132" ca="1" si="29">INDEX(OFFSET(科目代码,,3),MATCH($A69,科目代码,))</f>
        <v>3</v>
      </c>
      <c r="D69" s="19">
        <f t="shared" ref="D69:D132" ca="1" si="30">INDEX(OFFSET(科目代码,,5,,2),MATCH($A69,科目代码,),2-(LEFT($A69,4)*1&lt;2001))</f>
        <v>24325.59</v>
      </c>
      <c r="E69" s="19">
        <f t="shared" ca="1" si="24"/>
        <v>0</v>
      </c>
      <c r="F69" s="19">
        <f t="shared" ca="1" si="25"/>
        <v>0</v>
      </c>
      <c r="G69" s="19">
        <f t="shared" ca="1" si="26"/>
        <v>0</v>
      </c>
      <c r="H69" s="19">
        <f t="shared" ca="1" si="27"/>
        <v>0</v>
      </c>
      <c r="I69" s="19">
        <f t="shared" ref="I69:I80" ca="1" si="31">D69+G69-H69</f>
        <v>24325.59</v>
      </c>
    </row>
    <row r="70" spans="1:10" customFormat="1">
      <c r="A70">
        <f>会计科目表!A70</f>
        <v>12210403</v>
      </c>
      <c r="B70" t="str">
        <f t="shared" ca="1" si="28"/>
        <v>其他应收款</v>
      </c>
      <c r="C70" s="21">
        <f t="shared" ca="1" si="29"/>
        <v>3</v>
      </c>
      <c r="D70" s="19">
        <f t="shared" ca="1" si="30"/>
        <v>0</v>
      </c>
      <c r="E70" s="19">
        <f t="shared" ca="1" si="24"/>
        <v>0</v>
      </c>
      <c r="F70" s="19">
        <f t="shared" ca="1" si="25"/>
        <v>0</v>
      </c>
      <c r="G70" s="19">
        <f t="shared" ca="1" si="26"/>
        <v>0</v>
      </c>
      <c r="H70" s="19">
        <f t="shared" ca="1" si="27"/>
        <v>0</v>
      </c>
      <c r="I70" s="19">
        <f t="shared" ca="1" si="31"/>
        <v>0</v>
      </c>
    </row>
    <row r="71" spans="1:10" customFormat="1">
      <c r="A71">
        <f>会计科目表!A71</f>
        <v>12210404</v>
      </c>
      <c r="B71" t="str">
        <f t="shared" ca="1" si="28"/>
        <v>其他应收款</v>
      </c>
      <c r="C71" s="21">
        <f t="shared" ca="1" si="29"/>
        <v>3</v>
      </c>
      <c r="D71" s="19">
        <f t="shared" ca="1" si="30"/>
        <v>0</v>
      </c>
      <c r="E71" s="19">
        <f t="shared" ca="1" si="24"/>
        <v>0</v>
      </c>
      <c r="F71" s="19">
        <f t="shared" ca="1" si="25"/>
        <v>0</v>
      </c>
      <c r="G71" s="19">
        <f t="shared" ca="1" si="26"/>
        <v>0</v>
      </c>
      <c r="H71" s="19">
        <f t="shared" ca="1" si="27"/>
        <v>0</v>
      </c>
      <c r="I71" s="19">
        <f t="shared" ca="1" si="31"/>
        <v>0</v>
      </c>
    </row>
    <row r="72" spans="1:10" customFormat="1">
      <c r="A72">
        <f>会计科目表!A72</f>
        <v>12210405</v>
      </c>
      <c r="B72" t="str">
        <f t="shared" ca="1" si="28"/>
        <v>其他应收款</v>
      </c>
      <c r="C72" s="21">
        <f t="shared" ca="1" si="29"/>
        <v>3</v>
      </c>
      <c r="D72" s="19">
        <f t="shared" ca="1" si="30"/>
        <v>0</v>
      </c>
      <c r="E72" s="19">
        <f t="shared" ca="1" si="24"/>
        <v>0</v>
      </c>
      <c r="F72" s="19">
        <f t="shared" ca="1" si="25"/>
        <v>0</v>
      </c>
      <c r="G72" s="19">
        <f t="shared" ca="1" si="26"/>
        <v>0</v>
      </c>
      <c r="H72" s="19">
        <f t="shared" ca="1" si="27"/>
        <v>0</v>
      </c>
      <c r="I72" s="19">
        <f t="shared" ca="1" si="31"/>
        <v>0</v>
      </c>
    </row>
    <row r="73" spans="1:10" customFormat="1">
      <c r="A73">
        <f>会计科目表!A73</f>
        <v>1231</v>
      </c>
      <c r="B73" t="str">
        <f t="shared" ca="1" si="28"/>
        <v>坏账准备</v>
      </c>
      <c r="C73" s="41">
        <f t="shared" ca="1" si="29"/>
        <v>1</v>
      </c>
      <c r="D73" s="25">
        <f t="shared" ca="1" si="30"/>
        <v>0</v>
      </c>
      <c r="E73" s="25">
        <f t="shared" ca="1" si="24"/>
        <v>0</v>
      </c>
      <c r="F73" s="25">
        <f t="shared" ca="1" si="25"/>
        <v>0</v>
      </c>
      <c r="G73" s="25">
        <f t="shared" ca="1" si="26"/>
        <v>0</v>
      </c>
      <c r="H73" s="25">
        <f t="shared" ca="1" si="27"/>
        <v>0</v>
      </c>
      <c r="I73" s="25">
        <f t="shared" ca="1" si="31"/>
        <v>0</v>
      </c>
    </row>
    <row r="74" spans="1:10" customFormat="1">
      <c r="A74">
        <f>会计科目表!A74</f>
        <v>1401</v>
      </c>
      <c r="B74" t="str">
        <f t="shared" ca="1" si="28"/>
        <v>材料采购</v>
      </c>
      <c r="C74" s="41">
        <f t="shared" ca="1" si="29"/>
        <v>1</v>
      </c>
      <c r="D74" s="25">
        <f t="shared" ca="1" si="30"/>
        <v>0</v>
      </c>
      <c r="E74" s="25">
        <f t="shared" ca="1" si="24"/>
        <v>0</v>
      </c>
      <c r="F74" s="25">
        <f t="shared" ca="1" si="25"/>
        <v>0</v>
      </c>
      <c r="G74" s="25">
        <f t="shared" ca="1" si="26"/>
        <v>0</v>
      </c>
      <c r="H74" s="25">
        <f t="shared" ca="1" si="27"/>
        <v>0</v>
      </c>
      <c r="I74" s="25">
        <f t="shared" ca="1" si="31"/>
        <v>0</v>
      </c>
    </row>
    <row r="75" spans="1:10" customFormat="1">
      <c r="A75">
        <f>会计科目表!A75</f>
        <v>1402</v>
      </c>
      <c r="B75" t="str">
        <f t="shared" ca="1" si="28"/>
        <v>在途物资</v>
      </c>
      <c r="C75" s="41">
        <f t="shared" ca="1" si="29"/>
        <v>1</v>
      </c>
      <c r="D75" s="25">
        <f t="shared" ca="1" si="30"/>
        <v>0</v>
      </c>
      <c r="E75" s="25">
        <f t="shared" ca="1" si="24"/>
        <v>0</v>
      </c>
      <c r="F75" s="25">
        <f t="shared" ca="1" si="25"/>
        <v>0</v>
      </c>
      <c r="G75" s="25">
        <f t="shared" ca="1" si="26"/>
        <v>0</v>
      </c>
      <c r="H75" s="25">
        <f t="shared" ca="1" si="27"/>
        <v>0</v>
      </c>
      <c r="I75" s="25">
        <f t="shared" ca="1" si="31"/>
        <v>0</v>
      </c>
    </row>
    <row r="76" spans="1:10" customFormat="1">
      <c r="A76">
        <f>会计科目表!A76</f>
        <v>1403</v>
      </c>
      <c r="B76" t="str">
        <f t="shared" ca="1" si="28"/>
        <v>库存材料</v>
      </c>
      <c r="C76" s="41">
        <f t="shared" ca="1" si="29"/>
        <v>1</v>
      </c>
      <c r="D76" s="25">
        <f t="shared" ca="1" si="30"/>
        <v>401861.03</v>
      </c>
      <c r="E76" s="25">
        <f ca="1">SUMIF($C77:$C83,"=2",E77:E83)</f>
        <v>0</v>
      </c>
      <c r="F76" s="25">
        <f ca="1">SUMIF($C77:$C83,"=2",F77:F83)</f>
        <v>0</v>
      </c>
      <c r="G76" s="25">
        <f ca="1">SUMIF($C77:$C83,"=2",G77:G83)</f>
        <v>0</v>
      </c>
      <c r="H76" s="25">
        <f ca="1">SUMIF($C77:$C83,"=2",H77:H83)</f>
        <v>0</v>
      </c>
      <c r="I76" s="25">
        <f t="shared" ca="1" si="31"/>
        <v>401861.03</v>
      </c>
      <c r="J76" s="7"/>
    </row>
    <row r="77" spans="1:10" customFormat="1">
      <c r="A77">
        <f>会计科目表!A77</f>
        <v>140301</v>
      </c>
      <c r="B77" t="str">
        <f t="shared" ca="1" si="28"/>
        <v>库存材料_土建工程材料</v>
      </c>
      <c r="C77" s="21">
        <f t="shared" ca="1" si="29"/>
        <v>2</v>
      </c>
      <c r="D77" s="19">
        <f t="shared" ca="1" si="30"/>
        <v>188276</v>
      </c>
      <c r="E77" s="19">
        <f t="shared" ref="E77:E87" ca="1" si="32">SUMPRODUCT((科目编号=$A77)*(记账月份=$I$1),借方金额)</f>
        <v>0</v>
      </c>
      <c r="F77" s="19">
        <f t="shared" ref="F77:F87" ca="1" si="33">SUMPRODUCT((科目编号=$A77)*(记账月份=$I$1),贷方金额)</f>
        <v>0</v>
      </c>
      <c r="G77" s="19">
        <f t="shared" ref="G77:G87" ca="1" si="34">SUMPRODUCT((科目编号=$A77)*(记账月份&lt;=$I$1),借方金额)</f>
        <v>0</v>
      </c>
      <c r="H77" s="19">
        <f t="shared" ref="H77:H87" ca="1" si="35">SUMPRODUCT((科目编号=$A77)*(记账月份&lt;=$I$1),贷方金额)</f>
        <v>0</v>
      </c>
      <c r="I77" s="19">
        <f t="shared" ca="1" si="31"/>
        <v>188276</v>
      </c>
    </row>
    <row r="78" spans="1:10" customFormat="1">
      <c r="A78">
        <f>会计科目表!A78</f>
        <v>140302</v>
      </c>
      <c r="B78" t="str">
        <f t="shared" ca="1" si="28"/>
        <v>库存材料_安装工程材料</v>
      </c>
      <c r="C78" s="21">
        <f t="shared" ca="1" si="29"/>
        <v>2</v>
      </c>
      <c r="D78" s="19">
        <f t="shared" ca="1" si="30"/>
        <v>58575.03</v>
      </c>
      <c r="E78" s="19">
        <f t="shared" ca="1" si="32"/>
        <v>0</v>
      </c>
      <c r="F78" s="19">
        <f t="shared" ca="1" si="33"/>
        <v>0</v>
      </c>
      <c r="G78" s="19">
        <f t="shared" ca="1" si="34"/>
        <v>0</v>
      </c>
      <c r="H78" s="19">
        <f t="shared" ca="1" si="35"/>
        <v>0</v>
      </c>
      <c r="I78" s="19">
        <f t="shared" ca="1" si="31"/>
        <v>58575.03</v>
      </c>
    </row>
    <row r="79" spans="1:10" customFormat="1">
      <c r="A79">
        <f>会计科目表!A79</f>
        <v>140303</v>
      </c>
      <c r="B79" t="str">
        <f t="shared" ca="1" si="28"/>
        <v>库存材料_装饰工程材料</v>
      </c>
      <c r="C79" s="21">
        <f t="shared" ca="1" si="29"/>
        <v>2</v>
      </c>
      <c r="D79" s="19">
        <f t="shared" ca="1" si="30"/>
        <v>72500</v>
      </c>
      <c r="E79" s="19">
        <f t="shared" ca="1" si="32"/>
        <v>0</v>
      </c>
      <c r="F79" s="19">
        <f t="shared" ca="1" si="33"/>
        <v>0</v>
      </c>
      <c r="G79" s="19">
        <f t="shared" ca="1" si="34"/>
        <v>0</v>
      </c>
      <c r="H79" s="19">
        <f t="shared" ca="1" si="35"/>
        <v>0</v>
      </c>
      <c r="I79" s="19">
        <f t="shared" ca="1" si="31"/>
        <v>72500</v>
      </c>
    </row>
    <row r="80" spans="1:10" customFormat="1">
      <c r="A80">
        <f>会计科目表!A80</f>
        <v>140304</v>
      </c>
      <c r="B80" t="str">
        <f t="shared" ca="1" si="28"/>
        <v>库存材料_库存设备</v>
      </c>
      <c r="C80" s="21">
        <f t="shared" ca="1" si="29"/>
        <v>2</v>
      </c>
      <c r="D80" s="19">
        <f t="shared" ca="1" si="30"/>
        <v>15200</v>
      </c>
      <c r="E80" s="19">
        <f t="shared" ca="1" si="32"/>
        <v>0</v>
      </c>
      <c r="F80" s="19">
        <f t="shared" ca="1" si="33"/>
        <v>0</v>
      </c>
      <c r="G80" s="19">
        <f t="shared" ca="1" si="34"/>
        <v>0</v>
      </c>
      <c r="H80" s="19">
        <f t="shared" ca="1" si="35"/>
        <v>0</v>
      </c>
      <c r="I80" s="19">
        <f t="shared" ca="1" si="31"/>
        <v>15200</v>
      </c>
    </row>
    <row r="81" spans="1:9" customFormat="1">
      <c r="A81">
        <f>会计科目表!A81</f>
        <v>140305</v>
      </c>
      <c r="B81" t="str">
        <f t="shared" ca="1" si="28"/>
        <v>库存材料_物业管理材料</v>
      </c>
      <c r="C81" s="21">
        <f t="shared" ca="1" si="29"/>
        <v>2</v>
      </c>
      <c r="D81" s="19">
        <f t="shared" ca="1" si="30"/>
        <v>32510</v>
      </c>
      <c r="E81" s="19">
        <f t="shared" ca="1" si="32"/>
        <v>0</v>
      </c>
      <c r="F81" s="19">
        <f t="shared" ca="1" si="33"/>
        <v>0</v>
      </c>
      <c r="G81" s="19">
        <f t="shared" ca="1" si="34"/>
        <v>0</v>
      </c>
      <c r="H81" s="19">
        <f t="shared" ca="1" si="35"/>
        <v>0</v>
      </c>
      <c r="I81" s="19">
        <f ca="1">D81+G81-H81</f>
        <v>32510</v>
      </c>
    </row>
    <row r="82" spans="1:9" customFormat="1">
      <c r="A82">
        <f>会计科目表!A82</f>
        <v>140306</v>
      </c>
      <c r="B82" t="str">
        <f t="shared" ca="1" si="28"/>
        <v>库存材料_原材料</v>
      </c>
      <c r="C82" s="21">
        <f t="shared" ca="1" si="29"/>
        <v>2</v>
      </c>
      <c r="D82" s="19">
        <f t="shared" ca="1" si="30"/>
        <v>34800</v>
      </c>
      <c r="E82" s="19">
        <f t="shared" ca="1" si="32"/>
        <v>0</v>
      </c>
      <c r="F82" s="19">
        <f t="shared" ca="1" si="33"/>
        <v>0</v>
      </c>
      <c r="G82" s="19">
        <f t="shared" ca="1" si="34"/>
        <v>0</v>
      </c>
      <c r="H82" s="19">
        <f t="shared" ca="1" si="35"/>
        <v>0</v>
      </c>
      <c r="I82" s="19">
        <f ca="1">D82+G82-H82</f>
        <v>34800</v>
      </c>
    </row>
    <row r="83" spans="1:9" customFormat="1">
      <c r="A83">
        <f>会计科目表!A83</f>
        <v>140307</v>
      </c>
      <c r="B83" t="str">
        <f t="shared" ca="1" si="28"/>
        <v>库存材料_其他材料</v>
      </c>
      <c r="C83" s="21">
        <f t="shared" ca="1" si="29"/>
        <v>2</v>
      </c>
      <c r="D83" s="19">
        <f t="shared" ca="1" si="30"/>
        <v>0</v>
      </c>
      <c r="E83" s="19">
        <f t="shared" ca="1" si="32"/>
        <v>0</v>
      </c>
      <c r="F83" s="19">
        <f t="shared" ca="1" si="33"/>
        <v>0</v>
      </c>
      <c r="G83" s="19">
        <f t="shared" ca="1" si="34"/>
        <v>0</v>
      </c>
      <c r="H83" s="19">
        <f t="shared" ca="1" si="35"/>
        <v>0</v>
      </c>
      <c r="I83" s="19">
        <f ca="1">D83+G83-H83</f>
        <v>0</v>
      </c>
    </row>
    <row r="84" spans="1:9" customFormat="1">
      <c r="A84">
        <f>会计科目表!A84</f>
        <v>1404</v>
      </c>
      <c r="B84" t="str">
        <f t="shared" ca="1" si="28"/>
        <v>材料成本差异</v>
      </c>
      <c r="C84" s="41">
        <f t="shared" ca="1" si="29"/>
        <v>1</v>
      </c>
      <c r="D84" s="25">
        <f t="shared" ca="1" si="30"/>
        <v>0</v>
      </c>
      <c r="E84" s="25">
        <f t="shared" ca="1" si="32"/>
        <v>0</v>
      </c>
      <c r="F84" s="25">
        <f t="shared" ca="1" si="33"/>
        <v>0</v>
      </c>
      <c r="G84" s="25">
        <f t="shared" ca="1" si="34"/>
        <v>0</v>
      </c>
      <c r="H84" s="25">
        <f t="shared" ca="1" si="35"/>
        <v>0</v>
      </c>
      <c r="I84" s="25">
        <f t="shared" ref="I84:I147" ca="1" si="36">D84+G84-H84</f>
        <v>0</v>
      </c>
    </row>
    <row r="85" spans="1:9" customFormat="1">
      <c r="A85">
        <f>会计科目表!A85</f>
        <v>1405</v>
      </c>
      <c r="B85" t="str">
        <f t="shared" ca="1" si="28"/>
        <v>库存商品</v>
      </c>
      <c r="C85" s="41">
        <f t="shared" ca="1" si="29"/>
        <v>1</v>
      </c>
      <c r="D85" s="25">
        <f t="shared" ca="1" si="30"/>
        <v>0</v>
      </c>
      <c r="E85" s="25">
        <f t="shared" ca="1" si="32"/>
        <v>0</v>
      </c>
      <c r="F85" s="25">
        <f t="shared" ca="1" si="33"/>
        <v>0</v>
      </c>
      <c r="G85" s="25">
        <f t="shared" ca="1" si="34"/>
        <v>0</v>
      </c>
      <c r="H85" s="25">
        <f t="shared" ca="1" si="35"/>
        <v>0</v>
      </c>
      <c r="I85" s="25">
        <f t="shared" ca="1" si="36"/>
        <v>0</v>
      </c>
    </row>
    <row r="86" spans="1:9" customFormat="1">
      <c r="A86">
        <f>会计科目表!A86</f>
        <v>1406</v>
      </c>
      <c r="B86" t="str">
        <f t="shared" ca="1" si="28"/>
        <v>发出商品</v>
      </c>
      <c r="C86" s="41">
        <f t="shared" ca="1" si="29"/>
        <v>1</v>
      </c>
      <c r="D86" s="25">
        <f t="shared" ca="1" si="30"/>
        <v>0</v>
      </c>
      <c r="E86" s="25">
        <f t="shared" ca="1" si="32"/>
        <v>0</v>
      </c>
      <c r="F86" s="25">
        <f t="shared" ca="1" si="33"/>
        <v>0</v>
      </c>
      <c r="G86" s="25">
        <f t="shared" ca="1" si="34"/>
        <v>0</v>
      </c>
      <c r="H86" s="25">
        <f t="shared" ca="1" si="35"/>
        <v>0</v>
      </c>
      <c r="I86" s="25">
        <f t="shared" ca="1" si="36"/>
        <v>0</v>
      </c>
    </row>
    <row r="87" spans="1:9" customFormat="1">
      <c r="A87">
        <f>会计科目表!A87</f>
        <v>1408</v>
      </c>
      <c r="B87" t="str">
        <f t="shared" ca="1" si="28"/>
        <v>委托加工物资</v>
      </c>
      <c r="C87" s="41">
        <f t="shared" ca="1" si="29"/>
        <v>1</v>
      </c>
      <c r="D87" s="25">
        <f t="shared" ca="1" si="30"/>
        <v>0</v>
      </c>
      <c r="E87" s="25">
        <f t="shared" ca="1" si="32"/>
        <v>0</v>
      </c>
      <c r="F87" s="25">
        <f t="shared" ca="1" si="33"/>
        <v>0</v>
      </c>
      <c r="G87" s="25">
        <f t="shared" ca="1" si="34"/>
        <v>0</v>
      </c>
      <c r="H87" s="25">
        <f t="shared" ca="1" si="35"/>
        <v>0</v>
      </c>
      <c r="I87" s="25">
        <f t="shared" ca="1" si="36"/>
        <v>0</v>
      </c>
    </row>
    <row r="88" spans="1:9" customFormat="1">
      <c r="A88">
        <f>会计科目表!A88</f>
        <v>1409</v>
      </c>
      <c r="B88" t="str">
        <f t="shared" ca="1" si="28"/>
        <v>开发产品</v>
      </c>
      <c r="C88" s="41">
        <f t="shared" ca="1" si="29"/>
        <v>1</v>
      </c>
      <c r="D88" s="25">
        <f t="shared" ca="1" si="30"/>
        <v>0</v>
      </c>
      <c r="E88" s="25">
        <f ca="1">SUMIF($C89:$C90,"=2",E89:E90)</f>
        <v>0</v>
      </c>
      <c r="F88" s="25">
        <f t="shared" ref="F88:H88" ca="1" si="37">SUMIF($C89:$C90,"=2",F89:F90)</f>
        <v>0</v>
      </c>
      <c r="G88" s="25">
        <f t="shared" ca="1" si="37"/>
        <v>0</v>
      </c>
      <c r="H88" s="25">
        <f t="shared" ca="1" si="37"/>
        <v>0</v>
      </c>
      <c r="I88" s="25">
        <f t="shared" ca="1" si="36"/>
        <v>0</v>
      </c>
    </row>
    <row r="89" spans="1:9" customFormat="1">
      <c r="A89">
        <f>会计科目表!A89</f>
        <v>140901</v>
      </c>
      <c r="B89" t="str">
        <f t="shared" ca="1" si="28"/>
        <v>开发产品_出售开发产品</v>
      </c>
      <c r="C89" s="21">
        <f t="shared" ca="1" si="29"/>
        <v>2</v>
      </c>
      <c r="D89" s="19">
        <f t="shared" ca="1" si="30"/>
        <v>0</v>
      </c>
      <c r="E89" s="19">
        <f ca="1">SUMPRODUCT((科目编号=$A89)*(记账月份=$I$1),借方金额)</f>
        <v>0</v>
      </c>
      <c r="F89" s="19">
        <f ca="1">SUMPRODUCT((科目编号=$A89)*(记账月份=$I$1),贷方金额)</f>
        <v>0</v>
      </c>
      <c r="G89" s="19">
        <f ca="1">SUMPRODUCT((科目编号=$A89)*(记账月份&lt;=$I$1),借方金额)</f>
        <v>0</v>
      </c>
      <c r="H89" s="19">
        <f ca="1">SUMPRODUCT((科目编号=$A89)*(记账月份&lt;=$I$1),贷方金额)</f>
        <v>0</v>
      </c>
      <c r="I89" s="19">
        <f t="shared" ca="1" si="36"/>
        <v>0</v>
      </c>
    </row>
    <row r="90" spans="1:9" customFormat="1">
      <c r="A90">
        <f>会计科目表!A90</f>
        <v>140902</v>
      </c>
      <c r="B90" t="str">
        <f t="shared" ca="1" si="28"/>
        <v>开发产品_出租开发产品</v>
      </c>
      <c r="C90" s="21">
        <f t="shared" ca="1" si="29"/>
        <v>2</v>
      </c>
      <c r="D90" s="19">
        <f t="shared" ca="1" si="30"/>
        <v>0</v>
      </c>
      <c r="E90" s="19">
        <f ca="1">SUMPRODUCT((科目编号=$A90)*(记账月份=$I$1),借方金额)</f>
        <v>0</v>
      </c>
      <c r="F90" s="19">
        <f ca="1">SUMPRODUCT((科目编号=$A90)*(记账月份=$I$1),贷方金额)</f>
        <v>0</v>
      </c>
      <c r="G90" s="19">
        <f ca="1">SUMPRODUCT((科目编号=$A90)*(记账月份&lt;=$I$1),借方金额)</f>
        <v>0</v>
      </c>
      <c r="H90" s="19">
        <f ca="1">SUMPRODUCT((科目编号=$A90)*(记账月份&lt;=$I$1),贷方金额)</f>
        <v>0</v>
      </c>
      <c r="I90" s="19">
        <f t="shared" ca="1" si="36"/>
        <v>0</v>
      </c>
    </row>
    <row r="91" spans="1:9" customFormat="1">
      <c r="A91">
        <f>会计科目表!A91</f>
        <v>1411</v>
      </c>
      <c r="B91" t="str">
        <f t="shared" ca="1" si="28"/>
        <v>周转材料</v>
      </c>
      <c r="C91" s="41">
        <f t="shared" ca="1" si="29"/>
        <v>1</v>
      </c>
      <c r="D91" s="25">
        <f t="shared" ca="1" si="30"/>
        <v>0</v>
      </c>
      <c r="E91" s="25">
        <f ca="1">SUMIF($C92:$C105,"=2",E92:E105)</f>
        <v>0</v>
      </c>
      <c r="F91" s="25">
        <f ca="1">SUMIF($C92:$C105,"=2",F92:F105)</f>
        <v>0</v>
      </c>
      <c r="G91" s="25">
        <f ca="1">SUMIF($C92:$C105,"=2",G92:G105)</f>
        <v>0</v>
      </c>
      <c r="H91" s="25">
        <f ca="1">SUMIF($C92:$C105,"=2",H92:H105)</f>
        <v>0</v>
      </c>
      <c r="I91" s="25">
        <f t="shared" ca="1" si="36"/>
        <v>0</v>
      </c>
    </row>
    <row r="92" spans="1:9" customFormat="1">
      <c r="A92">
        <f>会计科目表!A92</f>
        <v>141101</v>
      </c>
      <c r="B92" t="str">
        <f t="shared" ca="1" si="28"/>
        <v>周转材料_包装物</v>
      </c>
      <c r="C92" s="21">
        <f t="shared" ca="1" si="29"/>
        <v>2</v>
      </c>
      <c r="D92" s="19">
        <f t="shared" ca="1" si="30"/>
        <v>0</v>
      </c>
      <c r="E92" s="19">
        <f ca="1">SUMIF($C93:$C98,"=3",E93:E98)</f>
        <v>0</v>
      </c>
      <c r="F92" s="19">
        <f ca="1">SUMIF($C93:$C98,"=3",F93:F98)</f>
        <v>0</v>
      </c>
      <c r="G92" s="19">
        <f ca="1">SUMIF($C93:$C98,"=3",G93:G98)</f>
        <v>0</v>
      </c>
      <c r="H92" s="19">
        <f ca="1">SUMIF($C93:$C98,"=3",H93:H98)</f>
        <v>0</v>
      </c>
      <c r="I92" s="19">
        <f t="shared" ca="1" si="36"/>
        <v>0</v>
      </c>
    </row>
    <row r="93" spans="1:9" customFormat="1">
      <c r="A93">
        <f>会计科目表!A93</f>
        <v>14110101</v>
      </c>
      <c r="B93" t="str">
        <f t="shared" ca="1" si="28"/>
        <v>周转材料_在库_模板</v>
      </c>
      <c r="C93" s="21">
        <f t="shared" ca="1" si="29"/>
        <v>3</v>
      </c>
      <c r="D93" s="19">
        <f t="shared" ca="1" si="30"/>
        <v>0</v>
      </c>
      <c r="E93" s="19">
        <f t="shared" ref="E93:E98" ca="1" si="38">SUMPRODUCT((科目编号=$A93)*(记账月份=$I$1),借方金额)</f>
        <v>0</v>
      </c>
      <c r="F93" s="19">
        <f t="shared" ref="F93:F98" ca="1" si="39">SUMPRODUCT((科目编号=$A93)*(记账月份=$I$1),贷方金额)</f>
        <v>0</v>
      </c>
      <c r="G93" s="19">
        <f t="shared" ref="G93:G98" ca="1" si="40">SUMPRODUCT((科目编号=$A93)*(记账月份&lt;=$I$1),借方金额)</f>
        <v>0</v>
      </c>
      <c r="H93" s="19">
        <f t="shared" ref="H93:H98" ca="1" si="41">SUMPRODUCT((科目编号=$A93)*(记账月份&lt;=$I$1),贷方金额)</f>
        <v>0</v>
      </c>
      <c r="I93" s="19">
        <f t="shared" ca="1" si="36"/>
        <v>0</v>
      </c>
    </row>
    <row r="94" spans="1:9" customFormat="1">
      <c r="A94">
        <f>会计科目表!A94</f>
        <v>14110102</v>
      </c>
      <c r="B94" t="str">
        <f t="shared" ca="1" si="28"/>
        <v>周转材料_在库_挡板</v>
      </c>
      <c r="C94" s="21">
        <f t="shared" ca="1" si="29"/>
        <v>3</v>
      </c>
      <c r="D94" s="19">
        <f t="shared" ca="1" si="30"/>
        <v>0</v>
      </c>
      <c r="E94" s="19">
        <f t="shared" ca="1" si="38"/>
        <v>0</v>
      </c>
      <c r="F94" s="19">
        <f t="shared" ca="1" si="39"/>
        <v>0</v>
      </c>
      <c r="G94" s="19">
        <f t="shared" ca="1" si="40"/>
        <v>0</v>
      </c>
      <c r="H94" s="19">
        <f t="shared" ca="1" si="41"/>
        <v>0</v>
      </c>
      <c r="I94" s="19">
        <f t="shared" ca="1" si="36"/>
        <v>0</v>
      </c>
    </row>
    <row r="95" spans="1:9" customFormat="1">
      <c r="A95">
        <f>会计科目表!A95</f>
        <v>14110103</v>
      </c>
      <c r="B95" t="str">
        <f t="shared" ca="1" si="28"/>
        <v>周转材料_在库_架料</v>
      </c>
      <c r="C95" s="21">
        <f t="shared" ca="1" si="29"/>
        <v>3</v>
      </c>
      <c r="D95" s="19">
        <f t="shared" ca="1" si="30"/>
        <v>0</v>
      </c>
      <c r="E95" s="19">
        <f t="shared" ca="1" si="38"/>
        <v>0</v>
      </c>
      <c r="F95" s="19">
        <f t="shared" ca="1" si="39"/>
        <v>0</v>
      </c>
      <c r="G95" s="19">
        <f t="shared" ca="1" si="40"/>
        <v>0</v>
      </c>
      <c r="H95" s="19">
        <f t="shared" ca="1" si="41"/>
        <v>0</v>
      </c>
      <c r="I95" s="19">
        <f t="shared" ca="1" si="36"/>
        <v>0</v>
      </c>
    </row>
    <row r="96" spans="1:9" customFormat="1">
      <c r="A96">
        <f>会计科目表!A96</f>
        <v>14110104</v>
      </c>
      <c r="B96" t="str">
        <f t="shared" ca="1" si="28"/>
        <v>周转材料_在库_安全网</v>
      </c>
      <c r="C96" s="21">
        <f t="shared" ca="1" si="29"/>
        <v>3</v>
      </c>
      <c r="D96" s="19">
        <f t="shared" ca="1" si="30"/>
        <v>0</v>
      </c>
      <c r="E96" s="19">
        <f t="shared" ca="1" si="38"/>
        <v>0</v>
      </c>
      <c r="F96" s="19">
        <f t="shared" ca="1" si="39"/>
        <v>0</v>
      </c>
      <c r="G96" s="19">
        <f t="shared" ca="1" si="40"/>
        <v>0</v>
      </c>
      <c r="H96" s="19">
        <f t="shared" ca="1" si="41"/>
        <v>0</v>
      </c>
      <c r="I96" s="19">
        <f t="shared" ca="1" si="36"/>
        <v>0</v>
      </c>
    </row>
    <row r="97" spans="1:9" customFormat="1">
      <c r="A97">
        <f>会计科目表!A97</f>
        <v>14110105</v>
      </c>
      <c r="B97" t="str">
        <f t="shared" ca="1" si="28"/>
        <v>周转材料_在库_管理用具</v>
      </c>
      <c r="C97" s="21">
        <f t="shared" ca="1" si="29"/>
        <v>3</v>
      </c>
      <c r="D97" s="19">
        <f t="shared" ca="1" si="30"/>
        <v>0</v>
      </c>
      <c r="E97" s="19">
        <f t="shared" ca="1" si="38"/>
        <v>0</v>
      </c>
      <c r="F97" s="19">
        <f t="shared" ca="1" si="39"/>
        <v>0</v>
      </c>
      <c r="G97" s="19">
        <f t="shared" ca="1" si="40"/>
        <v>0</v>
      </c>
      <c r="H97" s="19">
        <f t="shared" ca="1" si="41"/>
        <v>0</v>
      </c>
      <c r="I97" s="19">
        <f t="shared" ca="1" si="36"/>
        <v>0</v>
      </c>
    </row>
    <row r="98" spans="1:9" customFormat="1">
      <c r="A98">
        <f>会计科目表!A98</f>
        <v>14110106</v>
      </c>
      <c r="B98" t="str">
        <f t="shared" ca="1" si="28"/>
        <v>周转材料_在库_工具用具</v>
      </c>
      <c r="C98" s="21">
        <f t="shared" ca="1" si="29"/>
        <v>3</v>
      </c>
      <c r="D98" s="19">
        <f t="shared" ca="1" si="30"/>
        <v>0</v>
      </c>
      <c r="E98" s="19">
        <f t="shared" ca="1" si="38"/>
        <v>0</v>
      </c>
      <c r="F98" s="19">
        <f t="shared" ca="1" si="39"/>
        <v>0</v>
      </c>
      <c r="G98" s="19">
        <f t="shared" ca="1" si="40"/>
        <v>0</v>
      </c>
      <c r="H98" s="19">
        <f t="shared" ca="1" si="41"/>
        <v>0</v>
      </c>
      <c r="I98" s="19">
        <f t="shared" ca="1" si="36"/>
        <v>0</v>
      </c>
    </row>
    <row r="99" spans="1:9" customFormat="1">
      <c r="A99">
        <f>会计科目表!A99</f>
        <v>141102</v>
      </c>
      <c r="B99" t="str">
        <f t="shared" ca="1" si="28"/>
        <v>周转材料_低值易耗品</v>
      </c>
      <c r="C99" s="21">
        <f t="shared" ca="1" si="29"/>
        <v>2</v>
      </c>
      <c r="D99" s="19">
        <f t="shared" ca="1" si="30"/>
        <v>0</v>
      </c>
      <c r="E99" s="19">
        <f ca="1">SUMIF($C100:$C105,"=2",E100:E105)</f>
        <v>0</v>
      </c>
      <c r="F99" s="19">
        <f ca="1">SUMIF($C100:$C105,"=2",F100:F105)</f>
        <v>0</v>
      </c>
      <c r="G99" s="19">
        <f ca="1">SUMIF($C100:$C105,"=2",G100:G105)</f>
        <v>0</v>
      </c>
      <c r="H99" s="19">
        <f ca="1">SUMIF($C100:$C105,"=2",H100:H105)</f>
        <v>0</v>
      </c>
      <c r="I99" s="19">
        <f t="shared" ca="1" si="36"/>
        <v>0</v>
      </c>
    </row>
    <row r="100" spans="1:9" customFormat="1">
      <c r="A100">
        <f>会计科目表!A100</f>
        <v>14110201</v>
      </c>
      <c r="B100" t="str">
        <f t="shared" ca="1" si="28"/>
        <v>周转材料_在用_模板</v>
      </c>
      <c r="C100" s="21">
        <f t="shared" ca="1" si="29"/>
        <v>3</v>
      </c>
      <c r="D100" s="19">
        <f t="shared" ca="1" si="30"/>
        <v>0</v>
      </c>
      <c r="E100" s="19">
        <f t="shared" ref="E100:E107" ca="1" si="42">SUMPRODUCT((科目编号=$A100)*(记账月份=$I$1),借方金额)</f>
        <v>0</v>
      </c>
      <c r="F100" s="19">
        <f t="shared" ref="F100:F107" ca="1" si="43">SUMPRODUCT((科目编号=$A100)*(记账月份=$I$1),贷方金额)</f>
        <v>0</v>
      </c>
      <c r="G100" s="19">
        <f t="shared" ref="G100:G107" ca="1" si="44">SUMPRODUCT((科目编号=$A100)*(记账月份&lt;=$I$1),借方金额)</f>
        <v>0</v>
      </c>
      <c r="H100" s="19">
        <f t="shared" ref="H100:H107" ca="1" si="45">SUMPRODUCT((科目编号=$A100)*(记账月份&lt;=$I$1),贷方金额)</f>
        <v>0</v>
      </c>
      <c r="I100" s="19">
        <f t="shared" ca="1" si="36"/>
        <v>0</v>
      </c>
    </row>
    <row r="101" spans="1:9" customFormat="1">
      <c r="A101">
        <f>会计科目表!A101</f>
        <v>14110202</v>
      </c>
      <c r="B101" t="str">
        <f t="shared" ca="1" si="28"/>
        <v>周转材料_在用_挡板</v>
      </c>
      <c r="C101" s="21">
        <f t="shared" ca="1" si="29"/>
        <v>3</v>
      </c>
      <c r="D101" s="19">
        <f t="shared" ca="1" si="30"/>
        <v>0</v>
      </c>
      <c r="E101" s="19">
        <f t="shared" ca="1" si="42"/>
        <v>0</v>
      </c>
      <c r="F101" s="19">
        <f t="shared" ca="1" si="43"/>
        <v>0</v>
      </c>
      <c r="G101" s="19">
        <f t="shared" ca="1" si="44"/>
        <v>0</v>
      </c>
      <c r="H101" s="19">
        <f t="shared" ca="1" si="45"/>
        <v>0</v>
      </c>
      <c r="I101" s="19">
        <f t="shared" ca="1" si="36"/>
        <v>0</v>
      </c>
    </row>
    <row r="102" spans="1:9" customFormat="1">
      <c r="A102">
        <f>会计科目表!A102</f>
        <v>14110203</v>
      </c>
      <c r="B102" t="str">
        <f t="shared" ca="1" si="28"/>
        <v>周转材料_在用_架料</v>
      </c>
      <c r="C102" s="21">
        <f t="shared" ca="1" si="29"/>
        <v>3</v>
      </c>
      <c r="D102" s="19">
        <f t="shared" ca="1" si="30"/>
        <v>0</v>
      </c>
      <c r="E102" s="19">
        <f t="shared" ca="1" si="42"/>
        <v>0</v>
      </c>
      <c r="F102" s="19">
        <f t="shared" ca="1" si="43"/>
        <v>0</v>
      </c>
      <c r="G102" s="19">
        <f t="shared" ca="1" si="44"/>
        <v>0</v>
      </c>
      <c r="H102" s="19">
        <f t="shared" ca="1" si="45"/>
        <v>0</v>
      </c>
      <c r="I102" s="19">
        <f t="shared" ca="1" si="36"/>
        <v>0</v>
      </c>
    </row>
    <row r="103" spans="1:9" customFormat="1">
      <c r="A103">
        <f>会计科目表!A103</f>
        <v>14110204</v>
      </c>
      <c r="B103" t="str">
        <f t="shared" ca="1" si="28"/>
        <v>周转材料_在用_安全网</v>
      </c>
      <c r="C103" s="21">
        <f t="shared" ca="1" si="29"/>
        <v>3</v>
      </c>
      <c r="D103" s="19">
        <f t="shared" ca="1" si="30"/>
        <v>0</v>
      </c>
      <c r="E103" s="19">
        <f t="shared" ca="1" si="42"/>
        <v>0</v>
      </c>
      <c r="F103" s="19">
        <f t="shared" ca="1" si="43"/>
        <v>0</v>
      </c>
      <c r="G103" s="19">
        <f t="shared" ca="1" si="44"/>
        <v>0</v>
      </c>
      <c r="H103" s="19">
        <f t="shared" ca="1" si="45"/>
        <v>0</v>
      </c>
      <c r="I103" s="19">
        <f t="shared" ca="1" si="36"/>
        <v>0</v>
      </c>
    </row>
    <row r="104" spans="1:9" customFormat="1">
      <c r="A104">
        <f>会计科目表!A104</f>
        <v>14110205</v>
      </c>
      <c r="B104" t="str">
        <f t="shared" ca="1" si="28"/>
        <v>周转材料_在用_管理用具</v>
      </c>
      <c r="C104" s="21">
        <f t="shared" ca="1" si="29"/>
        <v>3</v>
      </c>
      <c r="D104" s="19">
        <f t="shared" ca="1" si="30"/>
        <v>0</v>
      </c>
      <c r="E104" s="19">
        <f t="shared" ca="1" si="42"/>
        <v>0</v>
      </c>
      <c r="F104" s="19">
        <f t="shared" ca="1" si="43"/>
        <v>0</v>
      </c>
      <c r="G104" s="19">
        <f t="shared" ca="1" si="44"/>
        <v>0</v>
      </c>
      <c r="H104" s="19">
        <f t="shared" ca="1" si="45"/>
        <v>0</v>
      </c>
      <c r="I104" s="19">
        <f t="shared" ca="1" si="36"/>
        <v>0</v>
      </c>
    </row>
    <row r="105" spans="1:9" customFormat="1">
      <c r="A105">
        <f>会计科目表!A105</f>
        <v>14110206</v>
      </c>
      <c r="B105" t="str">
        <f t="shared" ca="1" si="28"/>
        <v>周转材料_在用_工具用具</v>
      </c>
      <c r="C105" s="21">
        <f t="shared" ca="1" si="29"/>
        <v>3</v>
      </c>
      <c r="D105" s="19">
        <f t="shared" ca="1" si="30"/>
        <v>0</v>
      </c>
      <c r="E105" s="19">
        <f t="shared" ca="1" si="42"/>
        <v>0</v>
      </c>
      <c r="F105" s="19">
        <f t="shared" ca="1" si="43"/>
        <v>0</v>
      </c>
      <c r="G105" s="19">
        <f t="shared" ca="1" si="44"/>
        <v>0</v>
      </c>
      <c r="H105" s="19">
        <f t="shared" ca="1" si="45"/>
        <v>0</v>
      </c>
      <c r="I105" s="19">
        <f t="shared" ca="1" si="36"/>
        <v>0</v>
      </c>
    </row>
    <row r="106" spans="1:9" customFormat="1">
      <c r="A106">
        <f>会计科目表!A106</f>
        <v>1461</v>
      </c>
      <c r="B106" t="str">
        <f t="shared" ca="1" si="28"/>
        <v>融资租赁资产</v>
      </c>
      <c r="C106" s="41">
        <f t="shared" ca="1" si="29"/>
        <v>1</v>
      </c>
      <c r="D106" s="25">
        <f t="shared" ca="1" si="30"/>
        <v>0</v>
      </c>
      <c r="E106" s="25">
        <f t="shared" ca="1" si="42"/>
        <v>0</v>
      </c>
      <c r="F106" s="25">
        <f t="shared" ca="1" si="43"/>
        <v>0</v>
      </c>
      <c r="G106" s="25">
        <f t="shared" ca="1" si="44"/>
        <v>0</v>
      </c>
      <c r="H106" s="25">
        <f t="shared" ca="1" si="45"/>
        <v>0</v>
      </c>
      <c r="I106" s="25">
        <f ca="1">D106+G106-H106</f>
        <v>0</v>
      </c>
    </row>
    <row r="107" spans="1:9" customFormat="1">
      <c r="A107">
        <f>会计科目表!A107</f>
        <v>1471</v>
      </c>
      <c r="B107" t="str">
        <f t="shared" ca="1" si="28"/>
        <v>存货跌价准备</v>
      </c>
      <c r="C107" s="41">
        <f t="shared" ca="1" si="29"/>
        <v>1</v>
      </c>
      <c r="D107" s="25">
        <f t="shared" ca="1" si="30"/>
        <v>0</v>
      </c>
      <c r="E107" s="25">
        <f t="shared" ca="1" si="42"/>
        <v>0</v>
      </c>
      <c r="F107" s="25">
        <f t="shared" ca="1" si="43"/>
        <v>0</v>
      </c>
      <c r="G107" s="25">
        <f t="shared" ca="1" si="44"/>
        <v>0</v>
      </c>
      <c r="H107" s="25">
        <f t="shared" ca="1" si="45"/>
        <v>0</v>
      </c>
      <c r="I107" s="25">
        <f t="shared" ca="1" si="36"/>
        <v>0</v>
      </c>
    </row>
    <row r="108" spans="1:9" customFormat="1">
      <c r="A108">
        <f>会计科目表!A108</f>
        <v>1501</v>
      </c>
      <c r="B108" t="str">
        <f t="shared" ca="1" si="28"/>
        <v>持有至到期投资</v>
      </c>
      <c r="C108" s="41">
        <f t="shared" ca="1" si="29"/>
        <v>1</v>
      </c>
      <c r="D108" s="25">
        <f t="shared" ca="1" si="30"/>
        <v>0</v>
      </c>
      <c r="E108" s="25">
        <f ca="1">SUM(E109:E111)</f>
        <v>0</v>
      </c>
      <c r="F108" s="25">
        <f ca="1">SUM(F109:F111)</f>
        <v>0</v>
      </c>
      <c r="G108" s="25">
        <f ca="1">SUM(G109:G111)</f>
        <v>0</v>
      </c>
      <c r="H108" s="25">
        <f ca="1">SUM(H109:H111)</f>
        <v>0</v>
      </c>
      <c r="I108" s="25">
        <f t="shared" ca="1" si="36"/>
        <v>0</v>
      </c>
    </row>
    <row r="109" spans="1:9" customFormat="1" hidden="1">
      <c r="A109">
        <f>会计科目表!A109</f>
        <v>150101</v>
      </c>
      <c r="B109" t="str">
        <f t="shared" ca="1" si="28"/>
        <v>持有至到期投资_成本</v>
      </c>
      <c r="C109" s="21">
        <f t="shared" ca="1" si="29"/>
        <v>2</v>
      </c>
      <c r="D109" s="19">
        <f t="shared" ca="1" si="30"/>
        <v>0</v>
      </c>
      <c r="E109" s="19">
        <f ca="1">SUMPRODUCT((科目编号=$A109)*(记账月份=$I$1),借方金额)</f>
        <v>0</v>
      </c>
      <c r="F109" s="19">
        <f ca="1">SUMPRODUCT((科目编号=$A109)*(记账月份=$I$1),贷方金额)</f>
        <v>0</v>
      </c>
      <c r="G109" s="19">
        <f ca="1">SUMPRODUCT((科目编号=$A109)*(记账月份&lt;=$I$1),借方金额)</f>
        <v>0</v>
      </c>
      <c r="H109" s="19">
        <f ca="1">SUMPRODUCT((科目编号=$A109)*(记账月份&lt;=$I$1),贷方金额)</f>
        <v>0</v>
      </c>
      <c r="I109" s="19">
        <f t="shared" ca="1" si="36"/>
        <v>0</v>
      </c>
    </row>
    <row r="110" spans="1:9" customFormat="1" hidden="1">
      <c r="A110">
        <f>会计科目表!A110</f>
        <v>150102</v>
      </c>
      <c r="B110" t="str">
        <f t="shared" ca="1" si="28"/>
        <v>持有至到期投资_利息调整</v>
      </c>
      <c r="C110" s="21">
        <f t="shared" ca="1" si="29"/>
        <v>2</v>
      </c>
      <c r="D110" s="19">
        <f t="shared" ca="1" si="30"/>
        <v>0</v>
      </c>
      <c r="E110" s="19">
        <f ca="1">SUMPRODUCT((科目编号=$A110)*(记账月份=$I$1),借方金额)</f>
        <v>0</v>
      </c>
      <c r="F110" s="19">
        <f ca="1">SUMPRODUCT((科目编号=$A110)*(记账月份=$I$1),贷方金额)</f>
        <v>0</v>
      </c>
      <c r="G110" s="19">
        <f ca="1">SUMPRODUCT((科目编号=$A110)*(记账月份&lt;=$I$1),借方金额)</f>
        <v>0</v>
      </c>
      <c r="H110" s="19">
        <f ca="1">SUMPRODUCT((科目编号=$A110)*(记账月份&lt;=$I$1),贷方金额)</f>
        <v>0</v>
      </c>
      <c r="I110" s="19">
        <f t="shared" ca="1" si="36"/>
        <v>0</v>
      </c>
    </row>
    <row r="111" spans="1:9" customFormat="1" hidden="1">
      <c r="A111">
        <f>会计科目表!A111</f>
        <v>150103</v>
      </c>
      <c r="B111" t="str">
        <f t="shared" ca="1" si="28"/>
        <v>持有至到期投资_应计利息</v>
      </c>
      <c r="C111" s="21">
        <f t="shared" ca="1" si="29"/>
        <v>2</v>
      </c>
      <c r="D111" s="19">
        <f t="shared" ca="1" si="30"/>
        <v>0</v>
      </c>
      <c r="E111" s="19">
        <f ca="1">SUMPRODUCT((科目编号=$A111)*(记账月份=$I$1),借方金额)</f>
        <v>0</v>
      </c>
      <c r="F111" s="19">
        <f ca="1">SUMPRODUCT((科目编号=$A111)*(记账月份=$I$1),贷方金额)</f>
        <v>0</v>
      </c>
      <c r="G111" s="19">
        <f ca="1">SUMPRODUCT((科目编号=$A111)*(记账月份&lt;=$I$1),借方金额)</f>
        <v>0</v>
      </c>
      <c r="H111" s="19">
        <f ca="1">SUMPRODUCT((科目编号=$A111)*(记账月份&lt;=$I$1),贷方金额)</f>
        <v>0</v>
      </c>
      <c r="I111" s="19">
        <f t="shared" ca="1" si="36"/>
        <v>0</v>
      </c>
    </row>
    <row r="112" spans="1:9" customFormat="1">
      <c r="A112">
        <f>会计科目表!A112</f>
        <v>1502</v>
      </c>
      <c r="B112" t="str">
        <f t="shared" ca="1" si="28"/>
        <v>持有至到期投资减值准备</v>
      </c>
      <c r="C112" s="41">
        <f t="shared" ca="1" si="29"/>
        <v>1</v>
      </c>
      <c r="D112" s="25">
        <f t="shared" ca="1" si="30"/>
        <v>0</v>
      </c>
      <c r="E112" s="25">
        <f ca="1">SUMPRODUCT((科目编号=$A112)*(记账月份=$I$1),借方金额)</f>
        <v>0</v>
      </c>
      <c r="F112" s="25">
        <f ca="1">SUMPRODUCT((科目编号=$A112)*(记账月份=$I$1),贷方金额)</f>
        <v>0</v>
      </c>
      <c r="G112" s="25">
        <f ca="1">SUMPRODUCT((科目编号=$A112)*(记账月份&lt;=$I$1),借方金额)</f>
        <v>0</v>
      </c>
      <c r="H112" s="25">
        <f ca="1">SUMPRODUCT((科目编号=$A112)*(记账月份&lt;=$I$1),贷方金额)</f>
        <v>0</v>
      </c>
      <c r="I112" s="25">
        <f t="shared" ca="1" si="36"/>
        <v>0</v>
      </c>
    </row>
    <row r="113" spans="1:9" customFormat="1">
      <c r="A113">
        <f>会计科目表!A113</f>
        <v>1503</v>
      </c>
      <c r="B113" t="str">
        <f t="shared" ca="1" si="28"/>
        <v>可供出售金融资产</v>
      </c>
      <c r="C113" s="41">
        <f t="shared" ca="1" si="29"/>
        <v>1</v>
      </c>
      <c r="D113" s="25">
        <f t="shared" ca="1" si="30"/>
        <v>0</v>
      </c>
      <c r="E113" s="25">
        <f ca="1">SUMPRODUCT((科目编号=$A113)*(记账月份=$I$1),借方金额)</f>
        <v>0</v>
      </c>
      <c r="F113" s="25">
        <f ca="1">SUMPRODUCT((科目编号=$A113)*(记账月份=$I$1),贷方金额)</f>
        <v>0</v>
      </c>
      <c r="G113" s="25">
        <f ca="1">SUMPRODUCT((科目编号=$A113)*(记账月份&lt;=$I$1),借方金额)</f>
        <v>0</v>
      </c>
      <c r="H113" s="25">
        <f ca="1">SUMPRODUCT((科目编号=$A113)*(记账月份&lt;=$I$1),贷方金额)</f>
        <v>0</v>
      </c>
      <c r="I113" s="25">
        <f ca="1">D113+G113-H113</f>
        <v>0</v>
      </c>
    </row>
    <row r="114" spans="1:9" customFormat="1">
      <c r="A114">
        <f>会计科目表!A114</f>
        <v>1511</v>
      </c>
      <c r="B114" t="str">
        <f t="shared" ca="1" si="28"/>
        <v>长期股权投资</v>
      </c>
      <c r="C114" s="41">
        <f t="shared" ca="1" si="29"/>
        <v>1</v>
      </c>
      <c r="D114" s="25">
        <f t="shared" ca="1" si="30"/>
        <v>0</v>
      </c>
      <c r="E114" s="25">
        <f ca="1">SUM(E115:E117)</f>
        <v>0</v>
      </c>
      <c r="F114" s="25">
        <f ca="1">SUM(F115:F117)</f>
        <v>0</v>
      </c>
      <c r="G114" s="25">
        <f ca="1">SUM(G115:G117)</f>
        <v>0</v>
      </c>
      <c r="H114" s="25">
        <f ca="1">SUM(H115:H117)</f>
        <v>0</v>
      </c>
      <c r="I114" s="25">
        <f t="shared" ca="1" si="36"/>
        <v>0</v>
      </c>
    </row>
    <row r="115" spans="1:9" customFormat="1" hidden="1">
      <c r="A115">
        <f>会计科目表!A115</f>
        <v>151101</v>
      </c>
      <c r="B115" t="str">
        <f t="shared" ca="1" si="28"/>
        <v>长期股权投资_成本</v>
      </c>
      <c r="C115" s="21">
        <f t="shared" ca="1" si="29"/>
        <v>2</v>
      </c>
      <c r="D115" s="19">
        <f t="shared" ca="1" si="30"/>
        <v>0</v>
      </c>
      <c r="E115" s="19">
        <f t="shared" ref="E115:E122" ca="1" si="46">SUMPRODUCT((科目编号=$A115)*(记账月份=$I$1),借方金额)</f>
        <v>0</v>
      </c>
      <c r="F115" s="19">
        <f t="shared" ref="F115:F122" ca="1" si="47">SUMPRODUCT((科目编号=$A115)*(记账月份=$I$1),贷方金额)</f>
        <v>0</v>
      </c>
      <c r="G115" s="19">
        <f t="shared" ref="G115:G122" ca="1" si="48">SUMPRODUCT((科目编号=$A115)*(记账月份&lt;=$I$1),借方金额)</f>
        <v>0</v>
      </c>
      <c r="H115" s="19">
        <f t="shared" ref="H115:H122" ca="1" si="49">SUMPRODUCT((科目编号=$A115)*(记账月份&lt;=$I$1),贷方金额)</f>
        <v>0</v>
      </c>
      <c r="I115" s="19">
        <f t="shared" ca="1" si="36"/>
        <v>0</v>
      </c>
    </row>
    <row r="116" spans="1:9" customFormat="1" hidden="1">
      <c r="A116">
        <f>会计科目表!A116</f>
        <v>151102</v>
      </c>
      <c r="B116" t="str">
        <f t="shared" ca="1" si="28"/>
        <v>长期股权投资_损益调整</v>
      </c>
      <c r="C116" s="21">
        <f t="shared" ca="1" si="29"/>
        <v>2</v>
      </c>
      <c r="D116" s="19">
        <f t="shared" ca="1" si="30"/>
        <v>0</v>
      </c>
      <c r="E116" s="19">
        <f t="shared" ca="1" si="46"/>
        <v>0</v>
      </c>
      <c r="F116" s="19">
        <f t="shared" ca="1" si="47"/>
        <v>0</v>
      </c>
      <c r="G116" s="19">
        <f t="shared" ca="1" si="48"/>
        <v>0</v>
      </c>
      <c r="H116" s="19">
        <f t="shared" ca="1" si="49"/>
        <v>0</v>
      </c>
      <c r="I116" s="19">
        <f t="shared" ca="1" si="36"/>
        <v>0</v>
      </c>
    </row>
    <row r="117" spans="1:9" customFormat="1" hidden="1">
      <c r="A117">
        <f>会计科目表!A117</f>
        <v>151103</v>
      </c>
      <c r="B117" t="str">
        <f t="shared" ca="1" si="28"/>
        <v>长期股权投资_其他权益变动</v>
      </c>
      <c r="C117" s="21">
        <f t="shared" ca="1" si="29"/>
        <v>2</v>
      </c>
      <c r="D117" s="19">
        <f t="shared" ca="1" si="30"/>
        <v>0</v>
      </c>
      <c r="E117" s="19">
        <f t="shared" ca="1" si="46"/>
        <v>0</v>
      </c>
      <c r="F117" s="19">
        <f t="shared" ca="1" si="47"/>
        <v>0</v>
      </c>
      <c r="G117" s="19">
        <f t="shared" ca="1" si="48"/>
        <v>0</v>
      </c>
      <c r="H117" s="19">
        <f t="shared" ca="1" si="49"/>
        <v>0</v>
      </c>
      <c r="I117" s="19">
        <f t="shared" ca="1" si="36"/>
        <v>0</v>
      </c>
    </row>
    <row r="118" spans="1:9" customFormat="1">
      <c r="A118">
        <f>会计科目表!A118</f>
        <v>1512</v>
      </c>
      <c r="B118" t="str">
        <f t="shared" ca="1" si="28"/>
        <v>长期股权投资减值准备</v>
      </c>
      <c r="C118" s="41">
        <f t="shared" ca="1" si="29"/>
        <v>1</v>
      </c>
      <c r="D118" s="25">
        <f t="shared" ca="1" si="30"/>
        <v>0</v>
      </c>
      <c r="E118" s="25">
        <f t="shared" ca="1" si="46"/>
        <v>0</v>
      </c>
      <c r="F118" s="25">
        <f t="shared" ca="1" si="47"/>
        <v>0</v>
      </c>
      <c r="G118" s="25">
        <f t="shared" ca="1" si="48"/>
        <v>0</v>
      </c>
      <c r="H118" s="25">
        <f t="shared" ca="1" si="49"/>
        <v>0</v>
      </c>
      <c r="I118" s="25">
        <f t="shared" ca="1" si="36"/>
        <v>0</v>
      </c>
    </row>
    <row r="119" spans="1:9" customFormat="1">
      <c r="A119">
        <f>会计科目表!A119</f>
        <v>1521</v>
      </c>
      <c r="B119" t="str">
        <f t="shared" ca="1" si="28"/>
        <v>投资性房地产</v>
      </c>
      <c r="C119" s="41">
        <f t="shared" ca="1" si="29"/>
        <v>1</v>
      </c>
      <c r="D119" s="25">
        <f t="shared" ca="1" si="30"/>
        <v>0</v>
      </c>
      <c r="E119" s="25">
        <f t="shared" ca="1" si="46"/>
        <v>0</v>
      </c>
      <c r="F119" s="25">
        <f t="shared" ca="1" si="47"/>
        <v>0</v>
      </c>
      <c r="G119" s="25">
        <f t="shared" ca="1" si="48"/>
        <v>0</v>
      </c>
      <c r="H119" s="25">
        <f t="shared" ca="1" si="49"/>
        <v>0</v>
      </c>
      <c r="I119" s="25">
        <f t="shared" ca="1" si="36"/>
        <v>0</v>
      </c>
    </row>
    <row r="120" spans="1:9" customFormat="1">
      <c r="A120">
        <f>会计科目表!A120</f>
        <v>1523</v>
      </c>
      <c r="B120" t="str">
        <f t="shared" ca="1" si="28"/>
        <v>投资性房地产减值准备</v>
      </c>
      <c r="C120" s="41">
        <f t="shared" ca="1" si="29"/>
        <v>1</v>
      </c>
      <c r="D120" s="25">
        <f t="shared" ca="1" si="30"/>
        <v>0</v>
      </c>
      <c r="E120" s="25">
        <f t="shared" ca="1" si="46"/>
        <v>0</v>
      </c>
      <c r="F120" s="25">
        <f t="shared" ca="1" si="47"/>
        <v>0</v>
      </c>
      <c r="G120" s="25">
        <f t="shared" ca="1" si="48"/>
        <v>0</v>
      </c>
      <c r="H120" s="25">
        <f t="shared" ca="1" si="49"/>
        <v>0</v>
      </c>
      <c r="I120" s="25">
        <f t="shared" ca="1" si="36"/>
        <v>0</v>
      </c>
    </row>
    <row r="121" spans="1:9" customFormat="1">
      <c r="A121">
        <f>会计科目表!A121</f>
        <v>1531</v>
      </c>
      <c r="B121" t="str">
        <f t="shared" ca="1" si="28"/>
        <v>长期应收款</v>
      </c>
      <c r="C121" s="41">
        <f t="shared" ca="1" si="29"/>
        <v>1</v>
      </c>
      <c r="D121" s="25">
        <f t="shared" ca="1" si="30"/>
        <v>0</v>
      </c>
      <c r="E121" s="25">
        <f t="shared" ca="1" si="46"/>
        <v>0</v>
      </c>
      <c r="F121" s="25">
        <f t="shared" ca="1" si="47"/>
        <v>0</v>
      </c>
      <c r="G121" s="25">
        <f t="shared" ca="1" si="48"/>
        <v>0</v>
      </c>
      <c r="H121" s="25">
        <f t="shared" ca="1" si="49"/>
        <v>0</v>
      </c>
      <c r="I121" s="25">
        <f t="shared" ca="1" si="36"/>
        <v>0</v>
      </c>
    </row>
    <row r="122" spans="1:9" customFormat="1">
      <c r="A122">
        <f>会计科目表!A122</f>
        <v>1532</v>
      </c>
      <c r="B122" t="str">
        <f t="shared" ca="1" si="28"/>
        <v>未实现融资收益</v>
      </c>
      <c r="C122" s="41">
        <f t="shared" ca="1" si="29"/>
        <v>1</v>
      </c>
      <c r="D122" s="25">
        <f t="shared" ca="1" si="30"/>
        <v>0</v>
      </c>
      <c r="E122" s="25">
        <f t="shared" ca="1" si="46"/>
        <v>0</v>
      </c>
      <c r="F122" s="25">
        <f t="shared" ca="1" si="47"/>
        <v>0</v>
      </c>
      <c r="G122" s="25">
        <f t="shared" ca="1" si="48"/>
        <v>0</v>
      </c>
      <c r="H122" s="25">
        <f t="shared" ca="1" si="49"/>
        <v>0</v>
      </c>
      <c r="I122" s="25">
        <f t="shared" ca="1" si="36"/>
        <v>0</v>
      </c>
    </row>
    <row r="123" spans="1:9" customFormat="1">
      <c r="A123">
        <f>会计科目表!A123</f>
        <v>1601</v>
      </c>
      <c r="B123" t="str">
        <f t="shared" ca="1" si="28"/>
        <v>固定资产</v>
      </c>
      <c r="C123" s="41">
        <f t="shared" ca="1" si="29"/>
        <v>1</v>
      </c>
      <c r="D123" s="25">
        <f t="shared" ca="1" si="30"/>
        <v>2019132.43</v>
      </c>
      <c r="E123" s="25">
        <f ca="1">SUMIF($C124:$C139,"=2",E124:E139)</f>
        <v>0</v>
      </c>
      <c r="F123" s="25">
        <f t="shared" ref="F123:H123" ca="1" si="50">SUMIF($C124:$C139,"=2",F124:F139)</f>
        <v>0</v>
      </c>
      <c r="G123" s="25">
        <f t="shared" ca="1" si="50"/>
        <v>0</v>
      </c>
      <c r="H123" s="25">
        <f t="shared" ca="1" si="50"/>
        <v>0</v>
      </c>
      <c r="I123" s="25">
        <f t="shared" ca="1" si="36"/>
        <v>2019132.43</v>
      </c>
    </row>
    <row r="124" spans="1:9" customFormat="1">
      <c r="A124">
        <f>会计科目表!A124</f>
        <v>160101</v>
      </c>
      <c r="B124" t="str">
        <f t="shared" ca="1" si="28"/>
        <v>固定资产_办公桌</v>
      </c>
      <c r="C124" s="21">
        <f t="shared" ca="1" si="29"/>
        <v>2</v>
      </c>
      <c r="D124" s="19">
        <f t="shared" ca="1" si="30"/>
        <v>211850</v>
      </c>
      <c r="E124" s="19">
        <f t="shared" ref="E124:E144" ca="1" si="51">SUMPRODUCT((科目编号=$A124)*(记账月份=$I$1),借方金额)</f>
        <v>0</v>
      </c>
      <c r="F124" s="19">
        <f t="shared" ref="F124:F144" ca="1" si="52">SUMPRODUCT((科目编号=$A124)*(记账月份=$I$1),贷方金额)</f>
        <v>0</v>
      </c>
      <c r="G124" s="19">
        <f t="shared" ref="G124:G144" ca="1" si="53">SUMPRODUCT((科目编号=$A124)*(记账月份&lt;=$I$1),借方金额)</f>
        <v>0</v>
      </c>
      <c r="H124" s="19">
        <f t="shared" ref="H124:H144" ca="1" si="54">SUMPRODUCT((科目编号=$A124)*(记账月份&lt;=$I$1),贷方金额)</f>
        <v>0</v>
      </c>
      <c r="I124" s="19">
        <f t="shared" ca="1" si="36"/>
        <v>211850</v>
      </c>
    </row>
    <row r="125" spans="1:9" customFormat="1">
      <c r="A125">
        <f>会计科目表!A125</f>
        <v>160102</v>
      </c>
      <c r="B125" t="str">
        <f t="shared" ca="1" si="28"/>
        <v>固定资产_打印机</v>
      </c>
      <c r="C125" s="21">
        <f t="shared" ca="1" si="29"/>
        <v>2</v>
      </c>
      <c r="D125" s="19">
        <f t="shared" ca="1" si="30"/>
        <v>20190</v>
      </c>
      <c r="E125" s="19">
        <f t="shared" ca="1" si="51"/>
        <v>0</v>
      </c>
      <c r="F125" s="19">
        <f t="shared" ca="1" si="52"/>
        <v>0</v>
      </c>
      <c r="G125" s="19">
        <f t="shared" ca="1" si="53"/>
        <v>0</v>
      </c>
      <c r="H125" s="19">
        <f t="shared" ca="1" si="54"/>
        <v>0</v>
      </c>
      <c r="I125" s="19">
        <f t="shared" ca="1" si="36"/>
        <v>20190</v>
      </c>
    </row>
    <row r="126" spans="1:9" customFormat="1">
      <c r="A126">
        <f>会计科目表!A126</f>
        <v>160103</v>
      </c>
      <c r="B126" t="str">
        <f t="shared" ca="1" si="28"/>
        <v>固定资产_空调</v>
      </c>
      <c r="C126" s="21">
        <f t="shared" ca="1" si="29"/>
        <v>2</v>
      </c>
      <c r="D126" s="19">
        <f t="shared" ca="1" si="30"/>
        <v>89750</v>
      </c>
      <c r="E126" s="19">
        <f t="shared" ca="1" si="51"/>
        <v>0</v>
      </c>
      <c r="F126" s="19">
        <f t="shared" ca="1" si="52"/>
        <v>0</v>
      </c>
      <c r="G126" s="19">
        <f t="shared" ca="1" si="53"/>
        <v>0</v>
      </c>
      <c r="H126" s="19">
        <f t="shared" ca="1" si="54"/>
        <v>0</v>
      </c>
      <c r="I126" s="19">
        <f t="shared" ca="1" si="36"/>
        <v>89750</v>
      </c>
    </row>
    <row r="127" spans="1:9" customFormat="1">
      <c r="A127">
        <f>会计科目表!A127</f>
        <v>160104</v>
      </c>
      <c r="B127" t="str">
        <f t="shared" ca="1" si="28"/>
        <v>固定资产_保险柜</v>
      </c>
      <c r="C127" s="21">
        <f t="shared" ca="1" si="29"/>
        <v>2</v>
      </c>
      <c r="D127" s="19">
        <f t="shared" ca="1" si="30"/>
        <v>23800</v>
      </c>
      <c r="E127" s="19">
        <f t="shared" ca="1" si="51"/>
        <v>0</v>
      </c>
      <c r="F127" s="19">
        <f t="shared" ca="1" si="52"/>
        <v>0</v>
      </c>
      <c r="G127" s="19">
        <f t="shared" ca="1" si="53"/>
        <v>0</v>
      </c>
      <c r="H127" s="19">
        <f t="shared" ca="1" si="54"/>
        <v>0</v>
      </c>
      <c r="I127" s="19">
        <f t="shared" ca="1" si="36"/>
        <v>23800</v>
      </c>
    </row>
    <row r="128" spans="1:9" customFormat="1">
      <c r="A128">
        <f>会计科目表!A128</f>
        <v>160105</v>
      </c>
      <c r="B128" t="str">
        <f t="shared" ca="1" si="28"/>
        <v>固定资产_架库房</v>
      </c>
      <c r="C128" s="21">
        <f t="shared" ca="1" si="29"/>
        <v>2</v>
      </c>
      <c r="D128" s="19">
        <f t="shared" ca="1" si="30"/>
        <v>380000</v>
      </c>
      <c r="E128" s="19">
        <f t="shared" ca="1" si="51"/>
        <v>0</v>
      </c>
      <c r="F128" s="19">
        <f t="shared" ca="1" si="52"/>
        <v>0</v>
      </c>
      <c r="G128" s="19">
        <f t="shared" ca="1" si="53"/>
        <v>0</v>
      </c>
      <c r="H128" s="19">
        <f t="shared" ca="1" si="54"/>
        <v>0</v>
      </c>
      <c r="I128" s="19">
        <f t="shared" ca="1" si="36"/>
        <v>380000</v>
      </c>
    </row>
    <row r="129" spans="1:9" customFormat="1">
      <c r="A129">
        <f>会计科目表!A129</f>
        <v>160106</v>
      </c>
      <c r="B129" t="str">
        <f t="shared" ca="1" si="28"/>
        <v>固定资产_车棚</v>
      </c>
      <c r="C129" s="21">
        <f t="shared" ca="1" si="29"/>
        <v>2</v>
      </c>
      <c r="D129" s="19">
        <f t="shared" ca="1" si="30"/>
        <v>102000</v>
      </c>
      <c r="E129" s="19">
        <f t="shared" ca="1" si="51"/>
        <v>0</v>
      </c>
      <c r="F129" s="19">
        <f t="shared" ca="1" si="52"/>
        <v>0</v>
      </c>
      <c r="G129" s="19">
        <f t="shared" ca="1" si="53"/>
        <v>0</v>
      </c>
      <c r="H129" s="19">
        <f t="shared" ca="1" si="54"/>
        <v>0</v>
      </c>
      <c r="I129" s="19">
        <f t="shared" ca="1" si="36"/>
        <v>102000</v>
      </c>
    </row>
    <row r="130" spans="1:9" customFormat="1">
      <c r="A130">
        <f>会计科目表!A130</f>
        <v>160107</v>
      </c>
      <c r="B130" t="str">
        <f t="shared" ca="1" si="28"/>
        <v>固定资产_电脑</v>
      </c>
      <c r="C130" s="21">
        <f t="shared" ca="1" si="29"/>
        <v>2</v>
      </c>
      <c r="D130" s="19">
        <f t="shared" ca="1" si="30"/>
        <v>73490</v>
      </c>
      <c r="E130" s="19">
        <f t="shared" ca="1" si="51"/>
        <v>0</v>
      </c>
      <c r="F130" s="19">
        <f t="shared" ca="1" si="52"/>
        <v>0</v>
      </c>
      <c r="G130" s="19">
        <f t="shared" ca="1" si="53"/>
        <v>0</v>
      </c>
      <c r="H130" s="19">
        <f t="shared" ca="1" si="54"/>
        <v>0</v>
      </c>
      <c r="I130" s="19">
        <f t="shared" ca="1" si="36"/>
        <v>73490</v>
      </c>
    </row>
    <row r="131" spans="1:9" customFormat="1">
      <c r="A131">
        <f>会计科目表!A131</f>
        <v>160108</v>
      </c>
      <c r="B131" t="str">
        <f t="shared" ca="1" si="28"/>
        <v>固定资产_经纬仪</v>
      </c>
      <c r="C131" s="21">
        <f t="shared" ca="1" si="29"/>
        <v>2</v>
      </c>
      <c r="D131" s="19">
        <f t="shared" ca="1" si="30"/>
        <v>16758.43</v>
      </c>
      <c r="E131" s="19">
        <f t="shared" ca="1" si="51"/>
        <v>0</v>
      </c>
      <c r="F131" s="19">
        <f t="shared" ca="1" si="52"/>
        <v>0</v>
      </c>
      <c r="G131" s="19">
        <f t="shared" ca="1" si="53"/>
        <v>0</v>
      </c>
      <c r="H131" s="19">
        <f t="shared" ca="1" si="54"/>
        <v>0</v>
      </c>
      <c r="I131" s="19">
        <f t="shared" ca="1" si="36"/>
        <v>16758.43</v>
      </c>
    </row>
    <row r="132" spans="1:9" customFormat="1">
      <c r="A132">
        <f>会计科目表!A132</f>
        <v>160109</v>
      </c>
      <c r="B132" t="str">
        <f t="shared" ca="1" si="28"/>
        <v>固定资产_打印机</v>
      </c>
      <c r="C132" s="21">
        <f t="shared" ca="1" si="29"/>
        <v>2</v>
      </c>
      <c r="D132" s="19">
        <f t="shared" ca="1" si="30"/>
        <v>4950</v>
      </c>
      <c r="E132" s="19">
        <f t="shared" ca="1" si="51"/>
        <v>0</v>
      </c>
      <c r="F132" s="19">
        <f t="shared" ca="1" si="52"/>
        <v>0</v>
      </c>
      <c r="G132" s="19">
        <f t="shared" ca="1" si="53"/>
        <v>0</v>
      </c>
      <c r="H132" s="19">
        <f t="shared" ca="1" si="54"/>
        <v>0</v>
      </c>
      <c r="I132" s="19">
        <f t="shared" ca="1" si="36"/>
        <v>4950</v>
      </c>
    </row>
    <row r="133" spans="1:9" customFormat="1">
      <c r="A133">
        <f>会计科目表!A133</f>
        <v>160110</v>
      </c>
      <c r="B133" t="str">
        <f t="shared" ref="B133:B196" ca="1" si="55">INDEX(账户查询,MATCH($A133,科目代码,))</f>
        <v>固定资产_办公桌</v>
      </c>
      <c r="C133" s="21">
        <f t="shared" ref="C133:C196" ca="1" si="56">INDEX(OFFSET(科目代码,,3),MATCH($A133,科目代码,))</f>
        <v>2</v>
      </c>
      <c r="D133" s="19">
        <f t="shared" ref="D133:D196" ca="1" si="57">INDEX(OFFSET(科目代码,,5,,2),MATCH($A133,科目代码,),2-(LEFT($A133,4)*1&lt;2001))</f>
        <v>103921</v>
      </c>
      <c r="E133" s="19">
        <f t="shared" ca="1" si="51"/>
        <v>0</v>
      </c>
      <c r="F133" s="19">
        <f t="shared" ca="1" si="52"/>
        <v>0</v>
      </c>
      <c r="G133" s="19">
        <f t="shared" ca="1" si="53"/>
        <v>0</v>
      </c>
      <c r="H133" s="19">
        <f t="shared" ca="1" si="54"/>
        <v>0</v>
      </c>
      <c r="I133" s="19">
        <f t="shared" ca="1" si="36"/>
        <v>103921</v>
      </c>
    </row>
    <row r="134" spans="1:9" customFormat="1">
      <c r="A134">
        <f>会计科目表!A134</f>
        <v>160111</v>
      </c>
      <c r="B134" t="str">
        <f t="shared" ca="1" si="55"/>
        <v>固定资产_空调</v>
      </c>
      <c r="C134" s="21">
        <f t="shared" ca="1" si="56"/>
        <v>2</v>
      </c>
      <c r="D134" s="19">
        <f t="shared" ca="1" si="57"/>
        <v>50000</v>
      </c>
      <c r="E134" s="19">
        <f t="shared" ca="1" si="51"/>
        <v>0</v>
      </c>
      <c r="F134" s="19">
        <f t="shared" ca="1" si="52"/>
        <v>0</v>
      </c>
      <c r="G134" s="19">
        <f t="shared" ca="1" si="53"/>
        <v>0</v>
      </c>
      <c r="H134" s="19">
        <f t="shared" ca="1" si="54"/>
        <v>0</v>
      </c>
      <c r="I134" s="19">
        <f t="shared" ca="1" si="36"/>
        <v>50000</v>
      </c>
    </row>
    <row r="135" spans="1:9" customFormat="1" ht="14.25" customHeight="1">
      <c r="A135">
        <f>会计科目表!A135</f>
        <v>160112</v>
      </c>
      <c r="B135" t="str">
        <f t="shared" ca="1" si="55"/>
        <v>固定资产_汽车</v>
      </c>
      <c r="C135" s="21">
        <f t="shared" ca="1" si="56"/>
        <v>2</v>
      </c>
      <c r="D135" s="19">
        <f t="shared" ca="1" si="57"/>
        <v>455483</v>
      </c>
      <c r="E135" s="19">
        <f t="shared" ca="1" si="51"/>
        <v>0</v>
      </c>
      <c r="F135" s="19">
        <f t="shared" ca="1" si="52"/>
        <v>0</v>
      </c>
      <c r="G135" s="19">
        <f t="shared" ca="1" si="53"/>
        <v>0</v>
      </c>
      <c r="H135" s="19">
        <f t="shared" ca="1" si="54"/>
        <v>0</v>
      </c>
      <c r="I135" s="19">
        <f t="shared" ca="1" si="36"/>
        <v>455483</v>
      </c>
    </row>
    <row r="136" spans="1:9" customFormat="1" ht="14.25" customHeight="1">
      <c r="A136">
        <f>会计科目表!A136</f>
        <v>160113</v>
      </c>
      <c r="B136" t="str">
        <f t="shared" ca="1" si="55"/>
        <v>固定资产_测定仪</v>
      </c>
      <c r="C136" s="21">
        <f t="shared" ca="1" si="56"/>
        <v>2</v>
      </c>
      <c r="D136" s="19">
        <f t="shared" ca="1" si="57"/>
        <v>10500</v>
      </c>
      <c r="E136" s="19">
        <f t="shared" ca="1" si="51"/>
        <v>0</v>
      </c>
      <c r="F136" s="19">
        <f t="shared" ca="1" si="52"/>
        <v>0</v>
      </c>
      <c r="G136" s="19">
        <f t="shared" ca="1" si="53"/>
        <v>0</v>
      </c>
      <c r="H136" s="19">
        <f t="shared" ca="1" si="54"/>
        <v>0</v>
      </c>
      <c r="I136" s="19">
        <f t="shared" ca="1" si="36"/>
        <v>10500</v>
      </c>
    </row>
    <row r="137" spans="1:9" customFormat="1" ht="14.25" customHeight="1">
      <c r="A137">
        <f>会计科目表!A137</f>
        <v>160114</v>
      </c>
      <c r="B137" t="str">
        <f t="shared" ca="1" si="55"/>
        <v>固定资产_污水泵</v>
      </c>
      <c r="C137" s="21">
        <f t="shared" ca="1" si="56"/>
        <v>2</v>
      </c>
      <c r="D137" s="19">
        <f t="shared" ca="1" si="57"/>
        <v>188940</v>
      </c>
      <c r="E137" s="19">
        <f t="shared" ca="1" si="51"/>
        <v>0</v>
      </c>
      <c r="F137" s="19">
        <f t="shared" ca="1" si="52"/>
        <v>0</v>
      </c>
      <c r="G137" s="19">
        <f t="shared" ca="1" si="53"/>
        <v>0</v>
      </c>
      <c r="H137" s="19">
        <f t="shared" ca="1" si="54"/>
        <v>0</v>
      </c>
      <c r="I137" s="19">
        <f t="shared" ca="1" si="36"/>
        <v>188940</v>
      </c>
    </row>
    <row r="138" spans="1:9" customFormat="1" ht="14.25" customHeight="1">
      <c r="A138">
        <f>会计科目表!A138</f>
        <v>160115</v>
      </c>
      <c r="B138" t="str">
        <f t="shared" ca="1" si="55"/>
        <v>固定资产_发电机</v>
      </c>
      <c r="C138" s="21">
        <f t="shared" ca="1" si="56"/>
        <v>2</v>
      </c>
      <c r="D138" s="19">
        <f t="shared" ca="1" si="57"/>
        <v>89500</v>
      </c>
      <c r="E138" s="19">
        <f t="shared" ca="1" si="51"/>
        <v>0</v>
      </c>
      <c r="F138" s="19">
        <f t="shared" ca="1" si="52"/>
        <v>0</v>
      </c>
      <c r="G138" s="19">
        <f t="shared" ca="1" si="53"/>
        <v>0</v>
      </c>
      <c r="H138" s="19">
        <f t="shared" ca="1" si="54"/>
        <v>0</v>
      </c>
      <c r="I138" s="19">
        <f t="shared" ca="1" si="36"/>
        <v>89500</v>
      </c>
    </row>
    <row r="139" spans="1:9" customFormat="1" ht="14.25" customHeight="1">
      <c r="A139">
        <f>会计科目表!A139</f>
        <v>160116</v>
      </c>
      <c r="B139" t="str">
        <f t="shared" ca="1" si="55"/>
        <v>固定资产_活动房</v>
      </c>
      <c r="C139" s="21">
        <f t="shared" ca="1" si="56"/>
        <v>2</v>
      </c>
      <c r="D139" s="19">
        <f t="shared" ca="1" si="57"/>
        <v>198000</v>
      </c>
      <c r="E139" s="19">
        <f t="shared" ca="1" si="51"/>
        <v>0</v>
      </c>
      <c r="F139" s="19">
        <f t="shared" ca="1" si="52"/>
        <v>0</v>
      </c>
      <c r="G139" s="19">
        <f t="shared" ca="1" si="53"/>
        <v>0</v>
      </c>
      <c r="H139" s="19">
        <f t="shared" ca="1" si="54"/>
        <v>0</v>
      </c>
      <c r="I139" s="19">
        <f t="shared" ca="1" si="36"/>
        <v>198000</v>
      </c>
    </row>
    <row r="140" spans="1:9" customFormat="1" ht="14.25" customHeight="1">
      <c r="A140">
        <f>会计科目表!A140</f>
        <v>1602</v>
      </c>
      <c r="B140" t="str">
        <f t="shared" ca="1" si="55"/>
        <v>累计折旧</v>
      </c>
      <c r="C140" s="41">
        <f t="shared" ca="1" si="56"/>
        <v>1</v>
      </c>
      <c r="D140" s="25">
        <f t="shared" ca="1" si="57"/>
        <v>-1115998.3700000001</v>
      </c>
      <c r="E140" s="25">
        <f t="shared" ca="1" si="51"/>
        <v>0</v>
      </c>
      <c r="F140" s="25">
        <f t="shared" ca="1" si="52"/>
        <v>0</v>
      </c>
      <c r="G140" s="25">
        <f t="shared" ca="1" si="53"/>
        <v>0</v>
      </c>
      <c r="H140" s="25">
        <f t="shared" ca="1" si="54"/>
        <v>0</v>
      </c>
      <c r="I140" s="25">
        <f t="shared" ca="1" si="36"/>
        <v>-1115998.3700000001</v>
      </c>
    </row>
    <row r="141" spans="1:9" customFormat="1" ht="14.25" customHeight="1">
      <c r="A141">
        <f>会计科目表!A141</f>
        <v>1603</v>
      </c>
      <c r="B141" t="str">
        <f t="shared" ca="1" si="55"/>
        <v>固定资产减值准备</v>
      </c>
      <c r="C141" s="41">
        <f t="shared" ca="1" si="56"/>
        <v>1</v>
      </c>
      <c r="D141" s="25">
        <f t="shared" ca="1" si="57"/>
        <v>0</v>
      </c>
      <c r="E141" s="25">
        <f t="shared" ca="1" si="51"/>
        <v>0</v>
      </c>
      <c r="F141" s="25">
        <f t="shared" ca="1" si="52"/>
        <v>0</v>
      </c>
      <c r="G141" s="25">
        <f t="shared" ca="1" si="53"/>
        <v>0</v>
      </c>
      <c r="H141" s="25">
        <f t="shared" ca="1" si="54"/>
        <v>0</v>
      </c>
      <c r="I141" s="25">
        <f t="shared" ca="1" si="36"/>
        <v>0</v>
      </c>
    </row>
    <row r="142" spans="1:9" customFormat="1" ht="14.25" customHeight="1">
      <c r="A142">
        <f>会计科目表!A142</f>
        <v>1604</v>
      </c>
      <c r="B142" t="str">
        <f t="shared" ca="1" si="55"/>
        <v>在建工程</v>
      </c>
      <c r="C142" s="41">
        <f t="shared" ca="1" si="56"/>
        <v>1</v>
      </c>
      <c r="D142" s="25">
        <f t="shared" ca="1" si="57"/>
        <v>1281</v>
      </c>
      <c r="E142" s="25">
        <f t="shared" ca="1" si="51"/>
        <v>0</v>
      </c>
      <c r="F142" s="25">
        <f t="shared" ca="1" si="52"/>
        <v>0</v>
      </c>
      <c r="G142" s="25">
        <f t="shared" ca="1" si="53"/>
        <v>0</v>
      </c>
      <c r="H142" s="25">
        <f t="shared" ca="1" si="54"/>
        <v>0</v>
      </c>
      <c r="I142" s="25">
        <f t="shared" ca="1" si="36"/>
        <v>1281</v>
      </c>
    </row>
    <row r="143" spans="1:9" customFormat="1" ht="14.25" customHeight="1">
      <c r="A143">
        <f>会计科目表!A143</f>
        <v>1605</v>
      </c>
      <c r="B143" t="str">
        <f t="shared" ca="1" si="55"/>
        <v>工程物资</v>
      </c>
      <c r="C143" s="41">
        <f t="shared" ca="1" si="56"/>
        <v>1</v>
      </c>
      <c r="D143" s="25">
        <f t="shared" ca="1" si="57"/>
        <v>0</v>
      </c>
      <c r="E143" s="25">
        <f t="shared" ca="1" si="51"/>
        <v>0</v>
      </c>
      <c r="F143" s="25">
        <f t="shared" ca="1" si="52"/>
        <v>0</v>
      </c>
      <c r="G143" s="25">
        <f t="shared" ca="1" si="53"/>
        <v>0</v>
      </c>
      <c r="H143" s="25">
        <f t="shared" ca="1" si="54"/>
        <v>0</v>
      </c>
      <c r="I143" s="25">
        <f t="shared" ca="1" si="36"/>
        <v>0</v>
      </c>
    </row>
    <row r="144" spans="1:9" customFormat="1" ht="14.25" customHeight="1">
      <c r="A144">
        <f>会计科目表!A144</f>
        <v>1606</v>
      </c>
      <c r="B144" t="str">
        <f t="shared" ca="1" si="55"/>
        <v>固定资产清理</v>
      </c>
      <c r="C144" s="41">
        <f t="shared" ca="1" si="56"/>
        <v>1</v>
      </c>
      <c r="D144" s="25">
        <f t="shared" ca="1" si="57"/>
        <v>0</v>
      </c>
      <c r="E144" s="25">
        <f t="shared" ca="1" si="51"/>
        <v>0</v>
      </c>
      <c r="F144" s="25">
        <f t="shared" ca="1" si="52"/>
        <v>0</v>
      </c>
      <c r="G144" s="25">
        <f t="shared" ca="1" si="53"/>
        <v>0</v>
      </c>
      <c r="H144" s="25">
        <f t="shared" ca="1" si="54"/>
        <v>0</v>
      </c>
      <c r="I144" s="25">
        <f t="shared" ca="1" si="36"/>
        <v>0</v>
      </c>
    </row>
    <row r="145" spans="1:9" customFormat="1" ht="14.25" customHeight="1">
      <c r="A145">
        <f>会计科目表!A145</f>
        <v>1701</v>
      </c>
      <c r="B145" t="str">
        <f t="shared" ca="1" si="55"/>
        <v>无形资产</v>
      </c>
      <c r="C145" s="41">
        <f t="shared" ca="1" si="56"/>
        <v>1</v>
      </c>
      <c r="D145" s="25">
        <f t="shared" ca="1" si="57"/>
        <v>5962276.25</v>
      </c>
      <c r="E145" s="25">
        <f ca="1">SUMIF($C146:$C148,"=2",E146:E148)</f>
        <v>0</v>
      </c>
      <c r="F145" s="25">
        <f t="shared" ref="F145:H145" ca="1" si="58">SUMIF($C146:$C148,"=2",F146:F148)</f>
        <v>0</v>
      </c>
      <c r="G145" s="25">
        <f t="shared" ca="1" si="58"/>
        <v>0</v>
      </c>
      <c r="H145" s="25">
        <f t="shared" ca="1" si="58"/>
        <v>0</v>
      </c>
      <c r="I145" s="25">
        <f t="shared" ca="1" si="36"/>
        <v>5962276.25</v>
      </c>
    </row>
    <row r="146" spans="1:9" customFormat="1" ht="14.25" customHeight="1">
      <c r="A146">
        <f>会计科目表!A146</f>
        <v>170101</v>
      </c>
      <c r="B146" t="str">
        <f t="shared" ca="1" si="55"/>
        <v>无形资产_专利权</v>
      </c>
      <c r="C146" s="21">
        <f t="shared" ca="1" si="56"/>
        <v>2</v>
      </c>
      <c r="D146" s="25">
        <f t="shared" ca="1" si="57"/>
        <v>0</v>
      </c>
      <c r="E146" s="25">
        <f t="shared" ref="E146:E151" ca="1" si="59">SUMPRODUCT((科目编号=$A146)*(记账月份=$I$1),借方金额)</f>
        <v>0</v>
      </c>
      <c r="F146" s="25">
        <f t="shared" ref="F146:F151" ca="1" si="60">SUMPRODUCT((科目编号=$A146)*(记账月份=$I$1),贷方金额)</f>
        <v>0</v>
      </c>
      <c r="G146" s="25">
        <f t="shared" ref="G146:G151" ca="1" si="61">SUMPRODUCT((科目编号=$A146)*(记账月份&lt;=$I$1),借方金额)</f>
        <v>0</v>
      </c>
      <c r="H146" s="25">
        <f t="shared" ref="H146:H151" ca="1" si="62">SUMPRODUCT((科目编号=$A146)*(记账月份&lt;=$I$1),贷方金额)</f>
        <v>0</v>
      </c>
      <c r="I146" s="25">
        <f t="shared" ca="1" si="36"/>
        <v>0</v>
      </c>
    </row>
    <row r="147" spans="1:9" customFormat="1" ht="14.25" customHeight="1">
      <c r="A147">
        <f>会计科目表!A147</f>
        <v>170102</v>
      </c>
      <c r="B147" t="str">
        <f t="shared" ca="1" si="55"/>
        <v>无形资产_非专利技术</v>
      </c>
      <c r="C147" s="21">
        <f t="shared" ca="1" si="56"/>
        <v>2</v>
      </c>
      <c r="D147" s="25">
        <f t="shared" ca="1" si="57"/>
        <v>0</v>
      </c>
      <c r="E147" s="25">
        <f t="shared" ca="1" si="59"/>
        <v>0</v>
      </c>
      <c r="F147" s="25">
        <f t="shared" ca="1" si="60"/>
        <v>0</v>
      </c>
      <c r="G147" s="25">
        <f t="shared" ca="1" si="61"/>
        <v>0</v>
      </c>
      <c r="H147" s="25">
        <f t="shared" ca="1" si="62"/>
        <v>0</v>
      </c>
      <c r="I147" s="25">
        <f t="shared" ca="1" si="36"/>
        <v>0</v>
      </c>
    </row>
    <row r="148" spans="1:9" customFormat="1" ht="14.25" customHeight="1">
      <c r="A148">
        <f>会计科目表!A148</f>
        <v>170103</v>
      </c>
      <c r="B148" t="str">
        <f t="shared" ca="1" si="55"/>
        <v>无形资产_土地使用权</v>
      </c>
      <c r="C148" s="21">
        <f t="shared" ca="1" si="56"/>
        <v>2</v>
      </c>
      <c r="D148" s="25">
        <f t="shared" ca="1" si="57"/>
        <v>5962276.25</v>
      </c>
      <c r="E148" s="25">
        <f t="shared" ca="1" si="59"/>
        <v>0</v>
      </c>
      <c r="F148" s="25">
        <f t="shared" ca="1" si="60"/>
        <v>0</v>
      </c>
      <c r="G148" s="25">
        <f t="shared" ca="1" si="61"/>
        <v>0</v>
      </c>
      <c r="H148" s="25">
        <f t="shared" ca="1" si="62"/>
        <v>0</v>
      </c>
      <c r="I148" s="25">
        <f t="shared" ref="I148:I154" ca="1" si="63">D148+G148-H148</f>
        <v>5962276.25</v>
      </c>
    </row>
    <row r="149" spans="1:9" customFormat="1" ht="14.25" customHeight="1">
      <c r="A149">
        <f>会计科目表!A149</f>
        <v>1702</v>
      </c>
      <c r="B149" t="str">
        <f t="shared" ca="1" si="55"/>
        <v>累计摊销</v>
      </c>
      <c r="C149" s="41">
        <f t="shared" ca="1" si="56"/>
        <v>1</v>
      </c>
      <c r="D149" s="25">
        <f t="shared" ca="1" si="57"/>
        <v>0</v>
      </c>
      <c r="E149" s="25">
        <f t="shared" ca="1" si="59"/>
        <v>0</v>
      </c>
      <c r="F149" s="25">
        <f t="shared" ca="1" si="60"/>
        <v>0</v>
      </c>
      <c r="G149" s="25">
        <f t="shared" ca="1" si="61"/>
        <v>0</v>
      </c>
      <c r="H149" s="25">
        <f t="shared" ca="1" si="62"/>
        <v>0</v>
      </c>
      <c r="I149" s="25">
        <f t="shared" ca="1" si="63"/>
        <v>0</v>
      </c>
    </row>
    <row r="150" spans="1:9" customFormat="1" ht="14.25" customHeight="1">
      <c r="A150">
        <f>会计科目表!A150</f>
        <v>1703</v>
      </c>
      <c r="B150" t="str">
        <f t="shared" ca="1" si="55"/>
        <v>无形资产减值准备</v>
      </c>
      <c r="C150" s="41">
        <f t="shared" ca="1" si="56"/>
        <v>1</v>
      </c>
      <c r="D150" s="25">
        <f t="shared" ca="1" si="57"/>
        <v>0</v>
      </c>
      <c r="E150" s="25">
        <f t="shared" ca="1" si="59"/>
        <v>0</v>
      </c>
      <c r="F150" s="25">
        <f t="shared" ca="1" si="60"/>
        <v>0</v>
      </c>
      <c r="G150" s="25">
        <f t="shared" ca="1" si="61"/>
        <v>0</v>
      </c>
      <c r="H150" s="25">
        <f t="shared" ca="1" si="62"/>
        <v>0</v>
      </c>
      <c r="I150" s="25">
        <f t="shared" ca="1" si="63"/>
        <v>0</v>
      </c>
    </row>
    <row r="151" spans="1:9" customFormat="1" ht="14.25" customHeight="1">
      <c r="A151">
        <f>会计科目表!A151</f>
        <v>1711</v>
      </c>
      <c r="B151" t="str">
        <f t="shared" ca="1" si="55"/>
        <v>商誉</v>
      </c>
      <c r="C151" s="41">
        <f t="shared" ca="1" si="56"/>
        <v>1</v>
      </c>
      <c r="D151" s="25">
        <f t="shared" ca="1" si="57"/>
        <v>0</v>
      </c>
      <c r="E151" s="25">
        <f t="shared" ca="1" si="59"/>
        <v>0</v>
      </c>
      <c r="F151" s="25">
        <f t="shared" ca="1" si="60"/>
        <v>0</v>
      </c>
      <c r="G151" s="25">
        <f t="shared" ca="1" si="61"/>
        <v>0</v>
      </c>
      <c r="H151" s="25">
        <f t="shared" ca="1" si="62"/>
        <v>0</v>
      </c>
      <c r="I151" s="25">
        <f t="shared" ca="1" si="63"/>
        <v>0</v>
      </c>
    </row>
    <row r="152" spans="1:9" customFormat="1" ht="14.25" customHeight="1">
      <c r="A152">
        <f>会计科目表!A152</f>
        <v>1801</v>
      </c>
      <c r="B152" t="str">
        <f t="shared" ca="1" si="55"/>
        <v>长期待摊费用</v>
      </c>
      <c r="C152" s="41">
        <f t="shared" ca="1" si="56"/>
        <v>1</v>
      </c>
      <c r="D152" s="25">
        <f t="shared" ca="1" si="57"/>
        <v>0</v>
      </c>
      <c r="E152" s="25">
        <f ca="1">SUMIF($C153:$C154,"=2",E153:E154)</f>
        <v>0</v>
      </c>
      <c r="F152" s="25">
        <f t="shared" ref="F152:H152" ca="1" si="64">SUMIF($C153:$C154,"=2",F153:F154)</f>
        <v>0</v>
      </c>
      <c r="G152" s="25">
        <f t="shared" ca="1" si="64"/>
        <v>0</v>
      </c>
      <c r="H152" s="25">
        <f t="shared" ca="1" si="64"/>
        <v>0</v>
      </c>
      <c r="I152" s="25">
        <f t="shared" ca="1" si="63"/>
        <v>0</v>
      </c>
    </row>
    <row r="153" spans="1:9" customFormat="1" ht="14.25" customHeight="1">
      <c r="A153">
        <f>会计科目表!A153</f>
        <v>180101</v>
      </c>
      <c r="B153" t="str">
        <f t="shared" ca="1" si="55"/>
        <v>长期待摊费用_固定资产修理支出</v>
      </c>
      <c r="C153" s="21">
        <f t="shared" ca="1" si="56"/>
        <v>2</v>
      </c>
      <c r="D153" s="19">
        <f t="shared" ca="1" si="57"/>
        <v>0</v>
      </c>
      <c r="E153" s="19">
        <f t="shared" ref="E153:E159" ca="1" si="65">SUMPRODUCT((科目编号=$A153)*(记账月份=$I$1),借方金额)</f>
        <v>0</v>
      </c>
      <c r="F153" s="19">
        <f t="shared" ref="F153:F159" ca="1" si="66">SUMPRODUCT((科目编号=$A153)*(记账月份=$I$1),贷方金额)</f>
        <v>0</v>
      </c>
      <c r="G153" s="19">
        <f t="shared" ref="G153:G159" ca="1" si="67">SUMPRODUCT((科目编号=$A153)*(记账月份&lt;=$I$1),借方金额)</f>
        <v>0</v>
      </c>
      <c r="H153" s="19">
        <f t="shared" ref="H153:H159" ca="1" si="68">SUMPRODUCT((科目编号=$A153)*(记账月份&lt;=$I$1),贷方金额)</f>
        <v>0</v>
      </c>
      <c r="I153" s="19">
        <f t="shared" ca="1" si="63"/>
        <v>0</v>
      </c>
    </row>
    <row r="154" spans="1:9" customFormat="1" ht="14.25" customHeight="1">
      <c r="A154">
        <f>会计科目表!A154</f>
        <v>180102</v>
      </c>
      <c r="B154" t="str">
        <f t="shared" ca="1" si="55"/>
        <v>长期待摊费用_租入固定资产改良</v>
      </c>
      <c r="C154" s="21">
        <f t="shared" ca="1" si="56"/>
        <v>2</v>
      </c>
      <c r="D154" s="19">
        <f t="shared" ca="1" si="57"/>
        <v>0</v>
      </c>
      <c r="E154" s="19">
        <f t="shared" ca="1" si="65"/>
        <v>0</v>
      </c>
      <c r="F154" s="19">
        <f t="shared" ca="1" si="66"/>
        <v>0</v>
      </c>
      <c r="G154" s="19">
        <f t="shared" ca="1" si="67"/>
        <v>0</v>
      </c>
      <c r="H154" s="19">
        <f t="shared" ca="1" si="68"/>
        <v>0</v>
      </c>
      <c r="I154" s="19">
        <f t="shared" ca="1" si="63"/>
        <v>0</v>
      </c>
    </row>
    <row r="155" spans="1:9" customFormat="1" ht="14.25" customHeight="1">
      <c r="A155">
        <f>会计科目表!A155</f>
        <v>1811</v>
      </c>
      <c r="B155" t="str">
        <f t="shared" ca="1" si="55"/>
        <v>递延所得税资产</v>
      </c>
      <c r="C155" s="41">
        <f t="shared" ca="1" si="56"/>
        <v>1</v>
      </c>
      <c r="D155" s="25">
        <f t="shared" ca="1" si="57"/>
        <v>0</v>
      </c>
      <c r="E155" s="25">
        <f t="shared" ca="1" si="65"/>
        <v>0</v>
      </c>
      <c r="F155" s="25">
        <f t="shared" ca="1" si="66"/>
        <v>0</v>
      </c>
      <c r="G155" s="25">
        <f t="shared" ca="1" si="67"/>
        <v>0</v>
      </c>
      <c r="H155" s="25">
        <f t="shared" ca="1" si="68"/>
        <v>0</v>
      </c>
      <c r="I155" s="25">
        <f t="shared" ref="I155:I251" ca="1" si="69">D155-G155+H155</f>
        <v>0</v>
      </c>
    </row>
    <row r="156" spans="1:9" customFormat="1" ht="14.25" customHeight="1">
      <c r="A156">
        <f>会计科目表!A156</f>
        <v>1901</v>
      </c>
      <c r="B156" t="str">
        <f t="shared" ca="1" si="55"/>
        <v>待处理财产损溢</v>
      </c>
      <c r="C156" s="41">
        <f t="shared" ca="1" si="56"/>
        <v>1</v>
      </c>
      <c r="D156" s="25">
        <f t="shared" ca="1" si="57"/>
        <v>0</v>
      </c>
      <c r="E156" s="25">
        <f t="shared" ca="1" si="65"/>
        <v>0</v>
      </c>
      <c r="F156" s="25">
        <f t="shared" ca="1" si="66"/>
        <v>0</v>
      </c>
      <c r="G156" s="25">
        <f t="shared" ca="1" si="67"/>
        <v>0</v>
      </c>
      <c r="H156" s="25">
        <f t="shared" ca="1" si="68"/>
        <v>0</v>
      </c>
      <c r="I156" s="25">
        <f t="shared" ca="1" si="69"/>
        <v>0</v>
      </c>
    </row>
    <row r="157" spans="1:9" customFormat="1" ht="14.25" customHeight="1">
      <c r="A157">
        <f>会计科目表!A157</f>
        <v>2001</v>
      </c>
      <c r="B157" t="str">
        <f t="shared" ca="1" si="55"/>
        <v>短期借款</v>
      </c>
      <c r="C157" s="41">
        <f t="shared" ca="1" si="56"/>
        <v>1</v>
      </c>
      <c r="D157" s="25">
        <f t="shared" ca="1" si="57"/>
        <v>0</v>
      </c>
      <c r="E157" s="25">
        <f t="shared" ca="1" si="65"/>
        <v>0</v>
      </c>
      <c r="F157" s="25">
        <f t="shared" ca="1" si="66"/>
        <v>0</v>
      </c>
      <c r="G157" s="25">
        <f t="shared" ca="1" si="67"/>
        <v>0</v>
      </c>
      <c r="H157" s="25">
        <f t="shared" ca="1" si="68"/>
        <v>0</v>
      </c>
      <c r="I157" s="25">
        <f t="shared" ca="1" si="69"/>
        <v>0</v>
      </c>
    </row>
    <row r="158" spans="1:9" customFormat="1" ht="14.25" customHeight="1">
      <c r="A158">
        <f>会计科目表!A158</f>
        <v>2101</v>
      </c>
      <c r="B158" t="str">
        <f t="shared" ca="1" si="55"/>
        <v>交易性金融负债</v>
      </c>
      <c r="C158" s="41">
        <f t="shared" ca="1" si="56"/>
        <v>1</v>
      </c>
      <c r="D158" s="25">
        <f t="shared" ca="1" si="57"/>
        <v>0</v>
      </c>
      <c r="E158" s="25">
        <f t="shared" ca="1" si="65"/>
        <v>0</v>
      </c>
      <c r="F158" s="25">
        <f t="shared" ca="1" si="66"/>
        <v>0</v>
      </c>
      <c r="G158" s="25">
        <f t="shared" ca="1" si="67"/>
        <v>0</v>
      </c>
      <c r="H158" s="25">
        <f t="shared" ca="1" si="68"/>
        <v>0</v>
      </c>
      <c r="I158" s="25">
        <f ca="1">D158-G158+H158</f>
        <v>0</v>
      </c>
    </row>
    <row r="159" spans="1:9" customFormat="1" ht="14.25" customHeight="1">
      <c r="A159">
        <f>会计科目表!A159</f>
        <v>2201</v>
      </c>
      <c r="B159" t="str">
        <f t="shared" ca="1" si="55"/>
        <v>应付票据</v>
      </c>
      <c r="C159" s="41">
        <f t="shared" ca="1" si="56"/>
        <v>1</v>
      </c>
      <c r="D159" s="25">
        <f t="shared" ca="1" si="57"/>
        <v>0</v>
      </c>
      <c r="E159" s="25">
        <f t="shared" ca="1" si="65"/>
        <v>0</v>
      </c>
      <c r="F159" s="25">
        <f t="shared" ca="1" si="66"/>
        <v>0</v>
      </c>
      <c r="G159" s="25">
        <f t="shared" ca="1" si="67"/>
        <v>0</v>
      </c>
      <c r="H159" s="25">
        <f t="shared" ca="1" si="68"/>
        <v>0</v>
      </c>
      <c r="I159" s="25">
        <f t="shared" ca="1" si="69"/>
        <v>0</v>
      </c>
    </row>
    <row r="160" spans="1:9" customFormat="1" ht="14.25" customHeight="1">
      <c r="A160">
        <f>会计科目表!A160</f>
        <v>2202</v>
      </c>
      <c r="B160" t="str">
        <f t="shared" ca="1" si="55"/>
        <v>应付账款</v>
      </c>
      <c r="C160" s="41">
        <f t="shared" ca="1" si="56"/>
        <v>1</v>
      </c>
      <c r="D160" s="25">
        <f t="shared" ca="1" si="57"/>
        <v>6041019.6200000001</v>
      </c>
      <c r="E160" s="25">
        <f ca="1">SUMIF($C161:$C168,"=2",E161:E168)</f>
        <v>0</v>
      </c>
      <c r="F160" s="25">
        <f t="shared" ref="F160:H160" ca="1" si="70">SUMIF($C161:$C168,"=2",F161:F168)</f>
        <v>0</v>
      </c>
      <c r="G160" s="25">
        <f t="shared" ca="1" si="70"/>
        <v>0</v>
      </c>
      <c r="H160" s="25">
        <f t="shared" ca="1" si="70"/>
        <v>0</v>
      </c>
      <c r="I160" s="25">
        <f t="shared" ca="1" si="69"/>
        <v>6041019.6200000001</v>
      </c>
    </row>
    <row r="161" spans="1:9" customFormat="1" ht="14.25" customHeight="1">
      <c r="A161">
        <f>会计科目表!A161</f>
        <v>220201</v>
      </c>
      <c r="B161" t="str">
        <f t="shared" ca="1" si="55"/>
        <v>应付账款_工程款</v>
      </c>
      <c r="C161" s="21">
        <f t="shared" ca="1" si="56"/>
        <v>2</v>
      </c>
      <c r="D161" s="19">
        <f t="shared" ca="1" si="57"/>
        <v>4800000</v>
      </c>
      <c r="E161" s="19">
        <f t="shared" ref="E161:E168" ca="1" si="71">SUMPRODUCT((科目编号=$A161)*(记账月份=$I$1),借方金额)</f>
        <v>0</v>
      </c>
      <c r="F161" s="19">
        <f t="shared" ref="F161:F168" ca="1" si="72">SUMPRODUCT((科目编号=$A161)*(记账月份=$I$1),贷方金额)</f>
        <v>0</v>
      </c>
      <c r="G161" s="19">
        <f t="shared" ref="G161:G168" ca="1" si="73">SUMPRODUCT((科目编号=$A161)*(记账月份&lt;=$I$1),借方金额)</f>
        <v>0</v>
      </c>
      <c r="H161" s="19">
        <f t="shared" ref="H161:H168" ca="1" si="74">SUMPRODUCT((科目编号=$A161)*(记账月份&lt;=$I$1),贷方金额)</f>
        <v>0</v>
      </c>
      <c r="I161" s="19">
        <f t="shared" ca="1" si="69"/>
        <v>4800000</v>
      </c>
    </row>
    <row r="162" spans="1:9" customFormat="1" ht="14.25" customHeight="1">
      <c r="A162">
        <f>会计科目表!A162</f>
        <v>22020101</v>
      </c>
      <c r="B162" t="str">
        <f t="shared" ca="1" si="55"/>
        <v>应付账款_工程款_南恒制冷</v>
      </c>
      <c r="C162" s="21">
        <f t="shared" ca="1" si="56"/>
        <v>3</v>
      </c>
      <c r="D162" s="19">
        <f t="shared" ca="1" si="57"/>
        <v>1800000</v>
      </c>
      <c r="E162" s="19">
        <f t="shared" ca="1" si="71"/>
        <v>0</v>
      </c>
      <c r="F162" s="19">
        <f t="shared" ca="1" si="72"/>
        <v>0</v>
      </c>
      <c r="G162" s="19">
        <f t="shared" ca="1" si="73"/>
        <v>0</v>
      </c>
      <c r="H162" s="19">
        <f t="shared" ca="1" si="74"/>
        <v>0</v>
      </c>
      <c r="I162" s="19">
        <f t="shared" ca="1" si="69"/>
        <v>1800000</v>
      </c>
    </row>
    <row r="163" spans="1:9" customFormat="1" ht="14.25" customHeight="1">
      <c r="A163">
        <f>会计科目表!A163</f>
        <v>22020102</v>
      </c>
      <c r="B163" t="str">
        <f t="shared" ca="1" si="55"/>
        <v>应付账款_工程款_星宇建材</v>
      </c>
      <c r="C163" s="21">
        <f t="shared" ca="1" si="56"/>
        <v>3</v>
      </c>
      <c r="D163" s="19">
        <f t="shared" ca="1" si="57"/>
        <v>1250000</v>
      </c>
      <c r="E163" s="19">
        <f t="shared" ca="1" si="71"/>
        <v>0</v>
      </c>
      <c r="F163" s="19">
        <f t="shared" ca="1" si="72"/>
        <v>0</v>
      </c>
      <c r="G163" s="19">
        <f t="shared" ca="1" si="73"/>
        <v>0</v>
      </c>
      <c r="H163" s="19">
        <f t="shared" ca="1" si="74"/>
        <v>0</v>
      </c>
      <c r="I163" s="19">
        <f t="shared" ca="1" si="69"/>
        <v>1250000</v>
      </c>
    </row>
    <row r="164" spans="1:9" customFormat="1" ht="14.25" customHeight="1">
      <c r="A164">
        <f>会计科目表!A164</f>
        <v>22020103</v>
      </c>
      <c r="B164" t="str">
        <f t="shared" ca="1" si="55"/>
        <v>应付账款_工程款_金思维美工</v>
      </c>
      <c r="C164" s="21">
        <f t="shared" ca="1" si="56"/>
        <v>3</v>
      </c>
      <c r="D164" s="19">
        <f t="shared" ca="1" si="57"/>
        <v>1250000</v>
      </c>
      <c r="E164" s="19">
        <f t="shared" ca="1" si="71"/>
        <v>0</v>
      </c>
      <c r="F164" s="19">
        <f t="shared" ca="1" si="72"/>
        <v>0</v>
      </c>
      <c r="G164" s="19">
        <f t="shared" ca="1" si="73"/>
        <v>0</v>
      </c>
      <c r="H164" s="19">
        <f t="shared" ca="1" si="74"/>
        <v>0</v>
      </c>
      <c r="I164" s="19">
        <f ca="1">D164-G164+H164</f>
        <v>1250000</v>
      </c>
    </row>
    <row r="165" spans="1:9" customFormat="1" ht="14.25" customHeight="1">
      <c r="A165">
        <f>会计科目表!A165</f>
        <v>22020104</v>
      </c>
      <c r="B165" t="str">
        <f t="shared" ca="1" si="55"/>
        <v>应付账款_工程款_天源建材</v>
      </c>
      <c r="C165" s="21">
        <f t="shared" ca="1" si="56"/>
        <v>3</v>
      </c>
      <c r="D165" s="19">
        <f t="shared" ca="1" si="57"/>
        <v>250000</v>
      </c>
      <c r="E165" s="19">
        <f t="shared" ca="1" si="71"/>
        <v>0</v>
      </c>
      <c r="F165" s="19">
        <f t="shared" ca="1" si="72"/>
        <v>0</v>
      </c>
      <c r="G165" s="19">
        <f t="shared" ca="1" si="73"/>
        <v>0</v>
      </c>
      <c r="H165" s="19">
        <f t="shared" ca="1" si="74"/>
        <v>0</v>
      </c>
      <c r="I165" s="19">
        <f ca="1">D165-G165+H165</f>
        <v>250000</v>
      </c>
    </row>
    <row r="166" spans="1:9" customFormat="1" ht="14.25" customHeight="1">
      <c r="A166">
        <f>会计科目表!A166</f>
        <v>22020105</v>
      </c>
      <c r="B166" t="str">
        <f t="shared" ca="1" si="55"/>
        <v>应付账款_工程款_振豪水暖</v>
      </c>
      <c r="C166" s="21">
        <f t="shared" ca="1" si="56"/>
        <v>3</v>
      </c>
      <c r="D166" s="19">
        <f t="shared" ca="1" si="57"/>
        <v>250000</v>
      </c>
      <c r="E166" s="19">
        <f t="shared" ca="1" si="71"/>
        <v>0</v>
      </c>
      <c r="F166" s="19">
        <f t="shared" ca="1" si="72"/>
        <v>0</v>
      </c>
      <c r="G166" s="19">
        <f t="shared" ca="1" si="73"/>
        <v>0</v>
      </c>
      <c r="H166" s="19">
        <f t="shared" ca="1" si="74"/>
        <v>0</v>
      </c>
      <c r="I166" s="19">
        <f ca="1">D166-G166+H166</f>
        <v>250000</v>
      </c>
    </row>
    <row r="167" spans="1:9" customFormat="1" ht="14.25" customHeight="1">
      <c r="A167">
        <f>会计科目表!A167</f>
        <v>220202</v>
      </c>
      <c r="B167" t="str">
        <f t="shared" ca="1" si="55"/>
        <v>应付账款_购货款</v>
      </c>
      <c r="C167" s="21">
        <f t="shared" ca="1" si="56"/>
        <v>2</v>
      </c>
      <c r="D167" s="19">
        <f t="shared" ca="1" si="57"/>
        <v>1241019.6200000001</v>
      </c>
      <c r="E167" s="19">
        <f t="shared" ca="1" si="71"/>
        <v>0</v>
      </c>
      <c r="F167" s="19">
        <f t="shared" ca="1" si="72"/>
        <v>0</v>
      </c>
      <c r="G167" s="19">
        <f t="shared" ca="1" si="73"/>
        <v>0</v>
      </c>
      <c r="H167" s="19">
        <f t="shared" ca="1" si="74"/>
        <v>0</v>
      </c>
      <c r="I167" s="19">
        <f ca="1">D167-G167+H167</f>
        <v>1241019.6200000001</v>
      </c>
    </row>
    <row r="168" spans="1:9" customFormat="1" ht="14.25" customHeight="1">
      <c r="A168">
        <f>会计科目表!A168</f>
        <v>22020201</v>
      </c>
      <c r="B168" t="str">
        <f t="shared" ca="1" si="55"/>
        <v>应付账款_购货款_重庆基辅涂料</v>
      </c>
      <c r="C168" s="21">
        <f t="shared" ca="1" si="56"/>
        <v>3</v>
      </c>
      <c r="D168" s="19">
        <f t="shared" ca="1" si="57"/>
        <v>1241019.6200000001</v>
      </c>
      <c r="E168" s="19">
        <f t="shared" ca="1" si="71"/>
        <v>0</v>
      </c>
      <c r="F168" s="19">
        <f t="shared" ca="1" si="72"/>
        <v>0</v>
      </c>
      <c r="G168" s="19">
        <f t="shared" ca="1" si="73"/>
        <v>0</v>
      </c>
      <c r="H168" s="19">
        <f t="shared" ca="1" si="74"/>
        <v>0</v>
      </c>
      <c r="I168" s="19">
        <f t="shared" ca="1" si="69"/>
        <v>1241019.6200000001</v>
      </c>
    </row>
    <row r="169" spans="1:9" customFormat="1" ht="14.25" customHeight="1">
      <c r="A169">
        <f>会计科目表!A169</f>
        <v>2203</v>
      </c>
      <c r="B169" t="str">
        <f t="shared" ca="1" si="55"/>
        <v>预收账款</v>
      </c>
      <c r="C169" s="41">
        <f t="shared" ca="1" si="56"/>
        <v>1</v>
      </c>
      <c r="D169" s="25">
        <f t="shared" ca="1" si="57"/>
        <v>0</v>
      </c>
      <c r="E169" s="25">
        <f ca="1">SUMIF($C170:$C185,"=2",E170:E185)</f>
        <v>0</v>
      </c>
      <c r="F169" s="25">
        <f ca="1">SUMIF($C170:$C185,"=2",F170:F185)</f>
        <v>0</v>
      </c>
      <c r="G169" s="25">
        <f ca="1">SUMIF($C170:$C185,"=2",G170:G185)</f>
        <v>0</v>
      </c>
      <c r="H169" s="25">
        <f ca="1">SUMIF($C170:$C185,"=2",H170:H185)</f>
        <v>0</v>
      </c>
      <c r="I169" s="25">
        <f t="shared" ca="1" si="69"/>
        <v>0</v>
      </c>
    </row>
    <row r="170" spans="1:9" customFormat="1" ht="14.25" customHeight="1">
      <c r="A170">
        <f>会计科目表!A170</f>
        <v>220301</v>
      </c>
      <c r="B170" t="str">
        <f t="shared" ca="1" si="55"/>
        <v>预收账款_购房款</v>
      </c>
      <c r="C170" s="21">
        <f t="shared" ca="1" si="56"/>
        <v>2</v>
      </c>
      <c r="D170" s="19">
        <f t="shared" ca="1" si="57"/>
        <v>0</v>
      </c>
      <c r="E170" s="19">
        <f ca="1">SUMIF($C171:$C180,"=3",E171:E180)</f>
        <v>0</v>
      </c>
      <c r="F170" s="19">
        <f ca="1">SUMIF($C171:$C180,"=3",F171:F180)</f>
        <v>0</v>
      </c>
      <c r="G170" s="19">
        <f ca="1">SUMIF($C171:$C180,"=3",G171:G180)</f>
        <v>0</v>
      </c>
      <c r="H170" s="19">
        <f ca="1">SUMIF($C171:$C180,"=3",H171:H180)</f>
        <v>0</v>
      </c>
      <c r="I170" s="19">
        <f t="shared" ca="1" si="69"/>
        <v>0</v>
      </c>
    </row>
    <row r="171" spans="1:9" customFormat="1" ht="14.25" customHeight="1">
      <c r="A171">
        <f>会计科目表!A171</f>
        <v>22030101</v>
      </c>
      <c r="B171" t="str">
        <f t="shared" ca="1" si="55"/>
        <v>预收账款_购房款_中国水电七局</v>
      </c>
      <c r="C171" s="21">
        <f t="shared" ca="1" si="56"/>
        <v>3</v>
      </c>
      <c r="D171" s="19">
        <f t="shared" ca="1" si="57"/>
        <v>0</v>
      </c>
      <c r="E171" s="19">
        <f t="shared" ref="E171:E185" ca="1" si="75">SUMPRODUCT((科目编号=$A171)*(记账月份=$I$1),借方金额)</f>
        <v>0</v>
      </c>
      <c r="F171" s="19">
        <f t="shared" ref="F171:F185" ca="1" si="76">SUMPRODUCT((科目编号=$A171)*(记账月份=$I$1),贷方金额)</f>
        <v>0</v>
      </c>
      <c r="G171" s="19">
        <f t="shared" ref="G171:G185" ca="1" si="77">SUMPRODUCT((科目编号=$A171)*(记账月份&lt;=$I$1),借方金额)</f>
        <v>0</v>
      </c>
      <c r="H171" s="19">
        <f t="shared" ref="H171:H185" ca="1" si="78">SUMPRODUCT((科目编号=$A171)*(记账月份&lt;=$I$1),贷方金额)</f>
        <v>0</v>
      </c>
      <c r="I171" s="19">
        <f ca="1">D171-G171+H171</f>
        <v>0</v>
      </c>
    </row>
    <row r="172" spans="1:9" customFormat="1" ht="14.25" customHeight="1">
      <c r="A172">
        <f>会计科目表!A172</f>
        <v>22030102</v>
      </c>
      <c r="B172" t="str">
        <f t="shared" ca="1" si="55"/>
        <v>预收账款_购房款_中国化工七建</v>
      </c>
      <c r="C172" s="21">
        <f t="shared" ca="1" si="56"/>
        <v>3</v>
      </c>
      <c r="D172" s="19">
        <f t="shared" ca="1" si="57"/>
        <v>0</v>
      </c>
      <c r="E172" s="19">
        <f t="shared" ca="1" si="75"/>
        <v>0</v>
      </c>
      <c r="F172" s="19">
        <f t="shared" ca="1" si="76"/>
        <v>0</v>
      </c>
      <c r="G172" s="19">
        <f t="shared" ca="1" si="77"/>
        <v>0</v>
      </c>
      <c r="H172" s="19">
        <f t="shared" ca="1" si="78"/>
        <v>0</v>
      </c>
      <c r="I172" s="19">
        <f ca="1">D172-G172+H172</f>
        <v>0</v>
      </c>
    </row>
    <row r="173" spans="1:9" customFormat="1" ht="14.25" customHeight="1">
      <c r="A173">
        <f>会计科目表!A173</f>
        <v>22030103</v>
      </c>
      <c r="B173" t="str">
        <f t="shared" ca="1" si="55"/>
        <v>预收账款_购房款_</v>
      </c>
      <c r="C173" s="21">
        <f t="shared" ca="1" si="56"/>
        <v>3</v>
      </c>
      <c r="D173" s="19">
        <f t="shared" ca="1" si="57"/>
        <v>0</v>
      </c>
      <c r="E173" s="19">
        <f t="shared" ca="1" si="75"/>
        <v>0</v>
      </c>
      <c r="F173" s="19">
        <f t="shared" ca="1" si="76"/>
        <v>0</v>
      </c>
      <c r="G173" s="19">
        <f t="shared" ca="1" si="77"/>
        <v>0</v>
      </c>
      <c r="H173" s="19">
        <f t="shared" ca="1" si="78"/>
        <v>0</v>
      </c>
      <c r="I173" s="19">
        <f t="shared" ref="I173:I179" ca="1" si="79">D173-G173+H173</f>
        <v>0</v>
      </c>
    </row>
    <row r="174" spans="1:9" customFormat="1" ht="14.25" customHeight="1">
      <c r="A174">
        <f>会计科目表!A174</f>
        <v>22030104</v>
      </c>
      <c r="B174" t="str">
        <f t="shared" ca="1" si="55"/>
        <v>预收账款_购房款_</v>
      </c>
      <c r="C174" s="21">
        <f t="shared" ca="1" si="56"/>
        <v>3</v>
      </c>
      <c r="D174" s="19">
        <f t="shared" ca="1" si="57"/>
        <v>0</v>
      </c>
      <c r="E174" s="19">
        <f t="shared" ca="1" si="75"/>
        <v>0</v>
      </c>
      <c r="F174" s="19">
        <f t="shared" ca="1" si="76"/>
        <v>0</v>
      </c>
      <c r="G174" s="19">
        <f t="shared" ca="1" si="77"/>
        <v>0</v>
      </c>
      <c r="H174" s="19">
        <f t="shared" ca="1" si="78"/>
        <v>0</v>
      </c>
      <c r="I174" s="19">
        <f t="shared" ca="1" si="79"/>
        <v>0</v>
      </c>
    </row>
    <row r="175" spans="1:9" customFormat="1" ht="14.25" customHeight="1">
      <c r="A175">
        <f>会计科目表!A175</f>
        <v>22030105</v>
      </c>
      <c r="B175" t="str">
        <f t="shared" ca="1" si="55"/>
        <v>预收账款_购房款_</v>
      </c>
      <c r="C175" s="21">
        <f t="shared" ca="1" si="56"/>
        <v>3</v>
      </c>
      <c r="D175" s="19">
        <f t="shared" ca="1" si="57"/>
        <v>0</v>
      </c>
      <c r="E175" s="19">
        <f t="shared" ca="1" si="75"/>
        <v>0</v>
      </c>
      <c r="F175" s="19">
        <f t="shared" ca="1" si="76"/>
        <v>0</v>
      </c>
      <c r="G175" s="19">
        <f t="shared" ca="1" si="77"/>
        <v>0</v>
      </c>
      <c r="H175" s="19">
        <f t="shared" ca="1" si="78"/>
        <v>0</v>
      </c>
      <c r="I175" s="19">
        <f ca="1">D175-G175+H175</f>
        <v>0</v>
      </c>
    </row>
    <row r="176" spans="1:9" customFormat="1" ht="14.25" customHeight="1">
      <c r="A176">
        <f>会计科目表!A176</f>
        <v>22030106</v>
      </c>
      <c r="B176" t="str">
        <f t="shared" ca="1" si="55"/>
        <v>预收账款_购房款_</v>
      </c>
      <c r="C176" s="21">
        <f t="shared" ca="1" si="56"/>
        <v>3</v>
      </c>
      <c r="D176" s="19">
        <f t="shared" ca="1" si="57"/>
        <v>0</v>
      </c>
      <c r="E176" s="19">
        <f t="shared" ca="1" si="75"/>
        <v>0</v>
      </c>
      <c r="F176" s="19">
        <f t="shared" ca="1" si="76"/>
        <v>0</v>
      </c>
      <c r="G176" s="19">
        <f t="shared" ca="1" si="77"/>
        <v>0</v>
      </c>
      <c r="H176" s="19">
        <f t="shared" ca="1" si="78"/>
        <v>0</v>
      </c>
      <c r="I176" s="19">
        <f t="shared" ca="1" si="79"/>
        <v>0</v>
      </c>
    </row>
    <row r="177" spans="1:9" customFormat="1" ht="14.25" customHeight="1">
      <c r="A177">
        <f>会计科目表!A177</f>
        <v>22030107</v>
      </c>
      <c r="B177" t="str">
        <f t="shared" ca="1" si="55"/>
        <v>预收账款_购房款_</v>
      </c>
      <c r="C177" s="21">
        <f t="shared" ca="1" si="56"/>
        <v>3</v>
      </c>
      <c r="D177" s="19">
        <f t="shared" ca="1" si="57"/>
        <v>0</v>
      </c>
      <c r="E177" s="19">
        <f t="shared" ca="1" si="75"/>
        <v>0</v>
      </c>
      <c r="F177" s="19">
        <f t="shared" ca="1" si="76"/>
        <v>0</v>
      </c>
      <c r="G177" s="19">
        <f t="shared" ca="1" si="77"/>
        <v>0</v>
      </c>
      <c r="H177" s="19">
        <f t="shared" ca="1" si="78"/>
        <v>0</v>
      </c>
      <c r="I177" s="19">
        <f t="shared" ca="1" si="79"/>
        <v>0</v>
      </c>
    </row>
    <row r="178" spans="1:9" customFormat="1" ht="14.25" customHeight="1">
      <c r="A178">
        <f>会计科目表!A178</f>
        <v>22030108</v>
      </c>
      <c r="B178" t="str">
        <f t="shared" ca="1" si="55"/>
        <v>预收账款_购房款_</v>
      </c>
      <c r="C178" s="21">
        <f t="shared" ca="1" si="56"/>
        <v>3</v>
      </c>
      <c r="D178" s="19">
        <f t="shared" ca="1" si="57"/>
        <v>0</v>
      </c>
      <c r="E178" s="19">
        <f t="shared" ca="1" si="75"/>
        <v>0</v>
      </c>
      <c r="F178" s="19">
        <f t="shared" ca="1" si="76"/>
        <v>0</v>
      </c>
      <c r="G178" s="19">
        <f t="shared" ca="1" si="77"/>
        <v>0</v>
      </c>
      <c r="H178" s="19">
        <f t="shared" ca="1" si="78"/>
        <v>0</v>
      </c>
      <c r="I178" s="19">
        <f t="shared" ca="1" si="79"/>
        <v>0</v>
      </c>
    </row>
    <row r="179" spans="1:9" customFormat="1" ht="14.25" customHeight="1">
      <c r="A179">
        <f>会计科目表!A179</f>
        <v>22030109</v>
      </c>
      <c r="B179" t="str">
        <f t="shared" ca="1" si="55"/>
        <v>预收账款_购房款_</v>
      </c>
      <c r="C179" s="21">
        <f t="shared" ca="1" si="56"/>
        <v>3</v>
      </c>
      <c r="D179" s="19">
        <f t="shared" ca="1" si="57"/>
        <v>0</v>
      </c>
      <c r="E179" s="19">
        <f t="shared" ca="1" si="75"/>
        <v>0</v>
      </c>
      <c r="F179" s="19">
        <f t="shared" ca="1" si="76"/>
        <v>0</v>
      </c>
      <c r="G179" s="19">
        <f t="shared" ca="1" si="77"/>
        <v>0</v>
      </c>
      <c r="H179" s="19">
        <f t="shared" ca="1" si="78"/>
        <v>0</v>
      </c>
      <c r="I179" s="19">
        <f t="shared" ca="1" si="79"/>
        <v>0</v>
      </c>
    </row>
    <row r="180" spans="1:9" customFormat="1" ht="14.25" customHeight="1">
      <c r="A180">
        <f>会计科目表!A180</f>
        <v>22030110</v>
      </c>
      <c r="B180" t="str">
        <f t="shared" ca="1" si="55"/>
        <v>预收账款_购房款_</v>
      </c>
      <c r="C180" s="21">
        <f t="shared" ca="1" si="56"/>
        <v>3</v>
      </c>
      <c r="D180" s="19">
        <f t="shared" ca="1" si="57"/>
        <v>0</v>
      </c>
      <c r="E180" s="19">
        <f t="shared" ca="1" si="75"/>
        <v>0</v>
      </c>
      <c r="F180" s="19">
        <f t="shared" ca="1" si="76"/>
        <v>0</v>
      </c>
      <c r="G180" s="19">
        <f t="shared" ca="1" si="77"/>
        <v>0</v>
      </c>
      <c r="H180" s="19">
        <f t="shared" ca="1" si="78"/>
        <v>0</v>
      </c>
      <c r="I180" s="19">
        <f ca="1">D180-G180+H180</f>
        <v>0</v>
      </c>
    </row>
    <row r="181" spans="1:9" customFormat="1" ht="14.25" customHeight="1">
      <c r="A181">
        <f>会计科目表!A181</f>
        <v>220302</v>
      </c>
      <c r="B181" t="str">
        <f t="shared" ca="1" si="55"/>
        <v>预收账款_工程款</v>
      </c>
      <c r="C181" s="21">
        <f t="shared" ca="1" si="56"/>
        <v>2</v>
      </c>
      <c r="D181" s="19">
        <f t="shared" ca="1" si="57"/>
        <v>0</v>
      </c>
      <c r="E181" s="19">
        <f t="shared" ca="1" si="75"/>
        <v>0</v>
      </c>
      <c r="F181" s="19">
        <f t="shared" ca="1" si="76"/>
        <v>0</v>
      </c>
      <c r="G181" s="19">
        <f t="shared" ca="1" si="77"/>
        <v>0</v>
      </c>
      <c r="H181" s="19">
        <f t="shared" ca="1" si="78"/>
        <v>0</v>
      </c>
      <c r="I181" s="19">
        <f t="shared" ca="1" si="69"/>
        <v>0</v>
      </c>
    </row>
    <row r="182" spans="1:9" customFormat="1" ht="14.25" customHeight="1">
      <c r="A182">
        <f>会计科目表!A182</f>
        <v>220303</v>
      </c>
      <c r="B182" t="str">
        <f t="shared" ca="1" si="55"/>
        <v>预收账款_劳务费</v>
      </c>
      <c r="C182" s="21">
        <f t="shared" ca="1" si="56"/>
        <v>2</v>
      </c>
      <c r="D182" s="19">
        <f t="shared" ca="1" si="57"/>
        <v>0</v>
      </c>
      <c r="E182" s="19">
        <f t="shared" ca="1" si="75"/>
        <v>0</v>
      </c>
      <c r="F182" s="19">
        <f t="shared" ca="1" si="76"/>
        <v>0</v>
      </c>
      <c r="G182" s="19">
        <f t="shared" ca="1" si="77"/>
        <v>0</v>
      </c>
      <c r="H182" s="19">
        <f t="shared" ca="1" si="78"/>
        <v>0</v>
      </c>
      <c r="I182" s="19">
        <f t="shared" ca="1" si="69"/>
        <v>0</v>
      </c>
    </row>
    <row r="183" spans="1:9" customFormat="1" ht="14.25" customHeight="1">
      <c r="A183">
        <f>会计科目表!A183</f>
        <v>220304</v>
      </c>
      <c r="B183" t="str">
        <f t="shared" ca="1" si="55"/>
        <v>预收账款_租金</v>
      </c>
      <c r="C183" s="21">
        <f t="shared" ca="1" si="56"/>
        <v>2</v>
      </c>
      <c r="D183" s="19">
        <f t="shared" ca="1" si="57"/>
        <v>0</v>
      </c>
      <c r="E183" s="19">
        <f t="shared" ca="1" si="75"/>
        <v>0</v>
      </c>
      <c r="F183" s="19">
        <f t="shared" ca="1" si="76"/>
        <v>0</v>
      </c>
      <c r="G183" s="19">
        <f t="shared" ca="1" si="77"/>
        <v>0</v>
      </c>
      <c r="H183" s="19">
        <f t="shared" ca="1" si="78"/>
        <v>0</v>
      </c>
      <c r="I183" s="19">
        <f t="shared" ca="1" si="69"/>
        <v>0</v>
      </c>
    </row>
    <row r="184" spans="1:9" customFormat="1" ht="14.25" customHeight="1">
      <c r="A184">
        <f>会计科目表!A184</f>
        <v>220305</v>
      </c>
      <c r="B184" t="str">
        <f t="shared" ca="1" si="55"/>
        <v>预收账款_购货款</v>
      </c>
      <c r="C184" s="21">
        <f t="shared" ca="1" si="56"/>
        <v>2</v>
      </c>
      <c r="D184" s="19">
        <f t="shared" ca="1" si="57"/>
        <v>0</v>
      </c>
      <c r="E184" s="19">
        <f t="shared" ca="1" si="75"/>
        <v>0</v>
      </c>
      <c r="F184" s="19">
        <f t="shared" ca="1" si="76"/>
        <v>0</v>
      </c>
      <c r="G184" s="19">
        <f t="shared" ca="1" si="77"/>
        <v>0</v>
      </c>
      <c r="H184" s="19">
        <f t="shared" ca="1" si="78"/>
        <v>0</v>
      </c>
      <c r="I184" s="19">
        <f t="shared" ca="1" si="69"/>
        <v>0</v>
      </c>
    </row>
    <row r="185" spans="1:9" customFormat="1" ht="14.25" customHeight="1">
      <c r="A185">
        <f>会计科目表!A185</f>
        <v>220399</v>
      </c>
      <c r="B185" t="str">
        <f t="shared" ca="1" si="55"/>
        <v>预收账款_预收账款结转</v>
      </c>
      <c r="C185" s="21">
        <f t="shared" ca="1" si="56"/>
        <v>2</v>
      </c>
      <c r="D185" s="19">
        <f t="shared" ca="1" si="57"/>
        <v>0</v>
      </c>
      <c r="E185" s="19">
        <f t="shared" ca="1" si="75"/>
        <v>0</v>
      </c>
      <c r="F185" s="19">
        <f t="shared" ca="1" si="76"/>
        <v>0</v>
      </c>
      <c r="G185" s="19">
        <f t="shared" ca="1" si="77"/>
        <v>0</v>
      </c>
      <c r="H185" s="19">
        <f t="shared" ca="1" si="78"/>
        <v>0</v>
      </c>
      <c r="I185" s="19">
        <f t="shared" ca="1" si="69"/>
        <v>0</v>
      </c>
    </row>
    <row r="186" spans="1:9" customFormat="1" ht="14.25" customHeight="1">
      <c r="A186">
        <f>会计科目表!A186</f>
        <v>2211</v>
      </c>
      <c r="B186" t="str">
        <f t="shared" ca="1" si="55"/>
        <v>应付职工薪酬</v>
      </c>
      <c r="C186" s="41">
        <f t="shared" ca="1" si="56"/>
        <v>1</v>
      </c>
      <c r="D186" s="25">
        <f t="shared" ca="1" si="57"/>
        <v>-115201.39</v>
      </c>
      <c r="E186" s="25">
        <f ca="1">SUMIF($C187:$C194,"=2",E187:E194)</f>
        <v>0</v>
      </c>
      <c r="F186" s="25">
        <f t="shared" ref="F186:H186" ca="1" si="80">SUMIF($C187:$C194,"=2",F187:F194)</f>
        <v>0</v>
      </c>
      <c r="G186" s="25">
        <f t="shared" ca="1" si="80"/>
        <v>0</v>
      </c>
      <c r="H186" s="25">
        <f t="shared" ca="1" si="80"/>
        <v>0</v>
      </c>
      <c r="I186" s="25">
        <f t="shared" ca="1" si="69"/>
        <v>-115201.39</v>
      </c>
    </row>
    <row r="187" spans="1:9" customFormat="1" ht="14.25" customHeight="1">
      <c r="A187">
        <f>会计科目表!A187</f>
        <v>221101</v>
      </c>
      <c r="B187" t="str">
        <f t="shared" ca="1" si="55"/>
        <v>应付职工薪酬_工资</v>
      </c>
      <c r="C187" s="21">
        <f t="shared" ca="1" si="56"/>
        <v>2</v>
      </c>
      <c r="D187" s="19">
        <f t="shared" ca="1" si="57"/>
        <v>-73571.41</v>
      </c>
      <c r="E187" s="19">
        <f t="shared" ref="E187:E194" ca="1" si="81">SUMPRODUCT((科目编号=$A187)*(记账月份=$I$1),借方金额)</f>
        <v>0</v>
      </c>
      <c r="F187" s="19">
        <f t="shared" ref="F187:F194" ca="1" si="82">SUMPRODUCT((科目编号=$A187)*(记账月份=$I$1),贷方金额)</f>
        <v>0</v>
      </c>
      <c r="G187" s="19">
        <f t="shared" ref="G187:G194" ca="1" si="83">SUMPRODUCT((科目编号=$A187)*(记账月份&lt;=$I$1),借方金额)</f>
        <v>0</v>
      </c>
      <c r="H187" s="19">
        <f t="shared" ref="H187:H194" ca="1" si="84">SUMPRODUCT((科目编号=$A187)*(记账月份&lt;=$I$1),贷方金额)</f>
        <v>0</v>
      </c>
      <c r="I187" s="19">
        <f t="shared" ca="1" si="69"/>
        <v>-73571.41</v>
      </c>
    </row>
    <row r="188" spans="1:9" customFormat="1" ht="14.25" customHeight="1">
      <c r="A188">
        <f>会计科目表!A188</f>
        <v>221102</v>
      </c>
      <c r="B188" t="str">
        <f t="shared" ca="1" si="55"/>
        <v>应付职工薪酬_职工福利</v>
      </c>
      <c r="C188" s="21">
        <f t="shared" ca="1" si="56"/>
        <v>2</v>
      </c>
      <c r="D188" s="19">
        <f t="shared" ca="1" si="57"/>
        <v>-41629.980000000003</v>
      </c>
      <c r="E188" s="19">
        <f t="shared" ca="1" si="81"/>
        <v>0</v>
      </c>
      <c r="F188" s="19">
        <f t="shared" ca="1" si="82"/>
        <v>0</v>
      </c>
      <c r="G188" s="19">
        <f t="shared" ca="1" si="83"/>
        <v>0</v>
      </c>
      <c r="H188" s="19">
        <f t="shared" ca="1" si="84"/>
        <v>0</v>
      </c>
      <c r="I188" s="19">
        <f t="shared" ca="1" si="69"/>
        <v>-41629.980000000003</v>
      </c>
    </row>
    <row r="189" spans="1:9" customFormat="1" ht="14.25" customHeight="1">
      <c r="A189">
        <f>会计科目表!A189</f>
        <v>221103</v>
      </c>
      <c r="B189" t="str">
        <f t="shared" ca="1" si="55"/>
        <v>应付职工薪酬_社会保险费</v>
      </c>
      <c r="C189" s="21">
        <f t="shared" ca="1" si="56"/>
        <v>2</v>
      </c>
      <c r="D189" s="19">
        <f t="shared" ca="1" si="57"/>
        <v>0</v>
      </c>
      <c r="E189" s="19">
        <f t="shared" ca="1" si="81"/>
        <v>0</v>
      </c>
      <c r="F189" s="19">
        <f t="shared" ca="1" si="82"/>
        <v>0</v>
      </c>
      <c r="G189" s="19">
        <f t="shared" ca="1" si="83"/>
        <v>0</v>
      </c>
      <c r="H189" s="19">
        <f t="shared" ca="1" si="84"/>
        <v>0</v>
      </c>
      <c r="I189" s="19">
        <f t="shared" ca="1" si="69"/>
        <v>0</v>
      </c>
    </row>
    <row r="190" spans="1:9" customFormat="1" ht="14.25" customHeight="1">
      <c r="A190">
        <f>会计科目表!A190</f>
        <v>221104</v>
      </c>
      <c r="B190" t="str">
        <f t="shared" ca="1" si="55"/>
        <v>应付职工薪酬_住房公积金</v>
      </c>
      <c r="C190" s="21">
        <f t="shared" ca="1" si="56"/>
        <v>2</v>
      </c>
      <c r="D190" s="19">
        <f t="shared" ca="1" si="57"/>
        <v>0</v>
      </c>
      <c r="E190" s="19">
        <f t="shared" ca="1" si="81"/>
        <v>0</v>
      </c>
      <c r="F190" s="19">
        <f t="shared" ca="1" si="82"/>
        <v>0</v>
      </c>
      <c r="G190" s="19">
        <f t="shared" ca="1" si="83"/>
        <v>0</v>
      </c>
      <c r="H190" s="19">
        <f t="shared" ca="1" si="84"/>
        <v>0</v>
      </c>
      <c r="I190" s="19">
        <f t="shared" ca="1" si="69"/>
        <v>0</v>
      </c>
    </row>
    <row r="191" spans="1:9" customFormat="1" ht="14.25" customHeight="1">
      <c r="A191">
        <f>会计科目表!A191</f>
        <v>221105</v>
      </c>
      <c r="B191" t="str">
        <f t="shared" ca="1" si="55"/>
        <v>应付职工薪酬_工会经费</v>
      </c>
      <c r="C191" s="21">
        <f t="shared" ca="1" si="56"/>
        <v>2</v>
      </c>
      <c r="D191" s="19">
        <f t="shared" ca="1" si="57"/>
        <v>0</v>
      </c>
      <c r="E191" s="19">
        <f t="shared" ca="1" si="81"/>
        <v>0</v>
      </c>
      <c r="F191" s="19">
        <f t="shared" ca="1" si="82"/>
        <v>0</v>
      </c>
      <c r="G191" s="19">
        <f t="shared" ca="1" si="83"/>
        <v>0</v>
      </c>
      <c r="H191" s="19">
        <f t="shared" ca="1" si="84"/>
        <v>0</v>
      </c>
      <c r="I191" s="19">
        <f t="shared" ca="1" si="69"/>
        <v>0</v>
      </c>
    </row>
    <row r="192" spans="1:9" customFormat="1" ht="14.25" customHeight="1">
      <c r="A192">
        <f>会计科目表!A192</f>
        <v>221106</v>
      </c>
      <c r="B192" t="str">
        <f t="shared" ca="1" si="55"/>
        <v>应付职工薪酬_职工教育经费</v>
      </c>
      <c r="C192" s="21">
        <f t="shared" ca="1" si="56"/>
        <v>2</v>
      </c>
      <c r="D192" s="19">
        <f t="shared" ca="1" si="57"/>
        <v>0</v>
      </c>
      <c r="E192" s="19">
        <f t="shared" ca="1" si="81"/>
        <v>0</v>
      </c>
      <c r="F192" s="19">
        <f t="shared" ca="1" si="82"/>
        <v>0</v>
      </c>
      <c r="G192" s="19">
        <f t="shared" ca="1" si="83"/>
        <v>0</v>
      </c>
      <c r="H192" s="19">
        <f t="shared" ca="1" si="84"/>
        <v>0</v>
      </c>
      <c r="I192" s="19">
        <f t="shared" ca="1" si="69"/>
        <v>0</v>
      </c>
    </row>
    <row r="193" spans="1:9" customFormat="1" ht="14.25" customHeight="1">
      <c r="A193">
        <f>会计科目表!A193</f>
        <v>221107</v>
      </c>
      <c r="B193" t="str">
        <f t="shared" ca="1" si="55"/>
        <v>应付职工薪酬_非货币性福利</v>
      </c>
      <c r="C193" s="21">
        <f t="shared" ca="1" si="56"/>
        <v>2</v>
      </c>
      <c r="D193" s="19">
        <f t="shared" ca="1" si="57"/>
        <v>0</v>
      </c>
      <c r="E193" s="19">
        <f t="shared" ca="1" si="81"/>
        <v>0</v>
      </c>
      <c r="F193" s="19">
        <f t="shared" ca="1" si="82"/>
        <v>0</v>
      </c>
      <c r="G193" s="19">
        <f t="shared" ca="1" si="83"/>
        <v>0</v>
      </c>
      <c r="H193" s="19">
        <f t="shared" ca="1" si="84"/>
        <v>0</v>
      </c>
      <c r="I193" s="19">
        <f t="shared" ca="1" si="69"/>
        <v>0</v>
      </c>
    </row>
    <row r="194" spans="1:9" customFormat="1" ht="14.25" customHeight="1">
      <c r="A194">
        <f>会计科目表!A194</f>
        <v>221108</v>
      </c>
      <c r="B194" t="str">
        <f t="shared" ca="1" si="55"/>
        <v>应付职工薪酬_辞退福利</v>
      </c>
      <c r="C194" s="21">
        <f t="shared" ca="1" si="56"/>
        <v>2</v>
      </c>
      <c r="D194" s="19">
        <f t="shared" ca="1" si="57"/>
        <v>0</v>
      </c>
      <c r="E194" s="19">
        <f t="shared" ca="1" si="81"/>
        <v>0</v>
      </c>
      <c r="F194" s="19">
        <f t="shared" ca="1" si="82"/>
        <v>0</v>
      </c>
      <c r="G194" s="19">
        <f t="shared" ca="1" si="83"/>
        <v>0</v>
      </c>
      <c r="H194" s="19">
        <f t="shared" ca="1" si="84"/>
        <v>0</v>
      </c>
      <c r="I194" s="19">
        <f t="shared" ca="1" si="69"/>
        <v>0</v>
      </c>
    </row>
    <row r="195" spans="1:9" customFormat="1" ht="14.25" customHeight="1">
      <c r="A195">
        <f>会计科目表!A195</f>
        <v>2221</v>
      </c>
      <c r="B195" t="str">
        <f t="shared" ca="1" si="55"/>
        <v>应交税费</v>
      </c>
      <c r="C195" s="41">
        <f t="shared" ca="1" si="56"/>
        <v>1</v>
      </c>
      <c r="D195" s="25">
        <f t="shared" ca="1" si="57"/>
        <v>-13933.85</v>
      </c>
      <c r="E195" s="25">
        <f ca="1">SUMIF($C196:$C218,"=2",E196:E218)</f>
        <v>0</v>
      </c>
      <c r="F195" s="25">
        <f ca="1">SUMIF($C196:$C218,"=2",F196:F218)</f>
        <v>0</v>
      </c>
      <c r="G195" s="25">
        <f ca="1">SUMIF($C196:$C218,"=2",G196:G218)</f>
        <v>817</v>
      </c>
      <c r="H195" s="25">
        <f ca="1">SUMIF($C196:$C218,"=2",H196:H218)</f>
        <v>817</v>
      </c>
      <c r="I195" s="25">
        <f t="shared" ca="1" si="69"/>
        <v>-13933.85</v>
      </c>
    </row>
    <row r="196" spans="1:9" customFormat="1" ht="14.25" customHeight="1">
      <c r="A196">
        <f>会计科目表!A196</f>
        <v>222101</v>
      </c>
      <c r="B196" t="str">
        <f t="shared" ca="1" si="55"/>
        <v>应交税费_应交增值税</v>
      </c>
      <c r="C196" s="21">
        <f t="shared" ca="1" si="56"/>
        <v>2</v>
      </c>
      <c r="D196" s="19">
        <f t="shared" ca="1" si="57"/>
        <v>0</v>
      </c>
      <c r="E196" s="19">
        <f ca="1">SUMIF($C197:$C205,"=3",E197:E205)</f>
        <v>0</v>
      </c>
      <c r="F196" s="19">
        <f ca="1">SUMIF($C197:$C205,"=3",F197:F205)</f>
        <v>0</v>
      </c>
      <c r="G196" s="19">
        <f ca="1">SUMIF($C197:$C205,"=3",G197:G205)</f>
        <v>0</v>
      </c>
      <c r="H196" s="19">
        <f ca="1">SUMIF($C197:$C205,"=3",H197:H205)</f>
        <v>0</v>
      </c>
      <c r="I196" s="19">
        <f t="shared" ca="1" si="69"/>
        <v>0</v>
      </c>
    </row>
    <row r="197" spans="1:9" customFormat="1" ht="14.25" customHeight="1">
      <c r="A197">
        <f>会计科目表!A197</f>
        <v>22210101</v>
      </c>
      <c r="B197" t="str">
        <f t="shared" ref="B197:B260" ca="1" si="85">INDEX(账户查询,MATCH($A197,科目代码,))</f>
        <v>应交税费_应交增值税(进项税额)</v>
      </c>
      <c r="C197" s="21">
        <f t="shared" ref="C197:C260" ca="1" si="86">INDEX(OFFSET(科目代码,,3),MATCH($A197,科目代码,))</f>
        <v>3</v>
      </c>
      <c r="D197" s="19">
        <f t="shared" ref="D197:D260" ca="1" si="87">INDEX(OFFSET(科目代码,,5,,2),MATCH($A197,科目代码,),2-(LEFT($A197,4)*1&lt;2001))</f>
        <v>0</v>
      </c>
      <c r="E197" s="19">
        <f t="shared" ref="E197:E220" ca="1" si="88">SUMPRODUCT((科目编号=$A197)*(记账月份=$I$1),借方金额)</f>
        <v>0</v>
      </c>
      <c r="F197" s="19">
        <f t="shared" ref="F197:F220" ca="1" si="89">SUMPRODUCT((科目编号=$A197)*(记账月份=$I$1),贷方金额)</f>
        <v>0</v>
      </c>
      <c r="G197" s="19">
        <f t="shared" ref="G197:G220" ca="1" si="90">SUMPRODUCT((科目编号=$A197)*(记账月份&lt;=$I$1),借方金额)</f>
        <v>0</v>
      </c>
      <c r="H197" s="19">
        <f t="shared" ref="H197:H220" ca="1" si="91">SUMPRODUCT((科目编号=$A197)*(记账月份&lt;=$I$1),贷方金额)</f>
        <v>0</v>
      </c>
      <c r="I197" s="19">
        <f t="shared" ca="1" si="69"/>
        <v>0</v>
      </c>
    </row>
    <row r="198" spans="1:9" customFormat="1" ht="14.25" customHeight="1">
      <c r="A198">
        <f>会计科目表!A198</f>
        <v>22210102</v>
      </c>
      <c r="B198" t="str">
        <f t="shared" ca="1" si="85"/>
        <v>应交税费_应交增值税(已交税金)</v>
      </c>
      <c r="C198" s="21">
        <f t="shared" ca="1" si="86"/>
        <v>3</v>
      </c>
      <c r="D198" s="19">
        <f t="shared" ca="1" si="87"/>
        <v>0</v>
      </c>
      <c r="E198" s="19">
        <f t="shared" ca="1" si="88"/>
        <v>0</v>
      </c>
      <c r="F198" s="19">
        <f t="shared" ca="1" si="89"/>
        <v>0</v>
      </c>
      <c r="G198" s="19">
        <f t="shared" ca="1" si="90"/>
        <v>0</v>
      </c>
      <c r="H198" s="19">
        <f t="shared" ca="1" si="91"/>
        <v>0</v>
      </c>
      <c r="I198" s="19">
        <f t="shared" ca="1" si="69"/>
        <v>0</v>
      </c>
    </row>
    <row r="199" spans="1:9" customFormat="1" ht="14.25" customHeight="1">
      <c r="A199">
        <f>会计科目表!A199</f>
        <v>22210103</v>
      </c>
      <c r="B199" t="str">
        <f t="shared" ca="1" si="85"/>
        <v>应交税费_应交增值税(转出未交增值税)</v>
      </c>
      <c r="C199" s="21">
        <f t="shared" ca="1" si="86"/>
        <v>3</v>
      </c>
      <c r="D199" s="19">
        <f t="shared" ca="1" si="87"/>
        <v>0</v>
      </c>
      <c r="E199" s="19">
        <f t="shared" ca="1" si="88"/>
        <v>0</v>
      </c>
      <c r="F199" s="19">
        <f t="shared" ca="1" si="89"/>
        <v>0</v>
      </c>
      <c r="G199" s="19">
        <f t="shared" ca="1" si="90"/>
        <v>0</v>
      </c>
      <c r="H199" s="19">
        <f t="shared" ca="1" si="91"/>
        <v>0</v>
      </c>
      <c r="I199" s="19">
        <f t="shared" ca="1" si="69"/>
        <v>0</v>
      </c>
    </row>
    <row r="200" spans="1:9" customFormat="1" ht="14.25" customHeight="1">
      <c r="A200">
        <f>会计科目表!A200</f>
        <v>22210104</v>
      </c>
      <c r="B200" t="str">
        <f t="shared" ca="1" si="85"/>
        <v>应交税费_应交增值税(减免税款)</v>
      </c>
      <c r="C200" s="21">
        <f t="shared" ca="1" si="86"/>
        <v>3</v>
      </c>
      <c r="D200" s="19">
        <f t="shared" ca="1" si="87"/>
        <v>0</v>
      </c>
      <c r="E200" s="19">
        <f t="shared" ca="1" si="88"/>
        <v>0</v>
      </c>
      <c r="F200" s="19">
        <f t="shared" ca="1" si="89"/>
        <v>0</v>
      </c>
      <c r="G200" s="19">
        <f t="shared" ca="1" si="90"/>
        <v>0</v>
      </c>
      <c r="H200" s="19">
        <f t="shared" ca="1" si="91"/>
        <v>0</v>
      </c>
      <c r="I200" s="19">
        <f t="shared" ca="1" si="69"/>
        <v>0</v>
      </c>
    </row>
    <row r="201" spans="1:9" customFormat="1" ht="14.25" customHeight="1">
      <c r="A201">
        <f>会计科目表!A201</f>
        <v>22210105</v>
      </c>
      <c r="B201" t="str">
        <f t="shared" ca="1" si="85"/>
        <v>应交税费_应交增值税(销项税额)</v>
      </c>
      <c r="C201" s="21">
        <f t="shared" ca="1" si="86"/>
        <v>3</v>
      </c>
      <c r="D201" s="19">
        <f t="shared" ca="1" si="87"/>
        <v>0</v>
      </c>
      <c r="E201" s="19">
        <f t="shared" ca="1" si="88"/>
        <v>0</v>
      </c>
      <c r="F201" s="19">
        <f t="shared" ca="1" si="89"/>
        <v>0</v>
      </c>
      <c r="G201" s="19">
        <f t="shared" ca="1" si="90"/>
        <v>0</v>
      </c>
      <c r="H201" s="19">
        <f t="shared" ca="1" si="91"/>
        <v>0</v>
      </c>
      <c r="I201" s="19">
        <f t="shared" ca="1" si="69"/>
        <v>0</v>
      </c>
    </row>
    <row r="202" spans="1:9" customFormat="1" ht="14.25" customHeight="1">
      <c r="A202">
        <f>会计科目表!A202</f>
        <v>22210106</v>
      </c>
      <c r="B202" t="str">
        <f t="shared" ca="1" si="85"/>
        <v>应交税费_应交增值税(出口退税)</v>
      </c>
      <c r="C202" s="21">
        <f t="shared" ca="1" si="86"/>
        <v>3</v>
      </c>
      <c r="D202" s="19">
        <f t="shared" ca="1" si="87"/>
        <v>0</v>
      </c>
      <c r="E202" s="19">
        <f t="shared" ca="1" si="88"/>
        <v>0</v>
      </c>
      <c r="F202" s="19">
        <f t="shared" ca="1" si="89"/>
        <v>0</v>
      </c>
      <c r="G202" s="19">
        <f t="shared" ca="1" si="90"/>
        <v>0</v>
      </c>
      <c r="H202" s="19">
        <f t="shared" ca="1" si="91"/>
        <v>0</v>
      </c>
      <c r="I202" s="19">
        <f t="shared" ca="1" si="69"/>
        <v>0</v>
      </c>
    </row>
    <row r="203" spans="1:9" customFormat="1" ht="14.25" customHeight="1">
      <c r="A203">
        <f>会计科目表!A203</f>
        <v>22210107</v>
      </c>
      <c r="B203" t="str">
        <f t="shared" ca="1" si="85"/>
        <v>应交税费_应交增值税(进项税额转出)</v>
      </c>
      <c r="C203" s="21">
        <f t="shared" ca="1" si="86"/>
        <v>3</v>
      </c>
      <c r="D203" s="19">
        <f t="shared" ca="1" si="87"/>
        <v>0</v>
      </c>
      <c r="E203" s="19">
        <f t="shared" ca="1" si="88"/>
        <v>0</v>
      </c>
      <c r="F203" s="19">
        <f t="shared" ca="1" si="89"/>
        <v>0</v>
      </c>
      <c r="G203" s="19">
        <f t="shared" ca="1" si="90"/>
        <v>0</v>
      </c>
      <c r="H203" s="19">
        <f t="shared" ca="1" si="91"/>
        <v>0</v>
      </c>
      <c r="I203" s="19">
        <f t="shared" ca="1" si="69"/>
        <v>0</v>
      </c>
    </row>
    <row r="204" spans="1:9" customFormat="1" ht="14.25" customHeight="1">
      <c r="A204">
        <f>会计科目表!A204</f>
        <v>22210108</v>
      </c>
      <c r="B204" t="str">
        <f t="shared" ca="1" si="85"/>
        <v>应交税费_应交增值税(出口抵减内销产品应纳税额)</v>
      </c>
      <c r="C204" s="21">
        <f t="shared" ca="1" si="86"/>
        <v>3</v>
      </c>
      <c r="D204" s="19">
        <f t="shared" ca="1" si="87"/>
        <v>0</v>
      </c>
      <c r="E204" s="19">
        <f t="shared" ca="1" si="88"/>
        <v>0</v>
      </c>
      <c r="F204" s="19">
        <f t="shared" ca="1" si="89"/>
        <v>0</v>
      </c>
      <c r="G204" s="19">
        <f t="shared" ca="1" si="90"/>
        <v>0</v>
      </c>
      <c r="H204" s="19">
        <f t="shared" ca="1" si="91"/>
        <v>0</v>
      </c>
      <c r="I204" s="19">
        <f t="shared" ca="1" si="69"/>
        <v>0</v>
      </c>
    </row>
    <row r="205" spans="1:9" customFormat="1" ht="14.25" customHeight="1">
      <c r="A205">
        <f>会计科目表!A205</f>
        <v>22210109</v>
      </c>
      <c r="B205" t="str">
        <f t="shared" ca="1" si="85"/>
        <v>应交税费_应交增值税(转出多交增值税)</v>
      </c>
      <c r="C205" s="21">
        <f t="shared" ca="1" si="86"/>
        <v>3</v>
      </c>
      <c r="D205" s="19">
        <f t="shared" ca="1" si="87"/>
        <v>0</v>
      </c>
      <c r="E205" s="19">
        <f t="shared" ca="1" si="88"/>
        <v>0</v>
      </c>
      <c r="F205" s="19">
        <f t="shared" ca="1" si="89"/>
        <v>0</v>
      </c>
      <c r="G205" s="19">
        <f t="shared" ca="1" si="90"/>
        <v>0</v>
      </c>
      <c r="H205" s="19">
        <f t="shared" ca="1" si="91"/>
        <v>0</v>
      </c>
      <c r="I205" s="19">
        <f t="shared" ca="1" si="69"/>
        <v>0</v>
      </c>
    </row>
    <row r="206" spans="1:9" customFormat="1" ht="14.25" customHeight="1">
      <c r="A206">
        <f>会计科目表!A206</f>
        <v>222102</v>
      </c>
      <c r="B206" t="str">
        <f t="shared" ca="1" si="85"/>
        <v>应交税费_未交增值税</v>
      </c>
      <c r="C206" s="21">
        <f t="shared" ca="1" si="86"/>
        <v>2</v>
      </c>
      <c r="D206" s="19">
        <f t="shared" ca="1" si="87"/>
        <v>-15253.42</v>
      </c>
      <c r="E206" s="19">
        <f t="shared" ca="1" si="88"/>
        <v>0</v>
      </c>
      <c r="F206" s="19">
        <f t="shared" ca="1" si="89"/>
        <v>0</v>
      </c>
      <c r="G206" s="19">
        <f t="shared" ca="1" si="90"/>
        <v>751</v>
      </c>
      <c r="H206" s="19">
        <f t="shared" ca="1" si="91"/>
        <v>751</v>
      </c>
      <c r="I206" s="19">
        <f t="shared" ca="1" si="69"/>
        <v>-15253.42</v>
      </c>
    </row>
    <row r="207" spans="1:9" customFormat="1" ht="14.25" customHeight="1">
      <c r="A207">
        <f>会计科目表!A207</f>
        <v>222103</v>
      </c>
      <c r="B207" t="str">
        <f t="shared" ca="1" si="85"/>
        <v>应交税费_应交消费税</v>
      </c>
      <c r="C207" s="21">
        <f t="shared" ca="1" si="86"/>
        <v>2</v>
      </c>
      <c r="D207" s="19">
        <f t="shared" ca="1" si="87"/>
        <v>0</v>
      </c>
      <c r="E207" s="19">
        <f t="shared" ca="1" si="88"/>
        <v>0</v>
      </c>
      <c r="F207" s="19">
        <f t="shared" ca="1" si="89"/>
        <v>0</v>
      </c>
      <c r="G207" s="19">
        <f t="shared" ca="1" si="90"/>
        <v>0</v>
      </c>
      <c r="H207" s="19">
        <f t="shared" ca="1" si="91"/>
        <v>0</v>
      </c>
      <c r="I207" s="19">
        <f t="shared" ca="1" si="69"/>
        <v>0</v>
      </c>
    </row>
    <row r="208" spans="1:9" customFormat="1" ht="14.25" customHeight="1">
      <c r="A208">
        <f>会计科目表!A208</f>
        <v>222104</v>
      </c>
      <c r="B208" t="str">
        <f t="shared" ca="1" si="85"/>
        <v>应交税费_应交营业税</v>
      </c>
      <c r="C208" s="21">
        <f t="shared" ca="1" si="86"/>
        <v>2</v>
      </c>
      <c r="D208" s="19">
        <f t="shared" ca="1" si="87"/>
        <v>886.44</v>
      </c>
      <c r="E208" s="19">
        <f t="shared" ca="1" si="88"/>
        <v>0</v>
      </c>
      <c r="F208" s="19">
        <f t="shared" ca="1" si="89"/>
        <v>0</v>
      </c>
      <c r="G208" s="19">
        <f t="shared" ca="1" si="90"/>
        <v>0</v>
      </c>
      <c r="H208" s="19">
        <f t="shared" ca="1" si="91"/>
        <v>0</v>
      </c>
      <c r="I208" s="19">
        <f t="shared" ca="1" si="69"/>
        <v>886.44</v>
      </c>
    </row>
    <row r="209" spans="1:9" customFormat="1" ht="14.25" customHeight="1">
      <c r="A209">
        <f>会计科目表!A209</f>
        <v>222105</v>
      </c>
      <c r="B209" t="str">
        <f t="shared" ca="1" si="85"/>
        <v>应交税费_应交土地增值税</v>
      </c>
      <c r="C209" s="21">
        <f t="shared" ca="1" si="86"/>
        <v>2</v>
      </c>
      <c r="D209" s="19">
        <f t="shared" ca="1" si="87"/>
        <v>266.02999999999997</v>
      </c>
      <c r="E209" s="19">
        <f t="shared" ca="1" si="88"/>
        <v>0</v>
      </c>
      <c r="F209" s="19">
        <f t="shared" ca="1" si="89"/>
        <v>0</v>
      </c>
      <c r="G209" s="19">
        <f t="shared" ca="1" si="90"/>
        <v>0</v>
      </c>
      <c r="H209" s="19">
        <f t="shared" ca="1" si="91"/>
        <v>0</v>
      </c>
      <c r="I209" s="19">
        <f t="shared" ca="1" si="69"/>
        <v>266.02999999999997</v>
      </c>
    </row>
    <row r="210" spans="1:9" customFormat="1" ht="14.25" customHeight="1">
      <c r="A210">
        <f>会计科目表!A210</f>
        <v>222106</v>
      </c>
      <c r="B210" t="str">
        <f t="shared" ca="1" si="85"/>
        <v>应交税费_应交城建税</v>
      </c>
      <c r="C210" s="21">
        <f t="shared" ca="1" si="86"/>
        <v>2</v>
      </c>
      <c r="D210" s="19">
        <f t="shared" ca="1" si="87"/>
        <v>114.01</v>
      </c>
      <c r="E210" s="19">
        <f t="shared" ca="1" si="88"/>
        <v>0</v>
      </c>
      <c r="F210" s="19">
        <f t="shared" ca="1" si="89"/>
        <v>0</v>
      </c>
      <c r="G210" s="19">
        <f t="shared" ca="1" si="90"/>
        <v>42</v>
      </c>
      <c r="H210" s="19">
        <f t="shared" ca="1" si="91"/>
        <v>42</v>
      </c>
      <c r="I210" s="19">
        <f t="shared" ca="1" si="69"/>
        <v>114.01</v>
      </c>
    </row>
    <row r="211" spans="1:9" customFormat="1" ht="14.25" customHeight="1">
      <c r="A211">
        <f>会计科目表!A211</f>
        <v>222107</v>
      </c>
      <c r="B211" t="str">
        <f t="shared" ca="1" si="85"/>
        <v>应交税费_应交房产税</v>
      </c>
      <c r="C211" s="21">
        <f t="shared" ca="1" si="86"/>
        <v>2</v>
      </c>
      <c r="D211" s="19">
        <f t="shared" ca="1" si="87"/>
        <v>0</v>
      </c>
      <c r="E211" s="19">
        <f t="shared" ca="1" si="88"/>
        <v>0</v>
      </c>
      <c r="F211" s="19">
        <f t="shared" ca="1" si="89"/>
        <v>0</v>
      </c>
      <c r="G211" s="19">
        <f t="shared" ca="1" si="90"/>
        <v>0</v>
      </c>
      <c r="H211" s="19">
        <f t="shared" ca="1" si="91"/>
        <v>0</v>
      </c>
      <c r="I211" s="19">
        <f t="shared" ca="1" si="69"/>
        <v>0</v>
      </c>
    </row>
    <row r="212" spans="1:9" customFormat="1" ht="14.25" customHeight="1">
      <c r="A212">
        <f>会计科目表!A212</f>
        <v>222108</v>
      </c>
      <c r="B212" t="str">
        <f t="shared" ca="1" si="85"/>
        <v>应交税费_土地使用税</v>
      </c>
      <c r="C212" s="21">
        <f t="shared" ca="1" si="86"/>
        <v>2</v>
      </c>
      <c r="D212" s="19">
        <f t="shared" ca="1" si="87"/>
        <v>0</v>
      </c>
      <c r="E212" s="19">
        <f t="shared" ca="1" si="88"/>
        <v>0</v>
      </c>
      <c r="F212" s="19">
        <f t="shared" ca="1" si="89"/>
        <v>0</v>
      </c>
      <c r="G212" s="19">
        <f t="shared" ca="1" si="90"/>
        <v>0</v>
      </c>
      <c r="H212" s="19">
        <f t="shared" ca="1" si="91"/>
        <v>0</v>
      </c>
      <c r="I212" s="19">
        <f ca="1">D212-G212+H212</f>
        <v>0</v>
      </c>
    </row>
    <row r="213" spans="1:9" customFormat="1" ht="14.25" customHeight="1">
      <c r="A213">
        <f>会计科目表!A213</f>
        <v>222109</v>
      </c>
      <c r="B213" t="str">
        <f t="shared" ca="1" si="85"/>
        <v>应交税费_车船使用税</v>
      </c>
      <c r="C213" s="21">
        <f t="shared" ca="1" si="86"/>
        <v>2</v>
      </c>
      <c r="D213" s="19">
        <f t="shared" ca="1" si="87"/>
        <v>0</v>
      </c>
      <c r="E213" s="19">
        <f t="shared" ca="1" si="88"/>
        <v>0</v>
      </c>
      <c r="F213" s="19">
        <f t="shared" ca="1" si="89"/>
        <v>0</v>
      </c>
      <c r="G213" s="19">
        <f t="shared" ca="1" si="90"/>
        <v>0</v>
      </c>
      <c r="H213" s="19">
        <f t="shared" ca="1" si="91"/>
        <v>0</v>
      </c>
      <c r="I213" s="19">
        <f t="shared" ca="1" si="69"/>
        <v>0</v>
      </c>
    </row>
    <row r="214" spans="1:9" customFormat="1" ht="14.25" customHeight="1">
      <c r="A214">
        <f>会计科目表!A214</f>
        <v>222110</v>
      </c>
      <c r="B214" t="str">
        <f t="shared" ca="1" si="85"/>
        <v>应交税费_应交企业所得税</v>
      </c>
      <c r="C214" s="21">
        <f t="shared" ca="1" si="86"/>
        <v>2</v>
      </c>
      <c r="D214" s="19">
        <f t="shared" ca="1" si="87"/>
        <v>0</v>
      </c>
      <c r="E214" s="19">
        <f t="shared" ca="1" si="88"/>
        <v>0</v>
      </c>
      <c r="F214" s="19">
        <f t="shared" ca="1" si="89"/>
        <v>0</v>
      </c>
      <c r="G214" s="19">
        <f t="shared" ca="1" si="90"/>
        <v>0</v>
      </c>
      <c r="H214" s="19">
        <f t="shared" ca="1" si="91"/>
        <v>0</v>
      </c>
      <c r="I214" s="19">
        <f ca="1">D214-G214+H214</f>
        <v>0</v>
      </c>
    </row>
    <row r="215" spans="1:9" customFormat="1" ht="14.25" customHeight="1">
      <c r="A215">
        <f>会计科目表!A215</f>
        <v>222111</v>
      </c>
      <c r="B215" t="str">
        <f t="shared" ca="1" si="85"/>
        <v>应交税费_应交个人所得税</v>
      </c>
      <c r="C215" s="21">
        <f t="shared" ca="1" si="86"/>
        <v>2</v>
      </c>
      <c r="D215" s="19">
        <f t="shared" ca="1" si="87"/>
        <v>0</v>
      </c>
      <c r="E215" s="19">
        <f t="shared" ca="1" si="88"/>
        <v>0</v>
      </c>
      <c r="F215" s="19">
        <f t="shared" ca="1" si="89"/>
        <v>0</v>
      </c>
      <c r="G215" s="19">
        <f t="shared" ca="1" si="90"/>
        <v>0</v>
      </c>
      <c r="H215" s="19">
        <f t="shared" ca="1" si="91"/>
        <v>0</v>
      </c>
      <c r="I215" s="19">
        <f t="shared" ref="I215:I216" ca="1" si="92">D215-G215+H215</f>
        <v>0</v>
      </c>
    </row>
    <row r="216" spans="1:9" customFormat="1" ht="14.25" customHeight="1">
      <c r="A216">
        <f>会计科目表!A216</f>
        <v>222112</v>
      </c>
      <c r="B216" t="str">
        <f t="shared" ca="1" si="85"/>
        <v>应交税费_代扣代缴税费</v>
      </c>
      <c r="C216" s="21">
        <f t="shared" ca="1" si="86"/>
        <v>2</v>
      </c>
      <c r="D216" s="19">
        <f t="shared" ca="1" si="87"/>
        <v>0</v>
      </c>
      <c r="E216" s="19">
        <f t="shared" ca="1" si="88"/>
        <v>0</v>
      </c>
      <c r="F216" s="19">
        <f t="shared" ca="1" si="89"/>
        <v>0</v>
      </c>
      <c r="G216" s="19">
        <f t="shared" ca="1" si="90"/>
        <v>0</v>
      </c>
      <c r="H216" s="19">
        <f t="shared" ca="1" si="91"/>
        <v>0</v>
      </c>
      <c r="I216" s="19">
        <f t="shared" ca="1" si="92"/>
        <v>0</v>
      </c>
    </row>
    <row r="217" spans="1:9" customFormat="1" ht="14.25" customHeight="1">
      <c r="A217">
        <f>会计科目表!A217</f>
        <v>222113</v>
      </c>
      <c r="B217" t="str">
        <f t="shared" ca="1" si="85"/>
        <v>应交税费_教育费附加</v>
      </c>
      <c r="C217" s="21">
        <f t="shared" ca="1" si="86"/>
        <v>2</v>
      </c>
      <c r="D217" s="19">
        <f t="shared" ca="1" si="87"/>
        <v>53.09</v>
      </c>
      <c r="E217" s="19">
        <f t="shared" ca="1" si="88"/>
        <v>0</v>
      </c>
      <c r="F217" s="19">
        <f t="shared" ca="1" si="89"/>
        <v>0</v>
      </c>
      <c r="G217" s="19">
        <f t="shared" ca="1" si="90"/>
        <v>24</v>
      </c>
      <c r="H217" s="19">
        <f t="shared" ca="1" si="91"/>
        <v>24</v>
      </c>
      <c r="I217" s="19">
        <f ca="1">D217-G217+H217</f>
        <v>53.09</v>
      </c>
    </row>
    <row r="218" spans="1:9" customFormat="1" ht="14.25" customHeight="1">
      <c r="A218">
        <f>会计科目表!A218</f>
        <v>222114</v>
      </c>
      <c r="B218" t="str">
        <f t="shared" ca="1" si="85"/>
        <v>应交税费_保险保障基金</v>
      </c>
      <c r="C218" s="21">
        <f t="shared" ca="1" si="86"/>
        <v>2</v>
      </c>
      <c r="D218" s="19">
        <f t="shared" ca="1" si="87"/>
        <v>0</v>
      </c>
      <c r="E218" s="19">
        <f t="shared" ca="1" si="88"/>
        <v>0</v>
      </c>
      <c r="F218" s="19">
        <f t="shared" ca="1" si="89"/>
        <v>0</v>
      </c>
      <c r="G218" s="19">
        <f t="shared" ca="1" si="90"/>
        <v>0</v>
      </c>
      <c r="H218" s="19">
        <f t="shared" ca="1" si="91"/>
        <v>0</v>
      </c>
      <c r="I218" s="19">
        <f ca="1">D218-G218+H218</f>
        <v>0</v>
      </c>
    </row>
    <row r="219" spans="1:9" customFormat="1" ht="14.25" customHeight="1">
      <c r="A219">
        <f>会计科目表!A219</f>
        <v>2231</v>
      </c>
      <c r="B219" t="str">
        <f t="shared" ca="1" si="85"/>
        <v>应付利息</v>
      </c>
      <c r="C219" s="41">
        <f t="shared" ca="1" si="86"/>
        <v>1</v>
      </c>
      <c r="D219" s="25">
        <f t="shared" ca="1" si="87"/>
        <v>0</v>
      </c>
      <c r="E219" s="25">
        <f t="shared" ca="1" si="88"/>
        <v>0</v>
      </c>
      <c r="F219" s="25">
        <f t="shared" ca="1" si="89"/>
        <v>0</v>
      </c>
      <c r="G219" s="25">
        <f t="shared" ca="1" si="90"/>
        <v>0</v>
      </c>
      <c r="H219" s="25">
        <f t="shared" ca="1" si="91"/>
        <v>0</v>
      </c>
      <c r="I219" s="25">
        <f t="shared" ca="1" si="69"/>
        <v>0</v>
      </c>
    </row>
    <row r="220" spans="1:9" customFormat="1" ht="14.25" customHeight="1">
      <c r="A220">
        <f>会计科目表!A220</f>
        <v>2232</v>
      </c>
      <c r="B220" t="str">
        <f t="shared" ca="1" si="85"/>
        <v>应付股利</v>
      </c>
      <c r="C220" s="41">
        <f t="shared" ca="1" si="86"/>
        <v>1</v>
      </c>
      <c r="D220" s="25">
        <f t="shared" ca="1" si="87"/>
        <v>0</v>
      </c>
      <c r="E220" s="25">
        <f t="shared" ca="1" si="88"/>
        <v>0</v>
      </c>
      <c r="F220" s="25">
        <f t="shared" ca="1" si="89"/>
        <v>0</v>
      </c>
      <c r="G220" s="25">
        <f t="shared" ca="1" si="90"/>
        <v>0</v>
      </c>
      <c r="H220" s="25">
        <f t="shared" ca="1" si="91"/>
        <v>0</v>
      </c>
      <c r="I220" s="25">
        <f t="shared" ca="1" si="69"/>
        <v>0</v>
      </c>
    </row>
    <row r="221" spans="1:9" customFormat="1" ht="14.25" customHeight="1">
      <c r="A221">
        <f>会计科目表!A221</f>
        <v>2241</v>
      </c>
      <c r="B221" t="str">
        <f t="shared" ca="1" si="85"/>
        <v>其他应付款</v>
      </c>
      <c r="C221" s="41">
        <f t="shared" ca="1" si="86"/>
        <v>1</v>
      </c>
      <c r="D221" s="25">
        <f t="shared" ca="1" si="87"/>
        <v>1467623.99</v>
      </c>
      <c r="E221" s="25">
        <f ca="1">SUMIF($C222:$C234,"=2",E222:E234)</f>
        <v>0</v>
      </c>
      <c r="F221" s="25">
        <f ca="1">SUMIF($C222:$C234,"=2",F222:F234)</f>
        <v>0</v>
      </c>
      <c r="G221" s="25">
        <f ca="1">SUMIF($C222:$C234,"=2",G222:G234)</f>
        <v>0</v>
      </c>
      <c r="H221" s="25">
        <f ca="1">SUMIF($C222:$C234,"=2",H222:H234)</f>
        <v>0</v>
      </c>
      <c r="I221" s="25">
        <f t="shared" ca="1" si="69"/>
        <v>1467623.99</v>
      </c>
    </row>
    <row r="222" spans="1:9" customFormat="1" ht="14.25" customHeight="1">
      <c r="A222">
        <f>会计科目表!A222</f>
        <v>224101</v>
      </c>
      <c r="B222" t="str">
        <f t="shared" ca="1" si="85"/>
        <v>其他应付款_其他单位往来</v>
      </c>
      <c r="C222" s="21">
        <f t="shared" ca="1" si="86"/>
        <v>2</v>
      </c>
      <c r="D222" s="19">
        <f t="shared" ca="1" si="87"/>
        <v>1467623.99</v>
      </c>
      <c r="E222" s="19">
        <f ca="1">SUMIF($C223:$C232,"=3",E223:E232)</f>
        <v>0</v>
      </c>
      <c r="F222" s="19">
        <f ca="1">SUMIF($C223:$C232,"=3",F223:F232)</f>
        <v>0</v>
      </c>
      <c r="G222" s="19">
        <f ca="1">SUMIF($C223:$C232,"=3",G223:G232)</f>
        <v>0</v>
      </c>
      <c r="H222" s="19">
        <f ca="1">SUMIF($C223:$C232,"=3",H223:H232)</f>
        <v>0</v>
      </c>
      <c r="I222" s="19">
        <f t="shared" ca="1" si="69"/>
        <v>1467623.99</v>
      </c>
    </row>
    <row r="223" spans="1:9" customFormat="1" ht="14.25" customHeight="1">
      <c r="A223">
        <f>会计科目表!A223</f>
        <v>22410101</v>
      </c>
      <c r="B223" t="str">
        <f t="shared" ca="1" si="85"/>
        <v>其他应付款_其他单位往来_乘风房开</v>
      </c>
      <c r="C223" s="21">
        <f t="shared" ca="1" si="86"/>
        <v>3</v>
      </c>
      <c r="D223" s="19">
        <f t="shared" ca="1" si="87"/>
        <v>825000</v>
      </c>
      <c r="E223" s="19">
        <f t="shared" ref="E223:E239" ca="1" si="93">SUMPRODUCT((科目编号=$A223)*(记账月份=$I$1),借方金额)</f>
        <v>0</v>
      </c>
      <c r="F223" s="19">
        <f t="shared" ref="F223:F239" ca="1" si="94">SUMPRODUCT((科目编号=$A223)*(记账月份=$I$1),贷方金额)</f>
        <v>0</v>
      </c>
      <c r="G223" s="19">
        <f t="shared" ref="G223:G239" ca="1" si="95">SUMPRODUCT((科目编号=$A223)*(记账月份&lt;=$I$1),借方金额)</f>
        <v>0</v>
      </c>
      <c r="H223" s="19">
        <f t="shared" ref="H223:H239" ca="1" si="96">SUMPRODUCT((科目编号=$A223)*(记账月份&lt;=$I$1),贷方金额)</f>
        <v>0</v>
      </c>
      <c r="I223" s="19">
        <f ca="1">D223-G223+H223</f>
        <v>825000</v>
      </c>
    </row>
    <row r="224" spans="1:9" customFormat="1" ht="14.25" customHeight="1">
      <c r="A224">
        <f>会计科目表!A224</f>
        <v>22410102</v>
      </c>
      <c r="B224" t="str">
        <f t="shared" ca="1" si="85"/>
        <v>其他应付款_其他单位往来_畅畅公司</v>
      </c>
      <c r="C224" s="21">
        <f t="shared" ca="1" si="86"/>
        <v>3</v>
      </c>
      <c r="D224" s="19">
        <f t="shared" ca="1" si="87"/>
        <v>30000</v>
      </c>
      <c r="E224" s="19">
        <f t="shared" ca="1" si="93"/>
        <v>0</v>
      </c>
      <c r="F224" s="19">
        <f t="shared" ca="1" si="94"/>
        <v>0</v>
      </c>
      <c r="G224" s="19">
        <f t="shared" ca="1" si="95"/>
        <v>0</v>
      </c>
      <c r="H224" s="19">
        <f t="shared" ca="1" si="96"/>
        <v>0</v>
      </c>
      <c r="I224" s="19">
        <f t="shared" ca="1" si="69"/>
        <v>30000</v>
      </c>
    </row>
    <row r="225" spans="1:9" customFormat="1" ht="14.25" customHeight="1">
      <c r="A225">
        <f>会计科目表!A225</f>
        <v>22410103</v>
      </c>
      <c r="B225" t="str">
        <f t="shared" ca="1" si="85"/>
        <v>其他应付款_其他单位往来_天诚设备</v>
      </c>
      <c r="C225" s="21">
        <f t="shared" ca="1" si="86"/>
        <v>3</v>
      </c>
      <c r="D225" s="19">
        <f t="shared" ca="1" si="87"/>
        <v>320</v>
      </c>
      <c r="E225" s="19">
        <f t="shared" ca="1" si="93"/>
        <v>0</v>
      </c>
      <c r="F225" s="19">
        <f t="shared" ca="1" si="94"/>
        <v>0</v>
      </c>
      <c r="G225" s="19">
        <f t="shared" ca="1" si="95"/>
        <v>0</v>
      </c>
      <c r="H225" s="19">
        <f t="shared" ca="1" si="96"/>
        <v>0</v>
      </c>
      <c r="I225" s="19">
        <f t="shared" ca="1" si="69"/>
        <v>320</v>
      </c>
    </row>
    <row r="226" spans="1:9" customFormat="1" ht="14.25" customHeight="1">
      <c r="A226">
        <f>会计科目表!A226</f>
        <v>22410104</v>
      </c>
      <c r="B226" t="str">
        <f t="shared" ca="1" si="85"/>
        <v>其他应付款_其他单位往来_铁明建材</v>
      </c>
      <c r="C226" s="21">
        <f t="shared" ca="1" si="86"/>
        <v>3</v>
      </c>
      <c r="D226" s="19">
        <f t="shared" ca="1" si="87"/>
        <v>127.89</v>
      </c>
      <c r="E226" s="19">
        <f t="shared" ca="1" si="93"/>
        <v>0</v>
      </c>
      <c r="F226" s="19">
        <f t="shared" ca="1" si="94"/>
        <v>0</v>
      </c>
      <c r="G226" s="19">
        <f t="shared" ca="1" si="95"/>
        <v>0</v>
      </c>
      <c r="H226" s="19">
        <f t="shared" ca="1" si="96"/>
        <v>0</v>
      </c>
      <c r="I226" s="19">
        <f t="shared" ca="1" si="69"/>
        <v>127.89</v>
      </c>
    </row>
    <row r="227" spans="1:9" customFormat="1" ht="14.25" customHeight="1">
      <c r="A227">
        <f>会计科目表!A227</f>
        <v>22410105</v>
      </c>
      <c r="B227" t="str">
        <f t="shared" ca="1" si="85"/>
        <v>其他应付款_其他单位往来_山利建材</v>
      </c>
      <c r="C227" s="21">
        <f t="shared" ca="1" si="86"/>
        <v>3</v>
      </c>
      <c r="D227" s="19">
        <f t="shared" ca="1" si="87"/>
        <v>612176.1</v>
      </c>
      <c r="E227" s="19">
        <f t="shared" ca="1" si="93"/>
        <v>0</v>
      </c>
      <c r="F227" s="19">
        <f t="shared" ca="1" si="94"/>
        <v>0</v>
      </c>
      <c r="G227" s="19">
        <f t="shared" ca="1" si="95"/>
        <v>0</v>
      </c>
      <c r="H227" s="19">
        <f t="shared" ca="1" si="96"/>
        <v>0</v>
      </c>
      <c r="I227" s="19">
        <f t="shared" ca="1" si="69"/>
        <v>612176.1</v>
      </c>
    </row>
    <row r="228" spans="1:9" customFormat="1" ht="14.25" customHeight="1">
      <c r="A228">
        <f>会计科目表!A228</f>
        <v>22410106</v>
      </c>
      <c r="B228" t="str">
        <f t="shared" ca="1" si="85"/>
        <v>其他应付款_其他单位往来_</v>
      </c>
      <c r="C228" s="21">
        <f t="shared" ca="1" si="86"/>
        <v>3</v>
      </c>
      <c r="D228" s="19">
        <f t="shared" ca="1" si="87"/>
        <v>0</v>
      </c>
      <c r="E228" s="19">
        <f t="shared" ca="1" si="93"/>
        <v>0</v>
      </c>
      <c r="F228" s="19">
        <f t="shared" ca="1" si="94"/>
        <v>0</v>
      </c>
      <c r="G228" s="19">
        <f t="shared" ca="1" si="95"/>
        <v>0</v>
      </c>
      <c r="H228" s="19">
        <f t="shared" ca="1" si="96"/>
        <v>0</v>
      </c>
      <c r="I228" s="19">
        <f t="shared" ca="1" si="69"/>
        <v>0</v>
      </c>
    </row>
    <row r="229" spans="1:9" customFormat="1" ht="14.25" customHeight="1">
      <c r="A229">
        <f>会计科目表!A229</f>
        <v>22410107</v>
      </c>
      <c r="B229" t="str">
        <f t="shared" ca="1" si="85"/>
        <v>其他应付款_其他单位往来_</v>
      </c>
      <c r="C229" s="21">
        <f t="shared" ca="1" si="86"/>
        <v>3</v>
      </c>
      <c r="D229" s="19">
        <f t="shared" ca="1" si="87"/>
        <v>0</v>
      </c>
      <c r="E229" s="19">
        <f t="shared" ca="1" si="93"/>
        <v>0</v>
      </c>
      <c r="F229" s="19">
        <f t="shared" ca="1" si="94"/>
        <v>0</v>
      </c>
      <c r="G229" s="19">
        <f t="shared" ca="1" si="95"/>
        <v>0</v>
      </c>
      <c r="H229" s="19">
        <f t="shared" ca="1" si="96"/>
        <v>0</v>
      </c>
      <c r="I229" s="19">
        <f t="shared" ca="1" si="69"/>
        <v>0</v>
      </c>
    </row>
    <row r="230" spans="1:9" customFormat="1" ht="14.25" customHeight="1">
      <c r="A230">
        <f>会计科目表!A230</f>
        <v>22410108</v>
      </c>
      <c r="B230" t="str">
        <f t="shared" ca="1" si="85"/>
        <v>其他应付款_其他单位往来_</v>
      </c>
      <c r="C230" s="21">
        <f t="shared" ca="1" si="86"/>
        <v>3</v>
      </c>
      <c r="D230" s="19">
        <f t="shared" ca="1" si="87"/>
        <v>0</v>
      </c>
      <c r="E230" s="19">
        <f t="shared" ca="1" si="93"/>
        <v>0</v>
      </c>
      <c r="F230" s="19">
        <f t="shared" ca="1" si="94"/>
        <v>0</v>
      </c>
      <c r="G230" s="19">
        <f t="shared" ca="1" si="95"/>
        <v>0</v>
      </c>
      <c r="H230" s="19">
        <f t="shared" ca="1" si="96"/>
        <v>0</v>
      </c>
      <c r="I230" s="19">
        <f t="shared" ca="1" si="69"/>
        <v>0</v>
      </c>
    </row>
    <row r="231" spans="1:9" customFormat="1" ht="14.25" customHeight="1">
      <c r="A231">
        <f>会计科目表!A231</f>
        <v>22410109</v>
      </c>
      <c r="B231" t="str">
        <f t="shared" ca="1" si="85"/>
        <v>其他应付款_其他单位往来_</v>
      </c>
      <c r="C231" s="21">
        <f t="shared" ca="1" si="86"/>
        <v>3</v>
      </c>
      <c r="D231" s="19">
        <f t="shared" ca="1" si="87"/>
        <v>0</v>
      </c>
      <c r="E231" s="19">
        <f t="shared" ca="1" si="93"/>
        <v>0</v>
      </c>
      <c r="F231" s="19">
        <f t="shared" ca="1" si="94"/>
        <v>0</v>
      </c>
      <c r="G231" s="19">
        <f t="shared" ca="1" si="95"/>
        <v>0</v>
      </c>
      <c r="H231" s="19">
        <f t="shared" ca="1" si="96"/>
        <v>0</v>
      </c>
      <c r="I231" s="19">
        <f t="shared" ca="1" si="69"/>
        <v>0</v>
      </c>
    </row>
    <row r="232" spans="1:9" customFormat="1" ht="14.25" customHeight="1">
      <c r="A232">
        <f>会计科目表!A232</f>
        <v>22410110</v>
      </c>
      <c r="B232" t="str">
        <f t="shared" ca="1" si="85"/>
        <v>其他应付款_其他单位往来_</v>
      </c>
      <c r="C232" s="21">
        <f t="shared" ca="1" si="86"/>
        <v>3</v>
      </c>
      <c r="D232" s="19">
        <f t="shared" ca="1" si="87"/>
        <v>0</v>
      </c>
      <c r="E232" s="19">
        <f t="shared" ca="1" si="93"/>
        <v>0</v>
      </c>
      <c r="F232" s="19">
        <f t="shared" ca="1" si="94"/>
        <v>0</v>
      </c>
      <c r="G232" s="19">
        <f t="shared" ca="1" si="95"/>
        <v>0</v>
      </c>
      <c r="H232" s="19">
        <f t="shared" ca="1" si="96"/>
        <v>0</v>
      </c>
      <c r="I232" s="19">
        <f t="shared" ca="1" si="69"/>
        <v>0</v>
      </c>
    </row>
    <row r="233" spans="1:9" customFormat="1" ht="14.25" customHeight="1">
      <c r="A233">
        <f>会计科目表!A233</f>
        <v>224102</v>
      </c>
      <c r="B233" t="str">
        <f t="shared" ca="1" si="85"/>
        <v>其他应付款_代收代付款项</v>
      </c>
      <c r="C233" s="21">
        <f t="shared" ca="1" si="86"/>
        <v>2</v>
      </c>
      <c r="D233" s="19">
        <f t="shared" ca="1" si="87"/>
        <v>0</v>
      </c>
      <c r="E233" s="19">
        <f t="shared" ca="1" si="93"/>
        <v>0</v>
      </c>
      <c r="F233" s="19">
        <f t="shared" ca="1" si="94"/>
        <v>0</v>
      </c>
      <c r="G233" s="19">
        <f t="shared" ca="1" si="95"/>
        <v>0</v>
      </c>
      <c r="H233" s="19">
        <f t="shared" ca="1" si="96"/>
        <v>0</v>
      </c>
      <c r="I233" s="19">
        <f t="shared" ca="1" si="69"/>
        <v>0</v>
      </c>
    </row>
    <row r="234" spans="1:9" customFormat="1" ht="14.25" customHeight="1">
      <c r="A234">
        <f>会计科目表!A234</f>
        <v>224103</v>
      </c>
      <c r="B234" t="str">
        <f t="shared" ca="1" si="85"/>
        <v>其他应付款_保证金</v>
      </c>
      <c r="C234" s="21">
        <f t="shared" ca="1" si="86"/>
        <v>2</v>
      </c>
      <c r="D234" s="19">
        <f t="shared" ca="1" si="87"/>
        <v>0</v>
      </c>
      <c r="E234" s="19">
        <f t="shared" ca="1" si="93"/>
        <v>0</v>
      </c>
      <c r="F234" s="19">
        <f t="shared" ca="1" si="94"/>
        <v>0</v>
      </c>
      <c r="G234" s="19">
        <f t="shared" ca="1" si="95"/>
        <v>0</v>
      </c>
      <c r="H234" s="19">
        <f t="shared" ca="1" si="96"/>
        <v>0</v>
      </c>
      <c r="I234" s="19">
        <f t="shared" ca="1" si="69"/>
        <v>0</v>
      </c>
    </row>
    <row r="235" spans="1:9" customFormat="1" ht="14.25" customHeight="1">
      <c r="A235">
        <f>会计科目表!A235</f>
        <v>2314</v>
      </c>
      <c r="B235" t="str">
        <f t="shared" ca="1" si="85"/>
        <v>代理业务负债</v>
      </c>
      <c r="C235" s="41">
        <f t="shared" ca="1" si="86"/>
        <v>1</v>
      </c>
      <c r="D235" s="25">
        <f t="shared" ca="1" si="87"/>
        <v>0</v>
      </c>
      <c r="E235" s="25">
        <f t="shared" ca="1" si="93"/>
        <v>0</v>
      </c>
      <c r="F235" s="25">
        <f t="shared" ca="1" si="94"/>
        <v>0</v>
      </c>
      <c r="G235" s="25">
        <f t="shared" ca="1" si="95"/>
        <v>0</v>
      </c>
      <c r="H235" s="25">
        <f t="shared" ca="1" si="96"/>
        <v>0</v>
      </c>
      <c r="I235" s="25">
        <f ca="1">D235-G235+H235</f>
        <v>0</v>
      </c>
    </row>
    <row r="236" spans="1:9" customFormat="1" ht="14.25" customHeight="1">
      <c r="A236">
        <f>会计科目表!A236</f>
        <v>2401</v>
      </c>
      <c r="B236" t="str">
        <f t="shared" ca="1" si="85"/>
        <v>递延收益</v>
      </c>
      <c r="C236" s="41">
        <f t="shared" ca="1" si="86"/>
        <v>1</v>
      </c>
      <c r="D236" s="25">
        <f t="shared" ca="1" si="87"/>
        <v>0</v>
      </c>
      <c r="E236" s="25">
        <f t="shared" ca="1" si="93"/>
        <v>0</v>
      </c>
      <c r="F236" s="25">
        <f t="shared" ca="1" si="94"/>
        <v>0</v>
      </c>
      <c r="G236" s="25">
        <f t="shared" ca="1" si="95"/>
        <v>0</v>
      </c>
      <c r="H236" s="25">
        <f t="shared" ca="1" si="96"/>
        <v>0</v>
      </c>
      <c r="I236" s="25">
        <f ca="1">D236-G236+H236</f>
        <v>0</v>
      </c>
    </row>
    <row r="237" spans="1:9" customFormat="1" ht="14.25" customHeight="1">
      <c r="A237">
        <f>会计科目表!A237</f>
        <v>2501</v>
      </c>
      <c r="B237" t="str">
        <f t="shared" ca="1" si="85"/>
        <v>长期借款</v>
      </c>
      <c r="C237" s="41">
        <f t="shared" ca="1" si="86"/>
        <v>1</v>
      </c>
      <c r="D237" s="25">
        <f t="shared" ca="1" si="87"/>
        <v>0</v>
      </c>
      <c r="E237" s="25">
        <f t="shared" ca="1" si="93"/>
        <v>0</v>
      </c>
      <c r="F237" s="25">
        <f t="shared" ca="1" si="94"/>
        <v>0</v>
      </c>
      <c r="G237" s="25">
        <f t="shared" ca="1" si="95"/>
        <v>0</v>
      </c>
      <c r="H237" s="25">
        <f t="shared" ca="1" si="96"/>
        <v>0</v>
      </c>
      <c r="I237" s="25">
        <f t="shared" ca="1" si="69"/>
        <v>0</v>
      </c>
    </row>
    <row r="238" spans="1:9" customFormat="1" ht="14.25" customHeight="1">
      <c r="A238">
        <f>会计科目表!A238</f>
        <v>2502</v>
      </c>
      <c r="B238" t="str">
        <f t="shared" ca="1" si="85"/>
        <v>应付债券</v>
      </c>
      <c r="C238" s="41">
        <f t="shared" ca="1" si="86"/>
        <v>1</v>
      </c>
      <c r="D238" s="25">
        <f t="shared" ca="1" si="87"/>
        <v>0</v>
      </c>
      <c r="E238" s="25">
        <f t="shared" ca="1" si="93"/>
        <v>0</v>
      </c>
      <c r="F238" s="25">
        <f t="shared" ca="1" si="94"/>
        <v>0</v>
      </c>
      <c r="G238" s="25">
        <f t="shared" ca="1" si="95"/>
        <v>0</v>
      </c>
      <c r="H238" s="25">
        <f t="shared" ca="1" si="96"/>
        <v>0</v>
      </c>
      <c r="I238" s="25">
        <f t="shared" ca="1" si="69"/>
        <v>0</v>
      </c>
    </row>
    <row r="239" spans="1:9" customFormat="1" ht="14.25" customHeight="1">
      <c r="A239">
        <f>会计科目表!A239</f>
        <v>2701</v>
      </c>
      <c r="B239" t="str">
        <f t="shared" ca="1" si="85"/>
        <v>长期应付款</v>
      </c>
      <c r="C239" s="41">
        <f t="shared" ca="1" si="86"/>
        <v>1</v>
      </c>
      <c r="D239" s="25">
        <f t="shared" ca="1" si="87"/>
        <v>0</v>
      </c>
      <c r="E239" s="25">
        <f t="shared" ca="1" si="93"/>
        <v>0</v>
      </c>
      <c r="F239" s="25">
        <f t="shared" ca="1" si="94"/>
        <v>0</v>
      </c>
      <c r="G239" s="25">
        <f t="shared" ca="1" si="95"/>
        <v>0</v>
      </c>
      <c r="H239" s="25">
        <f t="shared" ca="1" si="96"/>
        <v>0</v>
      </c>
      <c r="I239" s="25">
        <f t="shared" ca="1" si="69"/>
        <v>0</v>
      </c>
    </row>
    <row r="240" spans="1:9" customFormat="1" ht="14.25" customHeight="1">
      <c r="A240">
        <f>会计科目表!A240</f>
        <v>2711</v>
      </c>
      <c r="B240" t="str">
        <f t="shared" ca="1" si="85"/>
        <v>专项应付款</v>
      </c>
      <c r="C240" s="41">
        <f t="shared" ca="1" si="86"/>
        <v>1</v>
      </c>
      <c r="D240" s="25">
        <f t="shared" ca="1" si="87"/>
        <v>0</v>
      </c>
      <c r="E240" s="25">
        <f ca="1">SUM(E241:E242)</f>
        <v>0</v>
      </c>
      <c r="F240" s="25">
        <f ca="1">SUM(F241:F242)</f>
        <v>0</v>
      </c>
      <c r="G240" s="25">
        <f ca="1">SUM(G241:G242)</f>
        <v>0</v>
      </c>
      <c r="H240" s="25">
        <f ca="1">SUM(H241:H242)</f>
        <v>0</v>
      </c>
      <c r="I240" s="25">
        <f t="shared" ca="1" si="69"/>
        <v>0</v>
      </c>
    </row>
    <row r="241" spans="1:9" customFormat="1" ht="14.25" customHeight="1">
      <c r="A241">
        <f>会计科目表!A241</f>
        <v>2801</v>
      </c>
      <c r="B241" t="str">
        <f t="shared" ca="1" si="85"/>
        <v>预计负债</v>
      </c>
      <c r="C241" s="41">
        <f t="shared" ca="1" si="86"/>
        <v>1</v>
      </c>
      <c r="D241" s="25">
        <f t="shared" ca="1" si="87"/>
        <v>0</v>
      </c>
      <c r="E241" s="25">
        <f ca="1">SUM(E242:E244)</f>
        <v>0</v>
      </c>
      <c r="F241" s="25">
        <f ca="1">SUM(F242:F244)</f>
        <v>0</v>
      </c>
      <c r="G241" s="25">
        <f ca="1">SUM(G242:G244)</f>
        <v>0</v>
      </c>
      <c r="H241" s="25">
        <f ca="1">SUM(H242:H244)</f>
        <v>0</v>
      </c>
      <c r="I241" s="25">
        <f t="shared" ca="1" si="69"/>
        <v>0</v>
      </c>
    </row>
    <row r="242" spans="1:9" customFormat="1" ht="14.25" customHeight="1">
      <c r="A242">
        <f>会计科目表!A242</f>
        <v>2901</v>
      </c>
      <c r="B242" t="str">
        <f t="shared" ca="1" si="85"/>
        <v>递延所得税负债</v>
      </c>
      <c r="C242" s="41">
        <f t="shared" ca="1" si="86"/>
        <v>1</v>
      </c>
      <c r="D242" s="25">
        <f t="shared" ca="1" si="87"/>
        <v>0</v>
      </c>
      <c r="E242" s="25">
        <f ca="1">SUMPRODUCT((科目编号=$A242)*(记账月份=$I$1),借方金额)</f>
        <v>0</v>
      </c>
      <c r="F242" s="25">
        <f ca="1">SUMPRODUCT((科目编号=$A242)*(记账月份=$I$1),贷方金额)</f>
        <v>0</v>
      </c>
      <c r="G242" s="25">
        <f ca="1">SUMPRODUCT((科目编号=$A242)*(记账月份&lt;=$I$1),借方金额)</f>
        <v>0</v>
      </c>
      <c r="H242" s="25">
        <f ca="1">SUMPRODUCT((科目编号=$A242)*(记账月份&lt;=$I$1),贷方金额)</f>
        <v>0</v>
      </c>
      <c r="I242" s="25">
        <f t="shared" ca="1" si="69"/>
        <v>0</v>
      </c>
    </row>
    <row r="243" spans="1:9" customFormat="1" ht="14.25" customHeight="1">
      <c r="A243">
        <f>会计科目表!A243</f>
        <v>4001</v>
      </c>
      <c r="B243" t="str">
        <f t="shared" ca="1" si="85"/>
        <v>实收资本(或股本)</v>
      </c>
      <c r="C243" s="41">
        <f t="shared" ca="1" si="86"/>
        <v>1</v>
      </c>
      <c r="D243" s="25">
        <f t="shared" ca="1" si="87"/>
        <v>8000000</v>
      </c>
      <c r="E243" s="25">
        <f ca="1">SUMIF($C244:$C246,"=2",E244:E246)</f>
        <v>0</v>
      </c>
      <c r="F243" s="25">
        <f t="shared" ref="F243:H243" ca="1" si="97">SUMIF($C244:$C246,"=2",F244:F246)</f>
        <v>0</v>
      </c>
      <c r="G243" s="25">
        <f t="shared" ca="1" si="97"/>
        <v>0</v>
      </c>
      <c r="H243" s="25">
        <f t="shared" ca="1" si="97"/>
        <v>0</v>
      </c>
      <c r="I243" s="25">
        <f t="shared" ca="1" si="69"/>
        <v>8000000</v>
      </c>
    </row>
    <row r="244" spans="1:9" customFormat="1" ht="14.25" customHeight="1">
      <c r="A244">
        <f>会计科目表!A244</f>
        <v>400101</v>
      </c>
      <c r="B244" t="str">
        <f t="shared" ca="1" si="85"/>
        <v>实收资本(或股本)_公司1</v>
      </c>
      <c r="C244" s="21">
        <f t="shared" ca="1" si="86"/>
        <v>2</v>
      </c>
      <c r="D244" s="19">
        <f t="shared" ca="1" si="87"/>
        <v>4000000</v>
      </c>
      <c r="E244" s="19">
        <f ca="1">SUMPRODUCT((科目编号=$A244)*(记账月份=$I$1),借方金额)</f>
        <v>0</v>
      </c>
      <c r="F244" s="19">
        <f ca="1">SUMPRODUCT((科目编号=$A244)*(记账月份=$I$1),贷方金额)</f>
        <v>0</v>
      </c>
      <c r="G244" s="19">
        <f ca="1">SUMPRODUCT((科目编号=$A244)*(记账月份&lt;=$I$1),借方金额)</f>
        <v>0</v>
      </c>
      <c r="H244" s="19">
        <f ca="1">SUMPRODUCT((科目编号=$A244)*(记账月份&lt;=$I$1),贷方金额)</f>
        <v>0</v>
      </c>
      <c r="I244" s="19">
        <f t="shared" ca="1" si="69"/>
        <v>4000000</v>
      </c>
    </row>
    <row r="245" spans="1:9" customFormat="1" ht="14.25" customHeight="1">
      <c r="A245">
        <f>会计科目表!A245</f>
        <v>400102</v>
      </c>
      <c r="B245" t="str">
        <f t="shared" ca="1" si="85"/>
        <v>实收资本(或股本)_公司2</v>
      </c>
      <c r="C245" s="21">
        <f t="shared" ca="1" si="86"/>
        <v>2</v>
      </c>
      <c r="D245" s="19">
        <f t="shared" ca="1" si="87"/>
        <v>2000000</v>
      </c>
      <c r="E245" s="19">
        <f ca="1">SUMPRODUCT((科目编号=$A245)*(记账月份=$I$1),借方金额)</f>
        <v>0</v>
      </c>
      <c r="F245" s="19">
        <f ca="1">SUMPRODUCT((科目编号=$A245)*(记账月份=$I$1),贷方金额)</f>
        <v>0</v>
      </c>
      <c r="G245" s="19">
        <f ca="1">SUMPRODUCT((科目编号=$A245)*(记账月份&lt;=$I$1),借方金额)</f>
        <v>0</v>
      </c>
      <c r="H245" s="19">
        <f ca="1">SUMPRODUCT((科目编号=$A245)*(记账月份&lt;=$I$1),贷方金额)</f>
        <v>0</v>
      </c>
      <c r="I245" s="19">
        <f t="shared" ca="1" si="69"/>
        <v>2000000</v>
      </c>
    </row>
    <row r="246" spans="1:9" customFormat="1" ht="14.25" customHeight="1">
      <c r="A246">
        <f>会计科目表!A246</f>
        <v>400103</v>
      </c>
      <c r="B246" t="str">
        <f t="shared" ca="1" si="85"/>
        <v>实收资本(或股本)_公司3</v>
      </c>
      <c r="C246" s="21">
        <f t="shared" ca="1" si="86"/>
        <v>2</v>
      </c>
      <c r="D246" s="19">
        <f t="shared" ca="1" si="87"/>
        <v>2000000</v>
      </c>
      <c r="E246" s="19">
        <f ca="1">SUMPRODUCT((科目编号=$A246)*(记账月份=$I$1),借方金额)</f>
        <v>0</v>
      </c>
      <c r="F246" s="19">
        <f ca="1">SUMPRODUCT((科目编号=$A246)*(记账月份=$I$1),贷方金额)</f>
        <v>0</v>
      </c>
      <c r="G246" s="19">
        <f ca="1">SUMPRODUCT((科目编号=$A246)*(记账月份&lt;=$I$1),借方金额)</f>
        <v>0</v>
      </c>
      <c r="H246" s="19">
        <f ca="1">SUMPRODUCT((科目编号=$A246)*(记账月份&lt;=$I$1),贷方金额)</f>
        <v>0</v>
      </c>
      <c r="I246" s="19">
        <f t="shared" ca="1" si="69"/>
        <v>2000000</v>
      </c>
    </row>
    <row r="247" spans="1:9" customFormat="1" ht="14.25" customHeight="1">
      <c r="A247">
        <f>会计科目表!A247</f>
        <v>4002</v>
      </c>
      <c r="B247" t="str">
        <f t="shared" ca="1" si="85"/>
        <v>资本公积</v>
      </c>
      <c r="C247" s="41">
        <f t="shared" ca="1" si="86"/>
        <v>1</v>
      </c>
      <c r="D247" s="25">
        <f t="shared" ca="1" si="87"/>
        <v>0</v>
      </c>
      <c r="E247" s="25">
        <f ca="1">SUMIF($C248:$C249,"=2",E248:E249)</f>
        <v>0</v>
      </c>
      <c r="F247" s="25">
        <f t="shared" ref="F247:H247" ca="1" si="98">SUMIF($C248:$C249,"=2",F248:F249)</f>
        <v>0</v>
      </c>
      <c r="G247" s="25">
        <f t="shared" ca="1" si="98"/>
        <v>0</v>
      </c>
      <c r="H247" s="25">
        <f t="shared" ca="1" si="98"/>
        <v>0</v>
      </c>
      <c r="I247" s="25">
        <f t="shared" ca="1" si="69"/>
        <v>0</v>
      </c>
    </row>
    <row r="248" spans="1:9" customFormat="1" ht="14.25" customHeight="1">
      <c r="A248">
        <f>会计科目表!A248</f>
        <v>400201</v>
      </c>
      <c r="B248" t="str">
        <f t="shared" ca="1" si="85"/>
        <v>资本公积_资本溢价</v>
      </c>
      <c r="C248" s="21">
        <f t="shared" ca="1" si="86"/>
        <v>2</v>
      </c>
      <c r="D248" s="19">
        <f t="shared" ca="1" si="87"/>
        <v>0</v>
      </c>
      <c r="E248" s="19">
        <f ca="1">SUMPRODUCT((科目编号=$A248)*(记账月份=$I$1),借方金额)</f>
        <v>0</v>
      </c>
      <c r="F248" s="19">
        <f ca="1">SUMPRODUCT((科目编号=$A248)*(记账月份=$I$1),贷方金额)</f>
        <v>0</v>
      </c>
      <c r="G248" s="19">
        <f ca="1">SUMPRODUCT((科目编号=$A248)*(记账月份&lt;=$I$1),借方金额)</f>
        <v>0</v>
      </c>
      <c r="H248" s="19">
        <f ca="1">SUMPRODUCT((科目编号=$A248)*(记账月份&lt;=$I$1),贷方金额)</f>
        <v>0</v>
      </c>
      <c r="I248" s="19">
        <f t="shared" ca="1" si="69"/>
        <v>0</v>
      </c>
    </row>
    <row r="249" spans="1:9" customFormat="1" ht="14.25" customHeight="1">
      <c r="A249">
        <f>会计科目表!A249</f>
        <v>400202</v>
      </c>
      <c r="B249" t="str">
        <f t="shared" ca="1" si="85"/>
        <v>资本公积_其他资本公积</v>
      </c>
      <c r="C249" s="21">
        <f t="shared" ca="1" si="86"/>
        <v>2</v>
      </c>
      <c r="D249" s="19">
        <f t="shared" ca="1" si="87"/>
        <v>0</v>
      </c>
      <c r="E249" s="19">
        <f ca="1">SUMPRODUCT((科目编号=$A249)*(记账月份=$I$1),借方金额)</f>
        <v>0</v>
      </c>
      <c r="F249" s="19">
        <f ca="1">SUMPRODUCT((科目编号=$A249)*(记账月份=$I$1),贷方金额)</f>
        <v>0</v>
      </c>
      <c r="G249" s="19">
        <f ca="1">SUMPRODUCT((科目编号=$A249)*(记账月份&lt;=$I$1),借方金额)</f>
        <v>0</v>
      </c>
      <c r="H249" s="19">
        <f ca="1">SUMPRODUCT((科目编号=$A249)*(记账月份&lt;=$I$1),贷方金额)</f>
        <v>0</v>
      </c>
      <c r="I249" s="19">
        <f t="shared" ca="1" si="69"/>
        <v>0</v>
      </c>
    </row>
    <row r="250" spans="1:9" customFormat="1" ht="14.25" customHeight="1">
      <c r="A250">
        <f>会计科目表!A250</f>
        <v>4101</v>
      </c>
      <c r="B250" t="str">
        <f t="shared" ca="1" si="85"/>
        <v>盈余公积</v>
      </c>
      <c r="C250" s="41">
        <f t="shared" ca="1" si="86"/>
        <v>1</v>
      </c>
      <c r="D250" s="25">
        <f t="shared" ca="1" si="87"/>
        <v>39864.21</v>
      </c>
      <c r="E250" s="25">
        <f ca="1">SUM(E251:E253)</f>
        <v>0</v>
      </c>
      <c r="F250" s="25">
        <f ca="1">SUM(F251:F253)</f>
        <v>0</v>
      </c>
      <c r="G250" s="25">
        <f ca="1">SUM(G251:G253)</f>
        <v>0</v>
      </c>
      <c r="H250" s="25">
        <f ca="1">SUM(H251:H253)</f>
        <v>0</v>
      </c>
      <c r="I250" s="25">
        <f t="shared" ca="1" si="69"/>
        <v>39864.21</v>
      </c>
    </row>
    <row r="251" spans="1:9" customFormat="1" ht="14.25" customHeight="1">
      <c r="A251">
        <f>会计科目表!A251</f>
        <v>410101</v>
      </c>
      <c r="B251" t="str">
        <f t="shared" ca="1" si="85"/>
        <v>盈余公积_法定盈余公积</v>
      </c>
      <c r="C251" s="21">
        <f t="shared" ca="1" si="86"/>
        <v>2</v>
      </c>
      <c r="D251" s="19">
        <f t="shared" ca="1" si="87"/>
        <v>39864.21</v>
      </c>
      <c r="E251" s="19">
        <f ca="1">SUMPRODUCT((科目编号=$A251)*(记账月份=$I$1),借方金额)</f>
        <v>0</v>
      </c>
      <c r="F251" s="19">
        <f ca="1">SUMPRODUCT((科目编号=$A251)*(记账月份=$I$1),贷方金额)</f>
        <v>0</v>
      </c>
      <c r="G251" s="19">
        <f ca="1">SUMPRODUCT((科目编号=$A251)*(记账月份&lt;=$I$1),借方金额)</f>
        <v>0</v>
      </c>
      <c r="H251" s="19">
        <f ca="1">SUMPRODUCT((科目编号=$A251)*(记账月份&lt;=$I$1),贷方金额)</f>
        <v>0</v>
      </c>
      <c r="I251" s="19">
        <f t="shared" ca="1" si="69"/>
        <v>39864.21</v>
      </c>
    </row>
    <row r="252" spans="1:9" customFormat="1" ht="14.25" customHeight="1">
      <c r="A252">
        <f>会计科目表!A252</f>
        <v>410102</v>
      </c>
      <c r="B252" t="str">
        <f t="shared" ca="1" si="85"/>
        <v>盈余公积_任意盈余公积</v>
      </c>
      <c r="C252" s="21">
        <f t="shared" ca="1" si="86"/>
        <v>2</v>
      </c>
      <c r="D252" s="19">
        <f t="shared" ca="1" si="87"/>
        <v>0</v>
      </c>
      <c r="E252" s="19">
        <f ca="1">SUMPRODUCT((科目编号=$A252)*(记账月份=$I$1),借方金额)</f>
        <v>0</v>
      </c>
      <c r="F252" s="19">
        <f ca="1">SUMPRODUCT((科目编号=$A252)*(记账月份=$I$1),贷方金额)</f>
        <v>0</v>
      </c>
      <c r="G252" s="19">
        <f ca="1">SUMPRODUCT((科目编号=$A252)*(记账月份&lt;=$I$1),借方金额)</f>
        <v>0</v>
      </c>
      <c r="H252" s="19">
        <f ca="1">SUMPRODUCT((科目编号=$A252)*(记账月份&lt;=$I$1),贷方金额)</f>
        <v>0</v>
      </c>
      <c r="I252" s="19">
        <f ca="1">D252-G252+H252</f>
        <v>0</v>
      </c>
    </row>
    <row r="253" spans="1:9" customFormat="1" ht="14.25" customHeight="1">
      <c r="A253">
        <f>会计科目表!A253</f>
        <v>410103</v>
      </c>
      <c r="B253" t="str">
        <f t="shared" ca="1" si="85"/>
        <v>盈余公积_盈余公积补亏</v>
      </c>
      <c r="C253" s="21">
        <f t="shared" ca="1" si="86"/>
        <v>2</v>
      </c>
      <c r="D253" s="19">
        <f t="shared" ca="1" si="87"/>
        <v>0</v>
      </c>
      <c r="E253" s="19">
        <f ca="1">SUMPRODUCT((科目编号=$A253)*(记账月份=$I$1),借方金额)</f>
        <v>0</v>
      </c>
      <c r="F253" s="19">
        <f ca="1">SUMPRODUCT((科目编号=$A253)*(记账月份=$I$1),贷方金额)</f>
        <v>0</v>
      </c>
      <c r="G253" s="19">
        <f ca="1">SUMPRODUCT((科目编号=$A253)*(记账月份&lt;=$I$1),借方金额)</f>
        <v>0</v>
      </c>
      <c r="H253" s="19">
        <f ca="1">SUMPRODUCT((科目编号=$A253)*(记账月份&lt;=$I$1),贷方金额)</f>
        <v>0</v>
      </c>
      <c r="I253" s="19">
        <f ca="1">D253-G253+H253</f>
        <v>0</v>
      </c>
    </row>
    <row r="254" spans="1:9" customFormat="1" ht="14.25" customHeight="1">
      <c r="A254">
        <f>会计科目表!A254</f>
        <v>4103</v>
      </c>
      <c r="B254" t="str">
        <f t="shared" ca="1" si="85"/>
        <v>本年利润</v>
      </c>
      <c r="C254" s="41">
        <f t="shared" ca="1" si="86"/>
        <v>1</v>
      </c>
      <c r="D254" s="25">
        <f t="shared" ca="1" si="87"/>
        <v>0</v>
      </c>
      <c r="E254" s="25">
        <f ca="1">SUMPRODUCT((科目编号=$A254)*(记账月份=$I$1),借方金额)</f>
        <v>0</v>
      </c>
      <c r="F254" s="25">
        <f ca="1">SUMPRODUCT((科目编号=$A254)*(记账月份=$I$1),贷方金额)</f>
        <v>0</v>
      </c>
      <c r="G254" s="25">
        <f ca="1">SUMPRODUCT((科目编号=$A254)*(记账月份&lt;=$I$1),借方金额)</f>
        <v>4795.26</v>
      </c>
      <c r="H254" s="25">
        <f ca="1">SUMPRODUCT((科目编号=$A254)*(记账月份&lt;=$I$1),贷方金额)</f>
        <v>0</v>
      </c>
      <c r="I254" s="25">
        <f t="shared" ref="I254:I409" ca="1" si="99">D254-G254+H254</f>
        <v>-4795.26</v>
      </c>
    </row>
    <row r="255" spans="1:9" customFormat="1" ht="14.25" customHeight="1">
      <c r="A255">
        <f>会计科目表!A255</f>
        <v>4104</v>
      </c>
      <c r="B255" t="str">
        <f t="shared" ca="1" si="85"/>
        <v>利润分配</v>
      </c>
      <c r="C255" s="41">
        <f t="shared" ca="1" si="86"/>
        <v>1</v>
      </c>
      <c r="D255" s="25">
        <f t="shared" ca="1" si="87"/>
        <v>60100.63</v>
      </c>
      <c r="E255" s="25">
        <f ca="1">SUMIF($C256:$C259,"=2",E256:E259)</f>
        <v>0</v>
      </c>
      <c r="F255" s="25">
        <f t="shared" ref="F255:H255" ca="1" si="100">SUMIF($C256:$C259,"=2",F256:F259)</f>
        <v>0</v>
      </c>
      <c r="G255" s="25">
        <f t="shared" ca="1" si="100"/>
        <v>0</v>
      </c>
      <c r="H255" s="25">
        <f t="shared" ca="1" si="100"/>
        <v>0</v>
      </c>
      <c r="I255" s="25">
        <f t="shared" ca="1" si="99"/>
        <v>60100.63</v>
      </c>
    </row>
    <row r="256" spans="1:9" customFormat="1" ht="14.25" customHeight="1">
      <c r="A256">
        <f>会计科目表!A256</f>
        <v>410401</v>
      </c>
      <c r="B256" t="str">
        <f t="shared" ca="1" si="85"/>
        <v>利润分配_未分配利润</v>
      </c>
      <c r="C256" s="21">
        <f t="shared" ca="1" si="86"/>
        <v>2</v>
      </c>
      <c r="D256" s="19">
        <f t="shared" ca="1" si="87"/>
        <v>60100.63</v>
      </c>
      <c r="E256" s="19">
        <f ca="1">SUMPRODUCT((科目编号=$A256)*(记账月份=$I$1),借方金额)</f>
        <v>0</v>
      </c>
      <c r="F256" s="19">
        <f ca="1">SUMPRODUCT((科目编号=$A256)*(记账月份=$I$1),贷方金额)</f>
        <v>0</v>
      </c>
      <c r="G256" s="19">
        <f ca="1">SUMPRODUCT((科目编号=$A256)*(记账月份&lt;=$I$1),借方金额)</f>
        <v>0</v>
      </c>
      <c r="H256" s="19">
        <f ca="1">SUMPRODUCT((科目编号=$A256)*(记账月份&lt;=$I$1),贷方金额)</f>
        <v>0</v>
      </c>
      <c r="I256" s="19">
        <f t="shared" ca="1" si="99"/>
        <v>60100.63</v>
      </c>
    </row>
    <row r="257" spans="1:9" customFormat="1" ht="14.25" customHeight="1">
      <c r="A257">
        <f>会计科目表!A257</f>
        <v>410402</v>
      </c>
      <c r="B257" t="str">
        <f t="shared" ca="1" si="85"/>
        <v>利润分配_提取法定盈余公积</v>
      </c>
      <c r="C257" s="21">
        <f t="shared" ca="1" si="86"/>
        <v>2</v>
      </c>
      <c r="D257" s="19">
        <f t="shared" ca="1" si="87"/>
        <v>0</v>
      </c>
      <c r="E257" s="19">
        <f ca="1">SUMPRODUCT((科目编号=$A257)*(记账月份=$I$1),借方金额)</f>
        <v>0</v>
      </c>
      <c r="F257" s="19">
        <f ca="1">SUMPRODUCT((科目编号=$A257)*(记账月份=$I$1),贷方金额)</f>
        <v>0</v>
      </c>
      <c r="G257" s="19">
        <f ca="1">SUMPRODUCT((科目编号=$A257)*(记账月份&lt;=$I$1),借方金额)</f>
        <v>0</v>
      </c>
      <c r="H257" s="19">
        <f ca="1">SUMPRODUCT((科目编号=$A257)*(记账月份&lt;=$I$1),贷方金额)</f>
        <v>0</v>
      </c>
      <c r="I257" s="19">
        <f t="shared" ca="1" si="99"/>
        <v>0</v>
      </c>
    </row>
    <row r="258" spans="1:9" customFormat="1" ht="14.25" customHeight="1">
      <c r="A258">
        <f>会计科目表!A258</f>
        <v>410403</v>
      </c>
      <c r="B258" t="str">
        <f t="shared" ca="1" si="85"/>
        <v>利润分配_提取任意盈余公积</v>
      </c>
      <c r="C258" s="21">
        <f t="shared" ca="1" si="86"/>
        <v>2</v>
      </c>
      <c r="D258" s="19">
        <f t="shared" ca="1" si="87"/>
        <v>0</v>
      </c>
      <c r="E258" s="19">
        <f ca="1">SUMPRODUCT((科目编号=$A258)*(记账月份=$I$1),借方金额)</f>
        <v>0</v>
      </c>
      <c r="F258" s="19">
        <f ca="1">SUMPRODUCT((科目编号=$A258)*(记账月份=$I$1),贷方金额)</f>
        <v>0</v>
      </c>
      <c r="G258" s="19">
        <f ca="1">SUMPRODUCT((科目编号=$A258)*(记账月份&lt;=$I$1),借方金额)</f>
        <v>0</v>
      </c>
      <c r="H258" s="19">
        <f ca="1">SUMPRODUCT((科目编号=$A258)*(记账月份&lt;=$I$1),贷方金额)</f>
        <v>0</v>
      </c>
      <c r="I258" s="19">
        <f t="shared" ca="1" si="99"/>
        <v>0</v>
      </c>
    </row>
    <row r="259" spans="1:9" customFormat="1" ht="14.25" customHeight="1">
      <c r="A259">
        <f>会计科目表!A259</f>
        <v>410404</v>
      </c>
      <c r="B259" t="str">
        <f t="shared" ca="1" si="85"/>
        <v>利润分配_盈余公积补亏</v>
      </c>
      <c r="C259" s="21">
        <f t="shared" ca="1" si="86"/>
        <v>2</v>
      </c>
      <c r="D259" s="19">
        <f t="shared" ca="1" si="87"/>
        <v>0</v>
      </c>
      <c r="E259" s="19">
        <f ca="1">SUMPRODUCT((科目编号=$A259)*(记账月份=$I$1),借方金额)</f>
        <v>0</v>
      </c>
      <c r="F259" s="19">
        <f ca="1">SUMPRODUCT((科目编号=$A259)*(记账月份=$I$1),贷方金额)</f>
        <v>0</v>
      </c>
      <c r="G259" s="19">
        <f ca="1">SUMPRODUCT((科目编号=$A259)*(记账月份&lt;=$I$1),借方金额)</f>
        <v>0</v>
      </c>
      <c r="H259" s="19">
        <f ca="1">SUMPRODUCT((科目编号=$A259)*(记账月份&lt;=$I$1),贷方金额)</f>
        <v>0</v>
      </c>
      <c r="I259" s="19">
        <f t="shared" ca="1" si="99"/>
        <v>0</v>
      </c>
    </row>
    <row r="260" spans="1:9" customFormat="1" ht="14.25" customHeight="1">
      <c r="A260">
        <f>会计科目表!A260</f>
        <v>4201</v>
      </c>
      <c r="B260" t="str">
        <f t="shared" ca="1" si="85"/>
        <v>库存股</v>
      </c>
      <c r="C260" s="41">
        <f t="shared" ca="1" si="86"/>
        <v>1</v>
      </c>
      <c r="D260" s="25">
        <f t="shared" ca="1" si="87"/>
        <v>0</v>
      </c>
      <c r="E260" s="25">
        <f ca="1">SUMPRODUCT((科目编号=$A260)*(记账月份=$I$1),借方金额)</f>
        <v>0</v>
      </c>
      <c r="F260" s="25">
        <f ca="1">SUMPRODUCT((科目编号=$A260)*(记账月份=$I$1),贷方金额)</f>
        <v>0</v>
      </c>
      <c r="G260" s="25">
        <f ca="1">SUMPRODUCT((科目编号=$A260)*(记账月份&lt;=$I$1),借方金额)</f>
        <v>0</v>
      </c>
      <c r="H260" s="25">
        <f ca="1">SUMPRODUCT((科目编号=$A260)*(记账月份&lt;=$I$1),贷方金额)</f>
        <v>0</v>
      </c>
      <c r="I260" s="25">
        <f t="shared" ca="1" si="99"/>
        <v>0</v>
      </c>
    </row>
    <row r="261" spans="1:9" customFormat="1" ht="14.25" customHeight="1">
      <c r="A261">
        <f>会计科目表!A261</f>
        <v>5001</v>
      </c>
      <c r="B261" t="str">
        <f t="shared" ref="B261:B324" ca="1" si="101">INDEX(账户查询,MATCH($A261,科目代码,))</f>
        <v>开发成本</v>
      </c>
      <c r="C261" s="41">
        <f t="shared" ref="C261:C324" ca="1" si="102">INDEX(OFFSET(科目代码,,3),MATCH($A261,科目代码,))</f>
        <v>1</v>
      </c>
      <c r="D261" s="25">
        <f t="shared" ref="D261:D324" ca="1" si="103">INDEX(OFFSET(科目代码,,5,,2),MATCH($A261,科目代码,),2-(LEFT($A261,4)*1&lt;2001))</f>
        <v>0</v>
      </c>
      <c r="E261" s="25">
        <f ca="1">SUMIF($C262:$C271,"=2",E262:E271)</f>
        <v>0</v>
      </c>
      <c r="F261" s="25">
        <f t="shared" ref="F261:H261" ca="1" si="104">SUMIF($C262:$C271,"=2",F262:F271)</f>
        <v>0</v>
      </c>
      <c r="G261" s="25">
        <f t="shared" ca="1" si="104"/>
        <v>0</v>
      </c>
      <c r="H261" s="25">
        <f t="shared" ca="1" si="104"/>
        <v>0</v>
      </c>
      <c r="I261" s="25">
        <f t="shared" ca="1" si="99"/>
        <v>0</v>
      </c>
    </row>
    <row r="262" spans="1:9" customFormat="1" ht="14.25" customHeight="1">
      <c r="A262">
        <f>会计科目表!A262</f>
        <v>500101</v>
      </c>
      <c r="B262" t="str">
        <f t="shared" ca="1" si="101"/>
        <v>开发成本_四季花城</v>
      </c>
      <c r="C262" s="21">
        <f t="shared" ca="1" si="102"/>
        <v>2</v>
      </c>
      <c r="D262" s="19">
        <f t="shared" ca="1" si="103"/>
        <v>0</v>
      </c>
      <c r="E262" s="19">
        <f t="shared" ref="E262:E271" ca="1" si="105">SUMPRODUCT((科目编号=$A262)*(记账月份=$I$1),借方金额)</f>
        <v>0</v>
      </c>
      <c r="F262" s="19">
        <f t="shared" ref="F262:F271" ca="1" si="106">SUMPRODUCT((科目编号=$A262)*(记账月份=$I$1),贷方金额)</f>
        <v>0</v>
      </c>
      <c r="G262" s="19">
        <f t="shared" ref="G262:G271" ca="1" si="107">SUMPRODUCT((科目编号=$A262)*(记账月份&lt;=$I$1),借方金额)</f>
        <v>0</v>
      </c>
      <c r="H262" s="19">
        <f t="shared" ref="H262:H271" ca="1" si="108">SUMPRODUCT((科目编号=$A262)*(记账月份&lt;=$I$1),贷方金额)</f>
        <v>0</v>
      </c>
      <c r="I262" s="19">
        <f t="shared" ca="1" si="99"/>
        <v>0</v>
      </c>
    </row>
    <row r="263" spans="1:9" customFormat="1" ht="14.25" customHeight="1">
      <c r="A263">
        <f>会计科目表!A263</f>
        <v>50010101</v>
      </c>
      <c r="B263" t="str">
        <f t="shared" ca="1" si="101"/>
        <v>开发成本_四季花城_土地征用及拆迁费</v>
      </c>
      <c r="C263" s="21">
        <f t="shared" ca="1" si="102"/>
        <v>3</v>
      </c>
      <c r="D263" s="19">
        <f t="shared" ca="1" si="103"/>
        <v>0</v>
      </c>
      <c r="E263" s="19">
        <f t="shared" ca="1" si="105"/>
        <v>0</v>
      </c>
      <c r="F263" s="19">
        <f t="shared" ca="1" si="106"/>
        <v>0</v>
      </c>
      <c r="G263" s="19">
        <f t="shared" ca="1" si="107"/>
        <v>0</v>
      </c>
      <c r="H263" s="19">
        <f t="shared" ca="1" si="108"/>
        <v>0</v>
      </c>
      <c r="I263" s="19">
        <f t="shared" ca="1" si="99"/>
        <v>0</v>
      </c>
    </row>
    <row r="264" spans="1:9" customFormat="1" ht="14.25" customHeight="1">
      <c r="A264">
        <f>会计科目表!A264</f>
        <v>50010102</v>
      </c>
      <c r="B264" t="str">
        <f t="shared" ca="1" si="101"/>
        <v>开发成本_四季花城_前期工程费</v>
      </c>
      <c r="C264" s="21">
        <f t="shared" ca="1" si="102"/>
        <v>3</v>
      </c>
      <c r="D264" s="19">
        <f t="shared" ca="1" si="103"/>
        <v>0</v>
      </c>
      <c r="E264" s="19">
        <f t="shared" ca="1" si="105"/>
        <v>0</v>
      </c>
      <c r="F264" s="19">
        <f t="shared" ca="1" si="106"/>
        <v>0</v>
      </c>
      <c r="G264" s="19">
        <f t="shared" ca="1" si="107"/>
        <v>0</v>
      </c>
      <c r="H264" s="19">
        <f t="shared" ca="1" si="108"/>
        <v>0</v>
      </c>
      <c r="I264" s="19">
        <f t="shared" ca="1" si="99"/>
        <v>0</v>
      </c>
    </row>
    <row r="265" spans="1:9" customFormat="1" ht="14.25" customHeight="1">
      <c r="A265">
        <f>会计科目表!A265</f>
        <v>50010103</v>
      </c>
      <c r="B265" t="str">
        <f t="shared" ca="1" si="101"/>
        <v>开发成本_四季花城_基础设施费</v>
      </c>
      <c r="C265" s="21">
        <f t="shared" ca="1" si="102"/>
        <v>3</v>
      </c>
      <c r="D265" s="19">
        <f t="shared" ca="1" si="103"/>
        <v>0</v>
      </c>
      <c r="E265" s="19">
        <f t="shared" ca="1" si="105"/>
        <v>0</v>
      </c>
      <c r="F265" s="19">
        <f t="shared" ca="1" si="106"/>
        <v>0</v>
      </c>
      <c r="G265" s="19">
        <f t="shared" ca="1" si="107"/>
        <v>0</v>
      </c>
      <c r="H265" s="19">
        <f t="shared" ca="1" si="108"/>
        <v>0</v>
      </c>
      <c r="I265" s="19">
        <f t="shared" ca="1" si="99"/>
        <v>0</v>
      </c>
    </row>
    <row r="266" spans="1:9" customFormat="1">
      <c r="A266">
        <f>会计科目表!A266</f>
        <v>50010104</v>
      </c>
      <c r="B266" t="str">
        <f t="shared" ca="1" si="101"/>
        <v>开发成本_四季花城_建安工程费</v>
      </c>
      <c r="C266" s="21">
        <f t="shared" ca="1" si="102"/>
        <v>3</v>
      </c>
      <c r="D266" s="19">
        <f t="shared" ca="1" si="103"/>
        <v>0</v>
      </c>
      <c r="E266" s="19">
        <f t="shared" ca="1" si="105"/>
        <v>0</v>
      </c>
      <c r="F266" s="19">
        <f t="shared" ca="1" si="106"/>
        <v>0</v>
      </c>
      <c r="G266" s="19">
        <f t="shared" ca="1" si="107"/>
        <v>0</v>
      </c>
      <c r="H266" s="19">
        <f t="shared" ca="1" si="108"/>
        <v>0</v>
      </c>
      <c r="I266" s="19">
        <f t="shared" ca="1" si="99"/>
        <v>0</v>
      </c>
    </row>
    <row r="267" spans="1:9" customFormat="1">
      <c r="A267">
        <f>会计科目表!A267</f>
        <v>50010105</v>
      </c>
      <c r="B267" t="str">
        <f t="shared" ca="1" si="101"/>
        <v>开发成本_四季花城_园林环境费</v>
      </c>
      <c r="C267" s="21">
        <f t="shared" ca="1" si="102"/>
        <v>3</v>
      </c>
      <c r="D267" s="19">
        <f t="shared" ca="1" si="103"/>
        <v>0</v>
      </c>
      <c r="E267" s="19">
        <f t="shared" ca="1" si="105"/>
        <v>0</v>
      </c>
      <c r="F267" s="19">
        <f t="shared" ca="1" si="106"/>
        <v>0</v>
      </c>
      <c r="G267" s="19">
        <f t="shared" ca="1" si="107"/>
        <v>0</v>
      </c>
      <c r="H267" s="19">
        <f t="shared" ca="1" si="108"/>
        <v>0</v>
      </c>
      <c r="I267" s="19">
        <f t="shared" ca="1" si="99"/>
        <v>0</v>
      </c>
    </row>
    <row r="268" spans="1:9" customFormat="1">
      <c r="A268">
        <f>会计科目表!A268</f>
        <v>50010106</v>
      </c>
      <c r="B268" t="str">
        <f t="shared" ca="1" si="101"/>
        <v>开发成本_四季花城_公共配套费</v>
      </c>
      <c r="C268" s="21">
        <f t="shared" ca="1" si="102"/>
        <v>3</v>
      </c>
      <c r="D268" s="19">
        <f t="shared" ca="1" si="103"/>
        <v>0</v>
      </c>
      <c r="E268" s="19">
        <f t="shared" ca="1" si="105"/>
        <v>0</v>
      </c>
      <c r="F268" s="19">
        <f t="shared" ca="1" si="106"/>
        <v>0</v>
      </c>
      <c r="G268" s="19">
        <f t="shared" ca="1" si="107"/>
        <v>0</v>
      </c>
      <c r="H268" s="19">
        <f t="shared" ca="1" si="108"/>
        <v>0</v>
      </c>
      <c r="I268" s="19">
        <f t="shared" ca="1" si="99"/>
        <v>0</v>
      </c>
    </row>
    <row r="269" spans="1:9" customFormat="1">
      <c r="A269">
        <f>会计科目表!A269</f>
        <v>50010107</v>
      </c>
      <c r="B269" t="str">
        <f t="shared" ca="1" si="101"/>
        <v>开发成本_四季花城_开发间接费</v>
      </c>
      <c r="C269" s="21">
        <f t="shared" ca="1" si="102"/>
        <v>3</v>
      </c>
      <c r="D269" s="19">
        <f t="shared" ca="1" si="103"/>
        <v>0</v>
      </c>
      <c r="E269" s="19">
        <f t="shared" ca="1" si="105"/>
        <v>0</v>
      </c>
      <c r="F269" s="19">
        <f t="shared" ca="1" si="106"/>
        <v>0</v>
      </c>
      <c r="G269" s="19">
        <f t="shared" ca="1" si="107"/>
        <v>0</v>
      </c>
      <c r="H269" s="19">
        <f t="shared" ca="1" si="108"/>
        <v>0</v>
      </c>
      <c r="I269" s="19">
        <f t="shared" ca="1" si="99"/>
        <v>0</v>
      </c>
    </row>
    <row r="270" spans="1:9" customFormat="1">
      <c r="A270">
        <f>会计科目表!A270</f>
        <v>50010108</v>
      </c>
      <c r="B270" t="str">
        <f t="shared" ca="1" si="101"/>
        <v>开发成本_四季花城_资金成本</v>
      </c>
      <c r="C270" s="21">
        <f t="shared" ca="1" si="102"/>
        <v>3</v>
      </c>
      <c r="D270" s="19">
        <f t="shared" ca="1" si="103"/>
        <v>0</v>
      </c>
      <c r="E270" s="19">
        <f t="shared" ca="1" si="105"/>
        <v>0</v>
      </c>
      <c r="F270" s="19">
        <f t="shared" ca="1" si="106"/>
        <v>0</v>
      </c>
      <c r="G270" s="19">
        <f t="shared" ca="1" si="107"/>
        <v>0</v>
      </c>
      <c r="H270" s="19">
        <f t="shared" ca="1" si="108"/>
        <v>0</v>
      </c>
      <c r="I270" s="19">
        <f t="shared" ca="1" si="99"/>
        <v>0</v>
      </c>
    </row>
    <row r="271" spans="1:9" customFormat="1">
      <c r="A271">
        <f>会计科目表!A271</f>
        <v>50010109</v>
      </c>
      <c r="B271" t="str">
        <f t="shared" ca="1" si="101"/>
        <v>开发成本_四季花城_成本结转</v>
      </c>
      <c r="C271" s="21">
        <f t="shared" ca="1" si="102"/>
        <v>3</v>
      </c>
      <c r="D271" s="19">
        <f t="shared" ca="1" si="103"/>
        <v>0</v>
      </c>
      <c r="E271" s="19">
        <f t="shared" ca="1" si="105"/>
        <v>0</v>
      </c>
      <c r="F271" s="19">
        <f t="shared" ca="1" si="106"/>
        <v>0</v>
      </c>
      <c r="G271" s="19">
        <f t="shared" ca="1" si="107"/>
        <v>0</v>
      </c>
      <c r="H271" s="19">
        <f t="shared" ca="1" si="108"/>
        <v>0</v>
      </c>
      <c r="I271" s="19">
        <f t="shared" ca="1" si="99"/>
        <v>0</v>
      </c>
    </row>
    <row r="272" spans="1:9" customFormat="1">
      <c r="A272">
        <f>会计科目表!A272</f>
        <v>5101</v>
      </c>
      <c r="B272" t="str">
        <f t="shared" ca="1" si="101"/>
        <v>开发间接费用</v>
      </c>
      <c r="C272" s="41">
        <f t="shared" ca="1" si="102"/>
        <v>1</v>
      </c>
      <c r="D272" s="25">
        <f t="shared" ca="1" si="103"/>
        <v>0</v>
      </c>
      <c r="E272" s="25">
        <f ca="1">SUMIF($C273:$C289,"=2",E273:E289)</f>
        <v>0</v>
      </c>
      <c r="F272" s="25">
        <f t="shared" ref="F272:H272" ca="1" si="109">SUMIF($C273:$C289,"=2",F273:F289)</f>
        <v>0</v>
      </c>
      <c r="G272" s="25">
        <f t="shared" ca="1" si="109"/>
        <v>0</v>
      </c>
      <c r="H272" s="25">
        <f t="shared" ca="1" si="109"/>
        <v>0</v>
      </c>
      <c r="I272" s="25">
        <f t="shared" ca="1" si="99"/>
        <v>0</v>
      </c>
    </row>
    <row r="273" spans="1:9" customFormat="1">
      <c r="A273">
        <f>会计科目表!A273</f>
        <v>510101</v>
      </c>
      <c r="B273" t="str">
        <f t="shared" ca="1" si="101"/>
        <v>开发间接费用_四季花城</v>
      </c>
      <c r="C273" s="41">
        <f t="shared" ca="1" si="102"/>
        <v>2</v>
      </c>
      <c r="D273" s="25">
        <f t="shared" ca="1" si="103"/>
        <v>0</v>
      </c>
      <c r="E273" s="25">
        <f ca="1">SUMIF($C274:$C289,"=3",E274:E289)</f>
        <v>0</v>
      </c>
      <c r="F273" s="25">
        <f t="shared" ref="F273:H273" ca="1" si="110">SUMIF($C274:$C289,"=3",F274:F289)</f>
        <v>0</v>
      </c>
      <c r="G273" s="25">
        <f t="shared" ca="1" si="110"/>
        <v>0</v>
      </c>
      <c r="H273" s="25">
        <f t="shared" ca="1" si="110"/>
        <v>0</v>
      </c>
      <c r="I273" s="25">
        <f t="shared" ca="1" si="99"/>
        <v>0</v>
      </c>
    </row>
    <row r="274" spans="1:9" customFormat="1">
      <c r="A274">
        <f>会计科目表!A274</f>
        <v>51010101</v>
      </c>
      <c r="B274" t="str">
        <f t="shared" ca="1" si="101"/>
        <v>开发间接费用_四季花城_职工薪酬</v>
      </c>
      <c r="C274" s="21">
        <f t="shared" ca="1" si="102"/>
        <v>3</v>
      </c>
      <c r="D274" s="19">
        <f t="shared" ca="1" si="103"/>
        <v>0</v>
      </c>
      <c r="E274" s="25">
        <f ca="1">SUMIF($C275:$C276,"=4",E275:E276)</f>
        <v>0</v>
      </c>
      <c r="F274" s="25">
        <f t="shared" ref="F274:H274" ca="1" si="111">SUMIF($C275:$C276,"=4",F275:F276)</f>
        <v>0</v>
      </c>
      <c r="G274" s="25">
        <f t="shared" ca="1" si="111"/>
        <v>0</v>
      </c>
      <c r="H274" s="25">
        <f t="shared" ca="1" si="111"/>
        <v>0</v>
      </c>
      <c r="I274" s="19">
        <f t="shared" ca="1" si="99"/>
        <v>0</v>
      </c>
    </row>
    <row r="275" spans="1:9" customFormat="1">
      <c r="A275">
        <f>会计科目表!A275</f>
        <v>5101010101</v>
      </c>
      <c r="B275" t="str">
        <f t="shared" ca="1" si="101"/>
        <v>开发间接费用_四季花城_职工薪酬_工资</v>
      </c>
      <c r="C275" s="21">
        <f t="shared" ca="1" si="102"/>
        <v>4</v>
      </c>
      <c r="D275" s="19">
        <f t="shared" ca="1" si="103"/>
        <v>0</v>
      </c>
      <c r="E275" s="19">
        <f t="shared" ref="E275:E289" ca="1" si="112">SUMPRODUCT((科目编号=$A275)*(记账月份=$I$1),借方金额)</f>
        <v>0</v>
      </c>
      <c r="F275" s="19">
        <f t="shared" ref="F275:F289" ca="1" si="113">SUMPRODUCT((科目编号=$A275)*(记账月份=$I$1),贷方金额)</f>
        <v>0</v>
      </c>
      <c r="G275" s="19">
        <f t="shared" ref="G275:G289" ca="1" si="114">SUMPRODUCT((科目编号=$A275)*(记账月份&lt;=$I$1),借方金额)</f>
        <v>0</v>
      </c>
      <c r="H275" s="19">
        <f t="shared" ref="H275:H289" ca="1" si="115">SUMPRODUCT((科目编号=$A275)*(记账月份&lt;=$I$1),贷方金额)</f>
        <v>0</v>
      </c>
      <c r="I275" s="19">
        <f t="shared" ca="1" si="99"/>
        <v>0</v>
      </c>
    </row>
    <row r="276" spans="1:9" customFormat="1">
      <c r="A276">
        <f>会计科目表!A276</f>
        <v>5101010102</v>
      </c>
      <c r="B276" t="str">
        <f t="shared" ca="1" si="101"/>
        <v>开发间接费用_四季花城_职工薪酬_福利费用</v>
      </c>
      <c r="C276" s="21">
        <f t="shared" ca="1" si="102"/>
        <v>4</v>
      </c>
      <c r="D276" s="19">
        <f t="shared" ca="1" si="103"/>
        <v>0</v>
      </c>
      <c r="E276" s="19">
        <f t="shared" ca="1" si="112"/>
        <v>0</v>
      </c>
      <c r="F276" s="19">
        <f t="shared" ca="1" si="113"/>
        <v>0</v>
      </c>
      <c r="G276" s="19">
        <f t="shared" ca="1" si="114"/>
        <v>0</v>
      </c>
      <c r="H276" s="19">
        <f t="shared" ca="1" si="115"/>
        <v>0</v>
      </c>
      <c r="I276" s="19">
        <f t="shared" ca="1" si="99"/>
        <v>0</v>
      </c>
    </row>
    <row r="277" spans="1:9" customFormat="1">
      <c r="A277">
        <f>会计科目表!A277</f>
        <v>51010102</v>
      </c>
      <c r="B277" t="str">
        <f t="shared" ca="1" si="101"/>
        <v>开发间接费用_四季花城_办公费</v>
      </c>
      <c r="C277" s="21">
        <f t="shared" ca="1" si="102"/>
        <v>3</v>
      </c>
      <c r="D277" s="19">
        <f t="shared" ca="1" si="103"/>
        <v>0</v>
      </c>
      <c r="E277" s="19">
        <f t="shared" ca="1" si="112"/>
        <v>0</v>
      </c>
      <c r="F277" s="19">
        <f t="shared" ca="1" si="113"/>
        <v>0</v>
      </c>
      <c r="G277" s="19">
        <f t="shared" ca="1" si="114"/>
        <v>0</v>
      </c>
      <c r="H277" s="19">
        <f t="shared" ca="1" si="115"/>
        <v>0</v>
      </c>
      <c r="I277" s="19">
        <f t="shared" ca="1" si="99"/>
        <v>0</v>
      </c>
    </row>
    <row r="278" spans="1:9" customFormat="1">
      <c r="A278">
        <f>会计科目表!A278</f>
        <v>51010103</v>
      </c>
      <c r="B278" t="str">
        <f t="shared" ca="1" si="101"/>
        <v>开发间接费用_四季花城_差旅费</v>
      </c>
      <c r="C278" s="21">
        <f t="shared" ca="1" si="102"/>
        <v>3</v>
      </c>
      <c r="D278" s="19">
        <f t="shared" ca="1" si="103"/>
        <v>0</v>
      </c>
      <c r="E278" s="19">
        <f t="shared" ca="1" si="112"/>
        <v>0</v>
      </c>
      <c r="F278" s="19">
        <f t="shared" ca="1" si="113"/>
        <v>0</v>
      </c>
      <c r="G278" s="19">
        <f t="shared" ca="1" si="114"/>
        <v>0</v>
      </c>
      <c r="H278" s="19">
        <f t="shared" ca="1" si="115"/>
        <v>0</v>
      </c>
      <c r="I278" s="19">
        <f t="shared" ca="1" si="99"/>
        <v>0</v>
      </c>
    </row>
    <row r="279" spans="1:9" customFormat="1">
      <c r="A279">
        <f>会计科目表!A279</f>
        <v>51010104</v>
      </c>
      <c r="B279" t="str">
        <f t="shared" ca="1" si="101"/>
        <v>开发间接费用_四季花城_业务招待费</v>
      </c>
      <c r="C279" s="21">
        <f t="shared" ca="1" si="102"/>
        <v>3</v>
      </c>
      <c r="D279" s="19">
        <f t="shared" ca="1" si="103"/>
        <v>0</v>
      </c>
      <c r="E279" s="19">
        <f t="shared" ca="1" si="112"/>
        <v>0</v>
      </c>
      <c r="F279" s="19">
        <f t="shared" ca="1" si="113"/>
        <v>0</v>
      </c>
      <c r="G279" s="19">
        <f t="shared" ca="1" si="114"/>
        <v>0</v>
      </c>
      <c r="H279" s="19">
        <f t="shared" ca="1" si="115"/>
        <v>0</v>
      </c>
      <c r="I279" s="19">
        <f t="shared" ca="1" si="99"/>
        <v>0</v>
      </c>
    </row>
    <row r="280" spans="1:9" customFormat="1">
      <c r="A280">
        <f>会计科目表!A280</f>
        <v>51010105</v>
      </c>
      <c r="B280" t="str">
        <f t="shared" ca="1" si="101"/>
        <v>开发间接费用_四季花城_车辆费用</v>
      </c>
      <c r="C280" s="21">
        <f t="shared" ca="1" si="102"/>
        <v>3</v>
      </c>
      <c r="D280" s="19">
        <f t="shared" ca="1" si="103"/>
        <v>0</v>
      </c>
      <c r="E280" s="19">
        <f t="shared" ca="1" si="112"/>
        <v>0</v>
      </c>
      <c r="F280" s="19">
        <f t="shared" ca="1" si="113"/>
        <v>0</v>
      </c>
      <c r="G280" s="19">
        <f t="shared" ca="1" si="114"/>
        <v>0</v>
      </c>
      <c r="H280" s="19">
        <f t="shared" ca="1" si="115"/>
        <v>0</v>
      </c>
      <c r="I280" s="19">
        <f t="shared" ca="1" si="99"/>
        <v>0</v>
      </c>
    </row>
    <row r="281" spans="1:9" customFormat="1">
      <c r="A281">
        <f>会计科目表!A281</f>
        <v>51010106</v>
      </c>
      <c r="B281" t="str">
        <f t="shared" ca="1" si="101"/>
        <v>开发间接费用_四季花城_通讯费</v>
      </c>
      <c r="C281" s="21">
        <f t="shared" ca="1" si="102"/>
        <v>3</v>
      </c>
      <c r="D281" s="19">
        <f t="shared" ca="1" si="103"/>
        <v>0</v>
      </c>
      <c r="E281" s="19">
        <f t="shared" ca="1" si="112"/>
        <v>0</v>
      </c>
      <c r="F281" s="19">
        <f t="shared" ca="1" si="113"/>
        <v>0</v>
      </c>
      <c r="G281" s="19">
        <f t="shared" ca="1" si="114"/>
        <v>0</v>
      </c>
      <c r="H281" s="19">
        <f t="shared" ca="1" si="115"/>
        <v>0</v>
      </c>
      <c r="I281" s="19">
        <f t="shared" ca="1" si="99"/>
        <v>0</v>
      </c>
    </row>
    <row r="282" spans="1:9" customFormat="1">
      <c r="A282">
        <f>会计科目表!A282</f>
        <v>51010107</v>
      </c>
      <c r="B282" t="str">
        <f t="shared" ca="1" si="101"/>
        <v>开发间接费用_四季花城_折旧费</v>
      </c>
      <c r="C282" s="21">
        <f t="shared" ca="1" si="102"/>
        <v>3</v>
      </c>
      <c r="D282" s="19">
        <f t="shared" ca="1" si="103"/>
        <v>0</v>
      </c>
      <c r="E282" s="19">
        <f t="shared" ca="1" si="112"/>
        <v>0</v>
      </c>
      <c r="F282" s="19">
        <f t="shared" ca="1" si="113"/>
        <v>0</v>
      </c>
      <c r="G282" s="19">
        <f t="shared" ca="1" si="114"/>
        <v>0</v>
      </c>
      <c r="H282" s="19">
        <f t="shared" ca="1" si="115"/>
        <v>0</v>
      </c>
      <c r="I282" s="19">
        <f t="shared" ca="1" si="99"/>
        <v>0</v>
      </c>
    </row>
    <row r="283" spans="1:9" customFormat="1">
      <c r="A283">
        <f>会计科目表!A283</f>
        <v>51010108</v>
      </c>
      <c r="B283" t="str">
        <f t="shared" ca="1" si="101"/>
        <v>开发间接费用_四季花城_会务费</v>
      </c>
      <c r="C283" s="21">
        <f t="shared" ca="1" si="102"/>
        <v>3</v>
      </c>
      <c r="D283" s="19">
        <f t="shared" ca="1" si="103"/>
        <v>0</v>
      </c>
      <c r="E283" s="19">
        <f t="shared" ca="1" si="112"/>
        <v>0</v>
      </c>
      <c r="F283" s="19">
        <f t="shared" ca="1" si="113"/>
        <v>0</v>
      </c>
      <c r="G283" s="19">
        <f t="shared" ca="1" si="114"/>
        <v>0</v>
      </c>
      <c r="H283" s="19">
        <f t="shared" ca="1" si="115"/>
        <v>0</v>
      </c>
      <c r="I283" s="19">
        <f t="shared" ca="1" si="99"/>
        <v>0</v>
      </c>
    </row>
    <row r="284" spans="1:9" customFormat="1">
      <c r="A284">
        <f>会计科目表!A284</f>
        <v>51010109</v>
      </c>
      <c r="B284" t="str">
        <f t="shared" ca="1" si="101"/>
        <v>开发间接费用_四季花城_租赁费</v>
      </c>
      <c r="C284" s="21">
        <f t="shared" ca="1" si="102"/>
        <v>3</v>
      </c>
      <c r="D284" s="19">
        <f t="shared" ca="1" si="103"/>
        <v>0</v>
      </c>
      <c r="E284" s="19">
        <f t="shared" ca="1" si="112"/>
        <v>0</v>
      </c>
      <c r="F284" s="19">
        <f t="shared" ca="1" si="113"/>
        <v>0</v>
      </c>
      <c r="G284" s="19">
        <f t="shared" ca="1" si="114"/>
        <v>0</v>
      </c>
      <c r="H284" s="19">
        <f t="shared" ca="1" si="115"/>
        <v>0</v>
      </c>
      <c r="I284" s="19">
        <f t="shared" ca="1" si="99"/>
        <v>0</v>
      </c>
    </row>
    <row r="285" spans="1:9" customFormat="1">
      <c r="A285">
        <f>会计科目表!A285</f>
        <v>51010110</v>
      </c>
      <c r="B285" t="str">
        <f t="shared" ca="1" si="101"/>
        <v>开发间接费用_四季花城_维修费</v>
      </c>
      <c r="C285" s="21">
        <f t="shared" ca="1" si="102"/>
        <v>3</v>
      </c>
      <c r="D285" s="19">
        <f t="shared" ca="1" si="103"/>
        <v>0</v>
      </c>
      <c r="E285" s="19">
        <f t="shared" ca="1" si="112"/>
        <v>0</v>
      </c>
      <c r="F285" s="19">
        <f t="shared" ca="1" si="113"/>
        <v>0</v>
      </c>
      <c r="G285" s="19">
        <f t="shared" ca="1" si="114"/>
        <v>0</v>
      </c>
      <c r="H285" s="19">
        <f t="shared" ca="1" si="115"/>
        <v>0</v>
      </c>
      <c r="I285" s="19">
        <f t="shared" ca="1" si="99"/>
        <v>0</v>
      </c>
    </row>
    <row r="286" spans="1:9" customFormat="1">
      <c r="A286">
        <f>会计科目表!A286</f>
        <v>51010111</v>
      </c>
      <c r="B286" t="str">
        <f t="shared" ca="1" si="101"/>
        <v>开发间接费用_四季花城_保险费</v>
      </c>
      <c r="C286" s="21">
        <f t="shared" ca="1" si="102"/>
        <v>3</v>
      </c>
      <c r="D286" s="19">
        <f t="shared" ca="1" si="103"/>
        <v>0</v>
      </c>
      <c r="E286" s="19">
        <f t="shared" ca="1" si="112"/>
        <v>0</v>
      </c>
      <c r="F286" s="19">
        <f t="shared" ca="1" si="113"/>
        <v>0</v>
      </c>
      <c r="G286" s="19">
        <f t="shared" ca="1" si="114"/>
        <v>0</v>
      </c>
      <c r="H286" s="19">
        <f t="shared" ca="1" si="115"/>
        <v>0</v>
      </c>
      <c r="I286" s="19">
        <f t="shared" ca="1" si="99"/>
        <v>0</v>
      </c>
    </row>
    <row r="287" spans="1:9" customFormat="1">
      <c r="A287">
        <f>会计科目表!A287</f>
        <v>51010112</v>
      </c>
      <c r="B287" t="str">
        <f t="shared" ca="1" si="101"/>
        <v>开发间接费用_四季花城_资产摊销</v>
      </c>
      <c r="C287" s="21">
        <f t="shared" ca="1" si="102"/>
        <v>3</v>
      </c>
      <c r="D287" s="19">
        <f t="shared" ca="1" si="103"/>
        <v>0</v>
      </c>
      <c r="E287" s="19">
        <f t="shared" ca="1" si="112"/>
        <v>0</v>
      </c>
      <c r="F287" s="19">
        <f t="shared" ca="1" si="113"/>
        <v>0</v>
      </c>
      <c r="G287" s="19">
        <f t="shared" ca="1" si="114"/>
        <v>0</v>
      </c>
      <c r="H287" s="19">
        <f t="shared" ca="1" si="115"/>
        <v>0</v>
      </c>
      <c r="I287" s="19">
        <f t="shared" ca="1" si="99"/>
        <v>0</v>
      </c>
    </row>
    <row r="288" spans="1:9" customFormat="1">
      <c r="A288">
        <f>会计科目表!A288</f>
        <v>51010113</v>
      </c>
      <c r="B288" t="str">
        <f t="shared" ca="1" si="101"/>
        <v>开发间接费用_四季花城_水电物管费</v>
      </c>
      <c r="C288" s="21">
        <f t="shared" ca="1" si="102"/>
        <v>3</v>
      </c>
      <c r="D288" s="19">
        <f t="shared" ca="1" si="103"/>
        <v>0</v>
      </c>
      <c r="E288" s="19">
        <f t="shared" ca="1" si="112"/>
        <v>0</v>
      </c>
      <c r="F288" s="19">
        <f t="shared" ca="1" si="113"/>
        <v>0</v>
      </c>
      <c r="G288" s="19">
        <f t="shared" ca="1" si="114"/>
        <v>0</v>
      </c>
      <c r="H288" s="19">
        <f t="shared" ca="1" si="115"/>
        <v>0</v>
      </c>
      <c r="I288" s="19">
        <f t="shared" ca="1" si="99"/>
        <v>0</v>
      </c>
    </row>
    <row r="289" spans="1:9" customFormat="1">
      <c r="A289">
        <f>会计科目表!A289</f>
        <v>51010197</v>
      </c>
      <c r="B289" t="str">
        <f t="shared" ca="1" si="101"/>
        <v>开发间接费用_四季花城_其他</v>
      </c>
      <c r="C289" s="21">
        <f t="shared" ca="1" si="102"/>
        <v>3</v>
      </c>
      <c r="D289" s="19">
        <f t="shared" ca="1" si="103"/>
        <v>0</v>
      </c>
      <c r="E289" s="19">
        <f t="shared" ca="1" si="112"/>
        <v>0</v>
      </c>
      <c r="F289" s="19">
        <f t="shared" ca="1" si="113"/>
        <v>0</v>
      </c>
      <c r="G289" s="19">
        <f t="shared" ca="1" si="114"/>
        <v>0</v>
      </c>
      <c r="H289" s="19">
        <f t="shared" ca="1" si="115"/>
        <v>0</v>
      </c>
      <c r="I289" s="19">
        <f t="shared" ca="1" si="99"/>
        <v>0</v>
      </c>
    </row>
    <row r="290" spans="1:9" customFormat="1">
      <c r="A290">
        <f>会计科目表!A290</f>
        <v>5201</v>
      </c>
      <c r="B290" t="str">
        <f t="shared" ca="1" si="101"/>
        <v>劳务成本</v>
      </c>
      <c r="C290" s="41">
        <f t="shared" ca="1" si="102"/>
        <v>1</v>
      </c>
      <c r="D290" s="19">
        <f t="shared" ca="1" si="103"/>
        <v>0</v>
      </c>
      <c r="E290" s="25">
        <f ca="1">SUMIF($C291:$C295,"=2",E291:E295)</f>
        <v>0</v>
      </c>
      <c r="F290" s="25">
        <f t="shared" ref="F290:H290" ca="1" si="116">SUMIF($C291:$C295,"=2",F291:F295)</f>
        <v>0</v>
      </c>
      <c r="G290" s="25">
        <f t="shared" ca="1" si="116"/>
        <v>0</v>
      </c>
      <c r="H290" s="25">
        <f t="shared" ca="1" si="116"/>
        <v>0</v>
      </c>
      <c r="I290" s="25">
        <f t="shared" ca="1" si="99"/>
        <v>0</v>
      </c>
    </row>
    <row r="291" spans="1:9" customFormat="1">
      <c r="A291">
        <f>会计科目表!A291</f>
        <v>520101</v>
      </c>
      <c r="B291" t="str">
        <f t="shared" ca="1" si="101"/>
        <v>劳务成本_工程监理成本</v>
      </c>
      <c r="C291" s="21">
        <f t="shared" ca="1" si="102"/>
        <v>2</v>
      </c>
      <c r="D291" s="19">
        <f t="shared" ca="1" si="103"/>
        <v>0</v>
      </c>
      <c r="E291" s="19">
        <f t="shared" ref="E291:E298" ca="1" si="117">SUMPRODUCT((科目编号=$A291)*(记账月份=$I$1),借方金额)</f>
        <v>0</v>
      </c>
      <c r="F291" s="19">
        <f t="shared" ref="F291:F298" ca="1" si="118">SUMPRODUCT((科目编号=$A291)*(记账月份=$I$1),贷方金额)</f>
        <v>0</v>
      </c>
      <c r="G291" s="19">
        <f t="shared" ref="G291:G298" ca="1" si="119">SUMPRODUCT((科目编号=$A291)*(记账月份&lt;=$I$1),借方金额)</f>
        <v>0</v>
      </c>
      <c r="H291" s="19">
        <f t="shared" ref="H291:H298" ca="1" si="120">SUMPRODUCT((科目编号=$A291)*(记账月份&lt;=$I$1),贷方金额)</f>
        <v>0</v>
      </c>
      <c r="I291" s="19">
        <f t="shared" ca="1" si="99"/>
        <v>0</v>
      </c>
    </row>
    <row r="292" spans="1:9" customFormat="1">
      <c r="A292">
        <f>会计科目表!A292</f>
        <v>520102</v>
      </c>
      <c r="B292" t="str">
        <f t="shared" ca="1" si="101"/>
        <v>劳务成本_工程施工成本</v>
      </c>
      <c r="C292" s="21">
        <f t="shared" ca="1" si="102"/>
        <v>2</v>
      </c>
      <c r="D292" s="19">
        <f t="shared" ca="1" si="103"/>
        <v>0</v>
      </c>
      <c r="E292" s="19">
        <f t="shared" ca="1" si="117"/>
        <v>0</v>
      </c>
      <c r="F292" s="19">
        <f t="shared" ca="1" si="118"/>
        <v>0</v>
      </c>
      <c r="G292" s="19">
        <f t="shared" ca="1" si="119"/>
        <v>0</v>
      </c>
      <c r="H292" s="19">
        <f t="shared" ca="1" si="120"/>
        <v>0</v>
      </c>
      <c r="I292" s="19">
        <f t="shared" ca="1" si="99"/>
        <v>0</v>
      </c>
    </row>
    <row r="293" spans="1:9" customFormat="1">
      <c r="A293">
        <f>会计科目表!A293</f>
        <v>520103</v>
      </c>
      <c r="B293" t="str">
        <f t="shared" ca="1" si="101"/>
        <v>劳务成本_代理开发成本</v>
      </c>
      <c r="C293" s="21">
        <f t="shared" ca="1" si="102"/>
        <v>2</v>
      </c>
      <c r="D293" s="19">
        <f t="shared" ca="1" si="103"/>
        <v>0</v>
      </c>
      <c r="E293" s="19">
        <f t="shared" ca="1" si="117"/>
        <v>0</v>
      </c>
      <c r="F293" s="19">
        <f t="shared" ca="1" si="118"/>
        <v>0</v>
      </c>
      <c r="G293" s="19">
        <f t="shared" ca="1" si="119"/>
        <v>0</v>
      </c>
      <c r="H293" s="19">
        <f t="shared" ca="1" si="120"/>
        <v>0</v>
      </c>
      <c r="I293" s="19">
        <f t="shared" ca="1" si="99"/>
        <v>0</v>
      </c>
    </row>
    <row r="294" spans="1:9" customFormat="1">
      <c r="A294">
        <f>会计科目表!A294</f>
        <v>520197</v>
      </c>
      <c r="B294" t="str">
        <f t="shared" ca="1" si="101"/>
        <v>劳务成本_其他</v>
      </c>
      <c r="C294" s="21">
        <f t="shared" ca="1" si="102"/>
        <v>2</v>
      </c>
      <c r="D294" s="19">
        <f t="shared" ca="1" si="103"/>
        <v>0</v>
      </c>
      <c r="E294" s="19">
        <f t="shared" ca="1" si="117"/>
        <v>0</v>
      </c>
      <c r="F294" s="19">
        <f t="shared" ca="1" si="118"/>
        <v>0</v>
      </c>
      <c r="G294" s="19">
        <f t="shared" ca="1" si="119"/>
        <v>0</v>
      </c>
      <c r="H294" s="19">
        <f t="shared" ca="1" si="120"/>
        <v>0</v>
      </c>
      <c r="I294" s="19">
        <f t="shared" ca="1" si="99"/>
        <v>0</v>
      </c>
    </row>
    <row r="295" spans="1:9" customFormat="1">
      <c r="A295">
        <f>会计科目表!A295</f>
        <v>520199</v>
      </c>
      <c r="B295" t="str">
        <f t="shared" ca="1" si="101"/>
        <v>劳务成本_劳务成本结转</v>
      </c>
      <c r="C295" s="21">
        <f t="shared" ca="1" si="102"/>
        <v>2</v>
      </c>
      <c r="D295" s="19">
        <f t="shared" ca="1" si="103"/>
        <v>0</v>
      </c>
      <c r="E295" s="19">
        <f t="shared" ca="1" si="117"/>
        <v>0</v>
      </c>
      <c r="F295" s="19">
        <f t="shared" ca="1" si="118"/>
        <v>0</v>
      </c>
      <c r="G295" s="19">
        <f t="shared" ca="1" si="119"/>
        <v>0</v>
      </c>
      <c r="H295" s="19">
        <f t="shared" ca="1" si="120"/>
        <v>0</v>
      </c>
      <c r="I295" s="19">
        <f t="shared" ca="1" si="99"/>
        <v>0</v>
      </c>
    </row>
    <row r="296" spans="1:9" customFormat="1">
      <c r="A296">
        <f>会计科目表!A296</f>
        <v>5301</v>
      </c>
      <c r="B296" t="str">
        <f t="shared" ca="1" si="101"/>
        <v>研发支出</v>
      </c>
      <c r="C296" s="41">
        <f t="shared" ca="1" si="102"/>
        <v>1</v>
      </c>
      <c r="D296" s="19">
        <f t="shared" ca="1" si="103"/>
        <v>0</v>
      </c>
      <c r="E296" s="25">
        <f t="shared" ca="1" si="117"/>
        <v>0</v>
      </c>
      <c r="F296" s="25">
        <f t="shared" ca="1" si="118"/>
        <v>0</v>
      </c>
      <c r="G296" s="25">
        <f t="shared" ca="1" si="119"/>
        <v>0</v>
      </c>
      <c r="H296" s="25">
        <f t="shared" ca="1" si="120"/>
        <v>0</v>
      </c>
      <c r="I296" s="25">
        <f t="shared" ca="1" si="99"/>
        <v>0</v>
      </c>
    </row>
    <row r="297" spans="1:9" customFormat="1">
      <c r="A297">
        <f>会计科目表!A297</f>
        <v>5401</v>
      </c>
      <c r="B297" t="str">
        <f t="shared" ca="1" si="101"/>
        <v>工程施工</v>
      </c>
      <c r="C297" s="41">
        <f t="shared" ca="1" si="102"/>
        <v>1</v>
      </c>
      <c r="D297" s="19">
        <f t="shared" ca="1" si="103"/>
        <v>0</v>
      </c>
      <c r="E297" s="25">
        <f t="shared" ca="1" si="117"/>
        <v>0</v>
      </c>
      <c r="F297" s="25">
        <f t="shared" ca="1" si="118"/>
        <v>0</v>
      </c>
      <c r="G297" s="25">
        <f t="shared" ca="1" si="119"/>
        <v>0</v>
      </c>
      <c r="H297" s="25">
        <f t="shared" ca="1" si="120"/>
        <v>0</v>
      </c>
      <c r="I297" s="25">
        <f t="shared" ca="1" si="99"/>
        <v>0</v>
      </c>
    </row>
    <row r="298" spans="1:9" customFormat="1">
      <c r="A298">
        <f>会计科目表!A298</f>
        <v>5402</v>
      </c>
      <c r="B298" t="str">
        <f t="shared" ca="1" si="101"/>
        <v>工程结算</v>
      </c>
      <c r="C298" s="41">
        <f t="shared" ca="1" si="102"/>
        <v>1</v>
      </c>
      <c r="D298" s="19">
        <f t="shared" ca="1" si="103"/>
        <v>0</v>
      </c>
      <c r="E298" s="25">
        <f t="shared" ca="1" si="117"/>
        <v>0</v>
      </c>
      <c r="F298" s="25">
        <f t="shared" ca="1" si="118"/>
        <v>0</v>
      </c>
      <c r="G298" s="25">
        <f t="shared" ca="1" si="119"/>
        <v>0</v>
      </c>
      <c r="H298" s="25">
        <f t="shared" ca="1" si="120"/>
        <v>0</v>
      </c>
      <c r="I298" s="25">
        <f t="shared" ca="1" si="99"/>
        <v>0</v>
      </c>
    </row>
    <row r="299" spans="1:9" customFormat="1">
      <c r="A299">
        <f>会计科目表!A299</f>
        <v>6001</v>
      </c>
      <c r="B299" t="str">
        <f t="shared" ca="1" si="101"/>
        <v>主营业务收入</v>
      </c>
      <c r="C299" s="41">
        <f t="shared" ca="1" si="102"/>
        <v>1</v>
      </c>
      <c r="D299" s="19">
        <f t="shared" ca="1" si="103"/>
        <v>0</v>
      </c>
      <c r="E299" s="25">
        <f ca="1">SUMIF($C300:$C306,"=2",E300:E306)</f>
        <v>0</v>
      </c>
      <c r="F299" s="25">
        <f t="shared" ref="F299:H299" ca="1" si="121">SUMIF($C300:$C306,"=2",F300:F306)</f>
        <v>0</v>
      </c>
      <c r="G299" s="25">
        <f t="shared" ca="1" si="121"/>
        <v>0</v>
      </c>
      <c r="H299" s="25">
        <f t="shared" ca="1" si="121"/>
        <v>0</v>
      </c>
      <c r="I299" s="25">
        <f t="shared" ca="1" si="99"/>
        <v>0</v>
      </c>
    </row>
    <row r="300" spans="1:9" customFormat="1">
      <c r="A300">
        <f>会计科目表!A300</f>
        <v>600101</v>
      </c>
      <c r="B300" t="str">
        <f t="shared" ca="1" si="101"/>
        <v>主营业务收入_不动产销售收入</v>
      </c>
      <c r="C300" s="21">
        <f t="shared" ca="1" si="102"/>
        <v>2</v>
      </c>
      <c r="D300" s="19">
        <f t="shared" ca="1" si="103"/>
        <v>0</v>
      </c>
      <c r="E300" s="19">
        <f t="shared" ref="E300:E306" ca="1" si="122">SUMPRODUCT((科目编号=$A300)*(记账月份=$I$1),借方金额)</f>
        <v>0</v>
      </c>
      <c r="F300" s="19">
        <f t="shared" ref="F300:F306" ca="1" si="123">SUMPRODUCT((科目编号=$A300)*(记账月份=$I$1),贷方金额)</f>
        <v>0</v>
      </c>
      <c r="G300" s="19">
        <f t="shared" ref="G300:G306" ca="1" si="124">SUMPRODUCT((科目编号=$A300)*(记账月份&lt;=$I$1),借方金额)</f>
        <v>0</v>
      </c>
      <c r="H300" s="19">
        <f t="shared" ref="H300:H306" ca="1" si="125">SUMPRODUCT((科目编号=$A300)*(记账月份&lt;=$I$1),贷方金额)</f>
        <v>0</v>
      </c>
      <c r="I300" s="19">
        <f t="shared" ca="1" si="99"/>
        <v>0</v>
      </c>
    </row>
    <row r="301" spans="1:9" customFormat="1">
      <c r="A301">
        <f>会计科目表!A301</f>
        <v>600102</v>
      </c>
      <c r="B301" t="str">
        <f t="shared" ca="1" si="101"/>
        <v>主营业务收入_不动产租赁收入</v>
      </c>
      <c r="C301" s="21">
        <f t="shared" ca="1" si="102"/>
        <v>2</v>
      </c>
      <c r="D301" s="19">
        <f t="shared" ca="1" si="103"/>
        <v>0</v>
      </c>
      <c r="E301" s="19">
        <f t="shared" ca="1" si="122"/>
        <v>0</v>
      </c>
      <c r="F301" s="19">
        <f t="shared" ca="1" si="123"/>
        <v>0</v>
      </c>
      <c r="G301" s="19">
        <f t="shared" ca="1" si="124"/>
        <v>0</v>
      </c>
      <c r="H301" s="19">
        <f t="shared" ca="1" si="125"/>
        <v>0</v>
      </c>
      <c r="I301" s="19">
        <f t="shared" ca="1" si="99"/>
        <v>0</v>
      </c>
    </row>
    <row r="302" spans="1:9" customFormat="1">
      <c r="A302">
        <f>会计科目表!A302</f>
        <v>600103</v>
      </c>
      <c r="B302" t="str">
        <f t="shared" ca="1" si="101"/>
        <v>主营业务收入_物业收入</v>
      </c>
      <c r="C302" s="21">
        <f t="shared" ca="1" si="102"/>
        <v>2</v>
      </c>
      <c r="D302" s="19">
        <f t="shared" ca="1" si="103"/>
        <v>0</v>
      </c>
      <c r="E302" s="19">
        <f t="shared" ca="1" si="122"/>
        <v>0</v>
      </c>
      <c r="F302" s="19">
        <f t="shared" ca="1" si="123"/>
        <v>0</v>
      </c>
      <c r="G302" s="19">
        <f t="shared" ca="1" si="124"/>
        <v>0</v>
      </c>
      <c r="H302" s="19">
        <f t="shared" ca="1" si="125"/>
        <v>0</v>
      </c>
      <c r="I302" s="19">
        <f t="shared" ca="1" si="99"/>
        <v>0</v>
      </c>
    </row>
    <row r="303" spans="1:9" customFormat="1">
      <c r="A303">
        <f>会计科目表!A303</f>
        <v>600104</v>
      </c>
      <c r="B303" t="str">
        <f t="shared" ca="1" si="101"/>
        <v>主营业务收入_产品销售收入</v>
      </c>
      <c r="C303" s="21">
        <f t="shared" ca="1" si="102"/>
        <v>2</v>
      </c>
      <c r="D303" s="19">
        <f t="shared" ca="1" si="103"/>
        <v>0</v>
      </c>
      <c r="E303" s="19">
        <f t="shared" ca="1" si="122"/>
        <v>0</v>
      </c>
      <c r="F303" s="19">
        <f t="shared" ca="1" si="123"/>
        <v>0</v>
      </c>
      <c r="G303" s="19">
        <f t="shared" ca="1" si="124"/>
        <v>0</v>
      </c>
      <c r="H303" s="19">
        <f t="shared" ca="1" si="125"/>
        <v>0</v>
      </c>
      <c r="I303" s="19">
        <f t="shared" ca="1" si="99"/>
        <v>0</v>
      </c>
    </row>
    <row r="304" spans="1:9" customFormat="1">
      <c r="A304">
        <f>会计科目表!A304</f>
        <v>600105</v>
      </c>
      <c r="B304" t="str">
        <f t="shared" ca="1" si="101"/>
        <v>主营业务收入_工程施工收入</v>
      </c>
      <c r="C304" s="21">
        <f t="shared" ca="1" si="102"/>
        <v>2</v>
      </c>
      <c r="D304" s="19">
        <f t="shared" ca="1" si="103"/>
        <v>0</v>
      </c>
      <c r="E304" s="19">
        <f t="shared" ca="1" si="122"/>
        <v>0</v>
      </c>
      <c r="F304" s="19">
        <f t="shared" ca="1" si="123"/>
        <v>0</v>
      </c>
      <c r="G304" s="19">
        <f t="shared" ca="1" si="124"/>
        <v>0</v>
      </c>
      <c r="H304" s="19">
        <f t="shared" ca="1" si="125"/>
        <v>0</v>
      </c>
      <c r="I304" s="19">
        <f t="shared" ca="1" si="99"/>
        <v>0</v>
      </c>
    </row>
    <row r="305" spans="1:9" customFormat="1">
      <c r="A305">
        <f>会计科目表!A305</f>
        <v>600106</v>
      </c>
      <c r="B305" t="str">
        <f t="shared" ca="1" si="101"/>
        <v>主营业务收入_劳务收入</v>
      </c>
      <c r="C305" s="21">
        <f t="shared" ca="1" si="102"/>
        <v>2</v>
      </c>
      <c r="D305" s="19">
        <f t="shared" ca="1" si="103"/>
        <v>0</v>
      </c>
      <c r="E305" s="19">
        <f t="shared" ca="1" si="122"/>
        <v>0</v>
      </c>
      <c r="F305" s="19">
        <f t="shared" ca="1" si="123"/>
        <v>0</v>
      </c>
      <c r="G305" s="19">
        <f t="shared" ca="1" si="124"/>
        <v>0</v>
      </c>
      <c r="H305" s="19">
        <f t="shared" ca="1" si="125"/>
        <v>0</v>
      </c>
      <c r="I305" s="19">
        <f t="shared" ca="1" si="99"/>
        <v>0</v>
      </c>
    </row>
    <row r="306" spans="1:9" customFormat="1">
      <c r="A306">
        <f>会计科目表!A306</f>
        <v>600197</v>
      </c>
      <c r="B306" t="str">
        <f t="shared" ca="1" si="101"/>
        <v>主营业务收入_其他经营收入</v>
      </c>
      <c r="C306" s="21">
        <f t="shared" ca="1" si="102"/>
        <v>2</v>
      </c>
      <c r="D306" s="19">
        <f t="shared" ca="1" si="103"/>
        <v>0</v>
      </c>
      <c r="E306" s="19">
        <f t="shared" ca="1" si="122"/>
        <v>0</v>
      </c>
      <c r="F306" s="19">
        <f t="shared" ca="1" si="123"/>
        <v>0</v>
      </c>
      <c r="G306" s="19">
        <f t="shared" ca="1" si="124"/>
        <v>0</v>
      </c>
      <c r="H306" s="19">
        <f t="shared" ca="1" si="125"/>
        <v>0</v>
      </c>
      <c r="I306" s="19">
        <f t="shared" ca="1" si="99"/>
        <v>0</v>
      </c>
    </row>
    <row r="307" spans="1:9" customFormat="1">
      <c r="A307">
        <f>会计科目表!A307</f>
        <v>6051</v>
      </c>
      <c r="B307" t="str">
        <f t="shared" ca="1" si="101"/>
        <v>其他业务收入</v>
      </c>
      <c r="C307" s="41">
        <f t="shared" ca="1" si="102"/>
        <v>1</v>
      </c>
      <c r="D307" s="19">
        <f t="shared" ca="1" si="103"/>
        <v>0</v>
      </c>
      <c r="E307" s="25">
        <f ca="1">SUM(E308:E311)</f>
        <v>0</v>
      </c>
      <c r="F307" s="25">
        <f ca="1">SUM(F308:F311)</f>
        <v>0</v>
      </c>
      <c r="G307" s="25">
        <f ca="1">SUM(G308:G311)</f>
        <v>0</v>
      </c>
      <c r="H307" s="25">
        <f ca="1">SUM(H308:H311)</f>
        <v>0</v>
      </c>
      <c r="I307" s="25">
        <f t="shared" ca="1" si="99"/>
        <v>0</v>
      </c>
    </row>
    <row r="308" spans="1:9" customFormat="1" hidden="1">
      <c r="A308">
        <f>会计科目表!A308</f>
        <v>605101</v>
      </c>
      <c r="B308" t="str">
        <f t="shared" ca="1" si="101"/>
        <v>其他业务收入_出租固定资产</v>
      </c>
      <c r="C308" s="21">
        <f t="shared" ca="1" si="102"/>
        <v>2</v>
      </c>
      <c r="D308" s="19">
        <f t="shared" ca="1" si="103"/>
        <v>0</v>
      </c>
      <c r="E308" s="19">
        <f t="shared" ref="E308:E313" ca="1" si="126">SUMPRODUCT((科目编号=$A308)*(记账月份=$I$1),借方金额)</f>
        <v>0</v>
      </c>
      <c r="F308" s="19">
        <f t="shared" ref="F308:F313" ca="1" si="127">SUMPRODUCT((科目编号=$A308)*(记账月份=$I$1),贷方金额)</f>
        <v>0</v>
      </c>
      <c r="G308" s="19">
        <f t="shared" ref="G308:G313" ca="1" si="128">SUMPRODUCT((科目编号=$A308)*(记账月份&lt;=$I$1),借方金额)</f>
        <v>0</v>
      </c>
      <c r="H308" s="19">
        <f t="shared" ref="H308:H313" ca="1" si="129">SUMPRODUCT((科目编号=$A308)*(记账月份&lt;=$I$1),贷方金额)</f>
        <v>0</v>
      </c>
      <c r="I308" s="19">
        <f t="shared" ca="1" si="99"/>
        <v>0</v>
      </c>
    </row>
    <row r="309" spans="1:9" customFormat="1" hidden="1">
      <c r="A309">
        <f>会计科目表!A309</f>
        <v>605102</v>
      </c>
      <c r="B309" t="str">
        <f t="shared" ca="1" si="101"/>
        <v>其他业务收入_出租无形资产</v>
      </c>
      <c r="C309" s="21">
        <f t="shared" ca="1" si="102"/>
        <v>2</v>
      </c>
      <c r="D309" s="19">
        <f t="shared" ca="1" si="103"/>
        <v>0</v>
      </c>
      <c r="E309" s="19">
        <f t="shared" ca="1" si="126"/>
        <v>0</v>
      </c>
      <c r="F309" s="19">
        <f t="shared" ca="1" si="127"/>
        <v>0</v>
      </c>
      <c r="G309" s="19">
        <f t="shared" ca="1" si="128"/>
        <v>0</v>
      </c>
      <c r="H309" s="19">
        <f t="shared" ca="1" si="129"/>
        <v>0</v>
      </c>
      <c r="I309" s="19">
        <f ca="1">D309-G309+H309</f>
        <v>0</v>
      </c>
    </row>
    <row r="310" spans="1:9" customFormat="1" hidden="1">
      <c r="A310">
        <f>会计科目表!A310</f>
        <v>605103</v>
      </c>
      <c r="B310" t="str">
        <f t="shared" ca="1" si="101"/>
        <v>其他业务收入_出租包装物和商品</v>
      </c>
      <c r="C310" s="21">
        <f t="shared" ca="1" si="102"/>
        <v>2</v>
      </c>
      <c r="D310" s="19">
        <f t="shared" ca="1" si="103"/>
        <v>0</v>
      </c>
      <c r="E310" s="19">
        <f t="shared" ca="1" si="126"/>
        <v>0</v>
      </c>
      <c r="F310" s="19">
        <f t="shared" ca="1" si="127"/>
        <v>0</v>
      </c>
      <c r="G310" s="19">
        <f t="shared" ca="1" si="128"/>
        <v>0</v>
      </c>
      <c r="H310" s="19">
        <f t="shared" ca="1" si="129"/>
        <v>0</v>
      </c>
      <c r="I310" s="19">
        <f ca="1">D310-G310+H310</f>
        <v>0</v>
      </c>
    </row>
    <row r="311" spans="1:9" customFormat="1" hidden="1">
      <c r="A311">
        <f>会计科目表!A311</f>
        <v>605104</v>
      </c>
      <c r="B311" t="str">
        <f t="shared" ca="1" si="101"/>
        <v xml:space="preserve">其他业务收入_销售材料 </v>
      </c>
      <c r="C311" s="21">
        <f t="shared" ca="1" si="102"/>
        <v>2</v>
      </c>
      <c r="D311" s="19">
        <f t="shared" ca="1" si="103"/>
        <v>0</v>
      </c>
      <c r="E311" s="19">
        <f t="shared" ca="1" si="126"/>
        <v>0</v>
      </c>
      <c r="F311" s="19">
        <f t="shared" ca="1" si="127"/>
        <v>0</v>
      </c>
      <c r="G311" s="19">
        <f t="shared" ca="1" si="128"/>
        <v>0</v>
      </c>
      <c r="H311" s="19">
        <f t="shared" ca="1" si="129"/>
        <v>0</v>
      </c>
      <c r="I311" s="19">
        <f ca="1">D311-G311+H311</f>
        <v>0</v>
      </c>
    </row>
    <row r="312" spans="1:9" customFormat="1">
      <c r="A312">
        <f>会计科目表!A312</f>
        <v>6101</v>
      </c>
      <c r="B312" t="str">
        <f t="shared" ca="1" si="101"/>
        <v>公允价值变动损益</v>
      </c>
      <c r="C312" s="41">
        <f t="shared" ca="1" si="102"/>
        <v>1</v>
      </c>
      <c r="D312" s="25">
        <f t="shared" ca="1" si="103"/>
        <v>0</v>
      </c>
      <c r="E312" s="25">
        <f t="shared" ca="1" si="126"/>
        <v>0</v>
      </c>
      <c r="F312" s="25">
        <f t="shared" ca="1" si="127"/>
        <v>0</v>
      </c>
      <c r="G312" s="25">
        <f t="shared" ca="1" si="128"/>
        <v>0</v>
      </c>
      <c r="H312" s="25">
        <f t="shared" ca="1" si="129"/>
        <v>0</v>
      </c>
      <c r="I312" s="25">
        <f t="shared" ca="1" si="99"/>
        <v>0</v>
      </c>
    </row>
    <row r="313" spans="1:9" customFormat="1">
      <c r="A313">
        <f>会计科目表!A313</f>
        <v>6111</v>
      </c>
      <c r="B313" t="str">
        <f t="shared" ca="1" si="101"/>
        <v>投资收益</v>
      </c>
      <c r="C313" s="41">
        <f t="shared" ca="1" si="102"/>
        <v>1</v>
      </c>
      <c r="D313" s="25">
        <f t="shared" ca="1" si="103"/>
        <v>0</v>
      </c>
      <c r="E313" s="25">
        <f t="shared" ca="1" si="126"/>
        <v>0</v>
      </c>
      <c r="F313" s="25">
        <f t="shared" ca="1" si="127"/>
        <v>0</v>
      </c>
      <c r="G313" s="25">
        <f t="shared" ca="1" si="128"/>
        <v>0</v>
      </c>
      <c r="H313" s="25">
        <f t="shared" ca="1" si="129"/>
        <v>0</v>
      </c>
      <c r="I313" s="25">
        <f t="shared" ca="1" si="99"/>
        <v>0</v>
      </c>
    </row>
    <row r="314" spans="1:9" customFormat="1">
      <c r="A314">
        <f>会计科目表!A314</f>
        <v>6301</v>
      </c>
      <c r="B314" t="str">
        <f t="shared" ca="1" si="101"/>
        <v>营业外收入</v>
      </c>
      <c r="C314" s="41">
        <f t="shared" ca="1" si="102"/>
        <v>1</v>
      </c>
      <c r="D314" s="25">
        <f t="shared" ca="1" si="103"/>
        <v>0</v>
      </c>
      <c r="E314" s="25">
        <f ca="1">SUMIF($C315:$C319,"=2",E315:E319)</f>
        <v>0</v>
      </c>
      <c r="F314" s="25">
        <f t="shared" ref="F314:H314" ca="1" si="130">SUMIF($C315:$C319,"=2",F315:F319)</f>
        <v>0</v>
      </c>
      <c r="G314" s="25">
        <f t="shared" ca="1" si="130"/>
        <v>0</v>
      </c>
      <c r="H314" s="25">
        <f t="shared" ca="1" si="130"/>
        <v>0</v>
      </c>
      <c r="I314" s="25">
        <f t="shared" ca="1" si="99"/>
        <v>0</v>
      </c>
    </row>
    <row r="315" spans="1:9" customFormat="1" hidden="1">
      <c r="A315">
        <f>会计科目表!A315</f>
        <v>630101</v>
      </c>
      <c r="B315" t="str">
        <f t="shared" ca="1" si="101"/>
        <v>营业外收入_处置非流动资产利得</v>
      </c>
      <c r="C315" s="21">
        <f t="shared" ca="1" si="102"/>
        <v>2</v>
      </c>
      <c r="D315" s="19">
        <f t="shared" ca="1" si="103"/>
        <v>0</v>
      </c>
      <c r="E315" s="19">
        <f ca="1">SUMPRODUCT((科目编号=$A315)*(记账月份=$I$1),借方金额)</f>
        <v>0</v>
      </c>
      <c r="F315" s="19">
        <f ca="1">SUMPRODUCT((科目编号=$A315)*(记账月份=$I$1),贷方金额)</f>
        <v>0</v>
      </c>
      <c r="G315" s="19">
        <f ca="1">SUMPRODUCT((科目编号=$A315)*(记账月份&lt;=$I$1),借方金额)</f>
        <v>0</v>
      </c>
      <c r="H315" s="19">
        <f ca="1">SUMPRODUCT((科目编号=$A315)*(记账月份&lt;=$I$1),贷方金额)</f>
        <v>0</v>
      </c>
      <c r="I315" s="19">
        <f t="shared" ca="1" si="99"/>
        <v>0</v>
      </c>
    </row>
    <row r="316" spans="1:9" customFormat="1" hidden="1">
      <c r="A316">
        <f>会计科目表!A316</f>
        <v>630102</v>
      </c>
      <c r="B316" t="str">
        <f t="shared" ca="1" si="101"/>
        <v>营业外收入_非货币性资产交换利得</v>
      </c>
      <c r="C316" s="21">
        <f t="shared" ca="1" si="102"/>
        <v>2</v>
      </c>
      <c r="D316" s="19">
        <f t="shared" ca="1" si="103"/>
        <v>0</v>
      </c>
      <c r="E316" s="19">
        <f ca="1">SUMPRODUCT((科目编号=$A316)*(记账月份=$I$1),借方金额)</f>
        <v>0</v>
      </c>
      <c r="F316" s="19">
        <f ca="1">SUMPRODUCT((科目编号=$A316)*(记账月份=$I$1),贷方金额)</f>
        <v>0</v>
      </c>
      <c r="G316" s="19">
        <f ca="1">SUMPRODUCT((科目编号=$A316)*(记账月份&lt;=$I$1),借方金额)</f>
        <v>0</v>
      </c>
      <c r="H316" s="19">
        <f ca="1">SUMPRODUCT((科目编号=$A316)*(记账月份&lt;=$I$1),贷方金额)</f>
        <v>0</v>
      </c>
      <c r="I316" s="19">
        <f t="shared" ca="1" si="99"/>
        <v>0</v>
      </c>
    </row>
    <row r="317" spans="1:9" customFormat="1" hidden="1">
      <c r="A317">
        <f>会计科目表!A317</f>
        <v>630103</v>
      </c>
      <c r="B317" t="str">
        <f t="shared" ca="1" si="101"/>
        <v>营业外收入_债务重组利得</v>
      </c>
      <c r="C317" s="21">
        <f t="shared" ca="1" si="102"/>
        <v>2</v>
      </c>
      <c r="D317" s="19">
        <f t="shared" ca="1" si="103"/>
        <v>0</v>
      </c>
      <c r="E317" s="19">
        <f ca="1">SUMPRODUCT((科目编号=$A317)*(记账月份=$I$1),借方金额)</f>
        <v>0</v>
      </c>
      <c r="F317" s="19">
        <f ca="1">SUMPRODUCT((科目编号=$A317)*(记账月份=$I$1),贷方金额)</f>
        <v>0</v>
      </c>
      <c r="G317" s="19">
        <f ca="1">SUMPRODUCT((科目编号=$A317)*(记账月份&lt;=$I$1),借方金额)</f>
        <v>0</v>
      </c>
      <c r="H317" s="19">
        <f ca="1">SUMPRODUCT((科目编号=$A317)*(记账月份&lt;=$I$1),贷方金额)</f>
        <v>0</v>
      </c>
      <c r="I317" s="19">
        <f t="shared" ca="1" si="99"/>
        <v>0</v>
      </c>
    </row>
    <row r="318" spans="1:9" customFormat="1" hidden="1">
      <c r="A318">
        <f>会计科目表!A318</f>
        <v>630104</v>
      </c>
      <c r="B318" t="str">
        <f t="shared" ca="1" si="101"/>
        <v>营业外收入_罚没利得</v>
      </c>
      <c r="C318" s="21">
        <f t="shared" ca="1" si="102"/>
        <v>2</v>
      </c>
      <c r="D318" s="19">
        <f t="shared" ca="1" si="103"/>
        <v>0</v>
      </c>
      <c r="E318" s="19">
        <f ca="1">SUMPRODUCT((科目编号=$A318)*(记账月份=$I$1),借方金额)</f>
        <v>0</v>
      </c>
      <c r="F318" s="19">
        <f ca="1">SUMPRODUCT((科目编号=$A318)*(记账月份=$I$1),贷方金额)</f>
        <v>0</v>
      </c>
      <c r="G318" s="19">
        <f ca="1">SUMPRODUCT((科目编号=$A318)*(记账月份&lt;=$I$1),借方金额)</f>
        <v>0</v>
      </c>
      <c r="H318" s="19">
        <f ca="1">SUMPRODUCT((科目编号=$A318)*(记账月份&lt;=$I$1),贷方金额)</f>
        <v>0</v>
      </c>
      <c r="I318" s="19">
        <f t="shared" ca="1" si="99"/>
        <v>0</v>
      </c>
    </row>
    <row r="319" spans="1:9" customFormat="1" hidden="1">
      <c r="A319">
        <f>会计科目表!A319</f>
        <v>630105</v>
      </c>
      <c r="B319" t="str">
        <f t="shared" ca="1" si="101"/>
        <v>营业外收入_政府补助利得</v>
      </c>
      <c r="C319" s="21">
        <f t="shared" ca="1" si="102"/>
        <v>2</v>
      </c>
      <c r="D319" s="19">
        <f t="shared" ca="1" si="103"/>
        <v>0</v>
      </c>
      <c r="E319" s="19">
        <f ca="1">SUMPRODUCT((科目编号=$A319)*(记账月份=$I$1),借方金额)</f>
        <v>0</v>
      </c>
      <c r="F319" s="19">
        <f ca="1">SUMPRODUCT((科目编号=$A319)*(记账月份=$I$1),贷方金额)</f>
        <v>0</v>
      </c>
      <c r="G319" s="19">
        <f ca="1">SUMPRODUCT((科目编号=$A319)*(记账月份&lt;=$I$1),借方金额)</f>
        <v>0</v>
      </c>
      <c r="H319" s="19">
        <f ca="1">SUMPRODUCT((科目编号=$A319)*(记账月份&lt;=$I$1),贷方金额)</f>
        <v>0</v>
      </c>
      <c r="I319" s="19">
        <f t="shared" ca="1" si="99"/>
        <v>0</v>
      </c>
    </row>
    <row r="320" spans="1:9" customFormat="1">
      <c r="A320">
        <f>会计科目表!A320</f>
        <v>6401</v>
      </c>
      <c r="B320" t="str">
        <f t="shared" ca="1" si="101"/>
        <v>主营业务成本</v>
      </c>
      <c r="C320" s="41">
        <f t="shared" ca="1" si="102"/>
        <v>1</v>
      </c>
      <c r="D320" s="25">
        <f t="shared" ca="1" si="103"/>
        <v>0</v>
      </c>
      <c r="E320" s="25">
        <f ca="1">SUMIF($C321:$C327,"=2",E321:E327)</f>
        <v>0</v>
      </c>
      <c r="F320" s="25">
        <f t="shared" ref="F320:H320" ca="1" si="131">SUMIF($C321:$C327,"=2",F321:F327)</f>
        <v>0</v>
      </c>
      <c r="G320" s="25">
        <f t="shared" ca="1" si="131"/>
        <v>0</v>
      </c>
      <c r="H320" s="25">
        <f t="shared" ca="1" si="131"/>
        <v>0</v>
      </c>
      <c r="I320" s="25">
        <f t="shared" ca="1" si="99"/>
        <v>0</v>
      </c>
    </row>
    <row r="321" spans="1:9" customFormat="1">
      <c r="A321">
        <f>会计科目表!A321</f>
        <v>640101</v>
      </c>
      <c r="B321" t="str">
        <f t="shared" ca="1" si="101"/>
        <v>主营业务成本_不动产销售成本</v>
      </c>
      <c r="C321" s="21">
        <f t="shared" ca="1" si="102"/>
        <v>2</v>
      </c>
      <c r="D321" s="19">
        <f t="shared" ca="1" si="103"/>
        <v>0</v>
      </c>
      <c r="E321" s="19">
        <f t="shared" ref="E321:E327" ca="1" si="132">SUMPRODUCT((科目编号=$A321)*(记账月份=$I$1),借方金额)</f>
        <v>0</v>
      </c>
      <c r="F321" s="19">
        <f t="shared" ref="F321:F327" ca="1" si="133">SUMPRODUCT((科目编号=$A321)*(记账月份=$I$1),贷方金额)</f>
        <v>0</v>
      </c>
      <c r="G321" s="19">
        <f t="shared" ref="G321:G327" ca="1" si="134">SUMPRODUCT((科目编号=$A321)*(记账月份&lt;=$I$1),借方金额)</f>
        <v>0</v>
      </c>
      <c r="H321" s="19">
        <f t="shared" ref="H321:H327" ca="1" si="135">SUMPRODUCT((科目编号=$A321)*(记账月份&lt;=$I$1),贷方金额)</f>
        <v>0</v>
      </c>
      <c r="I321" s="19">
        <f t="shared" ca="1" si="99"/>
        <v>0</v>
      </c>
    </row>
    <row r="322" spans="1:9" customFormat="1">
      <c r="A322">
        <f>会计科目表!A322</f>
        <v>640102</v>
      </c>
      <c r="B322" t="str">
        <f t="shared" ca="1" si="101"/>
        <v>主营业务成本_不动产租赁成本</v>
      </c>
      <c r="C322" s="21">
        <f t="shared" ca="1" si="102"/>
        <v>2</v>
      </c>
      <c r="D322" s="19">
        <f t="shared" ca="1" si="103"/>
        <v>0</v>
      </c>
      <c r="E322" s="19">
        <f t="shared" ca="1" si="132"/>
        <v>0</v>
      </c>
      <c r="F322" s="19">
        <f t="shared" ca="1" si="133"/>
        <v>0</v>
      </c>
      <c r="G322" s="19">
        <f t="shared" ca="1" si="134"/>
        <v>0</v>
      </c>
      <c r="H322" s="19">
        <f t="shared" ca="1" si="135"/>
        <v>0</v>
      </c>
      <c r="I322" s="19">
        <f t="shared" ca="1" si="99"/>
        <v>0</v>
      </c>
    </row>
    <row r="323" spans="1:9" customFormat="1">
      <c r="A323">
        <f>会计科目表!A323</f>
        <v>640103</v>
      </c>
      <c r="B323" t="str">
        <f t="shared" ca="1" si="101"/>
        <v>主营业务成本_物业成本</v>
      </c>
      <c r="C323" s="21">
        <f t="shared" ca="1" si="102"/>
        <v>2</v>
      </c>
      <c r="D323" s="19">
        <f t="shared" ca="1" si="103"/>
        <v>0</v>
      </c>
      <c r="E323" s="19">
        <f t="shared" ca="1" si="132"/>
        <v>0</v>
      </c>
      <c r="F323" s="19">
        <f t="shared" ca="1" si="133"/>
        <v>0</v>
      </c>
      <c r="G323" s="19">
        <f t="shared" ca="1" si="134"/>
        <v>0</v>
      </c>
      <c r="H323" s="19">
        <f t="shared" ca="1" si="135"/>
        <v>0</v>
      </c>
      <c r="I323" s="19">
        <f t="shared" ca="1" si="99"/>
        <v>0</v>
      </c>
    </row>
    <row r="324" spans="1:9" customFormat="1">
      <c r="A324">
        <f>会计科目表!A324</f>
        <v>640104</v>
      </c>
      <c r="B324" t="str">
        <f t="shared" ca="1" si="101"/>
        <v>主营业务成本_产品销售成本</v>
      </c>
      <c r="C324" s="21">
        <f t="shared" ca="1" si="102"/>
        <v>2</v>
      </c>
      <c r="D324" s="19">
        <f t="shared" ca="1" si="103"/>
        <v>0</v>
      </c>
      <c r="E324" s="19">
        <f t="shared" ca="1" si="132"/>
        <v>0</v>
      </c>
      <c r="F324" s="19">
        <f t="shared" ca="1" si="133"/>
        <v>0</v>
      </c>
      <c r="G324" s="19">
        <f t="shared" ca="1" si="134"/>
        <v>0</v>
      </c>
      <c r="H324" s="19">
        <f t="shared" ca="1" si="135"/>
        <v>0</v>
      </c>
      <c r="I324" s="19">
        <f t="shared" ca="1" si="99"/>
        <v>0</v>
      </c>
    </row>
    <row r="325" spans="1:9" customFormat="1">
      <c r="A325">
        <f>会计科目表!A325</f>
        <v>640105</v>
      </c>
      <c r="B325" t="str">
        <f t="shared" ref="B325:B388" ca="1" si="136">INDEX(账户查询,MATCH($A325,科目代码,))</f>
        <v>主营业务成本_工程施工成本</v>
      </c>
      <c r="C325" s="21">
        <f t="shared" ref="C325:C388" ca="1" si="137">INDEX(OFFSET(科目代码,,3),MATCH($A325,科目代码,))</f>
        <v>2</v>
      </c>
      <c r="D325" s="19">
        <f t="shared" ref="D325:D388" ca="1" si="138">INDEX(OFFSET(科目代码,,5,,2),MATCH($A325,科目代码,),2-(LEFT($A325,4)*1&lt;2001))</f>
        <v>0</v>
      </c>
      <c r="E325" s="19">
        <f t="shared" ca="1" si="132"/>
        <v>0</v>
      </c>
      <c r="F325" s="19">
        <f t="shared" ca="1" si="133"/>
        <v>0</v>
      </c>
      <c r="G325" s="19">
        <f t="shared" ca="1" si="134"/>
        <v>0</v>
      </c>
      <c r="H325" s="19">
        <f t="shared" ca="1" si="135"/>
        <v>0</v>
      </c>
      <c r="I325" s="19">
        <f t="shared" ca="1" si="99"/>
        <v>0</v>
      </c>
    </row>
    <row r="326" spans="1:9" customFormat="1">
      <c r="A326">
        <f>会计科目表!A326</f>
        <v>640106</v>
      </c>
      <c r="B326" t="str">
        <f t="shared" ca="1" si="136"/>
        <v>主营业务成本_劳务成本</v>
      </c>
      <c r="C326" s="21">
        <f t="shared" ca="1" si="137"/>
        <v>2</v>
      </c>
      <c r="D326" s="19">
        <f t="shared" ca="1" si="138"/>
        <v>0</v>
      </c>
      <c r="E326" s="19">
        <f t="shared" ca="1" si="132"/>
        <v>0</v>
      </c>
      <c r="F326" s="19">
        <f t="shared" ca="1" si="133"/>
        <v>0</v>
      </c>
      <c r="G326" s="19">
        <f t="shared" ca="1" si="134"/>
        <v>0</v>
      </c>
      <c r="H326" s="19">
        <f t="shared" ca="1" si="135"/>
        <v>0</v>
      </c>
      <c r="I326" s="19">
        <f t="shared" ca="1" si="99"/>
        <v>0</v>
      </c>
    </row>
    <row r="327" spans="1:9" customFormat="1">
      <c r="A327">
        <f>会计科目表!A327</f>
        <v>640197</v>
      </c>
      <c r="B327" t="str">
        <f t="shared" ca="1" si="136"/>
        <v>主营业务成本_其他经营成本</v>
      </c>
      <c r="C327" s="21">
        <f t="shared" ca="1" si="137"/>
        <v>2</v>
      </c>
      <c r="D327" s="19">
        <f t="shared" ca="1" si="138"/>
        <v>0</v>
      </c>
      <c r="E327" s="19">
        <f t="shared" ca="1" si="132"/>
        <v>0</v>
      </c>
      <c r="F327" s="19">
        <f t="shared" ca="1" si="133"/>
        <v>0</v>
      </c>
      <c r="G327" s="19">
        <f t="shared" ca="1" si="134"/>
        <v>0</v>
      </c>
      <c r="H327" s="19">
        <f t="shared" ca="1" si="135"/>
        <v>0</v>
      </c>
      <c r="I327" s="19">
        <f t="shared" ca="1" si="99"/>
        <v>0</v>
      </c>
    </row>
    <row r="328" spans="1:9" customFormat="1">
      <c r="A328">
        <f>会计科目表!A328</f>
        <v>6402</v>
      </c>
      <c r="B328" t="str">
        <f t="shared" ca="1" si="136"/>
        <v>其他业务成本</v>
      </c>
      <c r="C328" s="41">
        <f t="shared" ca="1" si="137"/>
        <v>1</v>
      </c>
      <c r="D328" s="25">
        <f t="shared" ca="1" si="138"/>
        <v>0</v>
      </c>
      <c r="E328" s="25">
        <f ca="1">SUM(E329:E332)</f>
        <v>0</v>
      </c>
      <c r="F328" s="25">
        <f ca="1">SUM(F329:F332)</f>
        <v>0</v>
      </c>
      <c r="G328" s="25">
        <f ca="1">SUM(G329:G332)</f>
        <v>0</v>
      </c>
      <c r="H328" s="25">
        <f ca="1">SUM(H329:H332)</f>
        <v>0</v>
      </c>
      <c r="I328" s="25">
        <f t="shared" ca="1" si="99"/>
        <v>0</v>
      </c>
    </row>
    <row r="329" spans="1:9" customFormat="1" hidden="1">
      <c r="A329">
        <f>会计科目表!A329</f>
        <v>640201</v>
      </c>
      <c r="B329" t="str">
        <f t="shared" ca="1" si="136"/>
        <v xml:space="preserve">其他业务成本_销售材料的成本 </v>
      </c>
      <c r="C329" s="21">
        <f t="shared" ca="1" si="137"/>
        <v>2</v>
      </c>
      <c r="D329" s="19">
        <f t="shared" ca="1" si="138"/>
        <v>0</v>
      </c>
      <c r="E329" s="19">
        <f ca="1">SUMPRODUCT((科目编号=$A329)*(记账月份=$I$1),借方金额)</f>
        <v>0</v>
      </c>
      <c r="F329" s="19">
        <f ca="1">SUMPRODUCT((科目编号=$A329)*(记账月份=$I$1),贷方金额)</f>
        <v>0</v>
      </c>
      <c r="G329" s="19">
        <f ca="1">SUMPRODUCT((科目编号=$A329)*(记账月份&lt;=$I$1),借方金额)</f>
        <v>0</v>
      </c>
      <c r="H329" s="19">
        <f ca="1">SUMPRODUCT((科目编号=$A329)*(记账月份&lt;=$I$1),贷方金额)</f>
        <v>0</v>
      </c>
      <c r="I329" s="19">
        <f t="shared" ca="1" si="99"/>
        <v>0</v>
      </c>
    </row>
    <row r="330" spans="1:9" customFormat="1" hidden="1">
      <c r="A330">
        <f>会计科目表!A330</f>
        <v>640202</v>
      </c>
      <c r="B330" t="str">
        <f t="shared" ca="1" si="136"/>
        <v>其他业务成本_出租固定资产的累计折旧</v>
      </c>
      <c r="C330" s="21">
        <f t="shared" ca="1" si="137"/>
        <v>2</v>
      </c>
      <c r="D330" s="19">
        <f t="shared" ca="1" si="138"/>
        <v>0</v>
      </c>
      <c r="E330" s="19">
        <f ca="1">SUMPRODUCT((科目编号=$A330)*(记账月份=$I$1),借方金额)</f>
        <v>0</v>
      </c>
      <c r="F330" s="19">
        <f ca="1">SUMPRODUCT((科目编号=$A330)*(记账月份=$I$1),贷方金额)</f>
        <v>0</v>
      </c>
      <c r="G330" s="19">
        <f ca="1">SUMPRODUCT((科目编号=$A330)*(记账月份&lt;=$I$1),借方金额)</f>
        <v>0</v>
      </c>
      <c r="H330" s="19">
        <f ca="1">SUMPRODUCT((科目编号=$A330)*(记账月份&lt;=$I$1),贷方金额)</f>
        <v>0</v>
      </c>
      <c r="I330" s="19">
        <f t="shared" ca="1" si="99"/>
        <v>0</v>
      </c>
    </row>
    <row r="331" spans="1:9" customFormat="1" hidden="1">
      <c r="A331">
        <f>会计科目表!A331</f>
        <v>640203</v>
      </c>
      <c r="B331" t="str">
        <f t="shared" ca="1" si="136"/>
        <v>其他业务成本_出租无形资产的累计摊销</v>
      </c>
      <c r="C331" s="21">
        <f t="shared" ca="1" si="137"/>
        <v>2</v>
      </c>
      <c r="D331" s="19">
        <f t="shared" ca="1" si="138"/>
        <v>0</v>
      </c>
      <c r="E331" s="19">
        <f ca="1">SUMPRODUCT((科目编号=$A331)*(记账月份=$I$1),借方金额)</f>
        <v>0</v>
      </c>
      <c r="F331" s="19">
        <f ca="1">SUMPRODUCT((科目编号=$A331)*(记账月份=$I$1),贷方金额)</f>
        <v>0</v>
      </c>
      <c r="G331" s="19">
        <f ca="1">SUMPRODUCT((科目编号=$A331)*(记账月份&lt;=$I$1),借方金额)</f>
        <v>0</v>
      </c>
      <c r="H331" s="19">
        <f ca="1">SUMPRODUCT((科目编号=$A331)*(记账月份&lt;=$I$1),贷方金额)</f>
        <v>0</v>
      </c>
      <c r="I331" s="19">
        <f t="shared" ca="1" si="99"/>
        <v>0</v>
      </c>
    </row>
    <row r="332" spans="1:9" customFormat="1" hidden="1">
      <c r="A332">
        <f>会计科目表!A332</f>
        <v>640204</v>
      </c>
      <c r="B332" t="str">
        <f t="shared" ca="1" si="136"/>
        <v>其他业务成本_出租包装物的成本</v>
      </c>
      <c r="C332" s="21">
        <f t="shared" ca="1" si="137"/>
        <v>2</v>
      </c>
      <c r="D332" s="19">
        <f t="shared" ca="1" si="138"/>
        <v>0</v>
      </c>
      <c r="E332" s="19">
        <f ca="1">SUMPRODUCT((科目编号=$A332)*(记账月份=$I$1),借方金额)</f>
        <v>0</v>
      </c>
      <c r="F332" s="19">
        <f ca="1">SUMPRODUCT((科目编号=$A332)*(记账月份=$I$1),贷方金额)</f>
        <v>0</v>
      </c>
      <c r="G332" s="19">
        <f ca="1">SUMPRODUCT((科目编号=$A332)*(记账月份&lt;=$I$1),借方金额)</f>
        <v>0</v>
      </c>
      <c r="H332" s="19">
        <f ca="1">SUMPRODUCT((科目编号=$A332)*(记账月份&lt;=$I$1),贷方金额)</f>
        <v>0</v>
      </c>
      <c r="I332" s="19">
        <f t="shared" ca="1" si="99"/>
        <v>0</v>
      </c>
    </row>
    <row r="333" spans="1:9" customFormat="1">
      <c r="A333">
        <f>会计科目表!A333</f>
        <v>6403</v>
      </c>
      <c r="B333" t="str">
        <f t="shared" ca="1" si="136"/>
        <v>营业税金及附加</v>
      </c>
      <c r="C333" s="41">
        <f t="shared" ca="1" si="137"/>
        <v>1</v>
      </c>
      <c r="D333" s="25">
        <f t="shared" ca="1" si="138"/>
        <v>0</v>
      </c>
      <c r="E333" s="25">
        <f ca="1">SUMPRODUCT((科目编号=$A333)*(记账月份=$I$1),借方金额)</f>
        <v>0</v>
      </c>
      <c r="F333" s="25">
        <f ca="1">SUMPRODUCT((科目编号=$A333)*(记账月份=$I$1),贷方金额)</f>
        <v>0</v>
      </c>
      <c r="G333" s="25">
        <f ca="1">SUMPRODUCT((科目编号=$A333)*(记账月份&lt;=$I$1),借方金额)</f>
        <v>817</v>
      </c>
      <c r="H333" s="25">
        <f ca="1">SUMPRODUCT((科目编号=$A333)*(记账月份&lt;=$I$1),贷方金额)</f>
        <v>817</v>
      </c>
      <c r="I333" s="25">
        <f t="shared" ca="1" si="99"/>
        <v>0</v>
      </c>
    </row>
    <row r="334" spans="1:9" customFormat="1">
      <c r="A334">
        <f>会计科目表!A334</f>
        <v>6601</v>
      </c>
      <c r="B334" t="str">
        <f t="shared" ca="1" si="136"/>
        <v>销售费用</v>
      </c>
      <c r="C334" s="41">
        <f t="shared" ca="1" si="137"/>
        <v>1</v>
      </c>
      <c r="D334" s="25">
        <f t="shared" ca="1" si="138"/>
        <v>0</v>
      </c>
      <c r="E334" s="25">
        <f ca="1">SUMIF($C335:$C358,"=2",E335:E358)</f>
        <v>0</v>
      </c>
      <c r="F334" s="25">
        <f t="shared" ref="F334:H334" ca="1" si="139">SUMIF($C335:$C358,"=2",F335:F358)</f>
        <v>0</v>
      </c>
      <c r="G334" s="25">
        <f t="shared" ca="1" si="139"/>
        <v>0</v>
      </c>
      <c r="H334" s="25">
        <f t="shared" ca="1" si="139"/>
        <v>0</v>
      </c>
      <c r="I334" s="25">
        <f t="shared" ca="1" si="99"/>
        <v>0</v>
      </c>
    </row>
    <row r="335" spans="1:9" customFormat="1">
      <c r="A335">
        <f>会计科目表!A335</f>
        <v>660101</v>
      </c>
      <c r="B335" t="str">
        <f t="shared" ca="1" si="136"/>
        <v>销售费用_职工薪酬</v>
      </c>
      <c r="C335" s="21">
        <f t="shared" ca="1" si="137"/>
        <v>2</v>
      </c>
      <c r="D335" s="19">
        <f t="shared" ca="1" si="138"/>
        <v>0</v>
      </c>
      <c r="E335" s="25">
        <f ca="1">SUMIF($C336:$C337,"=3",E336:E337)</f>
        <v>0</v>
      </c>
      <c r="F335" s="25">
        <f t="shared" ref="F335:H335" ca="1" si="140">SUMIF($C336:$C337,"=3",F336:F337)</f>
        <v>0</v>
      </c>
      <c r="G335" s="25">
        <f t="shared" ca="1" si="140"/>
        <v>0</v>
      </c>
      <c r="H335" s="25">
        <f t="shared" ca="1" si="140"/>
        <v>0</v>
      </c>
      <c r="I335" s="19">
        <f t="shared" ca="1" si="99"/>
        <v>0</v>
      </c>
    </row>
    <row r="336" spans="1:9" customFormat="1">
      <c r="A336">
        <f>会计科目表!A336</f>
        <v>66010101</v>
      </c>
      <c r="B336" t="str">
        <f t="shared" ca="1" si="136"/>
        <v>销售费用_职工薪酬_工资</v>
      </c>
      <c r="C336" s="21">
        <f t="shared" ca="1" si="137"/>
        <v>3</v>
      </c>
      <c r="D336" s="19">
        <f t="shared" ca="1" si="138"/>
        <v>0</v>
      </c>
      <c r="E336" s="19">
        <f t="shared" ref="E336:E358" ca="1" si="141">SUMPRODUCT((科目编号=$A336)*(记账月份=$I$1),借方金额)</f>
        <v>0</v>
      </c>
      <c r="F336" s="19">
        <f t="shared" ref="F336:F358" ca="1" si="142">SUMPRODUCT((科目编号=$A336)*(记账月份=$I$1),贷方金额)</f>
        <v>0</v>
      </c>
      <c r="G336" s="19">
        <f t="shared" ref="G336:G358" ca="1" si="143">SUMPRODUCT((科目编号=$A336)*(记账月份&lt;=$I$1),借方金额)</f>
        <v>0</v>
      </c>
      <c r="H336" s="19">
        <f t="shared" ref="H336:H358" ca="1" si="144">SUMPRODUCT((科目编号=$A336)*(记账月份&lt;=$I$1),贷方金额)</f>
        <v>0</v>
      </c>
      <c r="I336" s="19">
        <f t="shared" ca="1" si="99"/>
        <v>0</v>
      </c>
    </row>
    <row r="337" spans="1:9" customFormat="1">
      <c r="A337">
        <f>会计科目表!A337</f>
        <v>66010102</v>
      </c>
      <c r="B337" t="str">
        <f t="shared" ca="1" si="136"/>
        <v>销售费用_职工薪酬_福利费用</v>
      </c>
      <c r="C337" s="21">
        <f t="shared" ca="1" si="137"/>
        <v>3</v>
      </c>
      <c r="D337" s="19">
        <f t="shared" ca="1" si="138"/>
        <v>0</v>
      </c>
      <c r="E337" s="19">
        <f t="shared" ca="1" si="141"/>
        <v>0</v>
      </c>
      <c r="F337" s="19">
        <f t="shared" ca="1" si="142"/>
        <v>0</v>
      </c>
      <c r="G337" s="19">
        <f t="shared" ca="1" si="143"/>
        <v>0</v>
      </c>
      <c r="H337" s="19">
        <f t="shared" ca="1" si="144"/>
        <v>0</v>
      </c>
      <c r="I337" s="19">
        <f t="shared" ca="1" si="99"/>
        <v>0</v>
      </c>
    </row>
    <row r="338" spans="1:9" customFormat="1">
      <c r="A338">
        <f>会计科目表!A338</f>
        <v>660102</v>
      </c>
      <c r="B338" t="str">
        <f t="shared" ca="1" si="136"/>
        <v>销售费用_办公费</v>
      </c>
      <c r="C338" s="21">
        <f t="shared" ca="1" si="137"/>
        <v>2</v>
      </c>
      <c r="D338" s="19">
        <f t="shared" ca="1" si="138"/>
        <v>0</v>
      </c>
      <c r="E338" s="19">
        <f t="shared" ca="1" si="141"/>
        <v>0</v>
      </c>
      <c r="F338" s="19">
        <f t="shared" ca="1" si="142"/>
        <v>0</v>
      </c>
      <c r="G338" s="19">
        <f t="shared" ca="1" si="143"/>
        <v>0</v>
      </c>
      <c r="H338" s="19">
        <f t="shared" ca="1" si="144"/>
        <v>0</v>
      </c>
      <c r="I338" s="19">
        <f t="shared" ca="1" si="99"/>
        <v>0</v>
      </c>
    </row>
    <row r="339" spans="1:9" customFormat="1">
      <c r="A339">
        <f>会计科目表!A339</f>
        <v>660103</v>
      </c>
      <c r="B339" t="str">
        <f t="shared" ca="1" si="136"/>
        <v>销售费用_差旅费</v>
      </c>
      <c r="C339" s="21">
        <f t="shared" ca="1" si="137"/>
        <v>2</v>
      </c>
      <c r="D339" s="19">
        <f t="shared" ca="1" si="138"/>
        <v>0</v>
      </c>
      <c r="E339" s="19">
        <f t="shared" ca="1" si="141"/>
        <v>0</v>
      </c>
      <c r="F339" s="19">
        <f t="shared" ca="1" si="142"/>
        <v>0</v>
      </c>
      <c r="G339" s="19">
        <f t="shared" ca="1" si="143"/>
        <v>0</v>
      </c>
      <c r="H339" s="19">
        <f t="shared" ca="1" si="144"/>
        <v>0</v>
      </c>
      <c r="I339" s="19">
        <f t="shared" ca="1" si="99"/>
        <v>0</v>
      </c>
    </row>
    <row r="340" spans="1:9" customFormat="1">
      <c r="A340">
        <f>会计科目表!A340</f>
        <v>660104</v>
      </c>
      <c r="B340" t="str">
        <f t="shared" ca="1" si="136"/>
        <v>销售费用_业务经费</v>
      </c>
      <c r="C340" s="21">
        <f t="shared" ca="1" si="137"/>
        <v>2</v>
      </c>
      <c r="D340" s="19">
        <f t="shared" ca="1" si="138"/>
        <v>0</v>
      </c>
      <c r="E340" s="19">
        <f t="shared" ca="1" si="141"/>
        <v>0</v>
      </c>
      <c r="F340" s="19">
        <f t="shared" ca="1" si="142"/>
        <v>0</v>
      </c>
      <c r="G340" s="19">
        <f t="shared" ca="1" si="143"/>
        <v>0</v>
      </c>
      <c r="H340" s="19">
        <f t="shared" ca="1" si="144"/>
        <v>0</v>
      </c>
      <c r="I340" s="19">
        <f t="shared" ca="1" si="99"/>
        <v>0</v>
      </c>
    </row>
    <row r="341" spans="1:9" customFormat="1">
      <c r="A341">
        <f>会计科目表!A341</f>
        <v>660105</v>
      </c>
      <c r="B341" t="str">
        <f t="shared" ca="1" si="136"/>
        <v>销售费用_车辆费用</v>
      </c>
      <c r="C341" s="21">
        <f t="shared" ca="1" si="137"/>
        <v>2</v>
      </c>
      <c r="D341" s="19">
        <f t="shared" ca="1" si="138"/>
        <v>0</v>
      </c>
      <c r="E341" s="19">
        <f t="shared" ca="1" si="141"/>
        <v>0</v>
      </c>
      <c r="F341" s="19">
        <f t="shared" ca="1" si="142"/>
        <v>0</v>
      </c>
      <c r="G341" s="19">
        <f t="shared" ca="1" si="143"/>
        <v>0</v>
      </c>
      <c r="H341" s="19">
        <f t="shared" ca="1" si="144"/>
        <v>0</v>
      </c>
      <c r="I341" s="19">
        <f t="shared" ca="1" si="99"/>
        <v>0</v>
      </c>
    </row>
    <row r="342" spans="1:9" customFormat="1">
      <c r="A342">
        <f>会计科目表!A342</f>
        <v>660106</v>
      </c>
      <c r="B342" t="str">
        <f t="shared" ca="1" si="136"/>
        <v>销售费用_通讯费</v>
      </c>
      <c r="C342" s="21">
        <f t="shared" ca="1" si="137"/>
        <v>2</v>
      </c>
      <c r="D342" s="19">
        <f t="shared" ca="1" si="138"/>
        <v>0</v>
      </c>
      <c r="E342" s="19">
        <f t="shared" ca="1" si="141"/>
        <v>0</v>
      </c>
      <c r="F342" s="19">
        <f t="shared" ca="1" si="142"/>
        <v>0</v>
      </c>
      <c r="G342" s="19">
        <f t="shared" ca="1" si="143"/>
        <v>0</v>
      </c>
      <c r="H342" s="19">
        <f t="shared" ca="1" si="144"/>
        <v>0</v>
      </c>
      <c r="I342" s="19">
        <f t="shared" ca="1" si="99"/>
        <v>0</v>
      </c>
    </row>
    <row r="343" spans="1:9" customFormat="1">
      <c r="A343">
        <f>会计科目表!A343</f>
        <v>660107</v>
      </c>
      <c r="B343" t="str">
        <f t="shared" ca="1" si="136"/>
        <v>销售费用_折旧费</v>
      </c>
      <c r="C343" s="21">
        <f t="shared" ca="1" si="137"/>
        <v>2</v>
      </c>
      <c r="D343" s="19">
        <f t="shared" ca="1" si="138"/>
        <v>0</v>
      </c>
      <c r="E343" s="19">
        <f t="shared" ca="1" si="141"/>
        <v>0</v>
      </c>
      <c r="F343" s="19">
        <f t="shared" ca="1" si="142"/>
        <v>0</v>
      </c>
      <c r="G343" s="19">
        <f t="shared" ca="1" si="143"/>
        <v>0</v>
      </c>
      <c r="H343" s="19">
        <f t="shared" ca="1" si="144"/>
        <v>0</v>
      </c>
      <c r="I343" s="19">
        <f t="shared" ca="1" si="99"/>
        <v>0</v>
      </c>
    </row>
    <row r="344" spans="1:9" customFormat="1">
      <c r="A344">
        <f>会计科目表!A344</f>
        <v>660108</v>
      </c>
      <c r="B344" t="str">
        <f t="shared" ca="1" si="136"/>
        <v>销售费用_会务费</v>
      </c>
      <c r="C344" s="21">
        <f t="shared" ca="1" si="137"/>
        <v>2</v>
      </c>
      <c r="D344" s="19">
        <f t="shared" ca="1" si="138"/>
        <v>0</v>
      </c>
      <c r="E344" s="19">
        <f t="shared" ca="1" si="141"/>
        <v>0</v>
      </c>
      <c r="F344" s="19">
        <f t="shared" ca="1" si="142"/>
        <v>0</v>
      </c>
      <c r="G344" s="19">
        <f t="shared" ca="1" si="143"/>
        <v>0</v>
      </c>
      <c r="H344" s="19">
        <f t="shared" ca="1" si="144"/>
        <v>0</v>
      </c>
      <c r="I344" s="19">
        <f t="shared" ca="1" si="99"/>
        <v>0</v>
      </c>
    </row>
    <row r="345" spans="1:9" customFormat="1">
      <c r="A345">
        <f>会计科目表!A345</f>
        <v>660109</v>
      </c>
      <c r="B345" t="str">
        <f t="shared" ca="1" si="136"/>
        <v>销售费用_包装费</v>
      </c>
      <c r="C345" s="21">
        <f t="shared" ca="1" si="137"/>
        <v>2</v>
      </c>
      <c r="D345" s="19">
        <f t="shared" ca="1" si="138"/>
        <v>0</v>
      </c>
      <c r="E345" s="19">
        <f t="shared" ca="1" si="141"/>
        <v>0</v>
      </c>
      <c r="F345" s="19">
        <f t="shared" ca="1" si="142"/>
        <v>0</v>
      </c>
      <c r="G345" s="19">
        <f t="shared" ca="1" si="143"/>
        <v>0</v>
      </c>
      <c r="H345" s="19">
        <f t="shared" ca="1" si="144"/>
        <v>0</v>
      </c>
      <c r="I345" s="19">
        <f t="shared" ca="1" si="99"/>
        <v>0</v>
      </c>
    </row>
    <row r="346" spans="1:9" customFormat="1">
      <c r="A346">
        <f>会计科目表!A346</f>
        <v>660110</v>
      </c>
      <c r="B346" t="str">
        <f t="shared" ca="1" si="136"/>
        <v>销售费用_运输费</v>
      </c>
      <c r="C346" s="21">
        <f t="shared" ca="1" si="137"/>
        <v>2</v>
      </c>
      <c r="D346" s="19">
        <f t="shared" ca="1" si="138"/>
        <v>0</v>
      </c>
      <c r="E346" s="19">
        <f t="shared" ca="1" si="141"/>
        <v>0</v>
      </c>
      <c r="F346" s="19">
        <f t="shared" ca="1" si="142"/>
        <v>0</v>
      </c>
      <c r="G346" s="19">
        <f t="shared" ca="1" si="143"/>
        <v>0</v>
      </c>
      <c r="H346" s="19">
        <f t="shared" ca="1" si="144"/>
        <v>0</v>
      </c>
      <c r="I346" s="19">
        <f t="shared" ca="1" si="99"/>
        <v>0</v>
      </c>
    </row>
    <row r="347" spans="1:9" customFormat="1">
      <c r="A347">
        <f>会计科目表!A347</f>
        <v>660111</v>
      </c>
      <c r="B347" t="str">
        <f t="shared" ca="1" si="136"/>
        <v>销售费用_装卸费</v>
      </c>
      <c r="C347" s="21">
        <f t="shared" ca="1" si="137"/>
        <v>2</v>
      </c>
      <c r="D347" s="19">
        <f t="shared" ca="1" si="138"/>
        <v>0</v>
      </c>
      <c r="E347" s="19">
        <f t="shared" ca="1" si="141"/>
        <v>0</v>
      </c>
      <c r="F347" s="19">
        <f t="shared" ca="1" si="142"/>
        <v>0</v>
      </c>
      <c r="G347" s="19">
        <f t="shared" ca="1" si="143"/>
        <v>0</v>
      </c>
      <c r="H347" s="19">
        <f t="shared" ca="1" si="144"/>
        <v>0</v>
      </c>
      <c r="I347" s="19">
        <f t="shared" ca="1" si="99"/>
        <v>0</v>
      </c>
    </row>
    <row r="348" spans="1:9" customFormat="1">
      <c r="A348">
        <f>会计科目表!A348</f>
        <v>660112</v>
      </c>
      <c r="B348" t="str">
        <f t="shared" ca="1" si="136"/>
        <v>销售费用_仓储保管费</v>
      </c>
      <c r="C348" s="21">
        <f t="shared" ca="1" si="137"/>
        <v>2</v>
      </c>
      <c r="D348" s="19">
        <f t="shared" ca="1" si="138"/>
        <v>0</v>
      </c>
      <c r="E348" s="19">
        <f t="shared" ca="1" si="141"/>
        <v>0</v>
      </c>
      <c r="F348" s="19">
        <f t="shared" ca="1" si="142"/>
        <v>0</v>
      </c>
      <c r="G348" s="19">
        <f t="shared" ca="1" si="143"/>
        <v>0</v>
      </c>
      <c r="H348" s="19">
        <f t="shared" ca="1" si="144"/>
        <v>0</v>
      </c>
      <c r="I348" s="19">
        <f t="shared" ca="1" si="99"/>
        <v>0</v>
      </c>
    </row>
    <row r="349" spans="1:9" customFormat="1">
      <c r="A349">
        <f>会计科目表!A349</f>
        <v>660113</v>
      </c>
      <c r="B349" t="str">
        <f t="shared" ca="1" si="136"/>
        <v>销售费用_保险费</v>
      </c>
      <c r="C349" s="21">
        <f t="shared" ca="1" si="137"/>
        <v>2</v>
      </c>
      <c r="D349" s="19">
        <f t="shared" ca="1" si="138"/>
        <v>0</v>
      </c>
      <c r="E349" s="19">
        <f t="shared" ca="1" si="141"/>
        <v>0</v>
      </c>
      <c r="F349" s="19">
        <f t="shared" ca="1" si="142"/>
        <v>0</v>
      </c>
      <c r="G349" s="19">
        <f t="shared" ca="1" si="143"/>
        <v>0</v>
      </c>
      <c r="H349" s="19">
        <f t="shared" ca="1" si="144"/>
        <v>0</v>
      </c>
      <c r="I349" s="19">
        <f t="shared" ca="1" si="99"/>
        <v>0</v>
      </c>
    </row>
    <row r="350" spans="1:9" customFormat="1">
      <c r="A350">
        <f>会计科目表!A350</f>
        <v>660114</v>
      </c>
      <c r="B350" t="str">
        <f t="shared" ca="1" si="136"/>
        <v>销售费用_销售服务费</v>
      </c>
      <c r="C350" s="21">
        <f t="shared" ca="1" si="137"/>
        <v>2</v>
      </c>
      <c r="D350" s="19">
        <f t="shared" ca="1" si="138"/>
        <v>0</v>
      </c>
      <c r="E350" s="19">
        <f t="shared" ca="1" si="141"/>
        <v>0</v>
      </c>
      <c r="F350" s="19">
        <f t="shared" ca="1" si="142"/>
        <v>0</v>
      </c>
      <c r="G350" s="19">
        <f t="shared" ca="1" si="143"/>
        <v>0</v>
      </c>
      <c r="H350" s="19">
        <f t="shared" ca="1" si="144"/>
        <v>0</v>
      </c>
      <c r="I350" s="19">
        <f t="shared" ca="1" si="99"/>
        <v>0</v>
      </c>
    </row>
    <row r="351" spans="1:9" customFormat="1">
      <c r="A351">
        <f>会计科目表!A351</f>
        <v>660115</v>
      </c>
      <c r="B351" t="str">
        <f t="shared" ca="1" si="136"/>
        <v>销售费用_广告费</v>
      </c>
      <c r="C351" s="21">
        <f t="shared" ca="1" si="137"/>
        <v>2</v>
      </c>
      <c r="D351" s="19">
        <f t="shared" ca="1" si="138"/>
        <v>0</v>
      </c>
      <c r="E351" s="19">
        <f t="shared" ca="1" si="141"/>
        <v>0</v>
      </c>
      <c r="F351" s="19">
        <f t="shared" ca="1" si="142"/>
        <v>0</v>
      </c>
      <c r="G351" s="19">
        <f t="shared" ca="1" si="143"/>
        <v>0</v>
      </c>
      <c r="H351" s="19">
        <f t="shared" ca="1" si="144"/>
        <v>0</v>
      </c>
      <c r="I351" s="19">
        <f t="shared" ca="1" si="99"/>
        <v>0</v>
      </c>
    </row>
    <row r="352" spans="1:9" customFormat="1">
      <c r="A352">
        <f>会计科目表!A352</f>
        <v>660116</v>
      </c>
      <c r="B352" t="str">
        <f t="shared" ca="1" si="136"/>
        <v>销售费用_样品及产品损耗</v>
      </c>
      <c r="C352" s="21">
        <f t="shared" ca="1" si="137"/>
        <v>2</v>
      </c>
      <c r="D352" s="19">
        <f t="shared" ca="1" si="138"/>
        <v>0</v>
      </c>
      <c r="E352" s="19">
        <f t="shared" ca="1" si="141"/>
        <v>0</v>
      </c>
      <c r="F352" s="19">
        <f t="shared" ca="1" si="142"/>
        <v>0</v>
      </c>
      <c r="G352" s="19">
        <f t="shared" ca="1" si="143"/>
        <v>0</v>
      </c>
      <c r="H352" s="19">
        <f t="shared" ca="1" si="144"/>
        <v>0</v>
      </c>
      <c r="I352" s="19">
        <f t="shared" ca="1" si="99"/>
        <v>0</v>
      </c>
    </row>
    <row r="353" spans="1:9" customFormat="1">
      <c r="A353">
        <f>会计科目表!A353</f>
        <v>660117</v>
      </c>
      <c r="B353" t="str">
        <f t="shared" ca="1" si="136"/>
        <v>销售费用_委托代销手续费</v>
      </c>
      <c r="C353" s="21">
        <f t="shared" ca="1" si="137"/>
        <v>2</v>
      </c>
      <c r="D353" s="19">
        <f t="shared" ca="1" si="138"/>
        <v>0</v>
      </c>
      <c r="E353" s="19">
        <f t="shared" ca="1" si="141"/>
        <v>0</v>
      </c>
      <c r="F353" s="19">
        <f t="shared" ca="1" si="142"/>
        <v>0</v>
      </c>
      <c r="G353" s="19">
        <f t="shared" ca="1" si="143"/>
        <v>0</v>
      </c>
      <c r="H353" s="19">
        <f t="shared" ca="1" si="144"/>
        <v>0</v>
      </c>
      <c r="I353" s="19">
        <f t="shared" ca="1" si="99"/>
        <v>0</v>
      </c>
    </row>
    <row r="354" spans="1:9" customFormat="1">
      <c r="A354">
        <f>会计科目表!A354</f>
        <v>660118</v>
      </c>
      <c r="B354" t="str">
        <f t="shared" ca="1" si="136"/>
        <v>销售费用_宣传展览费</v>
      </c>
      <c r="C354" s="21">
        <f t="shared" ca="1" si="137"/>
        <v>2</v>
      </c>
      <c r="D354" s="19">
        <f t="shared" ca="1" si="138"/>
        <v>0</v>
      </c>
      <c r="E354" s="19">
        <f t="shared" ca="1" si="141"/>
        <v>0</v>
      </c>
      <c r="F354" s="19">
        <f t="shared" ca="1" si="142"/>
        <v>0</v>
      </c>
      <c r="G354" s="19">
        <f t="shared" ca="1" si="143"/>
        <v>0</v>
      </c>
      <c r="H354" s="19">
        <f t="shared" ca="1" si="144"/>
        <v>0</v>
      </c>
      <c r="I354" s="19">
        <f t="shared" ca="1" si="99"/>
        <v>0</v>
      </c>
    </row>
    <row r="355" spans="1:9" customFormat="1">
      <c r="A355">
        <f>会计科目表!A355</f>
        <v>660119</v>
      </c>
      <c r="B355" t="str">
        <f t="shared" ca="1" si="136"/>
        <v>销售费用_产权交易税费</v>
      </c>
      <c r="C355" s="21">
        <f t="shared" ca="1" si="137"/>
        <v>2</v>
      </c>
      <c r="D355" s="19">
        <f t="shared" ca="1" si="138"/>
        <v>0</v>
      </c>
      <c r="E355" s="19">
        <f t="shared" ca="1" si="141"/>
        <v>0</v>
      </c>
      <c r="F355" s="19">
        <f t="shared" ca="1" si="142"/>
        <v>0</v>
      </c>
      <c r="G355" s="19">
        <f t="shared" ca="1" si="143"/>
        <v>0</v>
      </c>
      <c r="H355" s="19">
        <f t="shared" ca="1" si="144"/>
        <v>0</v>
      </c>
      <c r="I355" s="19">
        <f t="shared" ca="1" si="99"/>
        <v>0</v>
      </c>
    </row>
    <row r="356" spans="1:9" customFormat="1">
      <c r="A356">
        <f>会计科目表!A356</f>
        <v>660120</v>
      </c>
      <c r="B356" t="str">
        <f t="shared" ca="1" si="136"/>
        <v>销售费用_卖场装修费</v>
      </c>
      <c r="C356" s="21">
        <f t="shared" ca="1" si="137"/>
        <v>2</v>
      </c>
      <c r="D356" s="19">
        <f t="shared" ca="1" si="138"/>
        <v>0</v>
      </c>
      <c r="E356" s="19">
        <f t="shared" ca="1" si="141"/>
        <v>0</v>
      </c>
      <c r="F356" s="19">
        <f t="shared" ca="1" si="142"/>
        <v>0</v>
      </c>
      <c r="G356" s="19">
        <f t="shared" ca="1" si="143"/>
        <v>0</v>
      </c>
      <c r="H356" s="19">
        <f t="shared" ca="1" si="144"/>
        <v>0</v>
      </c>
      <c r="I356" s="19">
        <f t="shared" ca="1" si="99"/>
        <v>0</v>
      </c>
    </row>
    <row r="357" spans="1:9" customFormat="1">
      <c r="A357">
        <f>会计科目表!A357</f>
        <v>660121</v>
      </c>
      <c r="B357" t="str">
        <f t="shared" ca="1" si="136"/>
        <v>销售费用_低值易耗品摊销</v>
      </c>
      <c r="C357" s="21">
        <f t="shared" ca="1" si="137"/>
        <v>2</v>
      </c>
      <c r="D357" s="19">
        <f t="shared" ca="1" si="138"/>
        <v>0</v>
      </c>
      <c r="E357" s="19">
        <f t="shared" ca="1" si="141"/>
        <v>0</v>
      </c>
      <c r="F357" s="19">
        <f t="shared" ca="1" si="142"/>
        <v>0</v>
      </c>
      <c r="G357" s="19">
        <f t="shared" ca="1" si="143"/>
        <v>0</v>
      </c>
      <c r="H357" s="19">
        <f t="shared" ca="1" si="144"/>
        <v>0</v>
      </c>
      <c r="I357" s="19">
        <f t="shared" ca="1" si="99"/>
        <v>0</v>
      </c>
    </row>
    <row r="358" spans="1:9" customFormat="1">
      <c r="A358">
        <f>会计科目表!A358</f>
        <v>660122</v>
      </c>
      <c r="B358" t="str">
        <f t="shared" ca="1" si="136"/>
        <v>销售费用_其他</v>
      </c>
      <c r="C358" s="21">
        <f t="shared" ca="1" si="137"/>
        <v>2</v>
      </c>
      <c r="D358" s="19">
        <f t="shared" ca="1" si="138"/>
        <v>0</v>
      </c>
      <c r="E358" s="19">
        <f t="shared" ca="1" si="141"/>
        <v>0</v>
      </c>
      <c r="F358" s="19">
        <f t="shared" ca="1" si="142"/>
        <v>0</v>
      </c>
      <c r="G358" s="19">
        <f t="shared" ca="1" si="143"/>
        <v>0</v>
      </c>
      <c r="H358" s="19">
        <f t="shared" ca="1" si="144"/>
        <v>0</v>
      </c>
      <c r="I358" s="19">
        <f t="shared" ca="1" si="99"/>
        <v>0</v>
      </c>
    </row>
    <row r="359" spans="1:9" customFormat="1">
      <c r="A359">
        <f>会计科目表!A359</f>
        <v>6602</v>
      </c>
      <c r="B359" t="str">
        <f t="shared" ca="1" si="136"/>
        <v>管理费用</v>
      </c>
      <c r="C359" s="41">
        <f t="shared" ca="1" si="137"/>
        <v>1</v>
      </c>
      <c r="D359" s="25">
        <f t="shared" ca="1" si="138"/>
        <v>0</v>
      </c>
      <c r="E359" s="25">
        <f ca="1">SUMIF($C360:$C391,"=2",E360:E391)</f>
        <v>0</v>
      </c>
      <c r="F359" s="25">
        <f t="shared" ref="F359:H359" ca="1" si="145">SUMIF($C360:$C391,"=2",F360:F391)</f>
        <v>0</v>
      </c>
      <c r="G359" s="25">
        <f t="shared" ca="1" si="145"/>
        <v>3601.82</v>
      </c>
      <c r="H359" s="25">
        <f t="shared" ca="1" si="145"/>
        <v>3601.82</v>
      </c>
      <c r="I359" s="25">
        <f t="shared" ca="1" si="99"/>
        <v>0</v>
      </c>
    </row>
    <row r="360" spans="1:9" customFormat="1">
      <c r="A360">
        <f>会计科目表!A360</f>
        <v>660201</v>
      </c>
      <c r="B360" t="str">
        <f t="shared" ca="1" si="136"/>
        <v>管理费用_职工薪酬</v>
      </c>
      <c r="C360" s="21">
        <f t="shared" ca="1" si="137"/>
        <v>2</v>
      </c>
      <c r="D360" s="19">
        <f t="shared" ca="1" si="138"/>
        <v>0</v>
      </c>
      <c r="E360" s="25">
        <f ca="1">SUMIF($C361:$C362,"=3",E361:E362)</f>
        <v>0</v>
      </c>
      <c r="F360" s="25">
        <f t="shared" ref="F360:H360" ca="1" si="146">SUMIF($C361:$C362,"=3",F361:F362)</f>
        <v>0</v>
      </c>
      <c r="G360" s="25">
        <f t="shared" ca="1" si="146"/>
        <v>0</v>
      </c>
      <c r="H360" s="25">
        <f t="shared" ca="1" si="146"/>
        <v>0</v>
      </c>
      <c r="I360" s="19">
        <f t="shared" ca="1" si="99"/>
        <v>0</v>
      </c>
    </row>
    <row r="361" spans="1:9" customFormat="1">
      <c r="A361">
        <f>会计科目表!A361</f>
        <v>66020101</v>
      </c>
      <c r="B361" t="str">
        <f t="shared" ca="1" si="136"/>
        <v>管理费用_职工薪酬_工资</v>
      </c>
      <c r="C361" s="21">
        <f t="shared" ca="1" si="137"/>
        <v>3</v>
      </c>
      <c r="D361" s="19">
        <f t="shared" ca="1" si="138"/>
        <v>0</v>
      </c>
      <c r="E361" s="19">
        <f t="shared" ref="E361:E384" ca="1" si="147">SUMPRODUCT((科目编号=$A361)*(记账月份=$I$1),借方金额)</f>
        <v>0</v>
      </c>
      <c r="F361" s="19">
        <f t="shared" ref="F361:F384" ca="1" si="148">SUMPRODUCT((科目编号=$A361)*(记账月份=$I$1),贷方金额)</f>
        <v>0</v>
      </c>
      <c r="G361" s="19">
        <f t="shared" ref="G361:G384" ca="1" si="149">SUMPRODUCT((科目编号=$A361)*(记账月份&lt;=$I$1),借方金额)</f>
        <v>0</v>
      </c>
      <c r="H361" s="19">
        <f t="shared" ref="H361:H384" ca="1" si="150">SUMPRODUCT((科目编号=$A361)*(记账月份&lt;=$I$1),贷方金额)</f>
        <v>0</v>
      </c>
      <c r="I361" s="19">
        <f t="shared" ca="1" si="99"/>
        <v>0</v>
      </c>
    </row>
    <row r="362" spans="1:9" customFormat="1">
      <c r="A362">
        <f>会计科目表!A362</f>
        <v>66020102</v>
      </c>
      <c r="B362" t="str">
        <f t="shared" ca="1" si="136"/>
        <v>管理费用_职工薪酬_福利费用</v>
      </c>
      <c r="C362" s="21">
        <f t="shared" ca="1" si="137"/>
        <v>3</v>
      </c>
      <c r="D362" s="19">
        <f t="shared" ca="1" si="138"/>
        <v>0</v>
      </c>
      <c r="E362" s="19">
        <f t="shared" ca="1" si="147"/>
        <v>0</v>
      </c>
      <c r="F362" s="19">
        <f t="shared" ca="1" si="148"/>
        <v>0</v>
      </c>
      <c r="G362" s="19">
        <f t="shared" ca="1" si="149"/>
        <v>0</v>
      </c>
      <c r="H362" s="19">
        <f t="shared" ca="1" si="150"/>
        <v>0</v>
      </c>
      <c r="I362" s="19">
        <f t="shared" ca="1" si="99"/>
        <v>0</v>
      </c>
    </row>
    <row r="363" spans="1:9" customFormat="1">
      <c r="A363">
        <f>会计科目表!A363</f>
        <v>660202</v>
      </c>
      <c r="B363" t="str">
        <f t="shared" ca="1" si="136"/>
        <v>管理费用_办公费</v>
      </c>
      <c r="C363" s="21">
        <f t="shared" ca="1" si="137"/>
        <v>2</v>
      </c>
      <c r="D363" s="19">
        <f t="shared" ca="1" si="138"/>
        <v>0</v>
      </c>
      <c r="E363" s="19">
        <f t="shared" ca="1" si="147"/>
        <v>0</v>
      </c>
      <c r="F363" s="19">
        <f t="shared" ca="1" si="148"/>
        <v>0</v>
      </c>
      <c r="G363" s="19">
        <f t="shared" ca="1" si="149"/>
        <v>0</v>
      </c>
      <c r="H363" s="19">
        <f t="shared" ca="1" si="150"/>
        <v>0</v>
      </c>
      <c r="I363" s="19">
        <f t="shared" ca="1" si="99"/>
        <v>0</v>
      </c>
    </row>
    <row r="364" spans="1:9" customFormat="1">
      <c r="A364">
        <f>会计科目表!A364</f>
        <v>660203</v>
      </c>
      <c r="B364" t="str">
        <f t="shared" ca="1" si="136"/>
        <v>管理费用_差旅费</v>
      </c>
      <c r="C364" s="21">
        <f t="shared" ca="1" si="137"/>
        <v>2</v>
      </c>
      <c r="D364" s="19">
        <f t="shared" ca="1" si="138"/>
        <v>0</v>
      </c>
      <c r="E364" s="19">
        <f t="shared" ca="1" si="147"/>
        <v>0</v>
      </c>
      <c r="F364" s="19">
        <f t="shared" ca="1" si="148"/>
        <v>0</v>
      </c>
      <c r="G364" s="19">
        <f t="shared" ca="1" si="149"/>
        <v>0</v>
      </c>
      <c r="H364" s="19">
        <f t="shared" ca="1" si="150"/>
        <v>0</v>
      </c>
      <c r="I364" s="19">
        <f t="shared" ca="1" si="99"/>
        <v>0</v>
      </c>
    </row>
    <row r="365" spans="1:9" customFormat="1">
      <c r="A365">
        <f>会计科目表!A365</f>
        <v>660204</v>
      </c>
      <c r="B365" t="str">
        <f t="shared" ca="1" si="136"/>
        <v>管理费用_业务招待费</v>
      </c>
      <c r="C365" s="21">
        <f t="shared" ca="1" si="137"/>
        <v>2</v>
      </c>
      <c r="D365" s="19">
        <f t="shared" ca="1" si="138"/>
        <v>0</v>
      </c>
      <c r="E365" s="19">
        <f t="shared" ca="1" si="147"/>
        <v>0</v>
      </c>
      <c r="F365" s="19">
        <f t="shared" ca="1" si="148"/>
        <v>0</v>
      </c>
      <c r="G365" s="19">
        <f t="shared" ca="1" si="149"/>
        <v>0</v>
      </c>
      <c r="H365" s="19">
        <f t="shared" ca="1" si="150"/>
        <v>0</v>
      </c>
      <c r="I365" s="19">
        <f t="shared" ca="1" si="99"/>
        <v>0</v>
      </c>
    </row>
    <row r="366" spans="1:9" customFormat="1">
      <c r="A366">
        <f>会计科目表!A366</f>
        <v>660205</v>
      </c>
      <c r="B366" t="str">
        <f t="shared" ca="1" si="136"/>
        <v>管理费用_车辆费用</v>
      </c>
      <c r="C366" s="21">
        <f t="shared" ca="1" si="137"/>
        <v>2</v>
      </c>
      <c r="D366" s="19">
        <f t="shared" ca="1" si="138"/>
        <v>0</v>
      </c>
      <c r="E366" s="19">
        <f t="shared" ca="1" si="147"/>
        <v>0</v>
      </c>
      <c r="F366" s="19">
        <f t="shared" ca="1" si="148"/>
        <v>0</v>
      </c>
      <c r="G366" s="19">
        <f t="shared" ca="1" si="149"/>
        <v>0</v>
      </c>
      <c r="H366" s="19">
        <f t="shared" ca="1" si="150"/>
        <v>0</v>
      </c>
      <c r="I366" s="19">
        <f t="shared" ca="1" si="99"/>
        <v>0</v>
      </c>
    </row>
    <row r="367" spans="1:9" customFormat="1">
      <c r="A367">
        <f>会计科目表!A367</f>
        <v>660206</v>
      </c>
      <c r="B367" t="str">
        <f t="shared" ca="1" si="136"/>
        <v>管理费用_通讯费</v>
      </c>
      <c r="C367" s="21">
        <f t="shared" ca="1" si="137"/>
        <v>2</v>
      </c>
      <c r="D367" s="19">
        <f t="shared" ca="1" si="138"/>
        <v>0</v>
      </c>
      <c r="E367" s="19">
        <f t="shared" ca="1" si="147"/>
        <v>0</v>
      </c>
      <c r="F367" s="19">
        <f t="shared" ca="1" si="148"/>
        <v>0</v>
      </c>
      <c r="G367" s="19">
        <f t="shared" ca="1" si="149"/>
        <v>0</v>
      </c>
      <c r="H367" s="19">
        <f t="shared" ca="1" si="150"/>
        <v>0</v>
      </c>
      <c r="I367" s="19">
        <f t="shared" ca="1" si="99"/>
        <v>0</v>
      </c>
    </row>
    <row r="368" spans="1:9" customFormat="1">
      <c r="A368">
        <f>会计科目表!A368</f>
        <v>660207</v>
      </c>
      <c r="B368" t="str">
        <f t="shared" ca="1" si="136"/>
        <v>管理费用_折旧费</v>
      </c>
      <c r="C368" s="21">
        <f t="shared" ca="1" si="137"/>
        <v>2</v>
      </c>
      <c r="D368" s="19">
        <f t="shared" ca="1" si="138"/>
        <v>0</v>
      </c>
      <c r="E368" s="19">
        <f t="shared" ca="1" si="147"/>
        <v>0</v>
      </c>
      <c r="F368" s="19">
        <f t="shared" ca="1" si="148"/>
        <v>0</v>
      </c>
      <c r="G368" s="19">
        <f t="shared" ca="1" si="149"/>
        <v>0</v>
      </c>
      <c r="H368" s="19">
        <f t="shared" ca="1" si="150"/>
        <v>0</v>
      </c>
      <c r="I368" s="19">
        <f t="shared" ca="1" si="99"/>
        <v>0</v>
      </c>
    </row>
    <row r="369" spans="1:9" customFormat="1">
      <c r="A369">
        <f>会计科目表!A369</f>
        <v>660208</v>
      </c>
      <c r="B369" t="str">
        <f t="shared" ca="1" si="136"/>
        <v>管理费用_会务费</v>
      </c>
      <c r="C369" s="21">
        <f t="shared" ca="1" si="137"/>
        <v>2</v>
      </c>
      <c r="D369" s="19">
        <f t="shared" ca="1" si="138"/>
        <v>0</v>
      </c>
      <c r="E369" s="19">
        <f t="shared" ca="1" si="147"/>
        <v>0</v>
      </c>
      <c r="F369" s="19">
        <f t="shared" ca="1" si="148"/>
        <v>0</v>
      </c>
      <c r="G369" s="19">
        <f t="shared" ca="1" si="149"/>
        <v>0</v>
      </c>
      <c r="H369" s="19">
        <f t="shared" ca="1" si="150"/>
        <v>0</v>
      </c>
      <c r="I369" s="19">
        <f t="shared" ca="1" si="99"/>
        <v>0</v>
      </c>
    </row>
    <row r="370" spans="1:9" customFormat="1">
      <c r="A370">
        <f>会计科目表!A370</f>
        <v>660209</v>
      </c>
      <c r="B370" t="str">
        <f t="shared" ca="1" si="136"/>
        <v>管理费用_筹建费</v>
      </c>
      <c r="C370" s="21">
        <f t="shared" ca="1" si="137"/>
        <v>2</v>
      </c>
      <c r="D370" s="19">
        <f t="shared" ca="1" si="138"/>
        <v>0</v>
      </c>
      <c r="E370" s="19">
        <f t="shared" ca="1" si="147"/>
        <v>0</v>
      </c>
      <c r="F370" s="19">
        <f t="shared" ca="1" si="148"/>
        <v>0</v>
      </c>
      <c r="G370" s="19">
        <f t="shared" ca="1" si="149"/>
        <v>0</v>
      </c>
      <c r="H370" s="19">
        <f t="shared" ca="1" si="150"/>
        <v>0</v>
      </c>
      <c r="I370" s="19">
        <f t="shared" ca="1" si="99"/>
        <v>0</v>
      </c>
    </row>
    <row r="371" spans="1:9" customFormat="1">
      <c r="A371">
        <f>会计科目表!A371</f>
        <v>660210</v>
      </c>
      <c r="B371" t="str">
        <f t="shared" ca="1" si="136"/>
        <v>管理费用_物管费</v>
      </c>
      <c r="C371" s="21">
        <f t="shared" ca="1" si="137"/>
        <v>2</v>
      </c>
      <c r="D371" s="19">
        <f t="shared" ca="1" si="138"/>
        <v>0</v>
      </c>
      <c r="E371" s="19">
        <f t="shared" ca="1" si="147"/>
        <v>0</v>
      </c>
      <c r="F371" s="19">
        <f t="shared" ca="1" si="148"/>
        <v>0</v>
      </c>
      <c r="G371" s="19">
        <f t="shared" ca="1" si="149"/>
        <v>0</v>
      </c>
      <c r="H371" s="19">
        <f t="shared" ca="1" si="150"/>
        <v>0</v>
      </c>
      <c r="I371" s="19">
        <f t="shared" ca="1" si="99"/>
        <v>0</v>
      </c>
    </row>
    <row r="372" spans="1:9" customFormat="1">
      <c r="A372">
        <f>会计科目表!A372</f>
        <v>660211</v>
      </c>
      <c r="B372" t="str">
        <f t="shared" ca="1" si="136"/>
        <v>管理费用_保险费</v>
      </c>
      <c r="C372" s="21">
        <f t="shared" ca="1" si="137"/>
        <v>2</v>
      </c>
      <c r="D372" s="19">
        <f t="shared" ca="1" si="138"/>
        <v>0</v>
      </c>
      <c r="E372" s="19">
        <f t="shared" ca="1" si="147"/>
        <v>0</v>
      </c>
      <c r="F372" s="19">
        <f t="shared" ca="1" si="148"/>
        <v>0</v>
      </c>
      <c r="G372" s="19">
        <f t="shared" ca="1" si="149"/>
        <v>3601.82</v>
      </c>
      <c r="H372" s="19">
        <f t="shared" ca="1" si="150"/>
        <v>3601.82</v>
      </c>
      <c r="I372" s="19">
        <f t="shared" ca="1" si="99"/>
        <v>0</v>
      </c>
    </row>
    <row r="373" spans="1:9" customFormat="1">
      <c r="A373">
        <f>会计科目表!A373</f>
        <v>660212</v>
      </c>
      <c r="B373" t="str">
        <f t="shared" ca="1" si="136"/>
        <v>管理费用_修理费</v>
      </c>
      <c r="C373" s="21">
        <f t="shared" ca="1" si="137"/>
        <v>2</v>
      </c>
      <c r="D373" s="19">
        <f t="shared" ca="1" si="138"/>
        <v>0</v>
      </c>
      <c r="E373" s="19">
        <f t="shared" ca="1" si="147"/>
        <v>0</v>
      </c>
      <c r="F373" s="19">
        <f t="shared" ca="1" si="148"/>
        <v>0</v>
      </c>
      <c r="G373" s="19">
        <f t="shared" ca="1" si="149"/>
        <v>0</v>
      </c>
      <c r="H373" s="19">
        <f t="shared" ca="1" si="150"/>
        <v>0</v>
      </c>
      <c r="I373" s="19">
        <f t="shared" ca="1" si="99"/>
        <v>0</v>
      </c>
    </row>
    <row r="374" spans="1:9" customFormat="1">
      <c r="A374">
        <f>会计科目表!A374</f>
        <v>660213</v>
      </c>
      <c r="B374" t="str">
        <f t="shared" ca="1" si="136"/>
        <v>管理费用_资产摊销</v>
      </c>
      <c r="C374" s="21">
        <f t="shared" ca="1" si="137"/>
        <v>2</v>
      </c>
      <c r="D374" s="19">
        <f t="shared" ca="1" si="138"/>
        <v>0</v>
      </c>
      <c r="E374" s="19">
        <f t="shared" ca="1" si="147"/>
        <v>0</v>
      </c>
      <c r="F374" s="19">
        <f t="shared" ca="1" si="148"/>
        <v>0</v>
      </c>
      <c r="G374" s="19">
        <f t="shared" ca="1" si="149"/>
        <v>0</v>
      </c>
      <c r="H374" s="19">
        <f t="shared" ca="1" si="150"/>
        <v>0</v>
      </c>
      <c r="I374" s="19">
        <f t="shared" ca="1" si="99"/>
        <v>0</v>
      </c>
    </row>
    <row r="375" spans="1:9" customFormat="1">
      <c r="A375">
        <f>会计科目表!A375</f>
        <v>660214</v>
      </c>
      <c r="B375" t="str">
        <f t="shared" ca="1" si="136"/>
        <v>管理费用_存货盘亏及毁损</v>
      </c>
      <c r="C375" s="21">
        <f t="shared" ca="1" si="137"/>
        <v>2</v>
      </c>
      <c r="D375" s="19">
        <f t="shared" ca="1" si="138"/>
        <v>0</v>
      </c>
      <c r="E375" s="19">
        <f t="shared" ca="1" si="147"/>
        <v>0</v>
      </c>
      <c r="F375" s="19">
        <f t="shared" ca="1" si="148"/>
        <v>0</v>
      </c>
      <c r="G375" s="19">
        <f t="shared" ca="1" si="149"/>
        <v>0</v>
      </c>
      <c r="H375" s="19">
        <f t="shared" ca="1" si="150"/>
        <v>0</v>
      </c>
      <c r="I375" s="19">
        <f t="shared" ca="1" si="99"/>
        <v>0</v>
      </c>
    </row>
    <row r="376" spans="1:9" customFormat="1">
      <c r="A376">
        <f>会计科目表!A376</f>
        <v>660215</v>
      </c>
      <c r="B376" t="str">
        <f t="shared" ca="1" si="136"/>
        <v>管理费用_水电费</v>
      </c>
      <c r="C376" s="21">
        <f t="shared" ca="1" si="137"/>
        <v>2</v>
      </c>
      <c r="D376" s="19">
        <f t="shared" ca="1" si="138"/>
        <v>0</v>
      </c>
      <c r="E376" s="19">
        <f t="shared" ca="1" si="147"/>
        <v>0</v>
      </c>
      <c r="F376" s="19">
        <f t="shared" ca="1" si="148"/>
        <v>0</v>
      </c>
      <c r="G376" s="19">
        <f t="shared" ca="1" si="149"/>
        <v>0</v>
      </c>
      <c r="H376" s="19">
        <f t="shared" ca="1" si="150"/>
        <v>0</v>
      </c>
      <c r="I376" s="19">
        <f t="shared" ca="1" si="99"/>
        <v>0</v>
      </c>
    </row>
    <row r="377" spans="1:9" customFormat="1">
      <c r="A377">
        <f>会计科目表!A377</f>
        <v>660216</v>
      </c>
      <c r="B377" t="str">
        <f t="shared" ca="1" si="136"/>
        <v>管理费用_租赁费</v>
      </c>
      <c r="C377" s="21">
        <f t="shared" ca="1" si="137"/>
        <v>2</v>
      </c>
      <c r="D377" s="19">
        <f t="shared" ca="1" si="138"/>
        <v>0</v>
      </c>
      <c r="E377" s="19">
        <f t="shared" ca="1" si="147"/>
        <v>0</v>
      </c>
      <c r="F377" s="19">
        <f t="shared" ca="1" si="148"/>
        <v>0</v>
      </c>
      <c r="G377" s="19">
        <f t="shared" ca="1" si="149"/>
        <v>0</v>
      </c>
      <c r="H377" s="19">
        <f t="shared" ca="1" si="150"/>
        <v>0</v>
      </c>
      <c r="I377" s="19">
        <f t="shared" ca="1" si="99"/>
        <v>0</v>
      </c>
    </row>
    <row r="378" spans="1:9" customFormat="1">
      <c r="A378">
        <f>会计科目表!A378</f>
        <v>660217</v>
      </c>
      <c r="B378" t="str">
        <f t="shared" ca="1" si="136"/>
        <v>管理费用_诉讼仲裁费</v>
      </c>
      <c r="C378" s="21">
        <f t="shared" ca="1" si="137"/>
        <v>2</v>
      </c>
      <c r="D378" s="19">
        <f t="shared" ca="1" si="138"/>
        <v>0</v>
      </c>
      <c r="E378" s="19">
        <f t="shared" ca="1" si="147"/>
        <v>0</v>
      </c>
      <c r="F378" s="19">
        <f t="shared" ca="1" si="148"/>
        <v>0</v>
      </c>
      <c r="G378" s="19">
        <f t="shared" ca="1" si="149"/>
        <v>0</v>
      </c>
      <c r="H378" s="19">
        <f t="shared" ca="1" si="150"/>
        <v>0</v>
      </c>
      <c r="I378" s="19">
        <f t="shared" ca="1" si="99"/>
        <v>0</v>
      </c>
    </row>
    <row r="379" spans="1:9" customFormat="1">
      <c r="A379">
        <f>会计科目表!A379</f>
        <v>660218</v>
      </c>
      <c r="B379" t="str">
        <f t="shared" ca="1" si="136"/>
        <v>管理费用_聘请中介机构费</v>
      </c>
      <c r="C379" s="21">
        <f t="shared" ca="1" si="137"/>
        <v>2</v>
      </c>
      <c r="D379" s="19">
        <f t="shared" ca="1" si="138"/>
        <v>0</v>
      </c>
      <c r="E379" s="19">
        <f t="shared" ca="1" si="147"/>
        <v>0</v>
      </c>
      <c r="F379" s="19">
        <f t="shared" ca="1" si="148"/>
        <v>0</v>
      </c>
      <c r="G379" s="19">
        <f t="shared" ca="1" si="149"/>
        <v>0</v>
      </c>
      <c r="H379" s="19">
        <f t="shared" ca="1" si="150"/>
        <v>0</v>
      </c>
      <c r="I379" s="19">
        <f t="shared" ca="1" si="99"/>
        <v>0</v>
      </c>
    </row>
    <row r="380" spans="1:9" customFormat="1">
      <c r="A380">
        <f>会计科目表!A380</f>
        <v>660219</v>
      </c>
      <c r="B380" t="str">
        <f t="shared" ca="1" si="136"/>
        <v>管理费用_咨询费</v>
      </c>
      <c r="C380" s="21">
        <f t="shared" ca="1" si="137"/>
        <v>2</v>
      </c>
      <c r="D380" s="19">
        <f t="shared" ca="1" si="138"/>
        <v>0</v>
      </c>
      <c r="E380" s="19">
        <f t="shared" ca="1" si="147"/>
        <v>0</v>
      </c>
      <c r="F380" s="19">
        <f t="shared" ca="1" si="148"/>
        <v>0</v>
      </c>
      <c r="G380" s="19">
        <f t="shared" ca="1" si="149"/>
        <v>0</v>
      </c>
      <c r="H380" s="19">
        <f t="shared" ca="1" si="150"/>
        <v>0</v>
      </c>
      <c r="I380" s="19">
        <f t="shared" ca="1" si="99"/>
        <v>0</v>
      </c>
    </row>
    <row r="381" spans="1:9" customFormat="1">
      <c r="A381">
        <f>会计科目表!A381</f>
        <v>660220</v>
      </c>
      <c r="B381" t="str">
        <f t="shared" ca="1" si="136"/>
        <v>管理费用_研究与开发费用</v>
      </c>
      <c r="C381" s="21">
        <f t="shared" ca="1" si="137"/>
        <v>2</v>
      </c>
      <c r="D381" s="19">
        <f t="shared" ca="1" si="138"/>
        <v>0</v>
      </c>
      <c r="E381" s="19">
        <f t="shared" ca="1" si="147"/>
        <v>0</v>
      </c>
      <c r="F381" s="19">
        <f t="shared" ca="1" si="148"/>
        <v>0</v>
      </c>
      <c r="G381" s="19">
        <f t="shared" ca="1" si="149"/>
        <v>0</v>
      </c>
      <c r="H381" s="19">
        <f t="shared" ca="1" si="150"/>
        <v>0</v>
      </c>
      <c r="I381" s="19">
        <f t="shared" ca="1" si="99"/>
        <v>0</v>
      </c>
    </row>
    <row r="382" spans="1:9" customFormat="1">
      <c r="A382">
        <f>会计科目表!A382</f>
        <v>660221</v>
      </c>
      <c r="B382" t="str">
        <f t="shared" ca="1" si="136"/>
        <v>管理费用_技术转让费</v>
      </c>
      <c r="C382" s="21">
        <f t="shared" ca="1" si="137"/>
        <v>2</v>
      </c>
      <c r="D382" s="19">
        <f t="shared" ca="1" si="138"/>
        <v>0</v>
      </c>
      <c r="E382" s="19">
        <f t="shared" ca="1" si="147"/>
        <v>0</v>
      </c>
      <c r="F382" s="19">
        <f t="shared" ca="1" si="148"/>
        <v>0</v>
      </c>
      <c r="G382" s="19">
        <f t="shared" ca="1" si="149"/>
        <v>0</v>
      </c>
      <c r="H382" s="19">
        <f t="shared" ca="1" si="150"/>
        <v>0</v>
      </c>
      <c r="I382" s="19">
        <f t="shared" ca="1" si="99"/>
        <v>0</v>
      </c>
    </row>
    <row r="383" spans="1:9" customFormat="1">
      <c r="A383">
        <f>会计科目表!A383</f>
        <v>660222</v>
      </c>
      <c r="B383" t="str">
        <f t="shared" ca="1" si="136"/>
        <v>管理费用_董事会费</v>
      </c>
      <c r="C383" s="21">
        <f t="shared" ca="1" si="137"/>
        <v>2</v>
      </c>
      <c r="D383" s="19">
        <f t="shared" ca="1" si="138"/>
        <v>0</v>
      </c>
      <c r="E383" s="19">
        <f t="shared" ca="1" si="147"/>
        <v>0</v>
      </c>
      <c r="F383" s="19">
        <f t="shared" ca="1" si="148"/>
        <v>0</v>
      </c>
      <c r="G383" s="19">
        <f t="shared" ca="1" si="149"/>
        <v>0</v>
      </c>
      <c r="H383" s="19">
        <f t="shared" ca="1" si="150"/>
        <v>0</v>
      </c>
      <c r="I383" s="19">
        <f t="shared" ca="1" si="99"/>
        <v>0</v>
      </c>
    </row>
    <row r="384" spans="1:9" customFormat="1">
      <c r="A384">
        <f>会计科目表!A384</f>
        <v>660223</v>
      </c>
      <c r="B384" t="str">
        <f t="shared" ca="1" si="136"/>
        <v>管理费用_排污费</v>
      </c>
      <c r="C384" s="21">
        <f t="shared" ca="1" si="137"/>
        <v>2</v>
      </c>
      <c r="D384" s="19">
        <f t="shared" ca="1" si="138"/>
        <v>0</v>
      </c>
      <c r="E384" s="19">
        <f t="shared" ca="1" si="147"/>
        <v>0</v>
      </c>
      <c r="F384" s="19">
        <f t="shared" ca="1" si="148"/>
        <v>0</v>
      </c>
      <c r="G384" s="19">
        <f t="shared" ca="1" si="149"/>
        <v>0</v>
      </c>
      <c r="H384" s="19">
        <f t="shared" ca="1" si="150"/>
        <v>0</v>
      </c>
      <c r="I384" s="19">
        <f t="shared" ca="1" si="99"/>
        <v>0</v>
      </c>
    </row>
    <row r="385" spans="1:9" customFormat="1">
      <c r="A385">
        <f>会计科目表!A385</f>
        <v>660224</v>
      </c>
      <c r="B385" t="str">
        <f t="shared" ca="1" si="136"/>
        <v>管理费用_税费</v>
      </c>
      <c r="C385" s="21">
        <f t="shared" ca="1" si="137"/>
        <v>2</v>
      </c>
      <c r="D385" s="19">
        <f t="shared" ca="1" si="138"/>
        <v>0</v>
      </c>
      <c r="E385" s="25">
        <f ca="1">SUMIF($C386:$C387,"=3",E386:E387)</f>
        <v>0</v>
      </c>
      <c r="F385" s="25">
        <f t="shared" ref="F385:H385" ca="1" si="151">SUMIF($C386:$C387,"=3",F386:F387)</f>
        <v>0</v>
      </c>
      <c r="G385" s="25">
        <f t="shared" ca="1" si="151"/>
        <v>0</v>
      </c>
      <c r="H385" s="25">
        <f t="shared" ca="1" si="151"/>
        <v>0</v>
      </c>
      <c r="I385" s="19">
        <f t="shared" ca="1" si="99"/>
        <v>0</v>
      </c>
    </row>
    <row r="386" spans="1:9" customFormat="1">
      <c r="A386">
        <f>会计科目表!A386</f>
        <v>66022401</v>
      </c>
      <c r="B386" t="str">
        <f t="shared" ca="1" si="136"/>
        <v>管理费用_税费_印花税</v>
      </c>
      <c r="C386" s="21">
        <f t="shared" ca="1" si="137"/>
        <v>3</v>
      </c>
      <c r="D386" s="19">
        <f t="shared" ca="1" si="138"/>
        <v>0</v>
      </c>
      <c r="E386" s="19">
        <f t="shared" ref="E386:E391" ca="1" si="152">SUMPRODUCT((科目编号=$A386)*(记账月份=$I$1),借方金额)</f>
        <v>0</v>
      </c>
      <c r="F386" s="19">
        <f t="shared" ref="F386:F391" ca="1" si="153">SUMPRODUCT((科目编号=$A386)*(记账月份=$I$1),贷方金额)</f>
        <v>0</v>
      </c>
      <c r="G386" s="19">
        <f t="shared" ref="G386:G391" ca="1" si="154">SUMPRODUCT((科目编号=$A386)*(记账月份&lt;=$I$1),借方金额)</f>
        <v>0</v>
      </c>
      <c r="H386" s="19">
        <f t="shared" ref="H386:H391" ca="1" si="155">SUMPRODUCT((科目编号=$A386)*(记账月份&lt;=$I$1),贷方金额)</f>
        <v>0</v>
      </c>
      <c r="I386" s="19">
        <f t="shared" ca="1" si="99"/>
        <v>0</v>
      </c>
    </row>
    <row r="387" spans="1:9" customFormat="1">
      <c r="A387">
        <f>会计科目表!A387</f>
        <v>66022402</v>
      </c>
      <c r="B387" t="str">
        <f t="shared" ca="1" si="136"/>
        <v>管理费用_税费_车船使用税</v>
      </c>
      <c r="C387" s="21">
        <f t="shared" ca="1" si="137"/>
        <v>3</v>
      </c>
      <c r="D387" s="19">
        <f t="shared" ca="1" si="138"/>
        <v>0</v>
      </c>
      <c r="E387" s="19">
        <f t="shared" ca="1" si="152"/>
        <v>0</v>
      </c>
      <c r="F387" s="19">
        <f t="shared" ca="1" si="153"/>
        <v>0</v>
      </c>
      <c r="G387" s="19">
        <f t="shared" ca="1" si="154"/>
        <v>0</v>
      </c>
      <c r="H387" s="19">
        <f t="shared" ca="1" si="155"/>
        <v>0</v>
      </c>
      <c r="I387" s="19">
        <f t="shared" ca="1" si="99"/>
        <v>0</v>
      </c>
    </row>
    <row r="388" spans="1:9" customFormat="1">
      <c r="A388">
        <f>会计科目表!A388</f>
        <v>66022403</v>
      </c>
      <c r="B388" t="str">
        <f t="shared" ca="1" si="136"/>
        <v>管理费用_税费_土地使用税</v>
      </c>
      <c r="C388" s="21">
        <f t="shared" ca="1" si="137"/>
        <v>3</v>
      </c>
      <c r="D388" s="19">
        <f t="shared" ca="1" si="138"/>
        <v>0</v>
      </c>
      <c r="E388" s="19">
        <f t="shared" ca="1" si="152"/>
        <v>0</v>
      </c>
      <c r="F388" s="19">
        <f t="shared" ca="1" si="153"/>
        <v>0</v>
      </c>
      <c r="G388" s="19">
        <f t="shared" ca="1" si="154"/>
        <v>0</v>
      </c>
      <c r="H388" s="19">
        <f t="shared" ca="1" si="155"/>
        <v>0</v>
      </c>
      <c r="I388" s="19">
        <f t="shared" ca="1" si="99"/>
        <v>0</v>
      </c>
    </row>
    <row r="389" spans="1:9" customFormat="1">
      <c r="A389">
        <f>会计科目表!A389</f>
        <v>66022404</v>
      </c>
      <c r="B389" t="str">
        <f t="shared" ref="B389:B409" ca="1" si="156">INDEX(账户查询,MATCH($A389,科目代码,))</f>
        <v>管理费用_税费_房产税</v>
      </c>
      <c r="C389" s="21">
        <f t="shared" ref="C389:C409" ca="1" si="157">INDEX(OFFSET(科目代码,,3),MATCH($A389,科目代码,))</f>
        <v>3</v>
      </c>
      <c r="D389" s="19">
        <f t="shared" ref="D389:D409" ca="1" si="158">INDEX(OFFSET(科目代码,,5,,2),MATCH($A389,科目代码,),2-(LEFT($A389,4)*1&lt;2001))</f>
        <v>0</v>
      </c>
      <c r="E389" s="19">
        <f t="shared" ca="1" si="152"/>
        <v>0</v>
      </c>
      <c r="F389" s="19">
        <f t="shared" ca="1" si="153"/>
        <v>0</v>
      </c>
      <c r="G389" s="19">
        <f t="shared" ca="1" si="154"/>
        <v>0</v>
      </c>
      <c r="H389" s="19">
        <f t="shared" ca="1" si="155"/>
        <v>0</v>
      </c>
      <c r="I389" s="19">
        <f t="shared" ca="1" si="99"/>
        <v>0</v>
      </c>
    </row>
    <row r="390" spans="1:9" customFormat="1">
      <c r="A390">
        <f>会计科目表!A390</f>
        <v>660225</v>
      </c>
      <c r="B390" t="str">
        <f t="shared" ca="1" si="156"/>
        <v>管理费用_企业宣传费</v>
      </c>
      <c r="C390" s="21">
        <f t="shared" ca="1" si="157"/>
        <v>2</v>
      </c>
      <c r="D390" s="19">
        <f t="shared" ca="1" si="158"/>
        <v>0</v>
      </c>
      <c r="E390" s="19">
        <f t="shared" ca="1" si="152"/>
        <v>0</v>
      </c>
      <c r="F390" s="19">
        <f t="shared" ca="1" si="153"/>
        <v>0</v>
      </c>
      <c r="G390" s="19">
        <f t="shared" ca="1" si="154"/>
        <v>0</v>
      </c>
      <c r="H390" s="19">
        <f t="shared" ca="1" si="155"/>
        <v>0</v>
      </c>
      <c r="I390" s="19">
        <f t="shared" ca="1" si="99"/>
        <v>0</v>
      </c>
    </row>
    <row r="391" spans="1:9" customFormat="1">
      <c r="A391">
        <f>会计科目表!A391</f>
        <v>660297</v>
      </c>
      <c r="B391" t="str">
        <f t="shared" ca="1" si="156"/>
        <v>管理费用_其他</v>
      </c>
      <c r="C391" s="21">
        <f t="shared" ca="1" si="157"/>
        <v>2</v>
      </c>
      <c r="D391" s="19">
        <f t="shared" ca="1" si="158"/>
        <v>0</v>
      </c>
      <c r="E391" s="19">
        <f t="shared" ca="1" si="152"/>
        <v>0</v>
      </c>
      <c r="F391" s="19">
        <f t="shared" ca="1" si="153"/>
        <v>0</v>
      </c>
      <c r="G391" s="19">
        <f t="shared" ca="1" si="154"/>
        <v>0</v>
      </c>
      <c r="H391" s="19">
        <f t="shared" ca="1" si="155"/>
        <v>0</v>
      </c>
      <c r="I391" s="19">
        <f t="shared" ca="1" si="99"/>
        <v>0</v>
      </c>
    </row>
    <row r="392" spans="1:9" customFormat="1">
      <c r="A392">
        <f>会计科目表!A392</f>
        <v>6603</v>
      </c>
      <c r="B392" t="str">
        <f t="shared" ca="1" si="156"/>
        <v>财务费用</v>
      </c>
      <c r="C392" s="41">
        <f t="shared" ca="1" si="157"/>
        <v>1</v>
      </c>
      <c r="D392" s="25">
        <f t="shared" ca="1" si="158"/>
        <v>0</v>
      </c>
      <c r="E392" s="25">
        <f ca="1">SUMIF($C393:$C397,"=2",E393:E397)</f>
        <v>0</v>
      </c>
      <c r="F392" s="25">
        <f t="shared" ref="F392:H392" ca="1" si="159">SUMIF($C393:$C397,"=2",F393:F397)</f>
        <v>0</v>
      </c>
      <c r="G392" s="25">
        <f t="shared" ca="1" si="159"/>
        <v>376.28</v>
      </c>
      <c r="H392" s="25">
        <f t="shared" ca="1" si="159"/>
        <v>376.28</v>
      </c>
      <c r="I392" s="25">
        <f t="shared" ca="1" si="99"/>
        <v>0</v>
      </c>
    </row>
    <row r="393" spans="1:9" customFormat="1">
      <c r="A393">
        <f>会计科目表!A393</f>
        <v>660301</v>
      </c>
      <c r="B393" t="str">
        <f t="shared" ca="1" si="156"/>
        <v>财务费用_利息支出</v>
      </c>
      <c r="C393" s="21">
        <f t="shared" ca="1" si="157"/>
        <v>2</v>
      </c>
      <c r="D393" s="19">
        <f t="shared" ca="1" si="158"/>
        <v>0</v>
      </c>
      <c r="E393" s="19">
        <f t="shared" ref="E393:E398" ca="1" si="160">SUMPRODUCT((科目编号=$A393)*(记账月份=$I$1),借方金额)</f>
        <v>0</v>
      </c>
      <c r="F393" s="19">
        <f t="shared" ref="F393:F398" ca="1" si="161">SUMPRODUCT((科目编号=$A393)*(记账月份=$I$1),贷方金额)</f>
        <v>0</v>
      </c>
      <c r="G393" s="19">
        <f t="shared" ref="G393:G398" ca="1" si="162">SUMPRODUCT((科目编号=$A393)*(记账月份&lt;=$I$1),借方金额)</f>
        <v>0</v>
      </c>
      <c r="H393" s="19">
        <f t="shared" ref="H393:H398" ca="1" si="163">SUMPRODUCT((科目编号=$A393)*(记账月份&lt;=$I$1),贷方金额)</f>
        <v>0</v>
      </c>
      <c r="I393" s="19">
        <f t="shared" ca="1" si="99"/>
        <v>0</v>
      </c>
    </row>
    <row r="394" spans="1:9" customFormat="1">
      <c r="A394">
        <f>会计科目表!A394</f>
        <v>660302</v>
      </c>
      <c r="B394" t="str">
        <f t="shared" ca="1" si="156"/>
        <v>财务费用_利息收入</v>
      </c>
      <c r="C394" s="21">
        <f t="shared" ca="1" si="157"/>
        <v>2</v>
      </c>
      <c r="D394" s="19">
        <f t="shared" ca="1" si="158"/>
        <v>0</v>
      </c>
      <c r="E394" s="19">
        <f t="shared" ca="1" si="160"/>
        <v>0</v>
      </c>
      <c r="F394" s="19">
        <f t="shared" ca="1" si="161"/>
        <v>0</v>
      </c>
      <c r="G394" s="19">
        <f t="shared" ca="1" si="162"/>
        <v>-299.72000000000003</v>
      </c>
      <c r="H394" s="19">
        <f t="shared" ca="1" si="163"/>
        <v>-299.72000000000003</v>
      </c>
      <c r="I394" s="19">
        <f ca="1">D394-G394+H394</f>
        <v>0</v>
      </c>
    </row>
    <row r="395" spans="1:9" customFormat="1">
      <c r="A395">
        <f>会计科目表!A395</f>
        <v>660303</v>
      </c>
      <c r="B395" t="str">
        <f t="shared" ca="1" si="156"/>
        <v>财务费用_汇总差额</v>
      </c>
      <c r="C395" s="21">
        <f t="shared" ca="1" si="157"/>
        <v>2</v>
      </c>
      <c r="D395" s="19">
        <f t="shared" ca="1" si="158"/>
        <v>0</v>
      </c>
      <c r="E395" s="19">
        <f t="shared" ca="1" si="160"/>
        <v>0</v>
      </c>
      <c r="F395" s="19">
        <f t="shared" ca="1" si="161"/>
        <v>0</v>
      </c>
      <c r="G395" s="19">
        <f t="shared" ca="1" si="162"/>
        <v>0</v>
      </c>
      <c r="H395" s="19">
        <f t="shared" ca="1" si="163"/>
        <v>0</v>
      </c>
      <c r="I395" s="19">
        <f t="shared" ref="I395:I396" ca="1" si="164">D395-G395+H395</f>
        <v>0</v>
      </c>
    </row>
    <row r="396" spans="1:9" customFormat="1">
      <c r="A396">
        <f>会计科目表!A396</f>
        <v>660304</v>
      </c>
      <c r="B396" t="str">
        <f t="shared" ca="1" si="156"/>
        <v>财务费用_手续费</v>
      </c>
      <c r="C396" s="21">
        <f t="shared" ca="1" si="157"/>
        <v>2</v>
      </c>
      <c r="D396" s="19">
        <f t="shared" ca="1" si="158"/>
        <v>0</v>
      </c>
      <c r="E396" s="19">
        <f t="shared" ca="1" si="160"/>
        <v>0</v>
      </c>
      <c r="F396" s="19">
        <f t="shared" ca="1" si="161"/>
        <v>0</v>
      </c>
      <c r="G396" s="19">
        <f t="shared" ca="1" si="162"/>
        <v>676</v>
      </c>
      <c r="H396" s="19">
        <f t="shared" ca="1" si="163"/>
        <v>676</v>
      </c>
      <c r="I396" s="19">
        <f t="shared" ca="1" si="164"/>
        <v>0</v>
      </c>
    </row>
    <row r="397" spans="1:9" customFormat="1">
      <c r="A397">
        <f>会计科目表!A397</f>
        <v>660305</v>
      </c>
      <c r="B397" t="str">
        <f t="shared" ca="1" si="156"/>
        <v>财务费用_现金折扣</v>
      </c>
      <c r="C397" s="21">
        <f t="shared" ca="1" si="157"/>
        <v>2</v>
      </c>
      <c r="D397" s="19">
        <f t="shared" ca="1" si="158"/>
        <v>0</v>
      </c>
      <c r="E397" s="19">
        <f t="shared" ca="1" si="160"/>
        <v>0</v>
      </c>
      <c r="F397" s="19">
        <f t="shared" ca="1" si="161"/>
        <v>0</v>
      </c>
      <c r="G397" s="19">
        <f t="shared" ca="1" si="162"/>
        <v>0</v>
      </c>
      <c r="H397" s="19">
        <f t="shared" ca="1" si="163"/>
        <v>0</v>
      </c>
      <c r="I397" s="19">
        <f t="shared" ca="1" si="99"/>
        <v>0</v>
      </c>
    </row>
    <row r="398" spans="1:9" customFormat="1">
      <c r="A398">
        <f>会计科目表!A398</f>
        <v>6701</v>
      </c>
      <c r="B398" t="str">
        <f t="shared" ca="1" si="156"/>
        <v>资产减值损失</v>
      </c>
      <c r="C398" s="41">
        <f t="shared" ca="1" si="157"/>
        <v>1</v>
      </c>
      <c r="D398" s="25">
        <f t="shared" ca="1" si="158"/>
        <v>0</v>
      </c>
      <c r="E398" s="25">
        <f t="shared" ca="1" si="160"/>
        <v>0</v>
      </c>
      <c r="F398" s="25">
        <f t="shared" ca="1" si="161"/>
        <v>0</v>
      </c>
      <c r="G398" s="25">
        <f t="shared" ca="1" si="162"/>
        <v>0</v>
      </c>
      <c r="H398" s="25">
        <f t="shared" ca="1" si="163"/>
        <v>0</v>
      </c>
      <c r="I398" s="25">
        <f t="shared" ca="1" si="99"/>
        <v>0</v>
      </c>
    </row>
    <row r="399" spans="1:9" customFormat="1">
      <c r="A399">
        <f>会计科目表!A399</f>
        <v>6711</v>
      </c>
      <c r="B399" t="str">
        <f t="shared" ca="1" si="156"/>
        <v>营业外支出</v>
      </c>
      <c r="C399" s="41">
        <f t="shared" ca="1" si="157"/>
        <v>1</v>
      </c>
      <c r="D399" s="25">
        <f t="shared" ca="1" si="158"/>
        <v>0</v>
      </c>
      <c r="E399" s="25">
        <f ca="1">SUMIF($C400:$C405,"=2",E400:E405)</f>
        <v>0</v>
      </c>
      <c r="F399" s="25">
        <f t="shared" ref="F399:H399" ca="1" si="165">SUMIF($C400:$C405,"=2",F400:F405)</f>
        <v>0</v>
      </c>
      <c r="G399" s="25">
        <f t="shared" ca="1" si="165"/>
        <v>0.16</v>
      </c>
      <c r="H399" s="25">
        <f t="shared" ca="1" si="165"/>
        <v>0.16</v>
      </c>
      <c r="I399" s="25">
        <f t="shared" ca="1" si="99"/>
        <v>0</v>
      </c>
    </row>
    <row r="400" spans="1:9" customFormat="1">
      <c r="A400">
        <f>会计科目表!A400</f>
        <v>671101</v>
      </c>
      <c r="B400" t="str">
        <f t="shared" ca="1" si="156"/>
        <v>营业外支出_处置非流动资产损失</v>
      </c>
      <c r="C400" s="21">
        <f t="shared" ca="1" si="157"/>
        <v>2</v>
      </c>
      <c r="D400" s="19">
        <f t="shared" ca="1" si="158"/>
        <v>0</v>
      </c>
      <c r="E400" s="19">
        <f t="shared" ref="E400:E405" ca="1" si="166">SUMPRODUCT((科目编号=$A400)*(记账月份=$I$1),借方金额)</f>
        <v>0</v>
      </c>
      <c r="F400" s="19">
        <f t="shared" ref="F400:F405" ca="1" si="167">SUMPRODUCT((科目编号=$A400)*(记账月份=$I$1),贷方金额)</f>
        <v>0</v>
      </c>
      <c r="G400" s="19">
        <f t="shared" ref="G400:G405" ca="1" si="168">SUMPRODUCT((科目编号=$A400)*(记账月份&lt;=$I$1),借方金额)</f>
        <v>0</v>
      </c>
      <c r="H400" s="19">
        <f t="shared" ref="H400:H405" ca="1" si="169">SUMPRODUCT((科目编号=$A400)*(记账月份&lt;=$I$1),贷方金额)</f>
        <v>0</v>
      </c>
      <c r="I400" s="19">
        <f t="shared" ca="1" si="99"/>
        <v>0</v>
      </c>
    </row>
    <row r="401" spans="1:10" customFormat="1">
      <c r="A401">
        <f>会计科目表!A401</f>
        <v>671102</v>
      </c>
      <c r="B401" t="str">
        <f t="shared" ca="1" si="156"/>
        <v>营业外支出_非货币性资产交换损失</v>
      </c>
      <c r="C401" s="21">
        <f t="shared" ca="1" si="157"/>
        <v>2</v>
      </c>
      <c r="D401" s="19">
        <f t="shared" ca="1" si="158"/>
        <v>0</v>
      </c>
      <c r="E401" s="19">
        <f t="shared" ca="1" si="166"/>
        <v>0</v>
      </c>
      <c r="F401" s="19">
        <f t="shared" ca="1" si="167"/>
        <v>0</v>
      </c>
      <c r="G401" s="19">
        <f t="shared" ca="1" si="168"/>
        <v>0</v>
      </c>
      <c r="H401" s="19">
        <f t="shared" ca="1" si="169"/>
        <v>0</v>
      </c>
      <c r="I401" s="19">
        <f t="shared" ca="1" si="99"/>
        <v>0</v>
      </c>
    </row>
    <row r="402" spans="1:10" customFormat="1">
      <c r="A402">
        <f>会计科目表!A402</f>
        <v>671103</v>
      </c>
      <c r="B402" t="str">
        <f t="shared" ca="1" si="156"/>
        <v>营业外支出_债务重组损失</v>
      </c>
      <c r="C402" s="21">
        <f t="shared" ca="1" si="157"/>
        <v>2</v>
      </c>
      <c r="D402" s="19">
        <f t="shared" ca="1" si="158"/>
        <v>0</v>
      </c>
      <c r="E402" s="19">
        <f t="shared" ca="1" si="166"/>
        <v>0</v>
      </c>
      <c r="F402" s="19">
        <f t="shared" ca="1" si="167"/>
        <v>0</v>
      </c>
      <c r="G402" s="19">
        <f t="shared" ca="1" si="168"/>
        <v>0</v>
      </c>
      <c r="H402" s="19">
        <f t="shared" ca="1" si="169"/>
        <v>0</v>
      </c>
      <c r="I402" s="19">
        <f t="shared" ca="1" si="99"/>
        <v>0</v>
      </c>
    </row>
    <row r="403" spans="1:10" customFormat="1">
      <c r="A403">
        <f>会计科目表!A403</f>
        <v>671104</v>
      </c>
      <c r="B403" t="str">
        <f t="shared" ca="1" si="156"/>
        <v>营业外支出_罚款支出</v>
      </c>
      <c r="C403" s="21">
        <f t="shared" ca="1" si="157"/>
        <v>2</v>
      </c>
      <c r="D403" s="19">
        <f t="shared" ca="1" si="158"/>
        <v>0</v>
      </c>
      <c r="E403" s="19">
        <f t="shared" ca="1" si="166"/>
        <v>0</v>
      </c>
      <c r="F403" s="19">
        <f t="shared" ca="1" si="167"/>
        <v>0</v>
      </c>
      <c r="G403" s="19">
        <f t="shared" ca="1" si="168"/>
        <v>0.16</v>
      </c>
      <c r="H403" s="19">
        <f t="shared" ca="1" si="169"/>
        <v>0.16</v>
      </c>
      <c r="I403" s="19">
        <f t="shared" ca="1" si="99"/>
        <v>0</v>
      </c>
    </row>
    <row r="404" spans="1:10" customFormat="1">
      <c r="A404">
        <f>会计科目表!A404</f>
        <v>671105</v>
      </c>
      <c r="B404" t="str">
        <f t="shared" ca="1" si="156"/>
        <v>营业外支出_捐赠支出</v>
      </c>
      <c r="C404" s="21">
        <f t="shared" ca="1" si="157"/>
        <v>2</v>
      </c>
      <c r="D404" s="19">
        <f t="shared" ca="1" si="158"/>
        <v>0</v>
      </c>
      <c r="E404" s="19">
        <f t="shared" ca="1" si="166"/>
        <v>0</v>
      </c>
      <c r="F404" s="19">
        <f t="shared" ca="1" si="167"/>
        <v>0</v>
      </c>
      <c r="G404" s="19">
        <f t="shared" ca="1" si="168"/>
        <v>0</v>
      </c>
      <c r="H404" s="19">
        <f t="shared" ca="1" si="169"/>
        <v>0</v>
      </c>
      <c r="I404" s="19">
        <f t="shared" ca="1" si="99"/>
        <v>0</v>
      </c>
    </row>
    <row r="405" spans="1:10" customFormat="1">
      <c r="A405">
        <f>会计科目表!A405</f>
        <v>671106</v>
      </c>
      <c r="B405" t="str">
        <f t="shared" ca="1" si="156"/>
        <v>营业外支出_非常损失</v>
      </c>
      <c r="C405" s="21">
        <f t="shared" ca="1" si="157"/>
        <v>2</v>
      </c>
      <c r="D405" s="19">
        <f t="shared" ca="1" si="158"/>
        <v>0</v>
      </c>
      <c r="E405" s="19">
        <f t="shared" ca="1" si="166"/>
        <v>0</v>
      </c>
      <c r="F405" s="19">
        <f t="shared" ca="1" si="167"/>
        <v>0</v>
      </c>
      <c r="G405" s="19">
        <f t="shared" ca="1" si="168"/>
        <v>0</v>
      </c>
      <c r="H405" s="19">
        <f t="shared" ca="1" si="169"/>
        <v>0</v>
      </c>
      <c r="I405" s="19">
        <f t="shared" ca="1" si="99"/>
        <v>0</v>
      </c>
    </row>
    <row r="406" spans="1:10" customFormat="1">
      <c r="A406">
        <f>会计科目表!A406</f>
        <v>6801</v>
      </c>
      <c r="B406" t="str">
        <f t="shared" ca="1" si="156"/>
        <v>所得税费用</v>
      </c>
      <c r="C406" s="41">
        <f t="shared" ca="1" si="157"/>
        <v>1</v>
      </c>
      <c r="D406" s="25">
        <f t="shared" ca="1" si="158"/>
        <v>0</v>
      </c>
      <c r="E406" s="25">
        <f ca="1">SUMIF($C407:$C408,"=2",E407:E408)</f>
        <v>0</v>
      </c>
      <c r="F406" s="25">
        <f t="shared" ref="F406:H406" ca="1" si="170">SUMIF($C407:$C408,"=2",F407:F408)</f>
        <v>0</v>
      </c>
      <c r="G406" s="25">
        <f t="shared" ca="1" si="170"/>
        <v>0</v>
      </c>
      <c r="H406" s="25">
        <f t="shared" ca="1" si="170"/>
        <v>0</v>
      </c>
      <c r="I406" s="25">
        <f t="shared" ca="1" si="99"/>
        <v>0</v>
      </c>
    </row>
    <row r="407" spans="1:10" customFormat="1">
      <c r="A407">
        <f>会计科目表!A407</f>
        <v>680101</v>
      </c>
      <c r="B407" t="str">
        <f t="shared" ca="1" si="156"/>
        <v>所得税费用_当期所得税费用</v>
      </c>
      <c r="C407" s="21">
        <f t="shared" ca="1" si="157"/>
        <v>2</v>
      </c>
      <c r="D407" s="19">
        <f t="shared" ca="1" si="158"/>
        <v>0</v>
      </c>
      <c r="E407" s="19">
        <f ca="1">SUMPRODUCT((科目编号=$A407)*(记账月份=$I$1),借方金额)</f>
        <v>0</v>
      </c>
      <c r="F407" s="19">
        <f ca="1">SUMPRODUCT((科目编号=$A407)*(记账月份=$I$1),贷方金额)</f>
        <v>0</v>
      </c>
      <c r="G407" s="19">
        <f ca="1">SUMPRODUCT((科目编号=$A407)*(记账月份&lt;=$I$1),借方金额)</f>
        <v>0</v>
      </c>
      <c r="H407" s="19">
        <f ca="1">SUMPRODUCT((科目编号=$A407)*(记账月份&lt;=$I$1),贷方金额)</f>
        <v>0</v>
      </c>
      <c r="I407" s="19">
        <f t="shared" ca="1" si="99"/>
        <v>0</v>
      </c>
    </row>
    <row r="408" spans="1:10" customFormat="1">
      <c r="A408">
        <f>会计科目表!A408</f>
        <v>680102</v>
      </c>
      <c r="B408" t="str">
        <f t="shared" ca="1" si="156"/>
        <v>所得税费用_递延所得税费用</v>
      </c>
      <c r="C408" s="21">
        <f t="shared" ca="1" si="157"/>
        <v>2</v>
      </c>
      <c r="D408" s="19">
        <f t="shared" ca="1" si="158"/>
        <v>0</v>
      </c>
      <c r="E408" s="19">
        <f ca="1">SUMPRODUCT((科目编号=$A408)*(记账月份=$I$1),借方金额)</f>
        <v>0</v>
      </c>
      <c r="F408" s="19">
        <f ca="1">SUMPRODUCT((科目编号=$A408)*(记账月份=$I$1),贷方金额)</f>
        <v>0</v>
      </c>
      <c r="G408" s="19">
        <f ca="1">SUMPRODUCT((科目编号=$A408)*(记账月份&lt;=$I$1),借方金额)</f>
        <v>0</v>
      </c>
      <c r="H408" s="19">
        <f ca="1">SUMPRODUCT((科目编号=$A408)*(记账月份&lt;=$I$1),贷方金额)</f>
        <v>0</v>
      </c>
      <c r="I408" s="19">
        <f t="shared" ca="1" si="99"/>
        <v>0</v>
      </c>
    </row>
    <row r="409" spans="1:10" customFormat="1">
      <c r="A409">
        <f>会计科目表!A409</f>
        <v>6901</v>
      </c>
      <c r="B409" t="str">
        <f t="shared" ca="1" si="156"/>
        <v>以前年度损益调整</v>
      </c>
      <c r="C409" s="41">
        <f t="shared" ca="1" si="157"/>
        <v>1</v>
      </c>
      <c r="D409" s="25">
        <f t="shared" ca="1" si="158"/>
        <v>0</v>
      </c>
      <c r="E409" s="25">
        <f ca="1">SUMPRODUCT((科目编号=$A409)*(记账月份=$I$1),借方金额)</f>
        <v>0</v>
      </c>
      <c r="F409" s="25">
        <f ca="1">SUMPRODUCT((科目编号=$A409)*(记账月份=$I$1),贷方金额)</f>
        <v>0</v>
      </c>
      <c r="G409" s="25">
        <f ca="1">SUMPRODUCT((科目编号=$A409)*(记账月份=$I$1)*贷方金额)</f>
        <v>0</v>
      </c>
      <c r="H409" s="25">
        <f ca="1">SUMPRODUCT((科目编号=$A409)*(记账月份=$I$1),贷方金额)</f>
        <v>0</v>
      </c>
      <c r="I409" s="25">
        <f t="shared" ca="1" si="99"/>
        <v>0</v>
      </c>
    </row>
    <row r="410" spans="1:10" customFormat="1">
      <c r="A410" s="69"/>
      <c r="B410" s="70" t="s">
        <v>69</v>
      </c>
      <c r="C410" s="70" t="s">
        <v>70</v>
      </c>
      <c r="D410" s="71">
        <f ca="1">SUMIF($C$5:$C$154,"=1",D5:D154)</f>
        <v>15479473.210000001</v>
      </c>
      <c r="E410" s="71">
        <f ca="1">SUMIF($C$5:$C$409,"=1",E5:E409)</f>
        <v>0</v>
      </c>
      <c r="F410" s="71">
        <f ca="1">SUMIF($C$5:$C$409,"=1",F5:F409)</f>
        <v>0</v>
      </c>
      <c r="G410" s="71">
        <f ca="1">SUMIF($C$5:$C$409,"=1",G5:G409)</f>
        <v>16211.56</v>
      </c>
      <c r="H410" s="71">
        <f ca="1">SUMIF($C$5:$C$409,"=1",H5:H409)</f>
        <v>16211.56</v>
      </c>
      <c r="I410" s="71">
        <f ca="1">SUMIF($C$5:$C$156,"=1",I5:I156)</f>
        <v>15474677.949999999</v>
      </c>
      <c r="J410" t="s">
        <v>73</v>
      </c>
    </row>
    <row r="411" spans="1:10" customFormat="1">
      <c r="A411" s="69"/>
      <c r="B411" s="70" t="s">
        <v>69</v>
      </c>
      <c r="C411" s="70" t="s">
        <v>71</v>
      </c>
      <c r="D411" s="71">
        <f ca="1">SUMIF($C$155:$C$407,"=1",D155:D407)</f>
        <v>15479473.210000001</v>
      </c>
      <c r="E411" s="71"/>
      <c r="F411" s="71"/>
      <c r="G411" s="71"/>
      <c r="H411" s="70"/>
      <c r="I411" s="71">
        <f ca="1">SUMIF($C$157:$C$407,"=1",I157:I409)</f>
        <v>15474677.949999999</v>
      </c>
      <c r="J411" t="s">
        <v>74</v>
      </c>
    </row>
    <row r="413" spans="1:10">
      <c r="E413" s="142"/>
    </row>
  </sheetData>
  <sheetProtection formatCells="0"/>
  <autoFilter ref="A4:I4"/>
  <mergeCells count="5">
    <mergeCell ref="A3:A4"/>
    <mergeCell ref="B3:B4"/>
    <mergeCell ref="C3:C4"/>
    <mergeCell ref="D3:D4"/>
    <mergeCell ref="I3:I4"/>
  </mergeCells>
  <phoneticPr fontId="2" type="noConversion"/>
  <conditionalFormatting sqref="A5:I410">
    <cfRule type="expression" dxfId="7" priority="1">
      <formula>$C5=1</formula>
    </cfRule>
  </conditionalFormatting>
  <pageMargins left="0.74803149606299213" right="0.74803149606299213" top="0.98425196850393704" bottom="0.98425196850393704" header="0.51181102362204722" footer="0.51181102362204722"/>
  <pageSetup paperSize="9" scale="9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J94"/>
  <sheetViews>
    <sheetView workbookViewId="0">
      <pane ySplit="4" topLeftCell="A5" activePane="bottomLeft" state="frozen"/>
      <selection pane="bottomLeft" activeCell="H88" sqref="H88"/>
    </sheetView>
  </sheetViews>
  <sheetFormatPr defaultColWidth="9" defaultRowHeight="14.25"/>
  <cols>
    <col min="1" max="1" width="2.125" style="318" customWidth="1"/>
    <col min="2" max="11" width="2.125" style="315" customWidth="1"/>
    <col min="12" max="12" width="7" style="315" customWidth="1"/>
    <col min="13" max="13" width="16.375" style="315" hidden="1" customWidth="1"/>
    <col min="14" max="14" width="8.25" style="315" customWidth="1"/>
    <col min="15" max="15" width="23" style="315" customWidth="1"/>
    <col min="16" max="16" width="16.125" style="315" hidden="1" customWidth="1"/>
    <col min="17" max="19" width="4.375" style="315" customWidth="1"/>
    <col min="20" max="20" width="2.125" style="318" customWidth="1"/>
    <col min="21" max="30" width="2.125" style="315" customWidth="1"/>
    <col min="31" max="31" width="15.375" style="315" customWidth="1"/>
    <col min="32" max="32" width="12.375" style="315" customWidth="1"/>
    <col min="33" max="33" width="5.375" style="315" customWidth="1"/>
    <col min="34" max="34" width="5.125" style="315" customWidth="1"/>
    <col min="35" max="35" width="5.375" style="315" customWidth="1"/>
    <col min="36" max="36" width="4.875" style="315" customWidth="1"/>
    <col min="37" max="16384" width="9" style="315"/>
  </cols>
  <sheetData>
    <row r="1" spans="1:36" ht="25.5" customHeight="1">
      <c r="A1" s="307"/>
      <c r="B1" s="308"/>
      <c r="C1" s="308"/>
      <c r="D1" s="308"/>
      <c r="E1" s="307"/>
      <c r="F1" s="307"/>
      <c r="G1" s="307"/>
      <c r="H1" s="307"/>
      <c r="I1" s="307"/>
      <c r="J1" s="307"/>
      <c r="K1" s="307"/>
      <c r="L1" s="307"/>
      <c r="M1" s="307"/>
      <c r="N1" s="307" t="s">
        <v>853</v>
      </c>
      <c r="O1" s="307"/>
      <c r="P1" s="307"/>
      <c r="Q1" s="307"/>
      <c r="R1" s="309" t="s">
        <v>854</v>
      </c>
      <c r="S1" s="310"/>
      <c r="T1" s="310" t="s">
        <v>855</v>
      </c>
      <c r="U1" s="310" t="s">
        <v>856</v>
      </c>
      <c r="V1" s="310"/>
      <c r="W1" s="310"/>
      <c r="X1" s="310"/>
      <c r="Y1" s="310" t="s">
        <v>857</v>
      </c>
      <c r="Z1" s="310"/>
      <c r="AA1" s="310"/>
      <c r="AB1" s="310"/>
      <c r="AC1" s="310"/>
      <c r="AD1" s="310"/>
      <c r="AE1" s="311" t="s">
        <v>858</v>
      </c>
      <c r="AF1" s="312">
        <v>2013</v>
      </c>
      <c r="AG1" s="313" t="s">
        <v>859</v>
      </c>
      <c r="AH1" s="314">
        <v>1</v>
      </c>
      <c r="AI1" s="313" t="s">
        <v>860</v>
      </c>
    </row>
    <row r="2" spans="1:36" ht="25.5" customHeight="1">
      <c r="A2" s="316"/>
      <c r="B2" s="316"/>
      <c r="C2" s="316"/>
      <c r="D2" s="316"/>
      <c r="E2" s="316"/>
      <c r="F2" s="316"/>
      <c r="G2" s="316"/>
      <c r="H2" s="316"/>
      <c r="I2" s="316"/>
      <c r="J2" s="316"/>
      <c r="K2" s="316"/>
      <c r="L2" s="316"/>
      <c r="M2" s="316"/>
      <c r="N2" s="317" t="str">
        <f>TEXT(DATE($AF1,$AH1+1,0),"e年m月d日")</f>
        <v>2013年1月31日</v>
      </c>
      <c r="O2" s="317"/>
      <c r="P2" s="318"/>
      <c r="Q2" s="318"/>
      <c r="R2" s="309" t="s">
        <v>856</v>
      </c>
      <c r="S2" s="310"/>
      <c r="T2" s="310" t="s">
        <v>861</v>
      </c>
      <c r="U2" s="310" t="s">
        <v>862</v>
      </c>
      <c r="V2" s="310"/>
      <c r="W2" s="310"/>
      <c r="X2" s="310"/>
      <c r="Y2" s="310" t="s">
        <v>861</v>
      </c>
      <c r="Z2" s="310"/>
      <c r="AA2" s="310"/>
      <c r="AB2" s="310"/>
      <c r="AC2" s="310"/>
      <c r="AD2" s="310"/>
      <c r="AE2" s="319" t="str">
        <f>HYPERLINK("#目录!C3","返回")</f>
        <v>返回</v>
      </c>
      <c r="AF2" s="320"/>
      <c r="AG2" s="321"/>
      <c r="AH2" s="321"/>
      <c r="AI2" s="321"/>
    </row>
    <row r="3" spans="1:36" ht="14.25" customHeight="1">
      <c r="A3" s="510" t="s">
        <v>863</v>
      </c>
      <c r="B3" s="511"/>
      <c r="C3" s="511"/>
      <c r="D3" s="511"/>
      <c r="E3" s="511"/>
      <c r="F3" s="511"/>
      <c r="G3" s="511"/>
      <c r="H3" s="511"/>
      <c r="I3" s="511"/>
      <c r="J3" s="511"/>
      <c r="K3" s="512"/>
      <c r="L3" s="322" t="s">
        <v>864</v>
      </c>
      <c r="M3" s="323" t="s">
        <v>865</v>
      </c>
      <c r="N3" s="513" t="s">
        <v>866</v>
      </c>
      <c r="O3" s="514"/>
      <c r="P3" s="323" t="s">
        <v>867</v>
      </c>
      <c r="Q3" s="324" t="s">
        <v>868</v>
      </c>
      <c r="R3" s="325"/>
      <c r="S3" s="326"/>
      <c r="T3" s="517" t="s">
        <v>869</v>
      </c>
      <c r="U3" s="511"/>
      <c r="V3" s="511"/>
      <c r="W3" s="511"/>
      <c r="X3" s="511"/>
      <c r="Y3" s="511"/>
      <c r="Z3" s="511"/>
      <c r="AA3" s="511"/>
      <c r="AB3" s="511"/>
      <c r="AC3" s="511"/>
      <c r="AD3" s="512"/>
      <c r="AE3" s="327" t="s">
        <v>870</v>
      </c>
      <c r="AF3" s="328"/>
      <c r="AG3" s="329"/>
      <c r="AH3" s="329"/>
      <c r="AI3" s="329"/>
      <c r="AJ3" s="329"/>
    </row>
    <row r="4" spans="1:36" ht="14.25" customHeight="1">
      <c r="A4" s="330" t="s">
        <v>871</v>
      </c>
      <c r="B4" s="331" t="s">
        <v>872</v>
      </c>
      <c r="C4" s="332" t="s">
        <v>873</v>
      </c>
      <c r="D4" s="333" t="s">
        <v>874</v>
      </c>
      <c r="E4" s="334" t="s">
        <v>747</v>
      </c>
      <c r="F4" s="335" t="s">
        <v>875</v>
      </c>
      <c r="G4" s="336" t="s">
        <v>745</v>
      </c>
      <c r="H4" s="334" t="s">
        <v>746</v>
      </c>
      <c r="I4" s="335" t="s">
        <v>721</v>
      </c>
      <c r="J4" s="337" t="s">
        <v>876</v>
      </c>
      <c r="K4" s="338" t="s">
        <v>877</v>
      </c>
      <c r="L4" s="322" t="s">
        <v>878</v>
      </c>
      <c r="M4" s="323" t="s">
        <v>879</v>
      </c>
      <c r="N4" s="515"/>
      <c r="O4" s="516"/>
      <c r="P4" s="323" t="s">
        <v>880</v>
      </c>
      <c r="Q4" s="339" t="s">
        <v>881</v>
      </c>
      <c r="R4" s="339" t="s">
        <v>857</v>
      </c>
      <c r="S4" s="339" t="s">
        <v>861</v>
      </c>
      <c r="T4" s="340" t="s">
        <v>871</v>
      </c>
      <c r="U4" s="331" t="s">
        <v>875</v>
      </c>
      <c r="V4" s="332" t="s">
        <v>745</v>
      </c>
      <c r="W4" s="333" t="s">
        <v>746</v>
      </c>
      <c r="X4" s="334" t="s">
        <v>747</v>
      </c>
      <c r="Y4" s="335" t="s">
        <v>875</v>
      </c>
      <c r="Z4" s="336" t="s">
        <v>745</v>
      </c>
      <c r="AA4" s="334" t="s">
        <v>746</v>
      </c>
      <c r="AB4" s="335" t="s">
        <v>721</v>
      </c>
      <c r="AC4" s="337" t="s">
        <v>749</v>
      </c>
      <c r="AD4" s="338" t="s">
        <v>877</v>
      </c>
      <c r="AE4" s="327" t="s">
        <v>882</v>
      </c>
      <c r="AG4" s="341"/>
      <c r="AH4" s="320"/>
      <c r="AI4" s="320"/>
      <c r="AJ4" s="320"/>
    </row>
    <row r="5" spans="1:36">
      <c r="A5" s="342" t="str">
        <f ca="1">LEFT(RIGHT(TEXT($M5/1%," ￥0; ￥-0;"),12-COLUMN()))</f>
        <v/>
      </c>
      <c r="B5" s="343" t="str">
        <f t="shared" ref="B5:K20" ca="1" si="0">LEFT(RIGHT(TEXT($M5/1%," ￥0; ￥-0;"),12-COLUMN()))</f>
        <v/>
      </c>
      <c r="C5" s="344" t="str">
        <f t="shared" ca="1" si="0"/>
        <v/>
      </c>
      <c r="D5" s="345" t="str">
        <f t="shared" ca="1" si="0"/>
        <v/>
      </c>
      <c r="E5" s="346" t="str">
        <f t="shared" ca="1" si="0"/>
        <v/>
      </c>
      <c r="F5" s="347" t="str">
        <f t="shared" ca="1" si="0"/>
        <v/>
      </c>
      <c r="G5" s="348" t="str">
        <f t="shared" ca="1" si="0"/>
        <v/>
      </c>
      <c r="H5" s="346" t="str">
        <f t="shared" ca="1" si="0"/>
        <v/>
      </c>
      <c r="I5" s="347" t="str">
        <f t="shared" ca="1" si="0"/>
        <v/>
      </c>
      <c r="J5" s="348" t="str">
        <f t="shared" ca="1" si="0"/>
        <v/>
      </c>
      <c r="K5" s="349" t="str">
        <f t="shared" ca="1" si="0"/>
        <v/>
      </c>
      <c r="L5" s="350"/>
      <c r="M5" s="351">
        <f t="shared" ref="M5:M36" ca="1" si="1">SUMIFS(借方金额,记账月份,$AH$1,账户名称,$O5&amp;"*")</f>
        <v>0</v>
      </c>
      <c r="N5" s="352">
        <v>1001</v>
      </c>
      <c r="O5" s="353" t="str">
        <f t="shared" ref="O5:O36" ca="1" si="2">INDEX(账户查询,MATCH($N5,科目代码,))</f>
        <v>库存现金</v>
      </c>
      <c r="P5" s="351">
        <f t="shared" ref="P5:P36" ca="1" si="3">SUMIFS(贷方金额,记账月份,$AH$1,账户名称,$O5&amp;"*")</f>
        <v>4000</v>
      </c>
      <c r="Q5" s="354"/>
      <c r="R5" s="354"/>
      <c r="S5" s="354"/>
      <c r="T5" s="355" t="str">
        <f ca="1">LEFT(RIGHT(TEXT($P5/1%," ￥0; ￥-0;"),31-COLUMN()))</f>
        <v xml:space="preserve"> </v>
      </c>
      <c r="U5" s="346" t="str">
        <f t="shared" ref="U5:AD20" ca="1" si="4">LEFT(RIGHT(TEXT($P5/1%," ￥0; ￥-0;"),31-COLUMN()))</f>
        <v xml:space="preserve"> </v>
      </c>
      <c r="V5" s="356" t="str">
        <f t="shared" ca="1" si="4"/>
        <v xml:space="preserve"> </v>
      </c>
      <c r="W5" s="345" t="str">
        <f t="shared" ca="1" si="4"/>
        <v xml:space="preserve"> </v>
      </c>
      <c r="X5" s="346" t="str">
        <f t="shared" ca="1" si="4"/>
        <v>￥</v>
      </c>
      <c r="Y5" s="347" t="str">
        <f t="shared" ca="1" si="4"/>
        <v>4</v>
      </c>
      <c r="Z5" s="348" t="str">
        <f t="shared" ca="1" si="4"/>
        <v>0</v>
      </c>
      <c r="AA5" s="346" t="str">
        <f t="shared" ca="1" si="4"/>
        <v>0</v>
      </c>
      <c r="AB5" s="347" t="str">
        <f t="shared" ca="1" si="4"/>
        <v>0</v>
      </c>
      <c r="AC5" s="348" t="str">
        <f t="shared" ca="1" si="4"/>
        <v>0</v>
      </c>
      <c r="AD5" s="349" t="str">
        <f t="shared" ca="1" si="4"/>
        <v>0</v>
      </c>
      <c r="AE5" s="357" t="str">
        <f ca="1">IF(AND(M5=0,P5=0),"","是")</f>
        <v>是</v>
      </c>
    </row>
    <row r="6" spans="1:36">
      <c r="A6" s="358" t="str">
        <f ca="1">LEFT(RIGHT(TEXT($M6/1%," ￥0; ￥-0;"),12-COLUMN()))</f>
        <v xml:space="preserve"> </v>
      </c>
      <c r="B6" s="346" t="str">
        <f t="shared" ca="1" si="0"/>
        <v xml:space="preserve"> </v>
      </c>
      <c r="C6" s="356" t="str">
        <f t="shared" ca="1" si="0"/>
        <v xml:space="preserve"> </v>
      </c>
      <c r="D6" s="345" t="str">
        <f t="shared" ca="1" si="0"/>
        <v xml:space="preserve"> </v>
      </c>
      <c r="E6" s="346" t="str">
        <f t="shared" ca="1" si="0"/>
        <v>￥</v>
      </c>
      <c r="F6" s="347" t="str">
        <f t="shared" ca="1" si="0"/>
        <v>4</v>
      </c>
      <c r="G6" s="348" t="str">
        <f t="shared" ca="1" si="0"/>
        <v>0</v>
      </c>
      <c r="H6" s="346" t="str">
        <f t="shared" ca="1" si="0"/>
        <v>0</v>
      </c>
      <c r="I6" s="347" t="str">
        <f t="shared" ca="1" si="0"/>
        <v>0</v>
      </c>
      <c r="J6" s="348" t="str">
        <f t="shared" ca="1" si="0"/>
        <v>0</v>
      </c>
      <c r="K6" s="349" t="str">
        <f t="shared" ca="1" si="0"/>
        <v>0</v>
      </c>
      <c r="L6" s="350"/>
      <c r="M6" s="351">
        <f t="shared" ca="1" si="1"/>
        <v>4000</v>
      </c>
      <c r="N6" s="352">
        <v>1002</v>
      </c>
      <c r="O6" s="353" t="str">
        <f t="shared" ca="1" si="2"/>
        <v>银行存款</v>
      </c>
      <c r="P6" s="351">
        <f t="shared" ca="1" si="3"/>
        <v>5019.3</v>
      </c>
      <c r="Q6" s="354"/>
      <c r="R6" s="354"/>
      <c r="S6" s="354"/>
      <c r="T6" s="355" t="str">
        <f t="shared" ref="T6:AD37" ca="1" si="5">LEFT(RIGHT(TEXT($P6/1%," ￥0; ￥-0;"),31-COLUMN()))</f>
        <v xml:space="preserve"> </v>
      </c>
      <c r="U6" s="346" t="str">
        <f t="shared" ca="1" si="4"/>
        <v xml:space="preserve"> </v>
      </c>
      <c r="V6" s="356" t="str">
        <f t="shared" ca="1" si="4"/>
        <v xml:space="preserve"> </v>
      </c>
      <c r="W6" s="345" t="str">
        <f t="shared" ca="1" si="4"/>
        <v xml:space="preserve"> </v>
      </c>
      <c r="X6" s="346" t="str">
        <f t="shared" ca="1" si="4"/>
        <v>￥</v>
      </c>
      <c r="Y6" s="347" t="str">
        <f t="shared" ca="1" si="4"/>
        <v>5</v>
      </c>
      <c r="Z6" s="348" t="str">
        <f t="shared" ca="1" si="4"/>
        <v>0</v>
      </c>
      <c r="AA6" s="346" t="str">
        <f t="shared" ca="1" si="4"/>
        <v>1</v>
      </c>
      <c r="AB6" s="347" t="str">
        <f t="shared" ca="1" si="4"/>
        <v>9</v>
      </c>
      <c r="AC6" s="348" t="str">
        <f t="shared" ca="1" si="4"/>
        <v>3</v>
      </c>
      <c r="AD6" s="349" t="str">
        <f t="shared" ca="1" si="4"/>
        <v>0</v>
      </c>
      <c r="AE6" s="357" t="str">
        <f t="shared" ref="AE6:AE69" ca="1" si="6">IF(AND(M6=0,P6=0),"","是")</f>
        <v>是</v>
      </c>
    </row>
    <row r="7" spans="1:36" hidden="1">
      <c r="A7" s="358" t="str">
        <f t="shared" ref="A7:K38" ca="1" si="7">LEFT(RIGHT(TEXT($M7/1%," ￥0; ￥-0;"),12-COLUMN()))</f>
        <v/>
      </c>
      <c r="B7" s="346" t="str">
        <f t="shared" ca="1" si="0"/>
        <v/>
      </c>
      <c r="C7" s="356" t="str">
        <f t="shared" ca="1" si="0"/>
        <v/>
      </c>
      <c r="D7" s="345" t="str">
        <f t="shared" ca="1" si="0"/>
        <v/>
      </c>
      <c r="E7" s="346" t="str">
        <f t="shared" ca="1" si="0"/>
        <v/>
      </c>
      <c r="F7" s="347" t="str">
        <f t="shared" ca="1" si="0"/>
        <v/>
      </c>
      <c r="G7" s="348" t="str">
        <f t="shared" ca="1" si="0"/>
        <v/>
      </c>
      <c r="H7" s="346" t="str">
        <f t="shared" ca="1" si="0"/>
        <v/>
      </c>
      <c r="I7" s="347" t="str">
        <f t="shared" ca="1" si="0"/>
        <v/>
      </c>
      <c r="J7" s="348" t="str">
        <f t="shared" ca="1" si="0"/>
        <v/>
      </c>
      <c r="K7" s="349" t="str">
        <f t="shared" ca="1" si="0"/>
        <v/>
      </c>
      <c r="L7" s="350"/>
      <c r="M7" s="351">
        <f t="shared" ca="1" si="1"/>
        <v>0</v>
      </c>
      <c r="N7" s="352">
        <v>1012</v>
      </c>
      <c r="O7" s="353" t="str">
        <f t="shared" ca="1" si="2"/>
        <v>其他货币资金</v>
      </c>
      <c r="P7" s="351">
        <f t="shared" ca="1" si="3"/>
        <v>0</v>
      </c>
      <c r="Q7" s="354"/>
      <c r="R7" s="354"/>
      <c r="S7" s="354"/>
      <c r="T7" s="355" t="str">
        <f t="shared" ca="1" si="5"/>
        <v/>
      </c>
      <c r="U7" s="346" t="str">
        <f t="shared" ca="1" si="4"/>
        <v/>
      </c>
      <c r="V7" s="356" t="str">
        <f t="shared" ca="1" si="4"/>
        <v/>
      </c>
      <c r="W7" s="345" t="str">
        <f t="shared" ca="1" si="4"/>
        <v/>
      </c>
      <c r="X7" s="346" t="str">
        <f t="shared" ca="1" si="4"/>
        <v/>
      </c>
      <c r="Y7" s="347" t="str">
        <f t="shared" ca="1" si="4"/>
        <v/>
      </c>
      <c r="Z7" s="348" t="str">
        <f t="shared" ca="1" si="4"/>
        <v/>
      </c>
      <c r="AA7" s="346" t="str">
        <f t="shared" ca="1" si="4"/>
        <v/>
      </c>
      <c r="AB7" s="347" t="str">
        <f t="shared" ca="1" si="4"/>
        <v/>
      </c>
      <c r="AC7" s="348" t="str">
        <f t="shared" ca="1" si="4"/>
        <v/>
      </c>
      <c r="AD7" s="349" t="str">
        <f t="shared" ca="1" si="4"/>
        <v/>
      </c>
      <c r="AE7" s="357" t="str">
        <f t="shared" ca="1" si="6"/>
        <v/>
      </c>
    </row>
    <row r="8" spans="1:36" hidden="1">
      <c r="A8" s="358" t="str">
        <f t="shared" ca="1" si="7"/>
        <v/>
      </c>
      <c r="B8" s="346" t="str">
        <f t="shared" ca="1" si="0"/>
        <v/>
      </c>
      <c r="C8" s="356" t="str">
        <f t="shared" ca="1" si="0"/>
        <v/>
      </c>
      <c r="D8" s="345" t="str">
        <f t="shared" ca="1" si="0"/>
        <v/>
      </c>
      <c r="E8" s="346" t="str">
        <f t="shared" ca="1" si="0"/>
        <v/>
      </c>
      <c r="F8" s="347" t="str">
        <f t="shared" ca="1" si="0"/>
        <v/>
      </c>
      <c r="G8" s="348" t="str">
        <f t="shared" ca="1" si="0"/>
        <v/>
      </c>
      <c r="H8" s="346" t="str">
        <f t="shared" ca="1" si="0"/>
        <v/>
      </c>
      <c r="I8" s="347" t="str">
        <f t="shared" ca="1" si="0"/>
        <v/>
      </c>
      <c r="J8" s="348" t="str">
        <f t="shared" ca="1" si="0"/>
        <v/>
      </c>
      <c r="K8" s="349" t="str">
        <f t="shared" ca="1" si="0"/>
        <v/>
      </c>
      <c r="L8" s="350"/>
      <c r="M8" s="351">
        <f t="shared" ca="1" si="1"/>
        <v>0</v>
      </c>
      <c r="N8" s="352">
        <v>1101</v>
      </c>
      <c r="O8" s="353" t="str">
        <f t="shared" ca="1" si="2"/>
        <v>交易性金融资产</v>
      </c>
      <c r="P8" s="351">
        <f t="shared" ca="1" si="3"/>
        <v>0</v>
      </c>
      <c r="Q8" s="354"/>
      <c r="R8" s="354"/>
      <c r="S8" s="354"/>
      <c r="T8" s="355" t="str">
        <f t="shared" ca="1" si="5"/>
        <v/>
      </c>
      <c r="U8" s="346" t="str">
        <f t="shared" ca="1" si="4"/>
        <v/>
      </c>
      <c r="V8" s="356" t="str">
        <f t="shared" ca="1" si="4"/>
        <v/>
      </c>
      <c r="W8" s="345" t="str">
        <f t="shared" ca="1" si="4"/>
        <v/>
      </c>
      <c r="X8" s="346" t="str">
        <f t="shared" ca="1" si="4"/>
        <v/>
      </c>
      <c r="Y8" s="347" t="str">
        <f t="shared" ca="1" si="4"/>
        <v/>
      </c>
      <c r="Z8" s="348" t="str">
        <f t="shared" ca="1" si="4"/>
        <v/>
      </c>
      <c r="AA8" s="346" t="str">
        <f t="shared" ca="1" si="4"/>
        <v/>
      </c>
      <c r="AB8" s="347" t="str">
        <f t="shared" ca="1" si="4"/>
        <v/>
      </c>
      <c r="AC8" s="348" t="str">
        <f t="shared" ca="1" si="4"/>
        <v/>
      </c>
      <c r="AD8" s="349" t="str">
        <f t="shared" ca="1" si="4"/>
        <v/>
      </c>
      <c r="AE8" s="357" t="str">
        <f t="shared" ca="1" si="6"/>
        <v/>
      </c>
    </row>
    <row r="9" spans="1:36" hidden="1">
      <c r="A9" s="358" t="str">
        <f t="shared" ca="1" si="7"/>
        <v/>
      </c>
      <c r="B9" s="346" t="str">
        <f t="shared" ca="1" si="0"/>
        <v/>
      </c>
      <c r="C9" s="356" t="str">
        <f t="shared" ca="1" si="0"/>
        <v/>
      </c>
      <c r="D9" s="345" t="str">
        <f t="shared" ca="1" si="0"/>
        <v/>
      </c>
      <c r="E9" s="346" t="str">
        <f t="shared" ca="1" si="0"/>
        <v/>
      </c>
      <c r="F9" s="347" t="str">
        <f t="shared" ca="1" si="0"/>
        <v/>
      </c>
      <c r="G9" s="348" t="str">
        <f t="shared" ca="1" si="0"/>
        <v/>
      </c>
      <c r="H9" s="346" t="str">
        <f t="shared" ca="1" si="0"/>
        <v/>
      </c>
      <c r="I9" s="347" t="str">
        <f t="shared" ca="1" si="0"/>
        <v/>
      </c>
      <c r="J9" s="348" t="str">
        <f t="shared" ca="1" si="0"/>
        <v/>
      </c>
      <c r="K9" s="349" t="str">
        <f t="shared" ca="1" si="0"/>
        <v/>
      </c>
      <c r="L9" s="350"/>
      <c r="M9" s="351">
        <f t="shared" ca="1" si="1"/>
        <v>0</v>
      </c>
      <c r="N9" s="352">
        <v>1121</v>
      </c>
      <c r="O9" s="353" t="str">
        <f t="shared" ca="1" si="2"/>
        <v>应收票据</v>
      </c>
      <c r="P9" s="351">
        <f t="shared" ca="1" si="3"/>
        <v>0</v>
      </c>
      <c r="Q9" s="354"/>
      <c r="R9" s="354"/>
      <c r="S9" s="354"/>
      <c r="T9" s="355" t="str">
        <f t="shared" ca="1" si="5"/>
        <v/>
      </c>
      <c r="U9" s="346" t="str">
        <f t="shared" ca="1" si="4"/>
        <v/>
      </c>
      <c r="V9" s="356" t="str">
        <f t="shared" ca="1" si="4"/>
        <v/>
      </c>
      <c r="W9" s="345" t="str">
        <f t="shared" ca="1" si="4"/>
        <v/>
      </c>
      <c r="X9" s="346" t="str">
        <f t="shared" ca="1" si="4"/>
        <v/>
      </c>
      <c r="Y9" s="347" t="str">
        <f t="shared" ca="1" si="4"/>
        <v/>
      </c>
      <c r="Z9" s="348" t="str">
        <f t="shared" ca="1" si="4"/>
        <v/>
      </c>
      <c r="AA9" s="346" t="str">
        <f t="shared" ca="1" si="4"/>
        <v/>
      </c>
      <c r="AB9" s="347" t="str">
        <f t="shared" ca="1" si="4"/>
        <v/>
      </c>
      <c r="AC9" s="348" t="str">
        <f t="shared" ca="1" si="4"/>
        <v/>
      </c>
      <c r="AD9" s="349" t="str">
        <f t="shared" ca="1" si="4"/>
        <v/>
      </c>
      <c r="AE9" s="357" t="str">
        <f t="shared" ca="1" si="6"/>
        <v/>
      </c>
    </row>
    <row r="10" spans="1:36" hidden="1">
      <c r="A10" s="358" t="str">
        <f t="shared" ca="1" si="7"/>
        <v/>
      </c>
      <c r="B10" s="346" t="str">
        <f t="shared" ca="1" si="0"/>
        <v/>
      </c>
      <c r="C10" s="356" t="str">
        <f t="shared" ca="1" si="0"/>
        <v/>
      </c>
      <c r="D10" s="345" t="str">
        <f t="shared" ca="1" si="0"/>
        <v/>
      </c>
      <c r="E10" s="346" t="str">
        <f t="shared" ca="1" si="0"/>
        <v/>
      </c>
      <c r="F10" s="347" t="str">
        <f t="shared" ca="1" si="0"/>
        <v/>
      </c>
      <c r="G10" s="348" t="str">
        <f t="shared" ca="1" si="0"/>
        <v/>
      </c>
      <c r="H10" s="346" t="str">
        <f t="shared" ca="1" si="0"/>
        <v/>
      </c>
      <c r="I10" s="347" t="str">
        <f t="shared" ca="1" si="0"/>
        <v/>
      </c>
      <c r="J10" s="348" t="str">
        <f t="shared" ca="1" si="0"/>
        <v/>
      </c>
      <c r="K10" s="349" t="str">
        <f t="shared" ca="1" si="0"/>
        <v/>
      </c>
      <c r="L10" s="350"/>
      <c r="M10" s="351">
        <f t="shared" ca="1" si="1"/>
        <v>0</v>
      </c>
      <c r="N10" s="352">
        <v>1122</v>
      </c>
      <c r="O10" s="353" t="str">
        <f t="shared" ca="1" si="2"/>
        <v>应收账款</v>
      </c>
      <c r="P10" s="351">
        <f t="shared" ca="1" si="3"/>
        <v>0</v>
      </c>
      <c r="Q10" s="354"/>
      <c r="R10" s="354"/>
      <c r="S10" s="354"/>
      <c r="T10" s="355" t="str">
        <f t="shared" ca="1" si="5"/>
        <v/>
      </c>
      <c r="U10" s="346" t="str">
        <f t="shared" ca="1" si="4"/>
        <v/>
      </c>
      <c r="V10" s="356" t="str">
        <f t="shared" ca="1" si="4"/>
        <v/>
      </c>
      <c r="W10" s="345" t="str">
        <f t="shared" ca="1" si="4"/>
        <v/>
      </c>
      <c r="X10" s="346" t="str">
        <f t="shared" ca="1" si="4"/>
        <v/>
      </c>
      <c r="Y10" s="347" t="str">
        <f t="shared" ca="1" si="4"/>
        <v/>
      </c>
      <c r="Z10" s="348" t="str">
        <f t="shared" ca="1" si="4"/>
        <v/>
      </c>
      <c r="AA10" s="346" t="str">
        <f t="shared" ca="1" si="4"/>
        <v/>
      </c>
      <c r="AB10" s="347" t="str">
        <f t="shared" ca="1" si="4"/>
        <v/>
      </c>
      <c r="AC10" s="348" t="str">
        <f t="shared" ca="1" si="4"/>
        <v/>
      </c>
      <c r="AD10" s="349" t="str">
        <f t="shared" ca="1" si="4"/>
        <v/>
      </c>
      <c r="AE10" s="357" t="str">
        <f t="shared" ca="1" si="6"/>
        <v/>
      </c>
    </row>
    <row r="11" spans="1:36" hidden="1">
      <c r="A11" s="358" t="str">
        <f t="shared" ca="1" si="7"/>
        <v/>
      </c>
      <c r="B11" s="346" t="str">
        <f t="shared" ca="1" si="0"/>
        <v/>
      </c>
      <c r="C11" s="356" t="str">
        <f t="shared" ca="1" si="0"/>
        <v/>
      </c>
      <c r="D11" s="345" t="str">
        <f t="shared" ca="1" si="0"/>
        <v/>
      </c>
      <c r="E11" s="346" t="str">
        <f t="shared" ca="1" si="0"/>
        <v/>
      </c>
      <c r="F11" s="347" t="str">
        <f t="shared" ca="1" si="0"/>
        <v/>
      </c>
      <c r="G11" s="348" t="str">
        <f t="shared" ca="1" si="0"/>
        <v/>
      </c>
      <c r="H11" s="346" t="str">
        <f t="shared" ca="1" si="0"/>
        <v/>
      </c>
      <c r="I11" s="347" t="str">
        <f t="shared" ca="1" si="0"/>
        <v/>
      </c>
      <c r="J11" s="348" t="str">
        <f t="shared" ca="1" si="0"/>
        <v/>
      </c>
      <c r="K11" s="349" t="str">
        <f t="shared" ca="1" si="0"/>
        <v/>
      </c>
      <c r="L11" s="350"/>
      <c r="M11" s="351">
        <f t="shared" ca="1" si="1"/>
        <v>0</v>
      </c>
      <c r="N11" s="352">
        <v>1123</v>
      </c>
      <c r="O11" s="353" t="str">
        <f t="shared" ca="1" si="2"/>
        <v>预付账款</v>
      </c>
      <c r="P11" s="351">
        <f t="shared" ca="1" si="3"/>
        <v>0</v>
      </c>
      <c r="Q11" s="354"/>
      <c r="R11" s="354"/>
      <c r="S11" s="354"/>
      <c r="T11" s="355" t="str">
        <f t="shared" ca="1" si="5"/>
        <v/>
      </c>
      <c r="U11" s="346" t="str">
        <f t="shared" ca="1" si="4"/>
        <v/>
      </c>
      <c r="V11" s="356" t="str">
        <f t="shared" ca="1" si="4"/>
        <v/>
      </c>
      <c r="W11" s="345" t="str">
        <f t="shared" ca="1" si="4"/>
        <v/>
      </c>
      <c r="X11" s="346" t="str">
        <f t="shared" ca="1" si="4"/>
        <v/>
      </c>
      <c r="Y11" s="347" t="str">
        <f t="shared" ca="1" si="4"/>
        <v/>
      </c>
      <c r="Z11" s="348" t="str">
        <f t="shared" ca="1" si="4"/>
        <v/>
      </c>
      <c r="AA11" s="346" t="str">
        <f t="shared" ca="1" si="4"/>
        <v/>
      </c>
      <c r="AB11" s="347" t="str">
        <f t="shared" ca="1" si="4"/>
        <v/>
      </c>
      <c r="AC11" s="348" t="str">
        <f t="shared" ca="1" si="4"/>
        <v/>
      </c>
      <c r="AD11" s="349" t="str">
        <f t="shared" ca="1" si="4"/>
        <v/>
      </c>
      <c r="AE11" s="357" t="str">
        <f t="shared" ca="1" si="6"/>
        <v/>
      </c>
    </row>
    <row r="12" spans="1:36" hidden="1">
      <c r="A12" s="358" t="str">
        <f t="shared" ca="1" si="7"/>
        <v/>
      </c>
      <c r="B12" s="346" t="str">
        <f t="shared" ca="1" si="0"/>
        <v/>
      </c>
      <c r="C12" s="356" t="str">
        <f t="shared" ca="1" si="0"/>
        <v/>
      </c>
      <c r="D12" s="345" t="str">
        <f t="shared" ca="1" si="0"/>
        <v/>
      </c>
      <c r="E12" s="346" t="str">
        <f t="shared" ca="1" si="0"/>
        <v/>
      </c>
      <c r="F12" s="347" t="str">
        <f t="shared" ca="1" si="0"/>
        <v/>
      </c>
      <c r="G12" s="348" t="str">
        <f t="shared" ca="1" si="0"/>
        <v/>
      </c>
      <c r="H12" s="346" t="str">
        <f t="shared" ca="1" si="0"/>
        <v/>
      </c>
      <c r="I12" s="347" t="str">
        <f t="shared" ca="1" si="0"/>
        <v/>
      </c>
      <c r="J12" s="348" t="str">
        <f t="shared" ca="1" si="0"/>
        <v/>
      </c>
      <c r="K12" s="349" t="str">
        <f t="shared" ca="1" si="0"/>
        <v/>
      </c>
      <c r="L12" s="350"/>
      <c r="M12" s="351">
        <f t="shared" ca="1" si="1"/>
        <v>0</v>
      </c>
      <c r="N12" s="352">
        <v>1131</v>
      </c>
      <c r="O12" s="353" t="str">
        <f t="shared" ca="1" si="2"/>
        <v>应收股利</v>
      </c>
      <c r="P12" s="351">
        <f t="shared" ca="1" si="3"/>
        <v>0</v>
      </c>
      <c r="Q12" s="354"/>
      <c r="R12" s="354"/>
      <c r="S12" s="354"/>
      <c r="T12" s="355" t="str">
        <f t="shared" ca="1" si="5"/>
        <v/>
      </c>
      <c r="U12" s="346" t="str">
        <f t="shared" ca="1" si="4"/>
        <v/>
      </c>
      <c r="V12" s="356" t="str">
        <f t="shared" ca="1" si="4"/>
        <v/>
      </c>
      <c r="W12" s="345" t="str">
        <f t="shared" ca="1" si="4"/>
        <v/>
      </c>
      <c r="X12" s="346" t="str">
        <f t="shared" ca="1" si="4"/>
        <v/>
      </c>
      <c r="Y12" s="347" t="str">
        <f t="shared" ca="1" si="4"/>
        <v/>
      </c>
      <c r="Z12" s="348" t="str">
        <f t="shared" ca="1" si="4"/>
        <v/>
      </c>
      <c r="AA12" s="346" t="str">
        <f t="shared" ca="1" si="4"/>
        <v/>
      </c>
      <c r="AB12" s="347" t="str">
        <f t="shared" ca="1" si="4"/>
        <v/>
      </c>
      <c r="AC12" s="348" t="str">
        <f t="shared" ca="1" si="4"/>
        <v/>
      </c>
      <c r="AD12" s="349" t="str">
        <f t="shared" ca="1" si="4"/>
        <v/>
      </c>
      <c r="AE12" s="357" t="str">
        <f t="shared" ca="1" si="6"/>
        <v/>
      </c>
    </row>
    <row r="13" spans="1:36" hidden="1">
      <c r="A13" s="358" t="str">
        <f t="shared" ca="1" si="7"/>
        <v/>
      </c>
      <c r="B13" s="346" t="str">
        <f t="shared" ca="1" si="0"/>
        <v/>
      </c>
      <c r="C13" s="356" t="str">
        <f t="shared" ca="1" si="0"/>
        <v/>
      </c>
      <c r="D13" s="345" t="str">
        <f t="shared" ca="1" si="0"/>
        <v/>
      </c>
      <c r="E13" s="346" t="str">
        <f t="shared" ca="1" si="0"/>
        <v/>
      </c>
      <c r="F13" s="347" t="str">
        <f t="shared" ca="1" si="0"/>
        <v/>
      </c>
      <c r="G13" s="348" t="str">
        <f t="shared" ca="1" si="0"/>
        <v/>
      </c>
      <c r="H13" s="346" t="str">
        <f t="shared" ca="1" si="0"/>
        <v/>
      </c>
      <c r="I13" s="347" t="str">
        <f t="shared" ca="1" si="0"/>
        <v/>
      </c>
      <c r="J13" s="348" t="str">
        <f t="shared" ca="1" si="0"/>
        <v/>
      </c>
      <c r="K13" s="349" t="str">
        <f t="shared" ca="1" si="0"/>
        <v/>
      </c>
      <c r="L13" s="350"/>
      <c r="M13" s="351">
        <f t="shared" ca="1" si="1"/>
        <v>0</v>
      </c>
      <c r="N13" s="352">
        <v>1132</v>
      </c>
      <c r="O13" s="353" t="str">
        <f t="shared" ca="1" si="2"/>
        <v>应收利息</v>
      </c>
      <c r="P13" s="351">
        <f t="shared" ca="1" si="3"/>
        <v>0</v>
      </c>
      <c r="Q13" s="354"/>
      <c r="R13" s="354"/>
      <c r="S13" s="354"/>
      <c r="T13" s="355" t="str">
        <f t="shared" ca="1" si="5"/>
        <v/>
      </c>
      <c r="U13" s="346" t="str">
        <f t="shared" ca="1" si="4"/>
        <v/>
      </c>
      <c r="V13" s="356" t="str">
        <f t="shared" ca="1" si="4"/>
        <v/>
      </c>
      <c r="W13" s="345" t="str">
        <f t="shared" ca="1" si="4"/>
        <v/>
      </c>
      <c r="X13" s="346" t="str">
        <f t="shared" ca="1" si="4"/>
        <v/>
      </c>
      <c r="Y13" s="347" t="str">
        <f t="shared" ca="1" si="4"/>
        <v/>
      </c>
      <c r="Z13" s="348" t="str">
        <f t="shared" ca="1" si="4"/>
        <v/>
      </c>
      <c r="AA13" s="346" t="str">
        <f t="shared" ca="1" si="4"/>
        <v/>
      </c>
      <c r="AB13" s="347" t="str">
        <f t="shared" ca="1" si="4"/>
        <v/>
      </c>
      <c r="AC13" s="348" t="str">
        <f t="shared" ca="1" si="4"/>
        <v/>
      </c>
      <c r="AD13" s="349" t="str">
        <f t="shared" ca="1" si="4"/>
        <v/>
      </c>
      <c r="AE13" s="357" t="str">
        <f t="shared" ca="1" si="6"/>
        <v/>
      </c>
    </row>
    <row r="14" spans="1:36">
      <c r="A14" s="358" t="str">
        <f t="shared" ca="1" si="7"/>
        <v xml:space="preserve"> </v>
      </c>
      <c r="B14" s="346" t="str">
        <f t="shared" ca="1" si="0"/>
        <v xml:space="preserve"> </v>
      </c>
      <c r="C14" s="356" t="str">
        <f t="shared" ca="1" si="0"/>
        <v xml:space="preserve"> </v>
      </c>
      <c r="D14" s="345" t="str">
        <f t="shared" ca="1" si="0"/>
        <v xml:space="preserve"> </v>
      </c>
      <c r="E14" s="346" t="str">
        <f t="shared" ca="1" si="0"/>
        <v>￥</v>
      </c>
      <c r="F14" s="347" t="str">
        <f t="shared" ca="1" si="0"/>
        <v>1</v>
      </c>
      <c r="G14" s="348" t="str">
        <f t="shared" ca="1" si="0"/>
        <v>3</v>
      </c>
      <c r="H14" s="346" t="str">
        <f t="shared" ca="1" si="0"/>
        <v>7</v>
      </c>
      <c r="I14" s="347" t="str">
        <f t="shared" ca="1" si="0"/>
        <v>9</v>
      </c>
      <c r="J14" s="348" t="str">
        <f t="shared" ca="1" si="0"/>
        <v>9</v>
      </c>
      <c r="K14" s="349" t="str">
        <f t="shared" ca="1" si="0"/>
        <v>8</v>
      </c>
      <c r="L14" s="350"/>
      <c r="M14" s="351">
        <f t="shared" ca="1" si="1"/>
        <v>1379.98</v>
      </c>
      <c r="N14" s="352">
        <v>1221</v>
      </c>
      <c r="O14" s="353" t="str">
        <f t="shared" ca="1" si="2"/>
        <v>其他应收款</v>
      </c>
      <c r="P14" s="351">
        <f t="shared" ca="1" si="3"/>
        <v>0</v>
      </c>
      <c r="Q14" s="354"/>
      <c r="R14" s="354"/>
      <c r="S14" s="354"/>
      <c r="T14" s="355" t="str">
        <f t="shared" ca="1" si="5"/>
        <v/>
      </c>
      <c r="U14" s="346" t="str">
        <f t="shared" ca="1" si="4"/>
        <v/>
      </c>
      <c r="V14" s="356" t="str">
        <f t="shared" ca="1" si="4"/>
        <v/>
      </c>
      <c r="W14" s="345" t="str">
        <f t="shared" ca="1" si="4"/>
        <v/>
      </c>
      <c r="X14" s="346" t="str">
        <f t="shared" ca="1" si="4"/>
        <v/>
      </c>
      <c r="Y14" s="347" t="str">
        <f t="shared" ca="1" si="4"/>
        <v/>
      </c>
      <c r="Z14" s="348" t="str">
        <f t="shared" ca="1" si="4"/>
        <v/>
      </c>
      <c r="AA14" s="346" t="str">
        <f t="shared" ca="1" si="4"/>
        <v/>
      </c>
      <c r="AB14" s="347" t="str">
        <f t="shared" ca="1" si="4"/>
        <v/>
      </c>
      <c r="AC14" s="348" t="str">
        <f t="shared" ca="1" si="4"/>
        <v/>
      </c>
      <c r="AD14" s="349" t="str">
        <f t="shared" ca="1" si="4"/>
        <v/>
      </c>
      <c r="AE14" s="357" t="str">
        <f t="shared" ca="1" si="6"/>
        <v>是</v>
      </c>
    </row>
    <row r="15" spans="1:36" hidden="1">
      <c r="A15" s="358" t="str">
        <f t="shared" ca="1" si="7"/>
        <v/>
      </c>
      <c r="B15" s="346" t="str">
        <f t="shared" ca="1" si="0"/>
        <v/>
      </c>
      <c r="C15" s="356" t="str">
        <f t="shared" ca="1" si="0"/>
        <v/>
      </c>
      <c r="D15" s="345" t="str">
        <f t="shared" ca="1" si="0"/>
        <v/>
      </c>
      <c r="E15" s="346" t="str">
        <f t="shared" ca="1" si="0"/>
        <v/>
      </c>
      <c r="F15" s="347" t="str">
        <f t="shared" ca="1" si="0"/>
        <v/>
      </c>
      <c r="G15" s="348" t="str">
        <f t="shared" ca="1" si="0"/>
        <v/>
      </c>
      <c r="H15" s="346" t="str">
        <f t="shared" ca="1" si="0"/>
        <v/>
      </c>
      <c r="I15" s="347" t="str">
        <f t="shared" ca="1" si="0"/>
        <v/>
      </c>
      <c r="J15" s="348" t="str">
        <f t="shared" ca="1" si="0"/>
        <v/>
      </c>
      <c r="K15" s="349" t="str">
        <f t="shared" ca="1" si="0"/>
        <v/>
      </c>
      <c r="L15" s="350"/>
      <c r="M15" s="351">
        <f t="shared" ca="1" si="1"/>
        <v>0</v>
      </c>
      <c r="N15" s="352">
        <v>1231</v>
      </c>
      <c r="O15" s="353" t="str">
        <f t="shared" ca="1" si="2"/>
        <v>坏账准备</v>
      </c>
      <c r="P15" s="351">
        <f t="shared" ca="1" si="3"/>
        <v>0</v>
      </c>
      <c r="Q15" s="354"/>
      <c r="R15" s="354"/>
      <c r="S15" s="354"/>
      <c r="T15" s="355" t="str">
        <f t="shared" ca="1" si="5"/>
        <v/>
      </c>
      <c r="U15" s="346" t="str">
        <f t="shared" ca="1" si="4"/>
        <v/>
      </c>
      <c r="V15" s="356" t="str">
        <f t="shared" ca="1" si="4"/>
        <v/>
      </c>
      <c r="W15" s="345" t="str">
        <f t="shared" ca="1" si="4"/>
        <v/>
      </c>
      <c r="X15" s="346" t="str">
        <f t="shared" ca="1" si="4"/>
        <v/>
      </c>
      <c r="Y15" s="347" t="str">
        <f t="shared" ca="1" si="4"/>
        <v/>
      </c>
      <c r="Z15" s="348" t="str">
        <f t="shared" ca="1" si="4"/>
        <v/>
      </c>
      <c r="AA15" s="346" t="str">
        <f t="shared" ca="1" si="4"/>
        <v/>
      </c>
      <c r="AB15" s="347" t="str">
        <f t="shared" ca="1" si="4"/>
        <v/>
      </c>
      <c r="AC15" s="348" t="str">
        <f t="shared" ca="1" si="4"/>
        <v/>
      </c>
      <c r="AD15" s="349" t="str">
        <f t="shared" ca="1" si="4"/>
        <v/>
      </c>
      <c r="AE15" s="357" t="str">
        <f t="shared" ca="1" si="6"/>
        <v/>
      </c>
    </row>
    <row r="16" spans="1:36" hidden="1">
      <c r="A16" s="358" t="str">
        <f t="shared" ca="1" si="7"/>
        <v/>
      </c>
      <c r="B16" s="346" t="str">
        <f t="shared" ca="1" si="0"/>
        <v/>
      </c>
      <c r="C16" s="356" t="str">
        <f t="shared" ca="1" si="0"/>
        <v/>
      </c>
      <c r="D16" s="345" t="str">
        <f t="shared" ca="1" si="0"/>
        <v/>
      </c>
      <c r="E16" s="346" t="str">
        <f t="shared" ca="1" si="0"/>
        <v/>
      </c>
      <c r="F16" s="347" t="str">
        <f t="shared" ca="1" si="0"/>
        <v/>
      </c>
      <c r="G16" s="348" t="str">
        <f t="shared" ca="1" si="0"/>
        <v/>
      </c>
      <c r="H16" s="346" t="str">
        <f t="shared" ca="1" si="0"/>
        <v/>
      </c>
      <c r="I16" s="347" t="str">
        <f t="shared" ca="1" si="0"/>
        <v/>
      </c>
      <c r="J16" s="348" t="str">
        <f t="shared" ca="1" si="0"/>
        <v/>
      </c>
      <c r="K16" s="349" t="str">
        <f t="shared" ca="1" si="0"/>
        <v/>
      </c>
      <c r="L16" s="350"/>
      <c r="M16" s="351">
        <f t="shared" ca="1" si="1"/>
        <v>0</v>
      </c>
      <c r="N16" s="352">
        <v>1401</v>
      </c>
      <c r="O16" s="353" t="str">
        <f t="shared" ca="1" si="2"/>
        <v>材料采购</v>
      </c>
      <c r="P16" s="351">
        <f t="shared" ca="1" si="3"/>
        <v>0</v>
      </c>
      <c r="Q16" s="354"/>
      <c r="R16" s="354"/>
      <c r="S16" s="354"/>
      <c r="T16" s="355" t="str">
        <f t="shared" ca="1" si="5"/>
        <v/>
      </c>
      <c r="U16" s="346" t="str">
        <f t="shared" ca="1" si="4"/>
        <v/>
      </c>
      <c r="V16" s="356" t="str">
        <f t="shared" ca="1" si="4"/>
        <v/>
      </c>
      <c r="W16" s="345" t="str">
        <f t="shared" ca="1" si="4"/>
        <v/>
      </c>
      <c r="X16" s="346" t="str">
        <f t="shared" ca="1" si="4"/>
        <v/>
      </c>
      <c r="Y16" s="347" t="str">
        <f t="shared" ca="1" si="4"/>
        <v/>
      </c>
      <c r="Z16" s="348" t="str">
        <f t="shared" ca="1" si="4"/>
        <v/>
      </c>
      <c r="AA16" s="346" t="str">
        <f t="shared" ca="1" si="4"/>
        <v/>
      </c>
      <c r="AB16" s="347" t="str">
        <f t="shared" ca="1" si="4"/>
        <v/>
      </c>
      <c r="AC16" s="348" t="str">
        <f t="shared" ca="1" si="4"/>
        <v/>
      </c>
      <c r="AD16" s="349" t="str">
        <f t="shared" ca="1" si="4"/>
        <v/>
      </c>
      <c r="AE16" s="357" t="str">
        <f t="shared" ca="1" si="6"/>
        <v/>
      </c>
    </row>
    <row r="17" spans="1:31" hidden="1">
      <c r="A17" s="358" t="str">
        <f t="shared" ca="1" si="7"/>
        <v/>
      </c>
      <c r="B17" s="346" t="str">
        <f t="shared" ca="1" si="0"/>
        <v/>
      </c>
      <c r="C17" s="356" t="str">
        <f t="shared" ca="1" si="0"/>
        <v/>
      </c>
      <c r="D17" s="345" t="str">
        <f t="shared" ca="1" si="0"/>
        <v/>
      </c>
      <c r="E17" s="346" t="str">
        <f t="shared" ca="1" si="0"/>
        <v/>
      </c>
      <c r="F17" s="347" t="str">
        <f t="shared" ca="1" si="0"/>
        <v/>
      </c>
      <c r="G17" s="348" t="str">
        <f t="shared" ca="1" si="0"/>
        <v/>
      </c>
      <c r="H17" s="346" t="str">
        <f t="shared" ca="1" si="0"/>
        <v/>
      </c>
      <c r="I17" s="347" t="str">
        <f t="shared" ca="1" si="0"/>
        <v/>
      </c>
      <c r="J17" s="348" t="str">
        <f t="shared" ca="1" si="0"/>
        <v/>
      </c>
      <c r="K17" s="349" t="str">
        <f t="shared" ca="1" si="0"/>
        <v/>
      </c>
      <c r="L17" s="350"/>
      <c r="M17" s="351">
        <f t="shared" ca="1" si="1"/>
        <v>0</v>
      </c>
      <c r="N17" s="352">
        <v>1402</v>
      </c>
      <c r="O17" s="353" t="str">
        <f t="shared" ca="1" si="2"/>
        <v>在途物资</v>
      </c>
      <c r="P17" s="351">
        <f t="shared" ca="1" si="3"/>
        <v>0</v>
      </c>
      <c r="Q17" s="354"/>
      <c r="R17" s="354"/>
      <c r="S17" s="354"/>
      <c r="T17" s="355" t="str">
        <f t="shared" ca="1" si="5"/>
        <v/>
      </c>
      <c r="U17" s="346" t="str">
        <f t="shared" ca="1" si="4"/>
        <v/>
      </c>
      <c r="V17" s="356" t="str">
        <f t="shared" ca="1" si="4"/>
        <v/>
      </c>
      <c r="W17" s="345" t="str">
        <f t="shared" ca="1" si="4"/>
        <v/>
      </c>
      <c r="X17" s="346" t="str">
        <f t="shared" ca="1" si="4"/>
        <v/>
      </c>
      <c r="Y17" s="347" t="str">
        <f t="shared" ca="1" si="4"/>
        <v/>
      </c>
      <c r="Z17" s="348" t="str">
        <f t="shared" ca="1" si="4"/>
        <v/>
      </c>
      <c r="AA17" s="346" t="str">
        <f t="shared" ca="1" si="4"/>
        <v/>
      </c>
      <c r="AB17" s="347" t="str">
        <f t="shared" ca="1" si="4"/>
        <v/>
      </c>
      <c r="AC17" s="348" t="str">
        <f t="shared" ca="1" si="4"/>
        <v/>
      </c>
      <c r="AD17" s="349" t="str">
        <f t="shared" ca="1" si="4"/>
        <v/>
      </c>
      <c r="AE17" s="357" t="str">
        <f t="shared" ca="1" si="6"/>
        <v/>
      </c>
    </row>
    <row r="18" spans="1:31" hidden="1">
      <c r="A18" s="358" t="str">
        <f t="shared" ca="1" si="7"/>
        <v/>
      </c>
      <c r="B18" s="346" t="str">
        <f t="shared" ca="1" si="0"/>
        <v/>
      </c>
      <c r="C18" s="356" t="str">
        <f t="shared" ca="1" si="0"/>
        <v/>
      </c>
      <c r="D18" s="345" t="str">
        <f t="shared" ca="1" si="0"/>
        <v/>
      </c>
      <c r="E18" s="346" t="str">
        <f t="shared" ca="1" si="0"/>
        <v/>
      </c>
      <c r="F18" s="347" t="str">
        <f t="shared" ca="1" si="0"/>
        <v/>
      </c>
      <c r="G18" s="348" t="str">
        <f t="shared" ca="1" si="0"/>
        <v/>
      </c>
      <c r="H18" s="346" t="str">
        <f t="shared" ca="1" si="0"/>
        <v/>
      </c>
      <c r="I18" s="347" t="str">
        <f t="shared" ca="1" si="0"/>
        <v/>
      </c>
      <c r="J18" s="348" t="str">
        <f t="shared" ca="1" si="0"/>
        <v/>
      </c>
      <c r="K18" s="349" t="str">
        <f t="shared" ca="1" si="0"/>
        <v/>
      </c>
      <c r="L18" s="350"/>
      <c r="M18" s="351">
        <f t="shared" ca="1" si="1"/>
        <v>0</v>
      </c>
      <c r="N18" s="352">
        <v>1403</v>
      </c>
      <c r="O18" s="353" t="str">
        <f t="shared" ca="1" si="2"/>
        <v>库存材料</v>
      </c>
      <c r="P18" s="351">
        <f t="shared" ca="1" si="3"/>
        <v>0</v>
      </c>
      <c r="Q18" s="354"/>
      <c r="R18" s="354"/>
      <c r="S18" s="354"/>
      <c r="T18" s="355" t="str">
        <f t="shared" ca="1" si="5"/>
        <v/>
      </c>
      <c r="U18" s="346" t="str">
        <f t="shared" ca="1" si="4"/>
        <v/>
      </c>
      <c r="V18" s="356" t="str">
        <f t="shared" ca="1" si="4"/>
        <v/>
      </c>
      <c r="W18" s="345" t="str">
        <f t="shared" ca="1" si="4"/>
        <v/>
      </c>
      <c r="X18" s="346" t="str">
        <f t="shared" ca="1" si="4"/>
        <v/>
      </c>
      <c r="Y18" s="347" t="str">
        <f t="shared" ca="1" si="4"/>
        <v/>
      </c>
      <c r="Z18" s="348" t="str">
        <f t="shared" ca="1" si="4"/>
        <v/>
      </c>
      <c r="AA18" s="346" t="str">
        <f t="shared" ca="1" si="4"/>
        <v/>
      </c>
      <c r="AB18" s="347" t="str">
        <f t="shared" ca="1" si="4"/>
        <v/>
      </c>
      <c r="AC18" s="348" t="str">
        <f t="shared" ca="1" si="4"/>
        <v/>
      </c>
      <c r="AD18" s="349" t="str">
        <f t="shared" ca="1" si="4"/>
        <v/>
      </c>
      <c r="AE18" s="357" t="str">
        <f t="shared" ca="1" si="6"/>
        <v/>
      </c>
    </row>
    <row r="19" spans="1:31" hidden="1">
      <c r="A19" s="358" t="str">
        <f t="shared" ca="1" si="7"/>
        <v/>
      </c>
      <c r="B19" s="346" t="str">
        <f t="shared" ca="1" si="0"/>
        <v/>
      </c>
      <c r="C19" s="356" t="str">
        <f t="shared" ca="1" si="0"/>
        <v/>
      </c>
      <c r="D19" s="345" t="str">
        <f t="shared" ca="1" si="0"/>
        <v/>
      </c>
      <c r="E19" s="346" t="str">
        <f t="shared" ca="1" si="0"/>
        <v/>
      </c>
      <c r="F19" s="347" t="str">
        <f t="shared" ca="1" si="0"/>
        <v/>
      </c>
      <c r="G19" s="348" t="str">
        <f t="shared" ca="1" si="0"/>
        <v/>
      </c>
      <c r="H19" s="346" t="str">
        <f t="shared" ca="1" si="0"/>
        <v/>
      </c>
      <c r="I19" s="347" t="str">
        <f t="shared" ca="1" si="0"/>
        <v/>
      </c>
      <c r="J19" s="348" t="str">
        <f t="shared" ca="1" si="0"/>
        <v/>
      </c>
      <c r="K19" s="349" t="str">
        <f t="shared" ca="1" si="0"/>
        <v/>
      </c>
      <c r="L19" s="350"/>
      <c r="M19" s="351">
        <f t="shared" ca="1" si="1"/>
        <v>0</v>
      </c>
      <c r="N19" s="352">
        <v>1404</v>
      </c>
      <c r="O19" s="353" t="str">
        <f t="shared" ca="1" si="2"/>
        <v>材料成本差异</v>
      </c>
      <c r="P19" s="351">
        <f t="shared" ca="1" si="3"/>
        <v>0</v>
      </c>
      <c r="Q19" s="354"/>
      <c r="R19" s="354"/>
      <c r="S19" s="354"/>
      <c r="T19" s="355" t="str">
        <f t="shared" ca="1" si="5"/>
        <v/>
      </c>
      <c r="U19" s="346" t="str">
        <f t="shared" ca="1" si="4"/>
        <v/>
      </c>
      <c r="V19" s="356" t="str">
        <f t="shared" ca="1" si="4"/>
        <v/>
      </c>
      <c r="W19" s="345" t="str">
        <f t="shared" ca="1" si="4"/>
        <v/>
      </c>
      <c r="X19" s="346" t="str">
        <f t="shared" ca="1" si="4"/>
        <v/>
      </c>
      <c r="Y19" s="347" t="str">
        <f t="shared" ca="1" si="4"/>
        <v/>
      </c>
      <c r="Z19" s="348" t="str">
        <f t="shared" ca="1" si="4"/>
        <v/>
      </c>
      <c r="AA19" s="346" t="str">
        <f t="shared" ca="1" si="4"/>
        <v/>
      </c>
      <c r="AB19" s="347" t="str">
        <f t="shared" ca="1" si="4"/>
        <v/>
      </c>
      <c r="AC19" s="348" t="str">
        <f t="shared" ca="1" si="4"/>
        <v/>
      </c>
      <c r="AD19" s="349" t="str">
        <f t="shared" ca="1" si="4"/>
        <v/>
      </c>
      <c r="AE19" s="357" t="str">
        <f t="shared" ca="1" si="6"/>
        <v/>
      </c>
    </row>
    <row r="20" spans="1:31" hidden="1">
      <c r="A20" s="358" t="str">
        <f t="shared" ca="1" si="7"/>
        <v/>
      </c>
      <c r="B20" s="346" t="str">
        <f t="shared" ca="1" si="0"/>
        <v/>
      </c>
      <c r="C20" s="356" t="str">
        <f t="shared" ca="1" si="0"/>
        <v/>
      </c>
      <c r="D20" s="345" t="str">
        <f t="shared" ca="1" si="0"/>
        <v/>
      </c>
      <c r="E20" s="346" t="str">
        <f t="shared" ca="1" si="0"/>
        <v/>
      </c>
      <c r="F20" s="347" t="str">
        <f t="shared" ca="1" si="0"/>
        <v/>
      </c>
      <c r="G20" s="348" t="str">
        <f t="shared" ca="1" si="0"/>
        <v/>
      </c>
      <c r="H20" s="346" t="str">
        <f t="shared" ca="1" si="0"/>
        <v/>
      </c>
      <c r="I20" s="347" t="str">
        <f t="shared" ca="1" si="0"/>
        <v/>
      </c>
      <c r="J20" s="348" t="str">
        <f t="shared" ca="1" si="0"/>
        <v/>
      </c>
      <c r="K20" s="349" t="str">
        <f t="shared" ca="1" si="0"/>
        <v/>
      </c>
      <c r="L20" s="350"/>
      <c r="M20" s="351">
        <f t="shared" ca="1" si="1"/>
        <v>0</v>
      </c>
      <c r="N20" s="352">
        <v>1405</v>
      </c>
      <c r="O20" s="353" t="str">
        <f t="shared" ca="1" si="2"/>
        <v>库存商品</v>
      </c>
      <c r="P20" s="351">
        <f t="shared" ca="1" si="3"/>
        <v>0</v>
      </c>
      <c r="Q20" s="354"/>
      <c r="R20" s="354"/>
      <c r="S20" s="354"/>
      <c r="T20" s="355" t="str">
        <f t="shared" ca="1" si="5"/>
        <v/>
      </c>
      <c r="U20" s="346" t="str">
        <f t="shared" ca="1" si="4"/>
        <v/>
      </c>
      <c r="V20" s="356" t="str">
        <f t="shared" ca="1" si="4"/>
        <v/>
      </c>
      <c r="W20" s="345" t="str">
        <f t="shared" ca="1" si="4"/>
        <v/>
      </c>
      <c r="X20" s="346" t="str">
        <f t="shared" ca="1" si="4"/>
        <v/>
      </c>
      <c r="Y20" s="347" t="str">
        <f t="shared" ca="1" si="4"/>
        <v/>
      </c>
      <c r="Z20" s="348" t="str">
        <f t="shared" ca="1" si="4"/>
        <v/>
      </c>
      <c r="AA20" s="346" t="str">
        <f t="shared" ca="1" si="4"/>
        <v/>
      </c>
      <c r="AB20" s="347" t="str">
        <f t="shared" ca="1" si="4"/>
        <v/>
      </c>
      <c r="AC20" s="348" t="str">
        <f t="shared" ca="1" si="4"/>
        <v/>
      </c>
      <c r="AD20" s="349" t="str">
        <f t="shared" ca="1" si="4"/>
        <v/>
      </c>
      <c r="AE20" s="357" t="str">
        <f t="shared" ca="1" si="6"/>
        <v/>
      </c>
    </row>
    <row r="21" spans="1:31" hidden="1">
      <c r="A21" s="358" t="str">
        <f t="shared" ca="1" si="7"/>
        <v/>
      </c>
      <c r="B21" s="346" t="str">
        <f t="shared" ca="1" si="7"/>
        <v/>
      </c>
      <c r="C21" s="356" t="str">
        <f t="shared" ca="1" si="7"/>
        <v/>
      </c>
      <c r="D21" s="345" t="str">
        <f t="shared" ca="1" si="7"/>
        <v/>
      </c>
      <c r="E21" s="346" t="str">
        <f t="shared" ca="1" si="7"/>
        <v/>
      </c>
      <c r="F21" s="347" t="str">
        <f t="shared" ca="1" si="7"/>
        <v/>
      </c>
      <c r="G21" s="348" t="str">
        <f t="shared" ca="1" si="7"/>
        <v/>
      </c>
      <c r="H21" s="346" t="str">
        <f t="shared" ca="1" si="7"/>
        <v/>
      </c>
      <c r="I21" s="347" t="str">
        <f t="shared" ca="1" si="7"/>
        <v/>
      </c>
      <c r="J21" s="348" t="str">
        <f t="shared" ca="1" si="7"/>
        <v/>
      </c>
      <c r="K21" s="349" t="str">
        <f t="shared" ca="1" si="7"/>
        <v/>
      </c>
      <c r="L21" s="350"/>
      <c r="M21" s="351">
        <f t="shared" ca="1" si="1"/>
        <v>0</v>
      </c>
      <c r="N21" s="352">
        <v>1406</v>
      </c>
      <c r="O21" s="353" t="str">
        <f t="shared" ca="1" si="2"/>
        <v>发出商品</v>
      </c>
      <c r="P21" s="351">
        <f t="shared" ca="1" si="3"/>
        <v>0</v>
      </c>
      <c r="Q21" s="354"/>
      <c r="R21" s="354"/>
      <c r="S21" s="354"/>
      <c r="T21" s="355" t="str">
        <f t="shared" ca="1" si="5"/>
        <v/>
      </c>
      <c r="U21" s="346" t="str">
        <f t="shared" ca="1" si="5"/>
        <v/>
      </c>
      <c r="V21" s="356" t="str">
        <f t="shared" ca="1" si="5"/>
        <v/>
      </c>
      <c r="W21" s="345" t="str">
        <f t="shared" ca="1" si="5"/>
        <v/>
      </c>
      <c r="X21" s="346" t="str">
        <f t="shared" ca="1" si="5"/>
        <v/>
      </c>
      <c r="Y21" s="347" t="str">
        <f t="shared" ca="1" si="5"/>
        <v/>
      </c>
      <c r="Z21" s="348" t="str">
        <f t="shared" ca="1" si="5"/>
        <v/>
      </c>
      <c r="AA21" s="346" t="str">
        <f t="shared" ca="1" si="5"/>
        <v/>
      </c>
      <c r="AB21" s="347" t="str">
        <f t="shared" ca="1" si="5"/>
        <v/>
      </c>
      <c r="AC21" s="348" t="str">
        <f t="shared" ca="1" si="5"/>
        <v/>
      </c>
      <c r="AD21" s="349" t="str">
        <f t="shared" ca="1" si="5"/>
        <v/>
      </c>
      <c r="AE21" s="357" t="str">
        <f t="shared" ca="1" si="6"/>
        <v/>
      </c>
    </row>
    <row r="22" spans="1:31" hidden="1">
      <c r="A22" s="358" t="str">
        <f t="shared" ca="1" si="7"/>
        <v/>
      </c>
      <c r="B22" s="346" t="str">
        <f t="shared" ca="1" si="7"/>
        <v/>
      </c>
      <c r="C22" s="356" t="str">
        <f t="shared" ca="1" si="7"/>
        <v/>
      </c>
      <c r="D22" s="345" t="str">
        <f t="shared" ca="1" si="7"/>
        <v/>
      </c>
      <c r="E22" s="346" t="str">
        <f t="shared" ca="1" si="7"/>
        <v/>
      </c>
      <c r="F22" s="347" t="str">
        <f t="shared" ca="1" si="7"/>
        <v/>
      </c>
      <c r="G22" s="348" t="str">
        <f t="shared" ca="1" si="7"/>
        <v/>
      </c>
      <c r="H22" s="346" t="str">
        <f t="shared" ca="1" si="7"/>
        <v/>
      </c>
      <c r="I22" s="347" t="str">
        <f t="shared" ca="1" si="7"/>
        <v/>
      </c>
      <c r="J22" s="348" t="str">
        <f t="shared" ca="1" si="7"/>
        <v/>
      </c>
      <c r="K22" s="349" t="str">
        <f t="shared" ca="1" si="7"/>
        <v/>
      </c>
      <c r="L22" s="350"/>
      <c r="M22" s="351">
        <f t="shared" ca="1" si="1"/>
        <v>0</v>
      </c>
      <c r="N22" s="352">
        <v>1408</v>
      </c>
      <c r="O22" s="353" t="str">
        <f t="shared" ca="1" si="2"/>
        <v>委托加工物资</v>
      </c>
      <c r="P22" s="351">
        <f t="shared" ca="1" si="3"/>
        <v>0</v>
      </c>
      <c r="Q22" s="354"/>
      <c r="R22" s="354"/>
      <c r="S22" s="354"/>
      <c r="T22" s="355" t="str">
        <f t="shared" ca="1" si="5"/>
        <v/>
      </c>
      <c r="U22" s="346" t="str">
        <f t="shared" ca="1" si="5"/>
        <v/>
      </c>
      <c r="V22" s="356" t="str">
        <f t="shared" ca="1" si="5"/>
        <v/>
      </c>
      <c r="W22" s="345" t="str">
        <f t="shared" ca="1" si="5"/>
        <v/>
      </c>
      <c r="X22" s="346" t="str">
        <f t="shared" ca="1" si="5"/>
        <v/>
      </c>
      <c r="Y22" s="347" t="str">
        <f t="shared" ca="1" si="5"/>
        <v/>
      </c>
      <c r="Z22" s="348" t="str">
        <f t="shared" ca="1" si="5"/>
        <v/>
      </c>
      <c r="AA22" s="346" t="str">
        <f t="shared" ca="1" si="5"/>
        <v/>
      </c>
      <c r="AB22" s="347" t="str">
        <f t="shared" ca="1" si="5"/>
        <v/>
      </c>
      <c r="AC22" s="348" t="str">
        <f t="shared" ca="1" si="5"/>
        <v/>
      </c>
      <c r="AD22" s="349" t="str">
        <f t="shared" ca="1" si="5"/>
        <v/>
      </c>
      <c r="AE22" s="357" t="str">
        <f t="shared" ca="1" si="6"/>
        <v/>
      </c>
    </row>
    <row r="23" spans="1:31" hidden="1">
      <c r="A23" s="358" t="str">
        <f t="shared" ca="1" si="7"/>
        <v/>
      </c>
      <c r="B23" s="346" t="str">
        <f t="shared" ca="1" si="7"/>
        <v/>
      </c>
      <c r="C23" s="356" t="str">
        <f t="shared" ca="1" si="7"/>
        <v/>
      </c>
      <c r="D23" s="345" t="str">
        <f t="shared" ca="1" si="7"/>
        <v/>
      </c>
      <c r="E23" s="346" t="str">
        <f t="shared" ca="1" si="7"/>
        <v/>
      </c>
      <c r="F23" s="347" t="str">
        <f t="shared" ca="1" si="7"/>
        <v/>
      </c>
      <c r="G23" s="348" t="str">
        <f t="shared" ca="1" si="7"/>
        <v/>
      </c>
      <c r="H23" s="346" t="str">
        <f t="shared" ca="1" si="7"/>
        <v/>
      </c>
      <c r="I23" s="347" t="str">
        <f t="shared" ca="1" si="7"/>
        <v/>
      </c>
      <c r="J23" s="348" t="str">
        <f t="shared" ca="1" si="7"/>
        <v/>
      </c>
      <c r="K23" s="349" t="str">
        <f t="shared" ca="1" si="7"/>
        <v/>
      </c>
      <c r="L23" s="350"/>
      <c r="M23" s="351">
        <f t="shared" ca="1" si="1"/>
        <v>0</v>
      </c>
      <c r="N23" s="352">
        <v>1409</v>
      </c>
      <c r="O23" s="353" t="str">
        <f t="shared" ca="1" si="2"/>
        <v>开发产品</v>
      </c>
      <c r="P23" s="351">
        <f t="shared" ca="1" si="3"/>
        <v>0</v>
      </c>
      <c r="Q23" s="354"/>
      <c r="R23" s="354"/>
      <c r="S23" s="354"/>
      <c r="T23" s="355" t="str">
        <f t="shared" ca="1" si="5"/>
        <v/>
      </c>
      <c r="U23" s="346" t="str">
        <f t="shared" ca="1" si="5"/>
        <v/>
      </c>
      <c r="V23" s="356" t="str">
        <f t="shared" ca="1" si="5"/>
        <v/>
      </c>
      <c r="W23" s="345" t="str">
        <f t="shared" ca="1" si="5"/>
        <v/>
      </c>
      <c r="X23" s="346" t="str">
        <f t="shared" ca="1" si="5"/>
        <v/>
      </c>
      <c r="Y23" s="347" t="str">
        <f t="shared" ca="1" si="5"/>
        <v/>
      </c>
      <c r="Z23" s="348" t="str">
        <f t="shared" ca="1" si="5"/>
        <v/>
      </c>
      <c r="AA23" s="346" t="str">
        <f t="shared" ca="1" si="5"/>
        <v/>
      </c>
      <c r="AB23" s="347" t="str">
        <f t="shared" ca="1" si="5"/>
        <v/>
      </c>
      <c r="AC23" s="348" t="str">
        <f t="shared" ca="1" si="5"/>
        <v/>
      </c>
      <c r="AD23" s="349" t="str">
        <f t="shared" ca="1" si="5"/>
        <v/>
      </c>
      <c r="AE23" s="357" t="str">
        <f t="shared" ca="1" si="6"/>
        <v/>
      </c>
    </row>
    <row r="24" spans="1:31" hidden="1">
      <c r="A24" s="358" t="str">
        <f t="shared" ca="1" si="7"/>
        <v/>
      </c>
      <c r="B24" s="346" t="str">
        <f t="shared" ca="1" si="7"/>
        <v/>
      </c>
      <c r="C24" s="356" t="str">
        <f t="shared" ca="1" si="7"/>
        <v/>
      </c>
      <c r="D24" s="345" t="str">
        <f t="shared" ca="1" si="7"/>
        <v/>
      </c>
      <c r="E24" s="346" t="str">
        <f t="shared" ca="1" si="7"/>
        <v/>
      </c>
      <c r="F24" s="347" t="str">
        <f t="shared" ca="1" si="7"/>
        <v/>
      </c>
      <c r="G24" s="348" t="str">
        <f t="shared" ca="1" si="7"/>
        <v/>
      </c>
      <c r="H24" s="346" t="str">
        <f t="shared" ca="1" si="7"/>
        <v/>
      </c>
      <c r="I24" s="347" t="str">
        <f t="shared" ca="1" si="7"/>
        <v/>
      </c>
      <c r="J24" s="348" t="str">
        <f t="shared" ca="1" si="7"/>
        <v/>
      </c>
      <c r="K24" s="349" t="str">
        <f t="shared" ca="1" si="7"/>
        <v/>
      </c>
      <c r="L24" s="350"/>
      <c r="M24" s="351">
        <f t="shared" ca="1" si="1"/>
        <v>0</v>
      </c>
      <c r="N24" s="352">
        <v>1411</v>
      </c>
      <c r="O24" s="353" t="str">
        <f t="shared" ca="1" si="2"/>
        <v>周转材料</v>
      </c>
      <c r="P24" s="351">
        <f t="shared" ca="1" si="3"/>
        <v>0</v>
      </c>
      <c r="Q24" s="354"/>
      <c r="R24" s="354"/>
      <c r="S24" s="354"/>
      <c r="T24" s="355" t="str">
        <f t="shared" ca="1" si="5"/>
        <v/>
      </c>
      <c r="U24" s="346" t="str">
        <f t="shared" ca="1" si="5"/>
        <v/>
      </c>
      <c r="V24" s="356" t="str">
        <f t="shared" ca="1" si="5"/>
        <v/>
      </c>
      <c r="W24" s="345" t="str">
        <f t="shared" ca="1" si="5"/>
        <v/>
      </c>
      <c r="X24" s="346" t="str">
        <f t="shared" ca="1" si="5"/>
        <v/>
      </c>
      <c r="Y24" s="347" t="str">
        <f t="shared" ca="1" si="5"/>
        <v/>
      </c>
      <c r="Z24" s="348" t="str">
        <f t="shared" ca="1" si="5"/>
        <v/>
      </c>
      <c r="AA24" s="346" t="str">
        <f t="shared" ca="1" si="5"/>
        <v/>
      </c>
      <c r="AB24" s="347" t="str">
        <f t="shared" ca="1" si="5"/>
        <v/>
      </c>
      <c r="AC24" s="348" t="str">
        <f t="shared" ca="1" si="5"/>
        <v/>
      </c>
      <c r="AD24" s="349" t="str">
        <f t="shared" ca="1" si="5"/>
        <v/>
      </c>
      <c r="AE24" s="357" t="str">
        <f t="shared" ca="1" si="6"/>
        <v/>
      </c>
    </row>
    <row r="25" spans="1:31" hidden="1">
      <c r="A25" s="358" t="str">
        <f t="shared" ca="1" si="7"/>
        <v/>
      </c>
      <c r="B25" s="346" t="str">
        <f t="shared" ca="1" si="7"/>
        <v/>
      </c>
      <c r="C25" s="356" t="str">
        <f t="shared" ca="1" si="7"/>
        <v/>
      </c>
      <c r="D25" s="345" t="str">
        <f t="shared" ca="1" si="7"/>
        <v/>
      </c>
      <c r="E25" s="346" t="str">
        <f t="shared" ca="1" si="7"/>
        <v/>
      </c>
      <c r="F25" s="347" t="str">
        <f t="shared" ca="1" si="7"/>
        <v/>
      </c>
      <c r="G25" s="348" t="str">
        <f t="shared" ca="1" si="7"/>
        <v/>
      </c>
      <c r="H25" s="346" t="str">
        <f t="shared" ca="1" si="7"/>
        <v/>
      </c>
      <c r="I25" s="347" t="str">
        <f t="shared" ca="1" si="7"/>
        <v/>
      </c>
      <c r="J25" s="348" t="str">
        <f t="shared" ca="1" si="7"/>
        <v/>
      </c>
      <c r="K25" s="349" t="str">
        <f t="shared" ca="1" si="7"/>
        <v/>
      </c>
      <c r="L25" s="350"/>
      <c r="M25" s="351">
        <f t="shared" ca="1" si="1"/>
        <v>0</v>
      </c>
      <c r="N25" s="352">
        <v>1461</v>
      </c>
      <c r="O25" s="353" t="str">
        <f t="shared" ca="1" si="2"/>
        <v>融资租赁资产</v>
      </c>
      <c r="P25" s="351">
        <f t="shared" ca="1" si="3"/>
        <v>0</v>
      </c>
      <c r="Q25" s="354"/>
      <c r="R25" s="354"/>
      <c r="S25" s="354"/>
      <c r="T25" s="355" t="str">
        <f t="shared" ca="1" si="5"/>
        <v/>
      </c>
      <c r="U25" s="346" t="str">
        <f t="shared" ca="1" si="5"/>
        <v/>
      </c>
      <c r="V25" s="356" t="str">
        <f t="shared" ca="1" si="5"/>
        <v/>
      </c>
      <c r="W25" s="345" t="str">
        <f t="shared" ca="1" si="5"/>
        <v/>
      </c>
      <c r="X25" s="346" t="str">
        <f t="shared" ca="1" si="5"/>
        <v/>
      </c>
      <c r="Y25" s="347" t="str">
        <f t="shared" ca="1" si="5"/>
        <v/>
      </c>
      <c r="Z25" s="348" t="str">
        <f t="shared" ca="1" si="5"/>
        <v/>
      </c>
      <c r="AA25" s="346" t="str">
        <f t="shared" ca="1" si="5"/>
        <v/>
      </c>
      <c r="AB25" s="347" t="str">
        <f t="shared" ca="1" si="5"/>
        <v/>
      </c>
      <c r="AC25" s="348" t="str">
        <f t="shared" ca="1" si="5"/>
        <v/>
      </c>
      <c r="AD25" s="349" t="str">
        <f t="shared" ca="1" si="5"/>
        <v/>
      </c>
      <c r="AE25" s="357" t="str">
        <f t="shared" ca="1" si="6"/>
        <v/>
      </c>
    </row>
    <row r="26" spans="1:31" hidden="1">
      <c r="A26" s="358" t="str">
        <f t="shared" ca="1" si="7"/>
        <v/>
      </c>
      <c r="B26" s="346" t="str">
        <f t="shared" ca="1" si="7"/>
        <v/>
      </c>
      <c r="C26" s="356" t="str">
        <f t="shared" ca="1" si="7"/>
        <v/>
      </c>
      <c r="D26" s="345" t="str">
        <f t="shared" ca="1" si="7"/>
        <v/>
      </c>
      <c r="E26" s="346" t="str">
        <f t="shared" ca="1" si="7"/>
        <v/>
      </c>
      <c r="F26" s="347" t="str">
        <f t="shared" ca="1" si="7"/>
        <v/>
      </c>
      <c r="G26" s="348" t="str">
        <f t="shared" ca="1" si="7"/>
        <v/>
      </c>
      <c r="H26" s="346" t="str">
        <f t="shared" ca="1" si="7"/>
        <v/>
      </c>
      <c r="I26" s="347" t="str">
        <f t="shared" ca="1" si="7"/>
        <v/>
      </c>
      <c r="J26" s="348" t="str">
        <f t="shared" ca="1" si="7"/>
        <v/>
      </c>
      <c r="K26" s="349" t="str">
        <f t="shared" ca="1" si="7"/>
        <v/>
      </c>
      <c r="L26" s="350"/>
      <c r="M26" s="351">
        <f t="shared" ca="1" si="1"/>
        <v>0</v>
      </c>
      <c r="N26" s="352">
        <v>1471</v>
      </c>
      <c r="O26" s="353" t="str">
        <f t="shared" ca="1" si="2"/>
        <v>存货跌价准备</v>
      </c>
      <c r="P26" s="351">
        <f t="shared" ca="1" si="3"/>
        <v>0</v>
      </c>
      <c r="Q26" s="354"/>
      <c r="R26" s="354"/>
      <c r="S26" s="354"/>
      <c r="T26" s="355" t="str">
        <f t="shared" ca="1" si="5"/>
        <v/>
      </c>
      <c r="U26" s="346" t="str">
        <f t="shared" ca="1" si="5"/>
        <v/>
      </c>
      <c r="V26" s="356" t="str">
        <f t="shared" ca="1" si="5"/>
        <v/>
      </c>
      <c r="W26" s="345" t="str">
        <f t="shared" ca="1" si="5"/>
        <v/>
      </c>
      <c r="X26" s="346" t="str">
        <f t="shared" ca="1" si="5"/>
        <v/>
      </c>
      <c r="Y26" s="347" t="str">
        <f t="shared" ca="1" si="5"/>
        <v/>
      </c>
      <c r="Z26" s="348" t="str">
        <f t="shared" ca="1" si="5"/>
        <v/>
      </c>
      <c r="AA26" s="346" t="str">
        <f t="shared" ca="1" si="5"/>
        <v/>
      </c>
      <c r="AB26" s="347" t="str">
        <f t="shared" ca="1" si="5"/>
        <v/>
      </c>
      <c r="AC26" s="348" t="str">
        <f t="shared" ca="1" si="5"/>
        <v/>
      </c>
      <c r="AD26" s="349" t="str">
        <f t="shared" ca="1" si="5"/>
        <v/>
      </c>
      <c r="AE26" s="357" t="str">
        <f t="shared" ca="1" si="6"/>
        <v/>
      </c>
    </row>
    <row r="27" spans="1:31" hidden="1">
      <c r="A27" s="358" t="str">
        <f t="shared" ca="1" si="7"/>
        <v/>
      </c>
      <c r="B27" s="346" t="str">
        <f t="shared" ca="1" si="7"/>
        <v/>
      </c>
      <c r="C27" s="356" t="str">
        <f t="shared" ca="1" si="7"/>
        <v/>
      </c>
      <c r="D27" s="345" t="str">
        <f t="shared" ca="1" si="7"/>
        <v/>
      </c>
      <c r="E27" s="346" t="str">
        <f t="shared" ca="1" si="7"/>
        <v/>
      </c>
      <c r="F27" s="347" t="str">
        <f t="shared" ca="1" si="7"/>
        <v/>
      </c>
      <c r="G27" s="348" t="str">
        <f t="shared" ca="1" si="7"/>
        <v/>
      </c>
      <c r="H27" s="346" t="str">
        <f t="shared" ca="1" si="7"/>
        <v/>
      </c>
      <c r="I27" s="347" t="str">
        <f t="shared" ca="1" si="7"/>
        <v/>
      </c>
      <c r="J27" s="348" t="str">
        <f t="shared" ca="1" si="7"/>
        <v/>
      </c>
      <c r="K27" s="349" t="str">
        <f t="shared" ca="1" si="7"/>
        <v/>
      </c>
      <c r="L27" s="350"/>
      <c r="M27" s="351">
        <f t="shared" ca="1" si="1"/>
        <v>0</v>
      </c>
      <c r="N27" s="352">
        <v>1501</v>
      </c>
      <c r="O27" s="353" t="str">
        <f t="shared" ca="1" si="2"/>
        <v>持有至到期投资</v>
      </c>
      <c r="P27" s="351">
        <f t="shared" ca="1" si="3"/>
        <v>0</v>
      </c>
      <c r="Q27" s="354"/>
      <c r="R27" s="354"/>
      <c r="S27" s="354"/>
      <c r="T27" s="355" t="str">
        <f t="shared" ca="1" si="5"/>
        <v/>
      </c>
      <c r="U27" s="346" t="str">
        <f t="shared" ca="1" si="5"/>
        <v/>
      </c>
      <c r="V27" s="356" t="str">
        <f t="shared" ca="1" si="5"/>
        <v/>
      </c>
      <c r="W27" s="345" t="str">
        <f t="shared" ca="1" si="5"/>
        <v/>
      </c>
      <c r="X27" s="346" t="str">
        <f t="shared" ca="1" si="5"/>
        <v/>
      </c>
      <c r="Y27" s="347" t="str">
        <f t="shared" ca="1" si="5"/>
        <v/>
      </c>
      <c r="Z27" s="348" t="str">
        <f t="shared" ca="1" si="5"/>
        <v/>
      </c>
      <c r="AA27" s="346" t="str">
        <f t="shared" ca="1" si="5"/>
        <v/>
      </c>
      <c r="AB27" s="347" t="str">
        <f t="shared" ca="1" si="5"/>
        <v/>
      </c>
      <c r="AC27" s="348" t="str">
        <f t="shared" ca="1" si="5"/>
        <v/>
      </c>
      <c r="AD27" s="349" t="str">
        <f t="shared" ca="1" si="5"/>
        <v/>
      </c>
      <c r="AE27" s="357" t="str">
        <f t="shared" ca="1" si="6"/>
        <v/>
      </c>
    </row>
    <row r="28" spans="1:31" hidden="1">
      <c r="A28" s="358" t="str">
        <f t="shared" ca="1" si="7"/>
        <v/>
      </c>
      <c r="B28" s="346" t="str">
        <f t="shared" ca="1" si="7"/>
        <v/>
      </c>
      <c r="C28" s="356" t="str">
        <f t="shared" ca="1" si="7"/>
        <v/>
      </c>
      <c r="D28" s="345" t="str">
        <f t="shared" ca="1" si="7"/>
        <v/>
      </c>
      <c r="E28" s="346" t="str">
        <f t="shared" ca="1" si="7"/>
        <v/>
      </c>
      <c r="F28" s="347" t="str">
        <f t="shared" ca="1" si="7"/>
        <v/>
      </c>
      <c r="G28" s="348" t="str">
        <f t="shared" ca="1" si="7"/>
        <v/>
      </c>
      <c r="H28" s="346" t="str">
        <f t="shared" ca="1" si="7"/>
        <v/>
      </c>
      <c r="I28" s="347" t="str">
        <f t="shared" ca="1" si="7"/>
        <v/>
      </c>
      <c r="J28" s="348" t="str">
        <f t="shared" ca="1" si="7"/>
        <v/>
      </c>
      <c r="K28" s="349" t="str">
        <f t="shared" ca="1" si="7"/>
        <v/>
      </c>
      <c r="L28" s="350"/>
      <c r="M28" s="351">
        <f t="shared" ca="1" si="1"/>
        <v>0</v>
      </c>
      <c r="N28" s="352">
        <v>1502</v>
      </c>
      <c r="O28" s="353" t="str">
        <f t="shared" ca="1" si="2"/>
        <v>持有至到期投资减值准备</v>
      </c>
      <c r="P28" s="351">
        <f t="shared" ca="1" si="3"/>
        <v>0</v>
      </c>
      <c r="Q28" s="354"/>
      <c r="R28" s="354"/>
      <c r="S28" s="354"/>
      <c r="T28" s="355" t="str">
        <f t="shared" ca="1" si="5"/>
        <v/>
      </c>
      <c r="U28" s="346" t="str">
        <f t="shared" ca="1" si="5"/>
        <v/>
      </c>
      <c r="V28" s="356" t="str">
        <f t="shared" ca="1" si="5"/>
        <v/>
      </c>
      <c r="W28" s="345" t="str">
        <f t="shared" ca="1" si="5"/>
        <v/>
      </c>
      <c r="X28" s="346" t="str">
        <f t="shared" ca="1" si="5"/>
        <v/>
      </c>
      <c r="Y28" s="347" t="str">
        <f t="shared" ca="1" si="5"/>
        <v/>
      </c>
      <c r="Z28" s="348" t="str">
        <f t="shared" ca="1" si="5"/>
        <v/>
      </c>
      <c r="AA28" s="346" t="str">
        <f t="shared" ca="1" si="5"/>
        <v/>
      </c>
      <c r="AB28" s="347" t="str">
        <f t="shared" ca="1" si="5"/>
        <v/>
      </c>
      <c r="AC28" s="348" t="str">
        <f t="shared" ca="1" si="5"/>
        <v/>
      </c>
      <c r="AD28" s="349" t="str">
        <f t="shared" ca="1" si="5"/>
        <v/>
      </c>
      <c r="AE28" s="357" t="str">
        <f t="shared" ca="1" si="6"/>
        <v/>
      </c>
    </row>
    <row r="29" spans="1:31" hidden="1">
      <c r="A29" s="358" t="str">
        <f t="shared" ca="1" si="7"/>
        <v/>
      </c>
      <c r="B29" s="346" t="str">
        <f t="shared" ca="1" si="7"/>
        <v/>
      </c>
      <c r="C29" s="356" t="str">
        <f t="shared" ca="1" si="7"/>
        <v/>
      </c>
      <c r="D29" s="345" t="str">
        <f t="shared" ca="1" si="7"/>
        <v/>
      </c>
      <c r="E29" s="346" t="str">
        <f t="shared" ca="1" si="7"/>
        <v/>
      </c>
      <c r="F29" s="347" t="str">
        <f t="shared" ca="1" si="7"/>
        <v/>
      </c>
      <c r="G29" s="348" t="str">
        <f t="shared" ca="1" si="7"/>
        <v/>
      </c>
      <c r="H29" s="346" t="str">
        <f t="shared" ca="1" si="7"/>
        <v/>
      </c>
      <c r="I29" s="347" t="str">
        <f t="shared" ca="1" si="7"/>
        <v/>
      </c>
      <c r="J29" s="348" t="str">
        <f t="shared" ca="1" si="7"/>
        <v/>
      </c>
      <c r="K29" s="349" t="str">
        <f t="shared" ca="1" si="7"/>
        <v/>
      </c>
      <c r="L29" s="359"/>
      <c r="M29" s="351">
        <f t="shared" ca="1" si="1"/>
        <v>0</v>
      </c>
      <c r="N29" s="352">
        <v>1503</v>
      </c>
      <c r="O29" s="353" t="str">
        <f t="shared" ca="1" si="2"/>
        <v>可供出售金融资产</v>
      </c>
      <c r="P29" s="351">
        <f t="shared" ca="1" si="3"/>
        <v>0</v>
      </c>
      <c r="Q29" s="354"/>
      <c r="R29" s="354"/>
      <c r="S29" s="354"/>
      <c r="T29" s="355" t="str">
        <f t="shared" ca="1" si="5"/>
        <v/>
      </c>
      <c r="U29" s="346" t="str">
        <f t="shared" ca="1" si="5"/>
        <v/>
      </c>
      <c r="V29" s="356" t="str">
        <f t="shared" ca="1" si="5"/>
        <v/>
      </c>
      <c r="W29" s="345" t="str">
        <f t="shared" ca="1" si="5"/>
        <v/>
      </c>
      <c r="X29" s="346" t="str">
        <f t="shared" ca="1" si="5"/>
        <v/>
      </c>
      <c r="Y29" s="347" t="str">
        <f t="shared" ca="1" si="5"/>
        <v/>
      </c>
      <c r="Z29" s="348" t="str">
        <f t="shared" ca="1" si="5"/>
        <v/>
      </c>
      <c r="AA29" s="346" t="str">
        <f t="shared" ca="1" si="5"/>
        <v/>
      </c>
      <c r="AB29" s="347" t="str">
        <f t="shared" ca="1" si="5"/>
        <v/>
      </c>
      <c r="AC29" s="348" t="str">
        <f t="shared" ca="1" si="5"/>
        <v/>
      </c>
      <c r="AD29" s="349" t="str">
        <f t="shared" ca="1" si="5"/>
        <v/>
      </c>
      <c r="AE29" s="357" t="str">
        <f t="shared" ca="1" si="6"/>
        <v/>
      </c>
    </row>
    <row r="30" spans="1:31" hidden="1">
      <c r="A30" s="358" t="str">
        <f t="shared" ca="1" si="7"/>
        <v/>
      </c>
      <c r="B30" s="346" t="str">
        <f t="shared" ca="1" si="7"/>
        <v/>
      </c>
      <c r="C30" s="356" t="str">
        <f t="shared" ca="1" si="7"/>
        <v/>
      </c>
      <c r="D30" s="345" t="str">
        <f t="shared" ca="1" si="7"/>
        <v/>
      </c>
      <c r="E30" s="346" t="str">
        <f t="shared" ca="1" si="7"/>
        <v/>
      </c>
      <c r="F30" s="347" t="str">
        <f t="shared" ca="1" si="7"/>
        <v/>
      </c>
      <c r="G30" s="348" t="str">
        <f t="shared" ca="1" si="7"/>
        <v/>
      </c>
      <c r="H30" s="346" t="str">
        <f t="shared" ca="1" si="7"/>
        <v/>
      </c>
      <c r="I30" s="347" t="str">
        <f t="shared" ca="1" si="7"/>
        <v/>
      </c>
      <c r="J30" s="348" t="str">
        <f t="shared" ca="1" si="7"/>
        <v/>
      </c>
      <c r="K30" s="349" t="str">
        <f t="shared" ca="1" si="7"/>
        <v/>
      </c>
      <c r="L30" s="359"/>
      <c r="M30" s="351">
        <f t="shared" ca="1" si="1"/>
        <v>0</v>
      </c>
      <c r="N30" s="352">
        <v>1511</v>
      </c>
      <c r="O30" s="353" t="str">
        <f t="shared" ca="1" si="2"/>
        <v>长期股权投资</v>
      </c>
      <c r="P30" s="351">
        <f t="shared" ca="1" si="3"/>
        <v>0</v>
      </c>
      <c r="Q30" s="354"/>
      <c r="R30" s="354"/>
      <c r="S30" s="354"/>
      <c r="T30" s="355" t="str">
        <f t="shared" ca="1" si="5"/>
        <v/>
      </c>
      <c r="U30" s="346" t="str">
        <f t="shared" ca="1" si="5"/>
        <v/>
      </c>
      <c r="V30" s="356" t="str">
        <f t="shared" ca="1" si="5"/>
        <v/>
      </c>
      <c r="W30" s="345" t="str">
        <f t="shared" ca="1" si="5"/>
        <v/>
      </c>
      <c r="X30" s="346" t="str">
        <f t="shared" ca="1" si="5"/>
        <v/>
      </c>
      <c r="Y30" s="347" t="str">
        <f t="shared" ca="1" si="5"/>
        <v/>
      </c>
      <c r="Z30" s="348" t="str">
        <f t="shared" ca="1" si="5"/>
        <v/>
      </c>
      <c r="AA30" s="346" t="str">
        <f t="shared" ca="1" si="5"/>
        <v/>
      </c>
      <c r="AB30" s="347" t="str">
        <f t="shared" ca="1" si="5"/>
        <v/>
      </c>
      <c r="AC30" s="348" t="str">
        <f t="shared" ca="1" si="5"/>
        <v/>
      </c>
      <c r="AD30" s="349" t="str">
        <f t="shared" ca="1" si="5"/>
        <v/>
      </c>
      <c r="AE30" s="357" t="str">
        <f t="shared" ca="1" si="6"/>
        <v/>
      </c>
    </row>
    <row r="31" spans="1:31" hidden="1">
      <c r="A31" s="358" t="str">
        <f t="shared" ca="1" si="7"/>
        <v/>
      </c>
      <c r="B31" s="346" t="str">
        <f t="shared" ca="1" si="7"/>
        <v/>
      </c>
      <c r="C31" s="356" t="str">
        <f t="shared" ca="1" si="7"/>
        <v/>
      </c>
      <c r="D31" s="345" t="str">
        <f t="shared" ca="1" si="7"/>
        <v/>
      </c>
      <c r="E31" s="346" t="str">
        <f t="shared" ca="1" si="7"/>
        <v/>
      </c>
      <c r="F31" s="347" t="str">
        <f t="shared" ca="1" si="7"/>
        <v/>
      </c>
      <c r="G31" s="348" t="str">
        <f t="shared" ca="1" si="7"/>
        <v/>
      </c>
      <c r="H31" s="346" t="str">
        <f t="shared" ca="1" si="7"/>
        <v/>
      </c>
      <c r="I31" s="347" t="str">
        <f t="shared" ca="1" si="7"/>
        <v/>
      </c>
      <c r="J31" s="348" t="str">
        <f t="shared" ca="1" si="7"/>
        <v/>
      </c>
      <c r="K31" s="349" t="str">
        <f t="shared" ca="1" si="7"/>
        <v/>
      </c>
      <c r="L31" s="359"/>
      <c r="M31" s="351">
        <f t="shared" ca="1" si="1"/>
        <v>0</v>
      </c>
      <c r="N31" s="352">
        <v>1512</v>
      </c>
      <c r="O31" s="353" t="str">
        <f t="shared" ca="1" si="2"/>
        <v>长期股权投资减值准备</v>
      </c>
      <c r="P31" s="351">
        <f t="shared" ca="1" si="3"/>
        <v>0</v>
      </c>
      <c r="Q31" s="354"/>
      <c r="R31" s="354"/>
      <c r="S31" s="354"/>
      <c r="T31" s="355" t="str">
        <f t="shared" ca="1" si="5"/>
        <v/>
      </c>
      <c r="U31" s="346" t="str">
        <f t="shared" ca="1" si="5"/>
        <v/>
      </c>
      <c r="V31" s="356" t="str">
        <f t="shared" ca="1" si="5"/>
        <v/>
      </c>
      <c r="W31" s="345" t="str">
        <f t="shared" ca="1" si="5"/>
        <v/>
      </c>
      <c r="X31" s="346" t="str">
        <f t="shared" ca="1" si="5"/>
        <v/>
      </c>
      <c r="Y31" s="347" t="str">
        <f t="shared" ca="1" si="5"/>
        <v/>
      </c>
      <c r="Z31" s="348" t="str">
        <f t="shared" ca="1" si="5"/>
        <v/>
      </c>
      <c r="AA31" s="346" t="str">
        <f t="shared" ca="1" si="5"/>
        <v/>
      </c>
      <c r="AB31" s="347" t="str">
        <f t="shared" ca="1" si="5"/>
        <v/>
      </c>
      <c r="AC31" s="348" t="str">
        <f t="shared" ca="1" si="5"/>
        <v/>
      </c>
      <c r="AD31" s="349" t="str">
        <f t="shared" ca="1" si="5"/>
        <v/>
      </c>
      <c r="AE31" s="357" t="str">
        <f t="shared" ca="1" si="6"/>
        <v/>
      </c>
    </row>
    <row r="32" spans="1:31" hidden="1">
      <c r="A32" s="358" t="str">
        <f t="shared" ca="1" si="7"/>
        <v/>
      </c>
      <c r="B32" s="346" t="str">
        <f t="shared" ca="1" si="7"/>
        <v/>
      </c>
      <c r="C32" s="356" t="str">
        <f t="shared" ca="1" si="7"/>
        <v/>
      </c>
      <c r="D32" s="345" t="str">
        <f t="shared" ca="1" si="7"/>
        <v/>
      </c>
      <c r="E32" s="346" t="str">
        <f t="shared" ca="1" si="7"/>
        <v/>
      </c>
      <c r="F32" s="347" t="str">
        <f t="shared" ca="1" si="7"/>
        <v/>
      </c>
      <c r="G32" s="348" t="str">
        <f t="shared" ca="1" si="7"/>
        <v/>
      </c>
      <c r="H32" s="346" t="str">
        <f t="shared" ca="1" si="7"/>
        <v/>
      </c>
      <c r="I32" s="347" t="str">
        <f t="shared" ca="1" si="7"/>
        <v/>
      </c>
      <c r="J32" s="348" t="str">
        <f t="shared" ca="1" si="7"/>
        <v/>
      </c>
      <c r="K32" s="349" t="str">
        <f t="shared" ca="1" si="7"/>
        <v/>
      </c>
      <c r="L32" s="359"/>
      <c r="M32" s="351">
        <f t="shared" ca="1" si="1"/>
        <v>0</v>
      </c>
      <c r="N32" s="352">
        <v>1521</v>
      </c>
      <c r="O32" s="353" t="str">
        <f t="shared" ca="1" si="2"/>
        <v>投资性房地产</v>
      </c>
      <c r="P32" s="351">
        <f t="shared" ca="1" si="3"/>
        <v>0</v>
      </c>
      <c r="Q32" s="354"/>
      <c r="R32" s="354"/>
      <c r="S32" s="354"/>
      <c r="T32" s="355" t="str">
        <f t="shared" ca="1" si="5"/>
        <v/>
      </c>
      <c r="U32" s="346" t="str">
        <f t="shared" ca="1" si="5"/>
        <v/>
      </c>
      <c r="V32" s="356" t="str">
        <f t="shared" ca="1" si="5"/>
        <v/>
      </c>
      <c r="W32" s="345" t="str">
        <f t="shared" ca="1" si="5"/>
        <v/>
      </c>
      <c r="X32" s="346" t="str">
        <f t="shared" ca="1" si="5"/>
        <v/>
      </c>
      <c r="Y32" s="347" t="str">
        <f t="shared" ca="1" si="5"/>
        <v/>
      </c>
      <c r="Z32" s="348" t="str">
        <f t="shared" ca="1" si="5"/>
        <v/>
      </c>
      <c r="AA32" s="346" t="str">
        <f t="shared" ca="1" si="5"/>
        <v/>
      </c>
      <c r="AB32" s="347" t="str">
        <f t="shared" ca="1" si="5"/>
        <v/>
      </c>
      <c r="AC32" s="348" t="str">
        <f t="shared" ca="1" si="5"/>
        <v/>
      </c>
      <c r="AD32" s="349" t="str">
        <f t="shared" ca="1" si="5"/>
        <v/>
      </c>
      <c r="AE32" s="357" t="str">
        <f t="shared" ca="1" si="6"/>
        <v/>
      </c>
    </row>
    <row r="33" spans="1:32" hidden="1">
      <c r="A33" s="358" t="str">
        <f t="shared" ca="1" si="7"/>
        <v/>
      </c>
      <c r="B33" s="346" t="str">
        <f t="shared" ca="1" si="7"/>
        <v/>
      </c>
      <c r="C33" s="356" t="str">
        <f t="shared" ca="1" si="7"/>
        <v/>
      </c>
      <c r="D33" s="345" t="str">
        <f t="shared" ca="1" si="7"/>
        <v/>
      </c>
      <c r="E33" s="346" t="str">
        <f t="shared" ca="1" si="7"/>
        <v/>
      </c>
      <c r="F33" s="347" t="str">
        <f t="shared" ca="1" si="7"/>
        <v/>
      </c>
      <c r="G33" s="348" t="str">
        <f t="shared" ca="1" si="7"/>
        <v/>
      </c>
      <c r="H33" s="346" t="str">
        <f t="shared" ca="1" si="7"/>
        <v/>
      </c>
      <c r="I33" s="347" t="str">
        <f t="shared" ca="1" si="7"/>
        <v/>
      </c>
      <c r="J33" s="348" t="str">
        <f t="shared" ca="1" si="7"/>
        <v/>
      </c>
      <c r="K33" s="349" t="str">
        <f t="shared" ca="1" si="7"/>
        <v/>
      </c>
      <c r="L33" s="359"/>
      <c r="M33" s="351">
        <f t="shared" ca="1" si="1"/>
        <v>0</v>
      </c>
      <c r="N33" s="352">
        <v>1523</v>
      </c>
      <c r="O33" s="353" t="str">
        <f t="shared" ca="1" si="2"/>
        <v>投资性房地产减值准备</v>
      </c>
      <c r="P33" s="351">
        <f t="shared" ca="1" si="3"/>
        <v>0</v>
      </c>
      <c r="Q33" s="354"/>
      <c r="R33" s="354"/>
      <c r="S33" s="354"/>
      <c r="T33" s="355" t="str">
        <f t="shared" ca="1" si="5"/>
        <v/>
      </c>
      <c r="U33" s="346" t="str">
        <f t="shared" ca="1" si="5"/>
        <v/>
      </c>
      <c r="V33" s="356" t="str">
        <f t="shared" ca="1" si="5"/>
        <v/>
      </c>
      <c r="W33" s="345" t="str">
        <f t="shared" ca="1" si="5"/>
        <v/>
      </c>
      <c r="X33" s="346" t="str">
        <f t="shared" ca="1" si="5"/>
        <v/>
      </c>
      <c r="Y33" s="347" t="str">
        <f t="shared" ca="1" si="5"/>
        <v/>
      </c>
      <c r="Z33" s="348" t="str">
        <f t="shared" ca="1" si="5"/>
        <v/>
      </c>
      <c r="AA33" s="346" t="str">
        <f t="shared" ca="1" si="5"/>
        <v/>
      </c>
      <c r="AB33" s="347" t="str">
        <f t="shared" ca="1" si="5"/>
        <v/>
      </c>
      <c r="AC33" s="348" t="str">
        <f t="shared" ca="1" si="5"/>
        <v/>
      </c>
      <c r="AD33" s="349" t="str">
        <f t="shared" ca="1" si="5"/>
        <v/>
      </c>
      <c r="AE33" s="357" t="str">
        <f t="shared" ca="1" si="6"/>
        <v/>
      </c>
    </row>
    <row r="34" spans="1:32" hidden="1">
      <c r="A34" s="358" t="str">
        <f t="shared" ca="1" si="7"/>
        <v/>
      </c>
      <c r="B34" s="346" t="str">
        <f t="shared" ca="1" si="7"/>
        <v/>
      </c>
      <c r="C34" s="356" t="str">
        <f t="shared" ca="1" si="7"/>
        <v/>
      </c>
      <c r="D34" s="345" t="str">
        <f t="shared" ca="1" si="7"/>
        <v/>
      </c>
      <c r="E34" s="346" t="str">
        <f t="shared" ca="1" si="7"/>
        <v/>
      </c>
      <c r="F34" s="347" t="str">
        <f t="shared" ca="1" si="7"/>
        <v/>
      </c>
      <c r="G34" s="348" t="str">
        <f t="shared" ca="1" si="7"/>
        <v/>
      </c>
      <c r="H34" s="346" t="str">
        <f t="shared" ca="1" si="7"/>
        <v/>
      </c>
      <c r="I34" s="347" t="str">
        <f t="shared" ca="1" si="7"/>
        <v/>
      </c>
      <c r="J34" s="348" t="str">
        <f t="shared" ca="1" si="7"/>
        <v/>
      </c>
      <c r="K34" s="349" t="str">
        <f t="shared" ca="1" si="7"/>
        <v/>
      </c>
      <c r="L34" s="359"/>
      <c r="M34" s="351">
        <f t="shared" ca="1" si="1"/>
        <v>0</v>
      </c>
      <c r="N34" s="352">
        <v>1531</v>
      </c>
      <c r="O34" s="353" t="str">
        <f t="shared" ca="1" si="2"/>
        <v>长期应收款</v>
      </c>
      <c r="P34" s="351">
        <f t="shared" ca="1" si="3"/>
        <v>0</v>
      </c>
      <c r="Q34" s="354"/>
      <c r="R34" s="354"/>
      <c r="S34" s="354"/>
      <c r="T34" s="355" t="str">
        <f t="shared" ca="1" si="5"/>
        <v/>
      </c>
      <c r="U34" s="346" t="str">
        <f t="shared" ca="1" si="5"/>
        <v/>
      </c>
      <c r="V34" s="356" t="str">
        <f t="shared" ca="1" si="5"/>
        <v/>
      </c>
      <c r="W34" s="345" t="str">
        <f t="shared" ca="1" si="5"/>
        <v/>
      </c>
      <c r="X34" s="346" t="str">
        <f t="shared" ca="1" si="5"/>
        <v/>
      </c>
      <c r="Y34" s="347" t="str">
        <f t="shared" ca="1" si="5"/>
        <v/>
      </c>
      <c r="Z34" s="348" t="str">
        <f t="shared" ca="1" si="5"/>
        <v/>
      </c>
      <c r="AA34" s="346" t="str">
        <f t="shared" ca="1" si="5"/>
        <v/>
      </c>
      <c r="AB34" s="347" t="str">
        <f t="shared" ca="1" si="5"/>
        <v/>
      </c>
      <c r="AC34" s="348" t="str">
        <f t="shared" ca="1" si="5"/>
        <v/>
      </c>
      <c r="AD34" s="349" t="str">
        <f t="shared" ca="1" si="5"/>
        <v/>
      </c>
      <c r="AE34" s="357" t="str">
        <f t="shared" ca="1" si="6"/>
        <v/>
      </c>
    </row>
    <row r="35" spans="1:32" hidden="1">
      <c r="A35" s="358" t="str">
        <f t="shared" ca="1" si="7"/>
        <v/>
      </c>
      <c r="B35" s="346" t="str">
        <f t="shared" ca="1" si="7"/>
        <v/>
      </c>
      <c r="C35" s="356" t="str">
        <f t="shared" ca="1" si="7"/>
        <v/>
      </c>
      <c r="D35" s="345" t="str">
        <f t="shared" ca="1" si="7"/>
        <v/>
      </c>
      <c r="E35" s="346" t="str">
        <f t="shared" ca="1" si="7"/>
        <v/>
      </c>
      <c r="F35" s="347" t="str">
        <f t="shared" ca="1" si="7"/>
        <v/>
      </c>
      <c r="G35" s="348" t="str">
        <f t="shared" ca="1" si="7"/>
        <v/>
      </c>
      <c r="H35" s="346" t="str">
        <f t="shared" ca="1" si="7"/>
        <v/>
      </c>
      <c r="I35" s="347" t="str">
        <f t="shared" ca="1" si="7"/>
        <v/>
      </c>
      <c r="J35" s="348" t="str">
        <f t="shared" ca="1" si="7"/>
        <v/>
      </c>
      <c r="K35" s="349" t="str">
        <f t="shared" ca="1" si="7"/>
        <v/>
      </c>
      <c r="L35" s="359"/>
      <c r="M35" s="351">
        <f t="shared" ca="1" si="1"/>
        <v>0</v>
      </c>
      <c r="N35" s="352">
        <v>1532</v>
      </c>
      <c r="O35" s="353" t="str">
        <f t="shared" ca="1" si="2"/>
        <v>未实现融资收益</v>
      </c>
      <c r="P35" s="351">
        <f t="shared" ca="1" si="3"/>
        <v>0</v>
      </c>
      <c r="Q35" s="354"/>
      <c r="R35" s="354"/>
      <c r="S35" s="354"/>
      <c r="T35" s="355" t="str">
        <f t="shared" ca="1" si="5"/>
        <v/>
      </c>
      <c r="U35" s="346" t="str">
        <f t="shared" ca="1" si="5"/>
        <v/>
      </c>
      <c r="V35" s="356" t="str">
        <f t="shared" ca="1" si="5"/>
        <v/>
      </c>
      <c r="W35" s="345" t="str">
        <f t="shared" ca="1" si="5"/>
        <v/>
      </c>
      <c r="X35" s="346" t="str">
        <f t="shared" ca="1" si="5"/>
        <v/>
      </c>
      <c r="Y35" s="347" t="str">
        <f t="shared" ca="1" si="5"/>
        <v/>
      </c>
      <c r="Z35" s="348" t="str">
        <f t="shared" ca="1" si="5"/>
        <v/>
      </c>
      <c r="AA35" s="346" t="str">
        <f t="shared" ca="1" si="5"/>
        <v/>
      </c>
      <c r="AB35" s="347" t="str">
        <f t="shared" ca="1" si="5"/>
        <v/>
      </c>
      <c r="AC35" s="348" t="str">
        <f t="shared" ca="1" si="5"/>
        <v/>
      </c>
      <c r="AD35" s="349" t="str">
        <f t="shared" ca="1" si="5"/>
        <v/>
      </c>
      <c r="AE35" s="357" t="str">
        <f t="shared" ca="1" si="6"/>
        <v/>
      </c>
    </row>
    <row r="36" spans="1:32" hidden="1">
      <c r="A36" s="358" t="str">
        <f t="shared" ca="1" si="7"/>
        <v/>
      </c>
      <c r="B36" s="346" t="str">
        <f t="shared" ca="1" si="7"/>
        <v/>
      </c>
      <c r="C36" s="356" t="str">
        <f t="shared" ca="1" si="7"/>
        <v/>
      </c>
      <c r="D36" s="345" t="str">
        <f t="shared" ca="1" si="7"/>
        <v/>
      </c>
      <c r="E36" s="346" t="str">
        <f t="shared" ca="1" si="7"/>
        <v/>
      </c>
      <c r="F36" s="347" t="str">
        <f t="shared" ca="1" si="7"/>
        <v/>
      </c>
      <c r="G36" s="348" t="str">
        <f t="shared" ca="1" si="7"/>
        <v/>
      </c>
      <c r="H36" s="346" t="str">
        <f t="shared" ca="1" si="7"/>
        <v/>
      </c>
      <c r="I36" s="347" t="str">
        <f t="shared" ca="1" si="7"/>
        <v/>
      </c>
      <c r="J36" s="348" t="str">
        <f t="shared" ca="1" si="7"/>
        <v/>
      </c>
      <c r="K36" s="349" t="str">
        <f t="shared" ca="1" si="7"/>
        <v/>
      </c>
      <c r="L36" s="359"/>
      <c r="M36" s="351">
        <f t="shared" ca="1" si="1"/>
        <v>0</v>
      </c>
      <c r="N36" s="352">
        <v>1601</v>
      </c>
      <c r="O36" s="353" t="str">
        <f t="shared" ca="1" si="2"/>
        <v>固定资产</v>
      </c>
      <c r="P36" s="351">
        <f t="shared" ca="1" si="3"/>
        <v>0</v>
      </c>
      <c r="Q36" s="354"/>
      <c r="R36" s="354"/>
      <c r="S36" s="354"/>
      <c r="T36" s="355" t="str">
        <f t="shared" ca="1" si="5"/>
        <v/>
      </c>
      <c r="U36" s="346" t="str">
        <f t="shared" ca="1" si="5"/>
        <v/>
      </c>
      <c r="V36" s="356" t="str">
        <f t="shared" ca="1" si="5"/>
        <v/>
      </c>
      <c r="W36" s="345" t="str">
        <f t="shared" ca="1" si="5"/>
        <v/>
      </c>
      <c r="X36" s="346" t="str">
        <f t="shared" ca="1" si="5"/>
        <v/>
      </c>
      <c r="Y36" s="347" t="str">
        <f t="shared" ca="1" si="5"/>
        <v/>
      </c>
      <c r="Z36" s="348" t="str">
        <f t="shared" ca="1" si="5"/>
        <v/>
      </c>
      <c r="AA36" s="346" t="str">
        <f t="shared" ca="1" si="5"/>
        <v/>
      </c>
      <c r="AB36" s="347" t="str">
        <f t="shared" ca="1" si="5"/>
        <v/>
      </c>
      <c r="AC36" s="348" t="str">
        <f t="shared" ca="1" si="5"/>
        <v/>
      </c>
      <c r="AD36" s="349" t="str">
        <f t="shared" ca="1" si="5"/>
        <v/>
      </c>
      <c r="AE36" s="357" t="str">
        <f t="shared" ca="1" si="6"/>
        <v/>
      </c>
      <c r="AF36" s="360"/>
    </row>
    <row r="37" spans="1:32" hidden="1">
      <c r="A37" s="358" t="str">
        <f t="shared" ca="1" si="7"/>
        <v/>
      </c>
      <c r="B37" s="346" t="str">
        <f t="shared" ca="1" si="7"/>
        <v/>
      </c>
      <c r="C37" s="356" t="str">
        <f t="shared" ca="1" si="7"/>
        <v/>
      </c>
      <c r="D37" s="345" t="str">
        <f t="shared" ca="1" si="7"/>
        <v/>
      </c>
      <c r="E37" s="346" t="str">
        <f t="shared" ca="1" si="7"/>
        <v/>
      </c>
      <c r="F37" s="347" t="str">
        <f t="shared" ca="1" si="7"/>
        <v/>
      </c>
      <c r="G37" s="348" t="str">
        <f t="shared" ca="1" si="7"/>
        <v/>
      </c>
      <c r="H37" s="346" t="str">
        <f t="shared" ca="1" si="7"/>
        <v/>
      </c>
      <c r="I37" s="347" t="str">
        <f t="shared" ca="1" si="7"/>
        <v/>
      </c>
      <c r="J37" s="348" t="str">
        <f t="shared" ca="1" si="7"/>
        <v/>
      </c>
      <c r="K37" s="349" t="str">
        <f t="shared" ca="1" si="7"/>
        <v/>
      </c>
      <c r="L37" s="359"/>
      <c r="M37" s="351">
        <f t="shared" ref="M37:M68" ca="1" si="8">SUMIFS(借方金额,记账月份,$AH$1,账户名称,$O37&amp;"*")</f>
        <v>0</v>
      </c>
      <c r="N37" s="352">
        <v>1602</v>
      </c>
      <c r="O37" s="353" t="str">
        <f t="shared" ref="O37:O68" ca="1" si="9">INDEX(账户查询,MATCH($N37,科目代码,))</f>
        <v>累计折旧</v>
      </c>
      <c r="P37" s="351">
        <f t="shared" ref="P37:P68" ca="1" si="10">SUMIFS(贷方金额,记账月份,$AH$1,账户名称,$O37&amp;"*")</f>
        <v>0</v>
      </c>
      <c r="Q37" s="354"/>
      <c r="R37" s="354"/>
      <c r="S37" s="354"/>
      <c r="T37" s="355" t="str">
        <f t="shared" ca="1" si="5"/>
        <v/>
      </c>
      <c r="U37" s="346" t="str">
        <f t="shared" ca="1" si="5"/>
        <v/>
      </c>
      <c r="V37" s="356" t="str">
        <f t="shared" ca="1" si="5"/>
        <v/>
      </c>
      <c r="W37" s="345" t="str">
        <f t="shared" ca="1" si="5"/>
        <v/>
      </c>
      <c r="X37" s="346" t="str">
        <f t="shared" ca="1" si="5"/>
        <v/>
      </c>
      <c r="Y37" s="347" t="str">
        <f t="shared" ca="1" si="5"/>
        <v/>
      </c>
      <c r="Z37" s="348" t="str">
        <f t="shared" ca="1" si="5"/>
        <v/>
      </c>
      <c r="AA37" s="346" t="str">
        <f t="shared" ca="1" si="5"/>
        <v/>
      </c>
      <c r="AB37" s="347" t="str">
        <f t="shared" ca="1" si="5"/>
        <v/>
      </c>
      <c r="AC37" s="348" t="str">
        <f t="shared" ca="1" si="5"/>
        <v/>
      </c>
      <c r="AD37" s="349" t="str">
        <f t="shared" ca="1" si="5"/>
        <v/>
      </c>
      <c r="AE37" s="357" t="str">
        <f t="shared" ca="1" si="6"/>
        <v/>
      </c>
    </row>
    <row r="38" spans="1:32" hidden="1">
      <c r="A38" s="358" t="str">
        <f t="shared" ca="1" si="7"/>
        <v/>
      </c>
      <c r="B38" s="346" t="str">
        <f t="shared" ca="1" si="7"/>
        <v/>
      </c>
      <c r="C38" s="356" t="str">
        <f t="shared" ca="1" si="7"/>
        <v/>
      </c>
      <c r="D38" s="345" t="str">
        <f t="shared" ca="1" si="7"/>
        <v/>
      </c>
      <c r="E38" s="346" t="str">
        <f t="shared" ca="1" si="7"/>
        <v/>
      </c>
      <c r="F38" s="347" t="str">
        <f t="shared" ca="1" si="7"/>
        <v/>
      </c>
      <c r="G38" s="348" t="str">
        <f t="shared" ca="1" si="7"/>
        <v/>
      </c>
      <c r="H38" s="346" t="str">
        <f t="shared" ca="1" si="7"/>
        <v/>
      </c>
      <c r="I38" s="347" t="str">
        <f t="shared" ca="1" si="7"/>
        <v/>
      </c>
      <c r="J38" s="348" t="str">
        <f t="shared" ca="1" si="7"/>
        <v/>
      </c>
      <c r="K38" s="349" t="str">
        <f t="shared" ca="1" si="7"/>
        <v/>
      </c>
      <c r="L38" s="359"/>
      <c r="M38" s="351">
        <f t="shared" ca="1" si="8"/>
        <v>0</v>
      </c>
      <c r="N38" s="352">
        <v>1603</v>
      </c>
      <c r="O38" s="353" t="str">
        <f t="shared" ca="1" si="9"/>
        <v>固定资产减值准备</v>
      </c>
      <c r="P38" s="351">
        <f t="shared" ca="1" si="10"/>
        <v>0</v>
      </c>
      <c r="Q38" s="354"/>
      <c r="R38" s="354"/>
      <c r="S38" s="354"/>
      <c r="T38" s="355" t="str">
        <f t="shared" ref="T38:AD61" ca="1" si="11">LEFT(RIGHT(TEXT($P38/1%," ￥0; ￥-0;"),31-COLUMN()))</f>
        <v/>
      </c>
      <c r="U38" s="346" t="str">
        <f t="shared" ca="1" si="11"/>
        <v/>
      </c>
      <c r="V38" s="356" t="str">
        <f t="shared" ca="1" si="11"/>
        <v/>
      </c>
      <c r="W38" s="345" t="str">
        <f t="shared" ca="1" si="11"/>
        <v/>
      </c>
      <c r="X38" s="346" t="str">
        <f t="shared" ca="1" si="11"/>
        <v/>
      </c>
      <c r="Y38" s="347" t="str">
        <f t="shared" ca="1" si="11"/>
        <v/>
      </c>
      <c r="Z38" s="348" t="str">
        <f t="shared" ca="1" si="11"/>
        <v/>
      </c>
      <c r="AA38" s="346" t="str">
        <f t="shared" ca="1" si="11"/>
        <v/>
      </c>
      <c r="AB38" s="347" t="str">
        <f t="shared" ca="1" si="11"/>
        <v/>
      </c>
      <c r="AC38" s="348" t="str">
        <f t="shared" ca="1" si="11"/>
        <v/>
      </c>
      <c r="AD38" s="349" t="str">
        <f t="shared" ca="1" si="11"/>
        <v/>
      </c>
      <c r="AE38" s="357" t="str">
        <f t="shared" ca="1" si="6"/>
        <v/>
      </c>
    </row>
    <row r="39" spans="1:32" hidden="1">
      <c r="A39" s="358" t="str">
        <f t="shared" ref="A39:K62" ca="1" si="12">LEFT(RIGHT(TEXT($M39/1%," ￥0; ￥-0;"),12-COLUMN()))</f>
        <v/>
      </c>
      <c r="B39" s="346" t="str">
        <f t="shared" ca="1" si="12"/>
        <v/>
      </c>
      <c r="C39" s="356" t="str">
        <f t="shared" ca="1" si="12"/>
        <v/>
      </c>
      <c r="D39" s="345" t="str">
        <f t="shared" ca="1" si="12"/>
        <v/>
      </c>
      <c r="E39" s="346" t="str">
        <f t="shared" ca="1" si="12"/>
        <v/>
      </c>
      <c r="F39" s="347" t="str">
        <f t="shared" ca="1" si="12"/>
        <v/>
      </c>
      <c r="G39" s="348" t="str">
        <f t="shared" ca="1" si="12"/>
        <v/>
      </c>
      <c r="H39" s="346" t="str">
        <f t="shared" ca="1" si="12"/>
        <v/>
      </c>
      <c r="I39" s="347" t="str">
        <f t="shared" ca="1" si="12"/>
        <v/>
      </c>
      <c r="J39" s="348" t="str">
        <f t="shared" ca="1" si="12"/>
        <v/>
      </c>
      <c r="K39" s="349" t="str">
        <f t="shared" ca="1" si="12"/>
        <v/>
      </c>
      <c r="L39" s="359"/>
      <c r="M39" s="351">
        <f t="shared" ca="1" si="8"/>
        <v>0</v>
      </c>
      <c r="N39" s="352">
        <v>1604</v>
      </c>
      <c r="O39" s="353" t="str">
        <f t="shared" ca="1" si="9"/>
        <v>在建工程</v>
      </c>
      <c r="P39" s="351">
        <f t="shared" ca="1" si="10"/>
        <v>0</v>
      </c>
      <c r="Q39" s="354"/>
      <c r="R39" s="354"/>
      <c r="S39" s="354"/>
      <c r="T39" s="355" t="str">
        <f t="shared" ca="1" si="11"/>
        <v/>
      </c>
      <c r="U39" s="346" t="str">
        <f t="shared" ca="1" si="11"/>
        <v/>
      </c>
      <c r="V39" s="356" t="str">
        <f t="shared" ca="1" si="11"/>
        <v/>
      </c>
      <c r="W39" s="345" t="str">
        <f t="shared" ca="1" si="11"/>
        <v/>
      </c>
      <c r="X39" s="346" t="str">
        <f t="shared" ca="1" si="11"/>
        <v/>
      </c>
      <c r="Y39" s="347" t="str">
        <f t="shared" ca="1" si="11"/>
        <v/>
      </c>
      <c r="Z39" s="348" t="str">
        <f t="shared" ca="1" si="11"/>
        <v/>
      </c>
      <c r="AA39" s="346" t="str">
        <f t="shared" ca="1" si="11"/>
        <v/>
      </c>
      <c r="AB39" s="347" t="str">
        <f t="shared" ca="1" si="11"/>
        <v/>
      </c>
      <c r="AC39" s="348" t="str">
        <f t="shared" ca="1" si="11"/>
        <v/>
      </c>
      <c r="AD39" s="349" t="str">
        <f t="shared" ca="1" si="11"/>
        <v/>
      </c>
      <c r="AE39" s="357" t="str">
        <f t="shared" ca="1" si="6"/>
        <v/>
      </c>
    </row>
    <row r="40" spans="1:32" hidden="1">
      <c r="A40" s="358" t="str">
        <f t="shared" ca="1" si="12"/>
        <v/>
      </c>
      <c r="B40" s="346" t="str">
        <f t="shared" ca="1" si="12"/>
        <v/>
      </c>
      <c r="C40" s="356" t="str">
        <f t="shared" ca="1" si="12"/>
        <v/>
      </c>
      <c r="D40" s="345" t="str">
        <f t="shared" ca="1" si="12"/>
        <v/>
      </c>
      <c r="E40" s="346" t="str">
        <f t="shared" ca="1" si="12"/>
        <v/>
      </c>
      <c r="F40" s="347" t="str">
        <f t="shared" ca="1" si="12"/>
        <v/>
      </c>
      <c r="G40" s="348" t="str">
        <f t="shared" ca="1" si="12"/>
        <v/>
      </c>
      <c r="H40" s="346" t="str">
        <f t="shared" ca="1" si="12"/>
        <v/>
      </c>
      <c r="I40" s="347" t="str">
        <f t="shared" ca="1" si="12"/>
        <v/>
      </c>
      <c r="J40" s="348" t="str">
        <f t="shared" ca="1" si="12"/>
        <v/>
      </c>
      <c r="K40" s="349" t="str">
        <f t="shared" ca="1" si="12"/>
        <v/>
      </c>
      <c r="L40" s="359"/>
      <c r="M40" s="351">
        <f t="shared" ca="1" si="8"/>
        <v>0</v>
      </c>
      <c r="N40" s="352">
        <v>1605</v>
      </c>
      <c r="O40" s="353" t="str">
        <f t="shared" ca="1" si="9"/>
        <v>工程物资</v>
      </c>
      <c r="P40" s="351">
        <f t="shared" ca="1" si="10"/>
        <v>0</v>
      </c>
      <c r="Q40" s="354"/>
      <c r="R40" s="354"/>
      <c r="S40" s="354"/>
      <c r="T40" s="355" t="str">
        <f t="shared" ca="1" si="11"/>
        <v/>
      </c>
      <c r="U40" s="346" t="str">
        <f t="shared" ca="1" si="11"/>
        <v/>
      </c>
      <c r="V40" s="356" t="str">
        <f t="shared" ca="1" si="11"/>
        <v/>
      </c>
      <c r="W40" s="345" t="str">
        <f t="shared" ca="1" si="11"/>
        <v/>
      </c>
      <c r="X40" s="346" t="str">
        <f t="shared" ca="1" si="11"/>
        <v/>
      </c>
      <c r="Y40" s="347" t="str">
        <f t="shared" ca="1" si="11"/>
        <v/>
      </c>
      <c r="Z40" s="348" t="str">
        <f t="shared" ca="1" si="11"/>
        <v/>
      </c>
      <c r="AA40" s="346" t="str">
        <f t="shared" ca="1" si="11"/>
        <v/>
      </c>
      <c r="AB40" s="347" t="str">
        <f t="shared" ca="1" si="11"/>
        <v/>
      </c>
      <c r="AC40" s="348" t="str">
        <f t="shared" ca="1" si="11"/>
        <v/>
      </c>
      <c r="AD40" s="349" t="str">
        <f t="shared" ca="1" si="11"/>
        <v/>
      </c>
      <c r="AE40" s="357" t="str">
        <f t="shared" ca="1" si="6"/>
        <v/>
      </c>
    </row>
    <row r="41" spans="1:32" hidden="1">
      <c r="A41" s="358" t="str">
        <f t="shared" ca="1" si="12"/>
        <v/>
      </c>
      <c r="B41" s="346" t="str">
        <f t="shared" ca="1" si="12"/>
        <v/>
      </c>
      <c r="C41" s="356" t="str">
        <f t="shared" ca="1" si="12"/>
        <v/>
      </c>
      <c r="D41" s="345" t="str">
        <f t="shared" ca="1" si="12"/>
        <v/>
      </c>
      <c r="E41" s="346" t="str">
        <f t="shared" ca="1" si="12"/>
        <v/>
      </c>
      <c r="F41" s="347" t="str">
        <f t="shared" ca="1" si="12"/>
        <v/>
      </c>
      <c r="G41" s="348" t="str">
        <f t="shared" ca="1" si="12"/>
        <v/>
      </c>
      <c r="H41" s="346" t="str">
        <f t="shared" ca="1" si="12"/>
        <v/>
      </c>
      <c r="I41" s="347" t="str">
        <f t="shared" ca="1" si="12"/>
        <v/>
      </c>
      <c r="J41" s="348" t="str">
        <f t="shared" ca="1" si="12"/>
        <v/>
      </c>
      <c r="K41" s="349" t="str">
        <f t="shared" ca="1" si="12"/>
        <v/>
      </c>
      <c r="L41" s="359"/>
      <c r="M41" s="351">
        <f t="shared" ca="1" si="8"/>
        <v>0</v>
      </c>
      <c r="N41" s="352">
        <v>1606</v>
      </c>
      <c r="O41" s="353" t="str">
        <f t="shared" ca="1" si="9"/>
        <v>固定资产清理</v>
      </c>
      <c r="P41" s="351">
        <f t="shared" ca="1" si="10"/>
        <v>0</v>
      </c>
      <c r="Q41" s="354"/>
      <c r="R41" s="354"/>
      <c r="S41" s="354"/>
      <c r="T41" s="355" t="str">
        <f t="shared" ca="1" si="11"/>
        <v/>
      </c>
      <c r="U41" s="346" t="str">
        <f t="shared" ca="1" si="11"/>
        <v/>
      </c>
      <c r="V41" s="356" t="str">
        <f t="shared" ca="1" si="11"/>
        <v/>
      </c>
      <c r="W41" s="345" t="str">
        <f t="shared" ca="1" si="11"/>
        <v/>
      </c>
      <c r="X41" s="346" t="str">
        <f t="shared" ca="1" si="11"/>
        <v/>
      </c>
      <c r="Y41" s="347" t="str">
        <f t="shared" ca="1" si="11"/>
        <v/>
      </c>
      <c r="Z41" s="348" t="str">
        <f t="shared" ca="1" si="11"/>
        <v/>
      </c>
      <c r="AA41" s="346" t="str">
        <f t="shared" ca="1" si="11"/>
        <v/>
      </c>
      <c r="AB41" s="347" t="str">
        <f t="shared" ca="1" si="11"/>
        <v/>
      </c>
      <c r="AC41" s="348" t="str">
        <f t="shared" ca="1" si="11"/>
        <v/>
      </c>
      <c r="AD41" s="349" t="str">
        <f t="shared" ca="1" si="11"/>
        <v/>
      </c>
      <c r="AE41" s="357" t="str">
        <f t="shared" ca="1" si="6"/>
        <v/>
      </c>
    </row>
    <row r="42" spans="1:32" hidden="1">
      <c r="A42" s="358" t="str">
        <f t="shared" ca="1" si="12"/>
        <v/>
      </c>
      <c r="B42" s="346" t="str">
        <f t="shared" ca="1" si="12"/>
        <v/>
      </c>
      <c r="C42" s="356" t="str">
        <f t="shared" ca="1" si="12"/>
        <v/>
      </c>
      <c r="D42" s="345" t="str">
        <f t="shared" ca="1" si="12"/>
        <v/>
      </c>
      <c r="E42" s="346" t="str">
        <f t="shared" ca="1" si="12"/>
        <v/>
      </c>
      <c r="F42" s="347" t="str">
        <f t="shared" ca="1" si="12"/>
        <v/>
      </c>
      <c r="G42" s="348" t="str">
        <f t="shared" ca="1" si="12"/>
        <v/>
      </c>
      <c r="H42" s="346" t="str">
        <f t="shared" ca="1" si="12"/>
        <v/>
      </c>
      <c r="I42" s="347" t="str">
        <f t="shared" ca="1" si="12"/>
        <v/>
      </c>
      <c r="J42" s="348" t="str">
        <f t="shared" ca="1" si="12"/>
        <v/>
      </c>
      <c r="K42" s="349" t="str">
        <f t="shared" ca="1" si="12"/>
        <v/>
      </c>
      <c r="L42" s="359"/>
      <c r="M42" s="351">
        <f t="shared" ca="1" si="8"/>
        <v>0</v>
      </c>
      <c r="N42" s="352">
        <v>1701</v>
      </c>
      <c r="O42" s="353" t="str">
        <f t="shared" ca="1" si="9"/>
        <v>无形资产</v>
      </c>
      <c r="P42" s="351">
        <f t="shared" ca="1" si="10"/>
        <v>0</v>
      </c>
      <c r="Q42" s="354"/>
      <c r="R42" s="354"/>
      <c r="S42" s="354"/>
      <c r="T42" s="355" t="str">
        <f t="shared" ca="1" si="11"/>
        <v/>
      </c>
      <c r="U42" s="346" t="str">
        <f t="shared" ca="1" si="11"/>
        <v/>
      </c>
      <c r="V42" s="356" t="str">
        <f t="shared" ca="1" si="11"/>
        <v/>
      </c>
      <c r="W42" s="345" t="str">
        <f t="shared" ca="1" si="11"/>
        <v/>
      </c>
      <c r="X42" s="346" t="str">
        <f t="shared" ca="1" si="11"/>
        <v/>
      </c>
      <c r="Y42" s="347" t="str">
        <f t="shared" ca="1" si="11"/>
        <v/>
      </c>
      <c r="Z42" s="348" t="str">
        <f t="shared" ca="1" si="11"/>
        <v/>
      </c>
      <c r="AA42" s="346" t="str">
        <f t="shared" ca="1" si="11"/>
        <v/>
      </c>
      <c r="AB42" s="347" t="str">
        <f t="shared" ca="1" si="11"/>
        <v/>
      </c>
      <c r="AC42" s="348" t="str">
        <f t="shared" ca="1" si="11"/>
        <v/>
      </c>
      <c r="AD42" s="349" t="str">
        <f t="shared" ca="1" si="11"/>
        <v/>
      </c>
      <c r="AE42" s="357" t="str">
        <f t="shared" ca="1" si="6"/>
        <v/>
      </c>
    </row>
    <row r="43" spans="1:32" hidden="1">
      <c r="A43" s="358" t="str">
        <f t="shared" ca="1" si="12"/>
        <v/>
      </c>
      <c r="B43" s="346" t="str">
        <f t="shared" ca="1" si="12"/>
        <v/>
      </c>
      <c r="C43" s="356" t="str">
        <f t="shared" ca="1" si="12"/>
        <v/>
      </c>
      <c r="D43" s="345" t="str">
        <f t="shared" ca="1" si="12"/>
        <v/>
      </c>
      <c r="E43" s="346" t="str">
        <f t="shared" ca="1" si="12"/>
        <v/>
      </c>
      <c r="F43" s="347" t="str">
        <f t="shared" ca="1" si="12"/>
        <v/>
      </c>
      <c r="G43" s="348" t="str">
        <f t="shared" ca="1" si="12"/>
        <v/>
      </c>
      <c r="H43" s="346" t="str">
        <f t="shared" ca="1" si="12"/>
        <v/>
      </c>
      <c r="I43" s="347" t="str">
        <f t="shared" ca="1" si="12"/>
        <v/>
      </c>
      <c r="J43" s="348" t="str">
        <f t="shared" ca="1" si="12"/>
        <v/>
      </c>
      <c r="K43" s="349" t="str">
        <f t="shared" ca="1" si="12"/>
        <v/>
      </c>
      <c r="L43" s="359"/>
      <c r="M43" s="351">
        <f t="shared" ca="1" si="8"/>
        <v>0</v>
      </c>
      <c r="N43" s="352">
        <v>1702</v>
      </c>
      <c r="O43" s="353" t="str">
        <f t="shared" ca="1" si="9"/>
        <v>累计摊销</v>
      </c>
      <c r="P43" s="351">
        <f t="shared" ca="1" si="10"/>
        <v>0</v>
      </c>
      <c r="Q43" s="354"/>
      <c r="R43" s="354"/>
      <c r="S43" s="354"/>
      <c r="T43" s="355" t="str">
        <f t="shared" ca="1" si="11"/>
        <v/>
      </c>
      <c r="U43" s="346" t="str">
        <f t="shared" ca="1" si="11"/>
        <v/>
      </c>
      <c r="V43" s="356" t="str">
        <f t="shared" ca="1" si="11"/>
        <v/>
      </c>
      <c r="W43" s="345" t="str">
        <f t="shared" ca="1" si="11"/>
        <v/>
      </c>
      <c r="X43" s="346" t="str">
        <f t="shared" ca="1" si="11"/>
        <v/>
      </c>
      <c r="Y43" s="347" t="str">
        <f t="shared" ca="1" si="11"/>
        <v/>
      </c>
      <c r="Z43" s="348" t="str">
        <f t="shared" ca="1" si="11"/>
        <v/>
      </c>
      <c r="AA43" s="346" t="str">
        <f t="shared" ca="1" si="11"/>
        <v/>
      </c>
      <c r="AB43" s="347" t="str">
        <f t="shared" ca="1" si="11"/>
        <v/>
      </c>
      <c r="AC43" s="348" t="str">
        <f t="shared" ca="1" si="11"/>
        <v/>
      </c>
      <c r="AD43" s="349" t="str">
        <f t="shared" ca="1" si="11"/>
        <v/>
      </c>
      <c r="AE43" s="357" t="str">
        <f t="shared" ca="1" si="6"/>
        <v/>
      </c>
    </row>
    <row r="44" spans="1:32" hidden="1">
      <c r="A44" s="358" t="str">
        <f t="shared" ca="1" si="12"/>
        <v/>
      </c>
      <c r="B44" s="346" t="str">
        <f t="shared" ca="1" si="12"/>
        <v/>
      </c>
      <c r="C44" s="356" t="str">
        <f t="shared" ca="1" si="12"/>
        <v/>
      </c>
      <c r="D44" s="345" t="str">
        <f t="shared" ca="1" si="12"/>
        <v/>
      </c>
      <c r="E44" s="346" t="str">
        <f t="shared" ca="1" si="12"/>
        <v/>
      </c>
      <c r="F44" s="347" t="str">
        <f t="shared" ca="1" si="12"/>
        <v/>
      </c>
      <c r="G44" s="348" t="str">
        <f t="shared" ca="1" si="12"/>
        <v/>
      </c>
      <c r="H44" s="346" t="str">
        <f t="shared" ca="1" si="12"/>
        <v/>
      </c>
      <c r="I44" s="347" t="str">
        <f t="shared" ca="1" si="12"/>
        <v/>
      </c>
      <c r="J44" s="348" t="str">
        <f t="shared" ca="1" si="12"/>
        <v/>
      </c>
      <c r="K44" s="349" t="str">
        <f t="shared" ca="1" si="12"/>
        <v/>
      </c>
      <c r="L44" s="359"/>
      <c r="M44" s="351">
        <f t="shared" ca="1" si="8"/>
        <v>0</v>
      </c>
      <c r="N44" s="352">
        <v>1703</v>
      </c>
      <c r="O44" s="353" t="str">
        <f t="shared" ca="1" si="9"/>
        <v>无形资产减值准备</v>
      </c>
      <c r="P44" s="351">
        <f t="shared" ca="1" si="10"/>
        <v>0</v>
      </c>
      <c r="Q44" s="354"/>
      <c r="R44" s="354"/>
      <c r="S44" s="354"/>
      <c r="T44" s="355" t="str">
        <f t="shared" ca="1" si="11"/>
        <v/>
      </c>
      <c r="U44" s="346" t="str">
        <f t="shared" ca="1" si="11"/>
        <v/>
      </c>
      <c r="V44" s="356" t="str">
        <f t="shared" ca="1" si="11"/>
        <v/>
      </c>
      <c r="W44" s="345" t="str">
        <f t="shared" ca="1" si="11"/>
        <v/>
      </c>
      <c r="X44" s="346" t="str">
        <f t="shared" ca="1" si="11"/>
        <v/>
      </c>
      <c r="Y44" s="347" t="str">
        <f t="shared" ca="1" si="11"/>
        <v/>
      </c>
      <c r="Z44" s="348" t="str">
        <f t="shared" ca="1" si="11"/>
        <v/>
      </c>
      <c r="AA44" s="346" t="str">
        <f t="shared" ca="1" si="11"/>
        <v/>
      </c>
      <c r="AB44" s="347" t="str">
        <f t="shared" ca="1" si="11"/>
        <v/>
      </c>
      <c r="AC44" s="348" t="str">
        <f t="shared" ca="1" si="11"/>
        <v/>
      </c>
      <c r="AD44" s="349" t="str">
        <f t="shared" ca="1" si="11"/>
        <v/>
      </c>
      <c r="AE44" s="357" t="str">
        <f t="shared" ca="1" si="6"/>
        <v/>
      </c>
    </row>
    <row r="45" spans="1:32" hidden="1">
      <c r="A45" s="358" t="str">
        <f t="shared" ca="1" si="12"/>
        <v/>
      </c>
      <c r="B45" s="346" t="str">
        <f t="shared" ca="1" si="12"/>
        <v/>
      </c>
      <c r="C45" s="356" t="str">
        <f t="shared" ca="1" si="12"/>
        <v/>
      </c>
      <c r="D45" s="345" t="str">
        <f t="shared" ca="1" si="12"/>
        <v/>
      </c>
      <c r="E45" s="346" t="str">
        <f t="shared" ca="1" si="12"/>
        <v/>
      </c>
      <c r="F45" s="347" t="str">
        <f t="shared" ca="1" si="12"/>
        <v/>
      </c>
      <c r="G45" s="348" t="str">
        <f t="shared" ca="1" si="12"/>
        <v/>
      </c>
      <c r="H45" s="346" t="str">
        <f t="shared" ca="1" si="12"/>
        <v/>
      </c>
      <c r="I45" s="347" t="str">
        <f t="shared" ca="1" si="12"/>
        <v/>
      </c>
      <c r="J45" s="348" t="str">
        <f t="shared" ca="1" si="12"/>
        <v/>
      </c>
      <c r="K45" s="349" t="str">
        <f t="shared" ca="1" si="12"/>
        <v/>
      </c>
      <c r="L45" s="359"/>
      <c r="M45" s="351">
        <f t="shared" ca="1" si="8"/>
        <v>0</v>
      </c>
      <c r="N45" s="352">
        <v>1711</v>
      </c>
      <c r="O45" s="353" t="str">
        <f t="shared" ca="1" si="9"/>
        <v>商誉</v>
      </c>
      <c r="P45" s="351">
        <f t="shared" ca="1" si="10"/>
        <v>0</v>
      </c>
      <c r="Q45" s="354"/>
      <c r="R45" s="354"/>
      <c r="S45" s="354"/>
      <c r="T45" s="355" t="str">
        <f t="shared" ca="1" si="11"/>
        <v/>
      </c>
      <c r="U45" s="346" t="str">
        <f t="shared" ca="1" si="11"/>
        <v/>
      </c>
      <c r="V45" s="356" t="str">
        <f t="shared" ca="1" si="11"/>
        <v/>
      </c>
      <c r="W45" s="345" t="str">
        <f t="shared" ca="1" si="11"/>
        <v/>
      </c>
      <c r="X45" s="346" t="str">
        <f t="shared" ca="1" si="11"/>
        <v/>
      </c>
      <c r="Y45" s="347" t="str">
        <f t="shared" ca="1" si="11"/>
        <v/>
      </c>
      <c r="Z45" s="348" t="str">
        <f t="shared" ca="1" si="11"/>
        <v/>
      </c>
      <c r="AA45" s="346" t="str">
        <f t="shared" ca="1" si="11"/>
        <v/>
      </c>
      <c r="AB45" s="347" t="str">
        <f t="shared" ca="1" si="11"/>
        <v/>
      </c>
      <c r="AC45" s="348" t="str">
        <f t="shared" ca="1" si="11"/>
        <v/>
      </c>
      <c r="AD45" s="349" t="str">
        <f t="shared" ca="1" si="11"/>
        <v/>
      </c>
      <c r="AE45" s="357" t="str">
        <f t="shared" ca="1" si="6"/>
        <v/>
      </c>
    </row>
    <row r="46" spans="1:32" hidden="1">
      <c r="A46" s="358" t="str">
        <f t="shared" ca="1" si="12"/>
        <v/>
      </c>
      <c r="B46" s="346" t="str">
        <f t="shared" ca="1" si="12"/>
        <v/>
      </c>
      <c r="C46" s="356" t="str">
        <f t="shared" ca="1" si="12"/>
        <v/>
      </c>
      <c r="D46" s="345" t="str">
        <f t="shared" ca="1" si="12"/>
        <v/>
      </c>
      <c r="E46" s="346" t="str">
        <f t="shared" ca="1" si="12"/>
        <v/>
      </c>
      <c r="F46" s="347" t="str">
        <f t="shared" ca="1" si="12"/>
        <v/>
      </c>
      <c r="G46" s="348" t="str">
        <f t="shared" ca="1" si="12"/>
        <v/>
      </c>
      <c r="H46" s="346" t="str">
        <f t="shared" ca="1" si="12"/>
        <v/>
      </c>
      <c r="I46" s="347" t="str">
        <f t="shared" ca="1" si="12"/>
        <v/>
      </c>
      <c r="J46" s="348" t="str">
        <f t="shared" ca="1" si="12"/>
        <v/>
      </c>
      <c r="K46" s="349" t="str">
        <f t="shared" ca="1" si="12"/>
        <v/>
      </c>
      <c r="L46" s="359"/>
      <c r="M46" s="351">
        <f t="shared" ca="1" si="8"/>
        <v>0</v>
      </c>
      <c r="N46" s="352">
        <v>1801</v>
      </c>
      <c r="O46" s="353" t="str">
        <f t="shared" ca="1" si="9"/>
        <v>长期待摊费用</v>
      </c>
      <c r="P46" s="351">
        <f t="shared" ca="1" si="10"/>
        <v>0</v>
      </c>
      <c r="Q46" s="354"/>
      <c r="R46" s="354"/>
      <c r="S46" s="354"/>
      <c r="T46" s="355" t="str">
        <f t="shared" ca="1" si="11"/>
        <v/>
      </c>
      <c r="U46" s="346" t="str">
        <f t="shared" ca="1" si="11"/>
        <v/>
      </c>
      <c r="V46" s="356" t="str">
        <f t="shared" ca="1" si="11"/>
        <v/>
      </c>
      <c r="W46" s="345" t="str">
        <f t="shared" ca="1" si="11"/>
        <v/>
      </c>
      <c r="X46" s="346" t="str">
        <f t="shared" ca="1" si="11"/>
        <v/>
      </c>
      <c r="Y46" s="347" t="str">
        <f t="shared" ca="1" si="11"/>
        <v/>
      </c>
      <c r="Z46" s="348" t="str">
        <f t="shared" ca="1" si="11"/>
        <v/>
      </c>
      <c r="AA46" s="346" t="str">
        <f t="shared" ca="1" si="11"/>
        <v/>
      </c>
      <c r="AB46" s="347" t="str">
        <f t="shared" ca="1" si="11"/>
        <v/>
      </c>
      <c r="AC46" s="348" t="str">
        <f t="shared" ca="1" si="11"/>
        <v/>
      </c>
      <c r="AD46" s="349" t="str">
        <f t="shared" ca="1" si="11"/>
        <v/>
      </c>
      <c r="AE46" s="357" t="str">
        <f t="shared" ca="1" si="6"/>
        <v/>
      </c>
    </row>
    <row r="47" spans="1:32" hidden="1">
      <c r="A47" s="358" t="str">
        <f t="shared" ca="1" si="12"/>
        <v/>
      </c>
      <c r="B47" s="346" t="str">
        <f t="shared" ca="1" si="12"/>
        <v/>
      </c>
      <c r="C47" s="356" t="str">
        <f t="shared" ca="1" si="12"/>
        <v/>
      </c>
      <c r="D47" s="345" t="str">
        <f t="shared" ca="1" si="12"/>
        <v/>
      </c>
      <c r="E47" s="346" t="str">
        <f t="shared" ca="1" si="12"/>
        <v/>
      </c>
      <c r="F47" s="347" t="str">
        <f t="shared" ca="1" si="12"/>
        <v/>
      </c>
      <c r="G47" s="348" t="str">
        <f t="shared" ca="1" si="12"/>
        <v/>
      </c>
      <c r="H47" s="346" t="str">
        <f t="shared" ca="1" si="12"/>
        <v/>
      </c>
      <c r="I47" s="347" t="str">
        <f t="shared" ca="1" si="12"/>
        <v/>
      </c>
      <c r="J47" s="348" t="str">
        <f t="shared" ca="1" si="12"/>
        <v/>
      </c>
      <c r="K47" s="349" t="str">
        <f t="shared" ca="1" si="12"/>
        <v/>
      </c>
      <c r="L47" s="359"/>
      <c r="M47" s="351">
        <f t="shared" ca="1" si="8"/>
        <v>0</v>
      </c>
      <c r="N47" s="352">
        <v>1811</v>
      </c>
      <c r="O47" s="353" t="str">
        <f t="shared" ca="1" si="9"/>
        <v>递延所得税资产</v>
      </c>
      <c r="P47" s="351">
        <f t="shared" ca="1" si="10"/>
        <v>0</v>
      </c>
      <c r="Q47" s="354"/>
      <c r="R47" s="354"/>
      <c r="S47" s="354"/>
      <c r="T47" s="355" t="str">
        <f t="shared" ca="1" si="11"/>
        <v/>
      </c>
      <c r="U47" s="346" t="str">
        <f t="shared" ca="1" si="11"/>
        <v/>
      </c>
      <c r="V47" s="356" t="str">
        <f t="shared" ca="1" si="11"/>
        <v/>
      </c>
      <c r="W47" s="345" t="str">
        <f t="shared" ca="1" si="11"/>
        <v/>
      </c>
      <c r="X47" s="346" t="str">
        <f t="shared" ca="1" si="11"/>
        <v/>
      </c>
      <c r="Y47" s="347" t="str">
        <f t="shared" ca="1" si="11"/>
        <v/>
      </c>
      <c r="Z47" s="348" t="str">
        <f t="shared" ca="1" si="11"/>
        <v/>
      </c>
      <c r="AA47" s="346" t="str">
        <f t="shared" ca="1" si="11"/>
        <v/>
      </c>
      <c r="AB47" s="347" t="str">
        <f t="shared" ca="1" si="11"/>
        <v/>
      </c>
      <c r="AC47" s="348" t="str">
        <f t="shared" ca="1" si="11"/>
        <v/>
      </c>
      <c r="AD47" s="349" t="str">
        <f t="shared" ca="1" si="11"/>
        <v/>
      </c>
      <c r="AE47" s="357" t="str">
        <f t="shared" ca="1" si="6"/>
        <v/>
      </c>
    </row>
    <row r="48" spans="1:32" hidden="1">
      <c r="A48" s="358" t="str">
        <f t="shared" ca="1" si="12"/>
        <v/>
      </c>
      <c r="B48" s="346" t="str">
        <f t="shared" ca="1" si="12"/>
        <v/>
      </c>
      <c r="C48" s="356" t="str">
        <f t="shared" ca="1" si="12"/>
        <v/>
      </c>
      <c r="D48" s="345" t="str">
        <f t="shared" ca="1" si="12"/>
        <v/>
      </c>
      <c r="E48" s="346" t="str">
        <f t="shared" ca="1" si="12"/>
        <v/>
      </c>
      <c r="F48" s="347" t="str">
        <f t="shared" ca="1" si="12"/>
        <v/>
      </c>
      <c r="G48" s="348" t="str">
        <f t="shared" ca="1" si="12"/>
        <v/>
      </c>
      <c r="H48" s="346" t="str">
        <f t="shared" ca="1" si="12"/>
        <v/>
      </c>
      <c r="I48" s="347" t="str">
        <f t="shared" ca="1" si="12"/>
        <v/>
      </c>
      <c r="J48" s="348" t="str">
        <f t="shared" ca="1" si="12"/>
        <v/>
      </c>
      <c r="K48" s="349" t="str">
        <f t="shared" ca="1" si="12"/>
        <v/>
      </c>
      <c r="L48" s="359"/>
      <c r="M48" s="351">
        <f t="shared" ca="1" si="8"/>
        <v>0</v>
      </c>
      <c r="N48" s="352">
        <v>1901</v>
      </c>
      <c r="O48" s="353" t="str">
        <f t="shared" ca="1" si="9"/>
        <v>待处理财产损溢</v>
      </c>
      <c r="P48" s="351">
        <f t="shared" ca="1" si="10"/>
        <v>0</v>
      </c>
      <c r="Q48" s="354"/>
      <c r="R48" s="354"/>
      <c r="S48" s="354"/>
      <c r="T48" s="355" t="str">
        <f t="shared" ca="1" si="11"/>
        <v/>
      </c>
      <c r="U48" s="346" t="str">
        <f t="shared" ca="1" si="11"/>
        <v/>
      </c>
      <c r="V48" s="356" t="str">
        <f t="shared" ca="1" si="11"/>
        <v/>
      </c>
      <c r="W48" s="345" t="str">
        <f t="shared" ca="1" si="11"/>
        <v/>
      </c>
      <c r="X48" s="346" t="str">
        <f t="shared" ca="1" si="11"/>
        <v/>
      </c>
      <c r="Y48" s="347" t="str">
        <f t="shared" ca="1" si="11"/>
        <v/>
      </c>
      <c r="Z48" s="348" t="str">
        <f t="shared" ca="1" si="11"/>
        <v/>
      </c>
      <c r="AA48" s="346" t="str">
        <f t="shared" ca="1" si="11"/>
        <v/>
      </c>
      <c r="AB48" s="347" t="str">
        <f t="shared" ca="1" si="11"/>
        <v/>
      </c>
      <c r="AC48" s="348" t="str">
        <f t="shared" ca="1" si="11"/>
        <v/>
      </c>
      <c r="AD48" s="349" t="str">
        <f t="shared" ca="1" si="11"/>
        <v/>
      </c>
      <c r="AE48" s="357" t="str">
        <f t="shared" ca="1" si="6"/>
        <v/>
      </c>
    </row>
    <row r="49" spans="1:31" hidden="1">
      <c r="A49" s="358" t="str">
        <f t="shared" ca="1" si="12"/>
        <v/>
      </c>
      <c r="B49" s="346" t="str">
        <f t="shared" ca="1" si="12"/>
        <v/>
      </c>
      <c r="C49" s="356" t="str">
        <f t="shared" ca="1" si="12"/>
        <v/>
      </c>
      <c r="D49" s="345" t="str">
        <f t="shared" ca="1" si="12"/>
        <v/>
      </c>
      <c r="E49" s="346" t="str">
        <f t="shared" ca="1" si="12"/>
        <v/>
      </c>
      <c r="F49" s="347" t="str">
        <f t="shared" ca="1" si="12"/>
        <v/>
      </c>
      <c r="G49" s="348" t="str">
        <f t="shared" ca="1" si="12"/>
        <v/>
      </c>
      <c r="H49" s="346" t="str">
        <f t="shared" ca="1" si="12"/>
        <v/>
      </c>
      <c r="I49" s="347" t="str">
        <f t="shared" ca="1" si="12"/>
        <v/>
      </c>
      <c r="J49" s="348" t="str">
        <f t="shared" ca="1" si="12"/>
        <v/>
      </c>
      <c r="K49" s="349" t="str">
        <f t="shared" ca="1" si="12"/>
        <v/>
      </c>
      <c r="L49" s="359"/>
      <c r="M49" s="351">
        <f t="shared" ca="1" si="8"/>
        <v>0</v>
      </c>
      <c r="N49" s="352">
        <v>2001</v>
      </c>
      <c r="O49" s="353" t="str">
        <f t="shared" ca="1" si="9"/>
        <v>短期借款</v>
      </c>
      <c r="P49" s="351">
        <f t="shared" ca="1" si="10"/>
        <v>0</v>
      </c>
      <c r="Q49" s="354"/>
      <c r="R49" s="354"/>
      <c r="S49" s="354"/>
      <c r="T49" s="355" t="str">
        <f t="shared" ca="1" si="11"/>
        <v/>
      </c>
      <c r="U49" s="346" t="str">
        <f t="shared" ca="1" si="11"/>
        <v/>
      </c>
      <c r="V49" s="356" t="str">
        <f t="shared" ca="1" si="11"/>
        <v/>
      </c>
      <c r="W49" s="345" t="str">
        <f t="shared" ca="1" si="11"/>
        <v/>
      </c>
      <c r="X49" s="346" t="str">
        <f t="shared" ca="1" si="11"/>
        <v/>
      </c>
      <c r="Y49" s="347" t="str">
        <f t="shared" ca="1" si="11"/>
        <v/>
      </c>
      <c r="Z49" s="348" t="str">
        <f t="shared" ca="1" si="11"/>
        <v/>
      </c>
      <c r="AA49" s="346" t="str">
        <f t="shared" ca="1" si="11"/>
        <v/>
      </c>
      <c r="AB49" s="347" t="str">
        <f t="shared" ca="1" si="11"/>
        <v/>
      </c>
      <c r="AC49" s="348" t="str">
        <f t="shared" ca="1" si="11"/>
        <v/>
      </c>
      <c r="AD49" s="349" t="str">
        <f t="shared" ca="1" si="11"/>
        <v/>
      </c>
      <c r="AE49" s="357" t="str">
        <f t="shared" ca="1" si="6"/>
        <v/>
      </c>
    </row>
    <row r="50" spans="1:31" hidden="1">
      <c r="A50" s="358" t="str">
        <f t="shared" ca="1" si="12"/>
        <v/>
      </c>
      <c r="B50" s="346" t="str">
        <f t="shared" ca="1" si="12"/>
        <v/>
      </c>
      <c r="C50" s="356" t="str">
        <f t="shared" ca="1" si="12"/>
        <v/>
      </c>
      <c r="D50" s="345" t="str">
        <f t="shared" ca="1" si="12"/>
        <v/>
      </c>
      <c r="E50" s="346" t="str">
        <f t="shared" ca="1" si="12"/>
        <v/>
      </c>
      <c r="F50" s="347" t="str">
        <f t="shared" ca="1" si="12"/>
        <v/>
      </c>
      <c r="G50" s="348" t="str">
        <f t="shared" ca="1" si="12"/>
        <v/>
      </c>
      <c r="H50" s="346" t="str">
        <f t="shared" ca="1" si="12"/>
        <v/>
      </c>
      <c r="I50" s="347" t="str">
        <f t="shared" ca="1" si="12"/>
        <v/>
      </c>
      <c r="J50" s="348" t="str">
        <f t="shared" ca="1" si="12"/>
        <v/>
      </c>
      <c r="K50" s="349" t="str">
        <f t="shared" ca="1" si="12"/>
        <v/>
      </c>
      <c r="L50" s="359"/>
      <c r="M50" s="351">
        <f t="shared" ca="1" si="8"/>
        <v>0</v>
      </c>
      <c r="N50" s="352">
        <v>2101</v>
      </c>
      <c r="O50" s="353" t="str">
        <f t="shared" ca="1" si="9"/>
        <v>交易性金融负债</v>
      </c>
      <c r="P50" s="351">
        <f t="shared" ca="1" si="10"/>
        <v>0</v>
      </c>
      <c r="Q50" s="354"/>
      <c r="R50" s="354"/>
      <c r="S50" s="354"/>
      <c r="T50" s="355" t="str">
        <f t="shared" ca="1" si="11"/>
        <v/>
      </c>
      <c r="U50" s="346" t="str">
        <f t="shared" ca="1" si="11"/>
        <v/>
      </c>
      <c r="V50" s="356" t="str">
        <f t="shared" ca="1" si="11"/>
        <v/>
      </c>
      <c r="W50" s="345" t="str">
        <f t="shared" ca="1" si="11"/>
        <v/>
      </c>
      <c r="X50" s="346" t="str">
        <f t="shared" ca="1" si="11"/>
        <v/>
      </c>
      <c r="Y50" s="347" t="str">
        <f t="shared" ca="1" si="11"/>
        <v/>
      </c>
      <c r="Z50" s="348" t="str">
        <f t="shared" ca="1" si="11"/>
        <v/>
      </c>
      <c r="AA50" s="346" t="str">
        <f t="shared" ca="1" si="11"/>
        <v/>
      </c>
      <c r="AB50" s="347" t="str">
        <f t="shared" ca="1" si="11"/>
        <v/>
      </c>
      <c r="AC50" s="348" t="str">
        <f t="shared" ca="1" si="11"/>
        <v/>
      </c>
      <c r="AD50" s="349" t="str">
        <f t="shared" ca="1" si="11"/>
        <v/>
      </c>
      <c r="AE50" s="357" t="str">
        <f t="shared" ca="1" si="6"/>
        <v/>
      </c>
    </row>
    <row r="51" spans="1:31" hidden="1">
      <c r="A51" s="358" t="str">
        <f t="shared" ca="1" si="12"/>
        <v/>
      </c>
      <c r="B51" s="346" t="str">
        <f t="shared" ca="1" si="12"/>
        <v/>
      </c>
      <c r="C51" s="356" t="str">
        <f t="shared" ca="1" si="12"/>
        <v/>
      </c>
      <c r="D51" s="345" t="str">
        <f t="shared" ca="1" si="12"/>
        <v/>
      </c>
      <c r="E51" s="346" t="str">
        <f t="shared" ca="1" si="12"/>
        <v/>
      </c>
      <c r="F51" s="347" t="str">
        <f t="shared" ca="1" si="12"/>
        <v/>
      </c>
      <c r="G51" s="348" t="str">
        <f t="shared" ca="1" si="12"/>
        <v/>
      </c>
      <c r="H51" s="346" t="str">
        <f t="shared" ca="1" si="12"/>
        <v/>
      </c>
      <c r="I51" s="347" t="str">
        <f t="shared" ca="1" si="12"/>
        <v/>
      </c>
      <c r="J51" s="348" t="str">
        <f t="shared" ca="1" si="12"/>
        <v/>
      </c>
      <c r="K51" s="349" t="str">
        <f t="shared" ca="1" si="12"/>
        <v/>
      </c>
      <c r="L51" s="359"/>
      <c r="M51" s="351">
        <f t="shared" ca="1" si="8"/>
        <v>0</v>
      </c>
      <c r="N51" s="352">
        <v>2201</v>
      </c>
      <c r="O51" s="353" t="str">
        <f t="shared" ca="1" si="9"/>
        <v>应付票据</v>
      </c>
      <c r="P51" s="351">
        <f t="shared" ca="1" si="10"/>
        <v>0</v>
      </c>
      <c r="Q51" s="354"/>
      <c r="R51" s="354"/>
      <c r="S51" s="354"/>
      <c r="T51" s="355" t="str">
        <f t="shared" ca="1" si="11"/>
        <v/>
      </c>
      <c r="U51" s="346" t="str">
        <f t="shared" ca="1" si="11"/>
        <v/>
      </c>
      <c r="V51" s="356" t="str">
        <f t="shared" ca="1" si="11"/>
        <v/>
      </c>
      <c r="W51" s="345" t="str">
        <f t="shared" ca="1" si="11"/>
        <v/>
      </c>
      <c r="X51" s="346" t="str">
        <f t="shared" ca="1" si="11"/>
        <v/>
      </c>
      <c r="Y51" s="347" t="str">
        <f t="shared" ca="1" si="11"/>
        <v/>
      </c>
      <c r="Z51" s="348" t="str">
        <f t="shared" ca="1" si="11"/>
        <v/>
      </c>
      <c r="AA51" s="346" t="str">
        <f t="shared" ca="1" si="11"/>
        <v/>
      </c>
      <c r="AB51" s="347" t="str">
        <f t="shared" ca="1" si="11"/>
        <v/>
      </c>
      <c r="AC51" s="348" t="str">
        <f t="shared" ca="1" si="11"/>
        <v/>
      </c>
      <c r="AD51" s="349" t="str">
        <f t="shared" ca="1" si="11"/>
        <v/>
      </c>
      <c r="AE51" s="357" t="str">
        <f t="shared" ca="1" si="6"/>
        <v/>
      </c>
    </row>
    <row r="52" spans="1:31" hidden="1">
      <c r="A52" s="358" t="str">
        <f t="shared" ca="1" si="12"/>
        <v/>
      </c>
      <c r="B52" s="346" t="str">
        <f t="shared" ca="1" si="12"/>
        <v/>
      </c>
      <c r="C52" s="356" t="str">
        <f t="shared" ca="1" si="12"/>
        <v/>
      </c>
      <c r="D52" s="345" t="str">
        <f t="shared" ca="1" si="12"/>
        <v/>
      </c>
      <c r="E52" s="346" t="str">
        <f t="shared" ca="1" si="12"/>
        <v/>
      </c>
      <c r="F52" s="347" t="str">
        <f t="shared" ca="1" si="12"/>
        <v/>
      </c>
      <c r="G52" s="348" t="str">
        <f t="shared" ca="1" si="12"/>
        <v/>
      </c>
      <c r="H52" s="346" t="str">
        <f t="shared" ca="1" si="12"/>
        <v/>
      </c>
      <c r="I52" s="347" t="str">
        <f t="shared" ca="1" si="12"/>
        <v/>
      </c>
      <c r="J52" s="348" t="str">
        <f t="shared" ca="1" si="12"/>
        <v/>
      </c>
      <c r="K52" s="349" t="str">
        <f t="shared" ca="1" si="12"/>
        <v/>
      </c>
      <c r="L52" s="359"/>
      <c r="M52" s="351">
        <f t="shared" ca="1" si="8"/>
        <v>0</v>
      </c>
      <c r="N52" s="352">
        <v>2202</v>
      </c>
      <c r="O52" s="353" t="str">
        <f t="shared" ca="1" si="9"/>
        <v>应付账款</v>
      </c>
      <c r="P52" s="351">
        <f t="shared" ca="1" si="10"/>
        <v>0</v>
      </c>
      <c r="Q52" s="354"/>
      <c r="R52" s="354"/>
      <c r="S52" s="354"/>
      <c r="T52" s="355" t="str">
        <f t="shared" ca="1" si="11"/>
        <v/>
      </c>
      <c r="U52" s="346" t="str">
        <f t="shared" ca="1" si="11"/>
        <v/>
      </c>
      <c r="V52" s="356" t="str">
        <f t="shared" ca="1" si="11"/>
        <v/>
      </c>
      <c r="W52" s="345" t="str">
        <f t="shared" ca="1" si="11"/>
        <v/>
      </c>
      <c r="X52" s="346" t="str">
        <f t="shared" ca="1" si="11"/>
        <v/>
      </c>
      <c r="Y52" s="347" t="str">
        <f t="shared" ca="1" si="11"/>
        <v/>
      </c>
      <c r="Z52" s="348" t="str">
        <f t="shared" ca="1" si="11"/>
        <v/>
      </c>
      <c r="AA52" s="346" t="str">
        <f t="shared" ca="1" si="11"/>
        <v/>
      </c>
      <c r="AB52" s="347" t="str">
        <f t="shared" ca="1" si="11"/>
        <v/>
      </c>
      <c r="AC52" s="348" t="str">
        <f t="shared" ca="1" si="11"/>
        <v/>
      </c>
      <c r="AD52" s="349" t="str">
        <f t="shared" ca="1" si="11"/>
        <v/>
      </c>
      <c r="AE52" s="357" t="str">
        <f t="shared" ca="1" si="6"/>
        <v/>
      </c>
    </row>
    <row r="53" spans="1:31" hidden="1">
      <c r="A53" s="358" t="str">
        <f t="shared" ca="1" si="12"/>
        <v/>
      </c>
      <c r="B53" s="346" t="str">
        <f t="shared" ca="1" si="12"/>
        <v/>
      </c>
      <c r="C53" s="356" t="str">
        <f t="shared" ca="1" si="12"/>
        <v/>
      </c>
      <c r="D53" s="345" t="str">
        <f t="shared" ca="1" si="12"/>
        <v/>
      </c>
      <c r="E53" s="346" t="str">
        <f t="shared" ca="1" si="12"/>
        <v/>
      </c>
      <c r="F53" s="347" t="str">
        <f t="shared" ca="1" si="12"/>
        <v/>
      </c>
      <c r="G53" s="348" t="str">
        <f t="shared" ca="1" si="12"/>
        <v/>
      </c>
      <c r="H53" s="346" t="str">
        <f t="shared" ca="1" si="12"/>
        <v/>
      </c>
      <c r="I53" s="347" t="str">
        <f t="shared" ca="1" si="12"/>
        <v/>
      </c>
      <c r="J53" s="348" t="str">
        <f t="shared" ca="1" si="12"/>
        <v/>
      </c>
      <c r="K53" s="349" t="str">
        <f t="shared" ca="1" si="12"/>
        <v/>
      </c>
      <c r="L53" s="359"/>
      <c r="M53" s="351">
        <f t="shared" ca="1" si="8"/>
        <v>0</v>
      </c>
      <c r="N53" s="352">
        <v>2203</v>
      </c>
      <c r="O53" s="353" t="str">
        <f t="shared" ca="1" si="9"/>
        <v>预收账款</v>
      </c>
      <c r="P53" s="351">
        <f t="shared" ca="1" si="10"/>
        <v>0</v>
      </c>
      <c r="Q53" s="354"/>
      <c r="R53" s="354"/>
      <c r="S53" s="354"/>
      <c r="T53" s="355" t="str">
        <f t="shared" ca="1" si="11"/>
        <v/>
      </c>
      <c r="U53" s="346" t="str">
        <f t="shared" ca="1" si="11"/>
        <v/>
      </c>
      <c r="V53" s="356" t="str">
        <f t="shared" ca="1" si="11"/>
        <v/>
      </c>
      <c r="W53" s="345" t="str">
        <f t="shared" ca="1" si="11"/>
        <v/>
      </c>
      <c r="X53" s="346" t="str">
        <f t="shared" ca="1" si="11"/>
        <v/>
      </c>
      <c r="Y53" s="347" t="str">
        <f t="shared" ca="1" si="11"/>
        <v/>
      </c>
      <c r="Z53" s="348" t="str">
        <f t="shared" ca="1" si="11"/>
        <v/>
      </c>
      <c r="AA53" s="346" t="str">
        <f t="shared" ca="1" si="11"/>
        <v/>
      </c>
      <c r="AB53" s="347" t="str">
        <f t="shared" ca="1" si="11"/>
        <v/>
      </c>
      <c r="AC53" s="348" t="str">
        <f t="shared" ca="1" si="11"/>
        <v/>
      </c>
      <c r="AD53" s="349" t="str">
        <f t="shared" ca="1" si="11"/>
        <v/>
      </c>
      <c r="AE53" s="357" t="str">
        <f t="shared" ca="1" si="6"/>
        <v/>
      </c>
    </row>
    <row r="54" spans="1:31" hidden="1">
      <c r="A54" s="358" t="str">
        <f t="shared" ca="1" si="12"/>
        <v/>
      </c>
      <c r="B54" s="346" t="str">
        <f t="shared" ca="1" si="12"/>
        <v/>
      </c>
      <c r="C54" s="356" t="str">
        <f t="shared" ca="1" si="12"/>
        <v/>
      </c>
      <c r="D54" s="345" t="str">
        <f t="shared" ca="1" si="12"/>
        <v/>
      </c>
      <c r="E54" s="346" t="str">
        <f t="shared" ca="1" si="12"/>
        <v/>
      </c>
      <c r="F54" s="347" t="str">
        <f t="shared" ca="1" si="12"/>
        <v/>
      </c>
      <c r="G54" s="348" t="str">
        <f t="shared" ca="1" si="12"/>
        <v/>
      </c>
      <c r="H54" s="346" t="str">
        <f t="shared" ca="1" si="12"/>
        <v/>
      </c>
      <c r="I54" s="347" t="str">
        <f t="shared" ca="1" si="12"/>
        <v/>
      </c>
      <c r="J54" s="348" t="str">
        <f t="shared" ca="1" si="12"/>
        <v/>
      </c>
      <c r="K54" s="349" t="str">
        <f t="shared" ca="1" si="12"/>
        <v/>
      </c>
      <c r="L54" s="359"/>
      <c r="M54" s="351">
        <f t="shared" ca="1" si="8"/>
        <v>0</v>
      </c>
      <c r="N54" s="352">
        <v>2211</v>
      </c>
      <c r="O54" s="353" t="str">
        <f t="shared" ca="1" si="9"/>
        <v>应付职工薪酬</v>
      </c>
      <c r="P54" s="351">
        <f t="shared" ca="1" si="10"/>
        <v>0</v>
      </c>
      <c r="Q54" s="354"/>
      <c r="R54" s="354"/>
      <c r="S54" s="354"/>
      <c r="T54" s="355" t="str">
        <f t="shared" ca="1" si="11"/>
        <v/>
      </c>
      <c r="U54" s="346" t="str">
        <f t="shared" ca="1" si="11"/>
        <v/>
      </c>
      <c r="V54" s="356" t="str">
        <f t="shared" ca="1" si="11"/>
        <v/>
      </c>
      <c r="W54" s="345" t="str">
        <f t="shared" ca="1" si="11"/>
        <v/>
      </c>
      <c r="X54" s="346" t="str">
        <f t="shared" ca="1" si="11"/>
        <v/>
      </c>
      <c r="Y54" s="347" t="str">
        <f t="shared" ca="1" si="11"/>
        <v/>
      </c>
      <c r="Z54" s="348" t="str">
        <f t="shared" ca="1" si="11"/>
        <v/>
      </c>
      <c r="AA54" s="346" t="str">
        <f t="shared" ca="1" si="11"/>
        <v/>
      </c>
      <c r="AB54" s="347" t="str">
        <f t="shared" ca="1" si="11"/>
        <v/>
      </c>
      <c r="AC54" s="348" t="str">
        <f t="shared" ca="1" si="11"/>
        <v/>
      </c>
      <c r="AD54" s="349" t="str">
        <f t="shared" ca="1" si="11"/>
        <v/>
      </c>
      <c r="AE54" s="357" t="str">
        <f t="shared" ca="1" si="6"/>
        <v/>
      </c>
    </row>
    <row r="55" spans="1:31" hidden="1">
      <c r="A55" s="358" t="str">
        <f t="shared" ca="1" si="12"/>
        <v/>
      </c>
      <c r="B55" s="346" t="str">
        <f t="shared" ca="1" si="12"/>
        <v/>
      </c>
      <c r="C55" s="356" t="str">
        <f t="shared" ca="1" si="12"/>
        <v/>
      </c>
      <c r="D55" s="345" t="str">
        <f t="shared" ca="1" si="12"/>
        <v/>
      </c>
      <c r="E55" s="346" t="str">
        <f t="shared" ca="1" si="12"/>
        <v/>
      </c>
      <c r="F55" s="347" t="str">
        <f t="shared" ca="1" si="12"/>
        <v/>
      </c>
      <c r="G55" s="348" t="str">
        <f t="shared" ca="1" si="12"/>
        <v/>
      </c>
      <c r="H55" s="346" t="str">
        <f t="shared" ca="1" si="12"/>
        <v/>
      </c>
      <c r="I55" s="347" t="str">
        <f t="shared" ca="1" si="12"/>
        <v/>
      </c>
      <c r="J55" s="348" t="str">
        <f t="shared" ca="1" si="12"/>
        <v/>
      </c>
      <c r="K55" s="349" t="str">
        <f t="shared" ca="1" si="12"/>
        <v/>
      </c>
      <c r="L55" s="359"/>
      <c r="M55" s="351">
        <f t="shared" ca="1" si="8"/>
        <v>0</v>
      </c>
      <c r="N55" s="352">
        <v>2221</v>
      </c>
      <c r="O55" s="353" t="str">
        <f t="shared" ca="1" si="9"/>
        <v>应交税费</v>
      </c>
      <c r="P55" s="351">
        <f t="shared" ca="1" si="10"/>
        <v>0</v>
      </c>
      <c r="Q55" s="354"/>
      <c r="R55" s="354"/>
      <c r="S55" s="354"/>
      <c r="T55" s="355" t="str">
        <f t="shared" ca="1" si="11"/>
        <v/>
      </c>
      <c r="U55" s="346" t="str">
        <f t="shared" ca="1" si="11"/>
        <v/>
      </c>
      <c r="V55" s="356" t="str">
        <f t="shared" ca="1" si="11"/>
        <v/>
      </c>
      <c r="W55" s="345" t="str">
        <f t="shared" ca="1" si="11"/>
        <v/>
      </c>
      <c r="X55" s="346" t="str">
        <f t="shared" ca="1" si="11"/>
        <v/>
      </c>
      <c r="Y55" s="347" t="str">
        <f t="shared" ca="1" si="11"/>
        <v/>
      </c>
      <c r="Z55" s="348" t="str">
        <f t="shared" ca="1" si="11"/>
        <v/>
      </c>
      <c r="AA55" s="346" t="str">
        <f t="shared" ca="1" si="11"/>
        <v/>
      </c>
      <c r="AB55" s="347" t="str">
        <f t="shared" ca="1" si="11"/>
        <v/>
      </c>
      <c r="AC55" s="348" t="str">
        <f t="shared" ca="1" si="11"/>
        <v/>
      </c>
      <c r="AD55" s="349" t="str">
        <f t="shared" ca="1" si="11"/>
        <v/>
      </c>
      <c r="AE55" s="357" t="str">
        <f t="shared" ca="1" si="6"/>
        <v/>
      </c>
    </row>
    <row r="56" spans="1:31" hidden="1">
      <c r="A56" s="358" t="str">
        <f t="shared" ca="1" si="12"/>
        <v/>
      </c>
      <c r="B56" s="346" t="str">
        <f t="shared" ca="1" si="12"/>
        <v/>
      </c>
      <c r="C56" s="356" t="str">
        <f t="shared" ca="1" si="12"/>
        <v/>
      </c>
      <c r="D56" s="345" t="str">
        <f t="shared" ca="1" si="12"/>
        <v/>
      </c>
      <c r="E56" s="346" t="str">
        <f t="shared" ca="1" si="12"/>
        <v/>
      </c>
      <c r="F56" s="347" t="str">
        <f t="shared" ca="1" si="12"/>
        <v/>
      </c>
      <c r="G56" s="348" t="str">
        <f t="shared" ca="1" si="12"/>
        <v/>
      </c>
      <c r="H56" s="346" t="str">
        <f t="shared" ca="1" si="12"/>
        <v/>
      </c>
      <c r="I56" s="347" t="str">
        <f t="shared" ca="1" si="12"/>
        <v/>
      </c>
      <c r="J56" s="348" t="str">
        <f t="shared" ca="1" si="12"/>
        <v/>
      </c>
      <c r="K56" s="349" t="str">
        <f t="shared" ca="1" si="12"/>
        <v/>
      </c>
      <c r="L56" s="359"/>
      <c r="M56" s="351">
        <f t="shared" ca="1" si="8"/>
        <v>0</v>
      </c>
      <c r="N56" s="352">
        <v>2231</v>
      </c>
      <c r="O56" s="353" t="str">
        <f t="shared" ca="1" si="9"/>
        <v>应付利息</v>
      </c>
      <c r="P56" s="351">
        <f t="shared" ca="1" si="10"/>
        <v>0</v>
      </c>
      <c r="Q56" s="354"/>
      <c r="R56" s="354"/>
      <c r="S56" s="354"/>
      <c r="T56" s="355" t="str">
        <f t="shared" ca="1" si="11"/>
        <v/>
      </c>
      <c r="U56" s="346" t="str">
        <f t="shared" ca="1" si="11"/>
        <v/>
      </c>
      <c r="V56" s="356" t="str">
        <f t="shared" ca="1" si="11"/>
        <v/>
      </c>
      <c r="W56" s="345" t="str">
        <f t="shared" ca="1" si="11"/>
        <v/>
      </c>
      <c r="X56" s="346" t="str">
        <f t="shared" ca="1" si="11"/>
        <v/>
      </c>
      <c r="Y56" s="347" t="str">
        <f t="shared" ca="1" si="11"/>
        <v/>
      </c>
      <c r="Z56" s="348" t="str">
        <f t="shared" ca="1" si="11"/>
        <v/>
      </c>
      <c r="AA56" s="346" t="str">
        <f t="shared" ca="1" si="11"/>
        <v/>
      </c>
      <c r="AB56" s="347" t="str">
        <f t="shared" ca="1" si="11"/>
        <v/>
      </c>
      <c r="AC56" s="348" t="str">
        <f t="shared" ca="1" si="11"/>
        <v/>
      </c>
      <c r="AD56" s="349" t="str">
        <f t="shared" ca="1" si="11"/>
        <v/>
      </c>
      <c r="AE56" s="357" t="str">
        <f t="shared" ca="1" si="6"/>
        <v/>
      </c>
    </row>
    <row r="57" spans="1:31" hidden="1">
      <c r="A57" s="358" t="str">
        <f t="shared" ca="1" si="12"/>
        <v/>
      </c>
      <c r="B57" s="346" t="str">
        <f t="shared" ca="1" si="12"/>
        <v/>
      </c>
      <c r="C57" s="356" t="str">
        <f t="shared" ca="1" si="12"/>
        <v/>
      </c>
      <c r="D57" s="345" t="str">
        <f t="shared" ca="1" si="12"/>
        <v/>
      </c>
      <c r="E57" s="346" t="str">
        <f t="shared" ca="1" si="12"/>
        <v/>
      </c>
      <c r="F57" s="347" t="str">
        <f t="shared" ca="1" si="12"/>
        <v/>
      </c>
      <c r="G57" s="348" t="str">
        <f t="shared" ca="1" si="12"/>
        <v/>
      </c>
      <c r="H57" s="346" t="str">
        <f t="shared" ca="1" si="12"/>
        <v/>
      </c>
      <c r="I57" s="347" t="str">
        <f t="shared" ca="1" si="12"/>
        <v/>
      </c>
      <c r="J57" s="348" t="str">
        <f t="shared" ca="1" si="12"/>
        <v/>
      </c>
      <c r="K57" s="349" t="str">
        <f t="shared" ca="1" si="12"/>
        <v/>
      </c>
      <c r="L57" s="359"/>
      <c r="M57" s="351">
        <f t="shared" ca="1" si="8"/>
        <v>0</v>
      </c>
      <c r="N57" s="352">
        <v>2232</v>
      </c>
      <c r="O57" s="353" t="str">
        <f t="shared" ca="1" si="9"/>
        <v>应付股利</v>
      </c>
      <c r="P57" s="351">
        <f t="shared" ca="1" si="10"/>
        <v>0</v>
      </c>
      <c r="Q57" s="354"/>
      <c r="R57" s="354"/>
      <c r="S57" s="354"/>
      <c r="T57" s="355" t="str">
        <f t="shared" ca="1" si="11"/>
        <v/>
      </c>
      <c r="U57" s="346" t="str">
        <f t="shared" ca="1" si="11"/>
        <v/>
      </c>
      <c r="V57" s="356" t="str">
        <f t="shared" ca="1" si="11"/>
        <v/>
      </c>
      <c r="W57" s="345" t="str">
        <f t="shared" ca="1" si="11"/>
        <v/>
      </c>
      <c r="X57" s="346" t="str">
        <f t="shared" ca="1" si="11"/>
        <v/>
      </c>
      <c r="Y57" s="347" t="str">
        <f t="shared" ca="1" si="11"/>
        <v/>
      </c>
      <c r="Z57" s="348" t="str">
        <f t="shared" ca="1" si="11"/>
        <v/>
      </c>
      <c r="AA57" s="346" t="str">
        <f t="shared" ca="1" si="11"/>
        <v/>
      </c>
      <c r="AB57" s="347" t="str">
        <f t="shared" ca="1" si="11"/>
        <v/>
      </c>
      <c r="AC57" s="348" t="str">
        <f t="shared" ca="1" si="11"/>
        <v/>
      </c>
      <c r="AD57" s="349" t="str">
        <f t="shared" ca="1" si="11"/>
        <v/>
      </c>
      <c r="AE57" s="357" t="str">
        <f t="shared" ca="1" si="6"/>
        <v/>
      </c>
    </row>
    <row r="58" spans="1:31" hidden="1">
      <c r="A58" s="358" t="str">
        <f t="shared" ca="1" si="12"/>
        <v/>
      </c>
      <c r="B58" s="346" t="str">
        <f t="shared" ca="1" si="12"/>
        <v/>
      </c>
      <c r="C58" s="356" t="str">
        <f t="shared" ca="1" si="12"/>
        <v/>
      </c>
      <c r="D58" s="345" t="str">
        <f t="shared" ca="1" si="12"/>
        <v/>
      </c>
      <c r="E58" s="346" t="str">
        <f t="shared" ca="1" si="12"/>
        <v/>
      </c>
      <c r="F58" s="347" t="str">
        <f t="shared" ca="1" si="12"/>
        <v/>
      </c>
      <c r="G58" s="348" t="str">
        <f t="shared" ca="1" si="12"/>
        <v/>
      </c>
      <c r="H58" s="346" t="str">
        <f t="shared" ca="1" si="12"/>
        <v/>
      </c>
      <c r="I58" s="347" t="str">
        <f t="shared" ca="1" si="12"/>
        <v/>
      </c>
      <c r="J58" s="348" t="str">
        <f t="shared" ca="1" si="12"/>
        <v/>
      </c>
      <c r="K58" s="349" t="str">
        <f t="shared" ca="1" si="12"/>
        <v/>
      </c>
      <c r="L58" s="359"/>
      <c r="M58" s="351">
        <f t="shared" ca="1" si="8"/>
        <v>0</v>
      </c>
      <c r="N58" s="352">
        <v>2241</v>
      </c>
      <c r="O58" s="353" t="str">
        <f t="shared" ca="1" si="9"/>
        <v>其他应付款</v>
      </c>
      <c r="P58" s="351">
        <f t="shared" ca="1" si="10"/>
        <v>0</v>
      </c>
      <c r="Q58" s="354"/>
      <c r="R58" s="354"/>
      <c r="S58" s="354"/>
      <c r="T58" s="355" t="str">
        <f t="shared" ca="1" si="11"/>
        <v/>
      </c>
      <c r="U58" s="346" t="str">
        <f t="shared" ca="1" si="11"/>
        <v/>
      </c>
      <c r="V58" s="356" t="str">
        <f t="shared" ca="1" si="11"/>
        <v/>
      </c>
      <c r="W58" s="345" t="str">
        <f t="shared" ca="1" si="11"/>
        <v/>
      </c>
      <c r="X58" s="346" t="str">
        <f t="shared" ca="1" si="11"/>
        <v/>
      </c>
      <c r="Y58" s="347" t="str">
        <f t="shared" ca="1" si="11"/>
        <v/>
      </c>
      <c r="Z58" s="348" t="str">
        <f t="shared" ca="1" si="11"/>
        <v/>
      </c>
      <c r="AA58" s="346" t="str">
        <f t="shared" ca="1" si="11"/>
        <v/>
      </c>
      <c r="AB58" s="347" t="str">
        <f t="shared" ca="1" si="11"/>
        <v/>
      </c>
      <c r="AC58" s="348" t="str">
        <f t="shared" ca="1" si="11"/>
        <v/>
      </c>
      <c r="AD58" s="349" t="str">
        <f t="shared" ca="1" si="11"/>
        <v/>
      </c>
      <c r="AE58" s="357" t="str">
        <f t="shared" ca="1" si="6"/>
        <v/>
      </c>
    </row>
    <row r="59" spans="1:31" hidden="1">
      <c r="A59" s="358" t="str">
        <f t="shared" ca="1" si="12"/>
        <v/>
      </c>
      <c r="B59" s="346" t="str">
        <f t="shared" ca="1" si="12"/>
        <v/>
      </c>
      <c r="C59" s="356" t="str">
        <f t="shared" ca="1" si="12"/>
        <v/>
      </c>
      <c r="D59" s="345" t="str">
        <f t="shared" ca="1" si="12"/>
        <v/>
      </c>
      <c r="E59" s="346" t="str">
        <f t="shared" ca="1" si="12"/>
        <v/>
      </c>
      <c r="F59" s="347" t="str">
        <f t="shared" ca="1" si="12"/>
        <v/>
      </c>
      <c r="G59" s="348" t="str">
        <f t="shared" ca="1" si="12"/>
        <v/>
      </c>
      <c r="H59" s="346" t="str">
        <f t="shared" ca="1" si="12"/>
        <v/>
      </c>
      <c r="I59" s="347" t="str">
        <f t="shared" ca="1" si="12"/>
        <v/>
      </c>
      <c r="J59" s="348" t="str">
        <f t="shared" ca="1" si="12"/>
        <v/>
      </c>
      <c r="K59" s="349" t="str">
        <f t="shared" ca="1" si="12"/>
        <v/>
      </c>
      <c r="L59" s="359"/>
      <c r="M59" s="351">
        <f t="shared" ca="1" si="8"/>
        <v>0</v>
      </c>
      <c r="N59" s="352">
        <v>2314</v>
      </c>
      <c r="O59" s="353" t="str">
        <f t="shared" ca="1" si="9"/>
        <v>代理业务负债</v>
      </c>
      <c r="P59" s="351">
        <f t="shared" ca="1" si="10"/>
        <v>0</v>
      </c>
      <c r="Q59" s="354"/>
      <c r="R59" s="354"/>
      <c r="S59" s="354"/>
      <c r="T59" s="355" t="str">
        <f t="shared" ca="1" si="11"/>
        <v/>
      </c>
      <c r="U59" s="346" t="str">
        <f t="shared" ca="1" si="11"/>
        <v/>
      </c>
      <c r="V59" s="356" t="str">
        <f t="shared" ca="1" si="11"/>
        <v/>
      </c>
      <c r="W59" s="345" t="str">
        <f t="shared" ca="1" si="11"/>
        <v/>
      </c>
      <c r="X59" s="346" t="str">
        <f t="shared" ca="1" si="11"/>
        <v/>
      </c>
      <c r="Y59" s="347" t="str">
        <f t="shared" ca="1" si="11"/>
        <v/>
      </c>
      <c r="Z59" s="348" t="str">
        <f t="shared" ca="1" si="11"/>
        <v/>
      </c>
      <c r="AA59" s="346" t="str">
        <f t="shared" ca="1" si="11"/>
        <v/>
      </c>
      <c r="AB59" s="347" t="str">
        <f t="shared" ca="1" si="11"/>
        <v/>
      </c>
      <c r="AC59" s="348" t="str">
        <f t="shared" ca="1" si="11"/>
        <v/>
      </c>
      <c r="AD59" s="349" t="str">
        <f t="shared" ca="1" si="11"/>
        <v/>
      </c>
      <c r="AE59" s="357" t="str">
        <f t="shared" ca="1" si="6"/>
        <v/>
      </c>
    </row>
    <row r="60" spans="1:31" hidden="1">
      <c r="A60" s="358" t="str">
        <f t="shared" ca="1" si="12"/>
        <v/>
      </c>
      <c r="B60" s="346" t="str">
        <f t="shared" ca="1" si="12"/>
        <v/>
      </c>
      <c r="C60" s="356" t="str">
        <f t="shared" ca="1" si="12"/>
        <v/>
      </c>
      <c r="D60" s="345" t="str">
        <f t="shared" ca="1" si="12"/>
        <v/>
      </c>
      <c r="E60" s="346" t="str">
        <f t="shared" ca="1" si="12"/>
        <v/>
      </c>
      <c r="F60" s="347" t="str">
        <f t="shared" ca="1" si="12"/>
        <v/>
      </c>
      <c r="G60" s="348" t="str">
        <f t="shared" ca="1" si="12"/>
        <v/>
      </c>
      <c r="H60" s="346" t="str">
        <f t="shared" ca="1" si="12"/>
        <v/>
      </c>
      <c r="I60" s="347" t="str">
        <f t="shared" ca="1" si="12"/>
        <v/>
      </c>
      <c r="J60" s="348" t="str">
        <f t="shared" ca="1" si="12"/>
        <v/>
      </c>
      <c r="K60" s="349" t="str">
        <f t="shared" ca="1" si="12"/>
        <v/>
      </c>
      <c r="L60" s="359"/>
      <c r="M60" s="351">
        <f t="shared" ca="1" si="8"/>
        <v>0</v>
      </c>
      <c r="N60" s="352">
        <v>2401</v>
      </c>
      <c r="O60" s="353" t="str">
        <f t="shared" ca="1" si="9"/>
        <v>递延收益</v>
      </c>
      <c r="P60" s="351">
        <f t="shared" ca="1" si="10"/>
        <v>0</v>
      </c>
      <c r="Q60" s="354"/>
      <c r="R60" s="354"/>
      <c r="S60" s="354"/>
      <c r="T60" s="355" t="str">
        <f t="shared" ca="1" si="11"/>
        <v/>
      </c>
      <c r="U60" s="346" t="str">
        <f t="shared" ca="1" si="11"/>
        <v/>
      </c>
      <c r="V60" s="356" t="str">
        <f t="shared" ca="1" si="11"/>
        <v/>
      </c>
      <c r="W60" s="345" t="str">
        <f t="shared" ca="1" si="11"/>
        <v/>
      </c>
      <c r="X60" s="346" t="str">
        <f t="shared" ca="1" si="11"/>
        <v/>
      </c>
      <c r="Y60" s="347" t="str">
        <f t="shared" ca="1" si="11"/>
        <v/>
      </c>
      <c r="Z60" s="348" t="str">
        <f t="shared" ca="1" si="11"/>
        <v/>
      </c>
      <c r="AA60" s="346" t="str">
        <f t="shared" ca="1" si="11"/>
        <v/>
      </c>
      <c r="AB60" s="347" t="str">
        <f t="shared" ca="1" si="11"/>
        <v/>
      </c>
      <c r="AC60" s="348" t="str">
        <f t="shared" ca="1" si="11"/>
        <v/>
      </c>
      <c r="AD60" s="349" t="str">
        <f t="shared" ca="1" si="11"/>
        <v/>
      </c>
      <c r="AE60" s="357" t="str">
        <f t="shared" ca="1" si="6"/>
        <v/>
      </c>
    </row>
    <row r="61" spans="1:31" hidden="1">
      <c r="A61" s="358" t="str">
        <f t="shared" ca="1" si="12"/>
        <v/>
      </c>
      <c r="B61" s="346" t="str">
        <f t="shared" ca="1" si="12"/>
        <v/>
      </c>
      <c r="C61" s="356" t="str">
        <f t="shared" ca="1" si="12"/>
        <v/>
      </c>
      <c r="D61" s="345" t="str">
        <f t="shared" ca="1" si="12"/>
        <v/>
      </c>
      <c r="E61" s="346" t="str">
        <f t="shared" ca="1" si="12"/>
        <v/>
      </c>
      <c r="F61" s="347" t="str">
        <f t="shared" ca="1" si="12"/>
        <v/>
      </c>
      <c r="G61" s="348" t="str">
        <f t="shared" ca="1" si="12"/>
        <v/>
      </c>
      <c r="H61" s="346" t="str">
        <f t="shared" ca="1" si="12"/>
        <v/>
      </c>
      <c r="I61" s="347" t="str">
        <f t="shared" ca="1" si="12"/>
        <v/>
      </c>
      <c r="J61" s="348" t="str">
        <f t="shared" ca="1" si="12"/>
        <v/>
      </c>
      <c r="K61" s="349" t="str">
        <f t="shared" ca="1" si="12"/>
        <v/>
      </c>
      <c r="L61" s="359"/>
      <c r="M61" s="351">
        <f t="shared" ca="1" si="8"/>
        <v>0</v>
      </c>
      <c r="N61" s="352">
        <v>2501</v>
      </c>
      <c r="O61" s="353" t="str">
        <f t="shared" ca="1" si="9"/>
        <v>长期借款</v>
      </c>
      <c r="P61" s="351">
        <f t="shared" ca="1" si="10"/>
        <v>0</v>
      </c>
      <c r="Q61" s="354"/>
      <c r="R61" s="354"/>
      <c r="S61" s="354"/>
      <c r="T61" s="355" t="str">
        <f t="shared" ca="1" si="11"/>
        <v/>
      </c>
      <c r="U61" s="346" t="str">
        <f t="shared" ca="1" si="11"/>
        <v/>
      </c>
      <c r="V61" s="356" t="str">
        <f t="shared" ref="U61:AD83" ca="1" si="13">LEFT(RIGHT(TEXT($P61/1%," ￥0; ￥-0;"),31-COLUMN()))</f>
        <v/>
      </c>
      <c r="W61" s="345" t="str">
        <f t="shared" ca="1" si="13"/>
        <v/>
      </c>
      <c r="X61" s="346" t="str">
        <f t="shared" ca="1" si="13"/>
        <v/>
      </c>
      <c r="Y61" s="347" t="str">
        <f t="shared" ca="1" si="13"/>
        <v/>
      </c>
      <c r="Z61" s="348" t="str">
        <f t="shared" ca="1" si="13"/>
        <v/>
      </c>
      <c r="AA61" s="346" t="str">
        <f t="shared" ca="1" si="13"/>
        <v/>
      </c>
      <c r="AB61" s="347" t="str">
        <f t="shared" ca="1" si="13"/>
        <v/>
      </c>
      <c r="AC61" s="348" t="str">
        <f t="shared" ca="1" si="13"/>
        <v/>
      </c>
      <c r="AD61" s="349" t="str">
        <f t="shared" ca="1" si="13"/>
        <v/>
      </c>
      <c r="AE61" s="357" t="str">
        <f t="shared" ca="1" si="6"/>
        <v/>
      </c>
    </row>
    <row r="62" spans="1:31" hidden="1">
      <c r="A62" s="358" t="str">
        <f t="shared" ca="1" si="12"/>
        <v/>
      </c>
      <c r="B62" s="346" t="str">
        <f t="shared" ca="1" si="12"/>
        <v/>
      </c>
      <c r="C62" s="356" t="str">
        <f t="shared" ref="B62:K83" ca="1" si="14">LEFT(RIGHT(TEXT($M62/1%," ￥0; ￥-0;"),12-COLUMN()))</f>
        <v/>
      </c>
      <c r="D62" s="345" t="str">
        <f t="shared" ca="1" si="14"/>
        <v/>
      </c>
      <c r="E62" s="346" t="str">
        <f t="shared" ca="1" si="14"/>
        <v/>
      </c>
      <c r="F62" s="347" t="str">
        <f t="shared" ca="1" si="14"/>
        <v/>
      </c>
      <c r="G62" s="348" t="str">
        <f t="shared" ca="1" si="14"/>
        <v/>
      </c>
      <c r="H62" s="346" t="str">
        <f t="shared" ca="1" si="14"/>
        <v/>
      </c>
      <c r="I62" s="347" t="str">
        <f t="shared" ca="1" si="14"/>
        <v/>
      </c>
      <c r="J62" s="348" t="str">
        <f t="shared" ca="1" si="14"/>
        <v/>
      </c>
      <c r="K62" s="349" t="str">
        <f t="shared" ca="1" si="14"/>
        <v/>
      </c>
      <c r="L62" s="359"/>
      <c r="M62" s="351">
        <f t="shared" ca="1" si="8"/>
        <v>0</v>
      </c>
      <c r="N62" s="352">
        <v>2502</v>
      </c>
      <c r="O62" s="353" t="str">
        <f t="shared" ca="1" si="9"/>
        <v>应付债券</v>
      </c>
      <c r="P62" s="351">
        <f t="shared" ca="1" si="10"/>
        <v>0</v>
      </c>
      <c r="Q62" s="354"/>
      <c r="R62" s="354"/>
      <c r="S62" s="354"/>
      <c r="T62" s="355" t="str">
        <f t="shared" ref="T62:AD84" ca="1" si="15">LEFT(RIGHT(TEXT($P62/1%," ￥0; ￥-0;"),31-COLUMN()))</f>
        <v/>
      </c>
      <c r="U62" s="346" t="str">
        <f t="shared" ca="1" si="13"/>
        <v/>
      </c>
      <c r="V62" s="356" t="str">
        <f t="shared" ca="1" si="13"/>
        <v/>
      </c>
      <c r="W62" s="345" t="str">
        <f t="shared" ca="1" si="13"/>
        <v/>
      </c>
      <c r="X62" s="346" t="str">
        <f t="shared" ca="1" si="13"/>
        <v/>
      </c>
      <c r="Y62" s="347" t="str">
        <f t="shared" ca="1" si="13"/>
        <v/>
      </c>
      <c r="Z62" s="348" t="str">
        <f t="shared" ca="1" si="13"/>
        <v/>
      </c>
      <c r="AA62" s="346" t="str">
        <f t="shared" ca="1" si="13"/>
        <v/>
      </c>
      <c r="AB62" s="347" t="str">
        <f t="shared" ca="1" si="13"/>
        <v/>
      </c>
      <c r="AC62" s="348" t="str">
        <f t="shared" ca="1" si="13"/>
        <v/>
      </c>
      <c r="AD62" s="349" t="str">
        <f t="shared" ca="1" si="13"/>
        <v/>
      </c>
      <c r="AE62" s="357" t="str">
        <f t="shared" ca="1" si="6"/>
        <v/>
      </c>
    </row>
    <row r="63" spans="1:31" hidden="1">
      <c r="A63" s="358" t="str">
        <f t="shared" ref="A63:K84" ca="1" si="16">LEFT(RIGHT(TEXT($M63/1%," ￥0; ￥-0;"),12-COLUMN()))</f>
        <v/>
      </c>
      <c r="B63" s="346" t="str">
        <f t="shared" ca="1" si="14"/>
        <v/>
      </c>
      <c r="C63" s="356" t="str">
        <f t="shared" ca="1" si="14"/>
        <v/>
      </c>
      <c r="D63" s="345" t="str">
        <f t="shared" ca="1" si="14"/>
        <v/>
      </c>
      <c r="E63" s="346" t="str">
        <f t="shared" ca="1" si="14"/>
        <v/>
      </c>
      <c r="F63" s="347" t="str">
        <f t="shared" ca="1" si="14"/>
        <v/>
      </c>
      <c r="G63" s="348" t="str">
        <f t="shared" ca="1" si="14"/>
        <v/>
      </c>
      <c r="H63" s="346" t="str">
        <f t="shared" ca="1" si="14"/>
        <v/>
      </c>
      <c r="I63" s="347" t="str">
        <f t="shared" ca="1" si="14"/>
        <v/>
      </c>
      <c r="J63" s="348" t="str">
        <f t="shared" ca="1" si="14"/>
        <v/>
      </c>
      <c r="K63" s="349" t="str">
        <f t="shared" ca="1" si="14"/>
        <v/>
      </c>
      <c r="L63" s="359"/>
      <c r="M63" s="351">
        <f t="shared" ca="1" si="8"/>
        <v>0</v>
      </c>
      <c r="N63" s="352">
        <v>2701</v>
      </c>
      <c r="O63" s="353" t="str">
        <f t="shared" ca="1" si="9"/>
        <v>长期应付款</v>
      </c>
      <c r="P63" s="351">
        <f t="shared" ca="1" si="10"/>
        <v>0</v>
      </c>
      <c r="Q63" s="354"/>
      <c r="R63" s="354"/>
      <c r="S63" s="354"/>
      <c r="T63" s="355" t="str">
        <f t="shared" ca="1" si="15"/>
        <v/>
      </c>
      <c r="U63" s="346" t="str">
        <f t="shared" ca="1" si="13"/>
        <v/>
      </c>
      <c r="V63" s="356" t="str">
        <f t="shared" ca="1" si="13"/>
        <v/>
      </c>
      <c r="W63" s="345" t="str">
        <f t="shared" ca="1" si="13"/>
        <v/>
      </c>
      <c r="X63" s="346" t="str">
        <f t="shared" ca="1" si="13"/>
        <v/>
      </c>
      <c r="Y63" s="347" t="str">
        <f t="shared" ca="1" si="13"/>
        <v/>
      </c>
      <c r="Z63" s="348" t="str">
        <f t="shared" ca="1" si="13"/>
        <v/>
      </c>
      <c r="AA63" s="346" t="str">
        <f t="shared" ca="1" si="13"/>
        <v/>
      </c>
      <c r="AB63" s="347" t="str">
        <f t="shared" ca="1" si="13"/>
        <v/>
      </c>
      <c r="AC63" s="348" t="str">
        <f t="shared" ca="1" si="13"/>
        <v/>
      </c>
      <c r="AD63" s="349" t="str">
        <f t="shared" ca="1" si="13"/>
        <v/>
      </c>
      <c r="AE63" s="357" t="str">
        <f t="shared" ca="1" si="6"/>
        <v/>
      </c>
    </row>
    <row r="64" spans="1:31" hidden="1">
      <c r="A64" s="358" t="str">
        <f t="shared" ca="1" si="16"/>
        <v/>
      </c>
      <c r="B64" s="346" t="str">
        <f t="shared" ca="1" si="14"/>
        <v/>
      </c>
      <c r="C64" s="356" t="str">
        <f t="shared" ca="1" si="14"/>
        <v/>
      </c>
      <c r="D64" s="345" t="str">
        <f t="shared" ca="1" si="14"/>
        <v/>
      </c>
      <c r="E64" s="346" t="str">
        <f t="shared" ca="1" si="14"/>
        <v/>
      </c>
      <c r="F64" s="347" t="str">
        <f t="shared" ca="1" si="14"/>
        <v/>
      </c>
      <c r="G64" s="348" t="str">
        <f t="shared" ca="1" si="14"/>
        <v/>
      </c>
      <c r="H64" s="346" t="str">
        <f t="shared" ca="1" si="14"/>
        <v/>
      </c>
      <c r="I64" s="347" t="str">
        <f t="shared" ca="1" si="14"/>
        <v/>
      </c>
      <c r="J64" s="348" t="str">
        <f t="shared" ca="1" si="14"/>
        <v/>
      </c>
      <c r="K64" s="349" t="str">
        <f t="shared" ca="1" si="14"/>
        <v/>
      </c>
      <c r="L64" s="359"/>
      <c r="M64" s="351">
        <f t="shared" ca="1" si="8"/>
        <v>0</v>
      </c>
      <c r="N64" s="352">
        <v>2711</v>
      </c>
      <c r="O64" s="353" t="str">
        <f t="shared" ca="1" si="9"/>
        <v>专项应付款</v>
      </c>
      <c r="P64" s="351">
        <f t="shared" ca="1" si="10"/>
        <v>0</v>
      </c>
      <c r="Q64" s="354"/>
      <c r="R64" s="354"/>
      <c r="S64" s="354"/>
      <c r="T64" s="355" t="str">
        <f t="shared" ca="1" si="15"/>
        <v/>
      </c>
      <c r="U64" s="346" t="str">
        <f t="shared" ca="1" si="13"/>
        <v/>
      </c>
      <c r="V64" s="356" t="str">
        <f t="shared" ca="1" si="13"/>
        <v/>
      </c>
      <c r="W64" s="345" t="str">
        <f t="shared" ca="1" si="13"/>
        <v/>
      </c>
      <c r="X64" s="346" t="str">
        <f t="shared" ca="1" si="13"/>
        <v/>
      </c>
      <c r="Y64" s="347" t="str">
        <f t="shared" ca="1" si="13"/>
        <v/>
      </c>
      <c r="Z64" s="348" t="str">
        <f t="shared" ca="1" si="13"/>
        <v/>
      </c>
      <c r="AA64" s="346" t="str">
        <f t="shared" ca="1" si="13"/>
        <v/>
      </c>
      <c r="AB64" s="347" t="str">
        <f t="shared" ca="1" si="13"/>
        <v/>
      </c>
      <c r="AC64" s="348" t="str">
        <f t="shared" ca="1" si="13"/>
        <v/>
      </c>
      <c r="AD64" s="349" t="str">
        <f t="shared" ca="1" si="13"/>
        <v/>
      </c>
      <c r="AE64" s="357" t="str">
        <f t="shared" ca="1" si="6"/>
        <v/>
      </c>
    </row>
    <row r="65" spans="1:31" hidden="1">
      <c r="A65" s="358" t="str">
        <f t="shared" ca="1" si="16"/>
        <v/>
      </c>
      <c r="B65" s="346" t="str">
        <f t="shared" ca="1" si="14"/>
        <v/>
      </c>
      <c r="C65" s="356" t="str">
        <f t="shared" ca="1" si="14"/>
        <v/>
      </c>
      <c r="D65" s="345" t="str">
        <f t="shared" ca="1" si="14"/>
        <v/>
      </c>
      <c r="E65" s="346" t="str">
        <f t="shared" ca="1" si="14"/>
        <v/>
      </c>
      <c r="F65" s="347" t="str">
        <f t="shared" ca="1" si="14"/>
        <v/>
      </c>
      <c r="G65" s="348" t="str">
        <f t="shared" ca="1" si="14"/>
        <v/>
      </c>
      <c r="H65" s="346" t="str">
        <f t="shared" ca="1" si="14"/>
        <v/>
      </c>
      <c r="I65" s="347" t="str">
        <f t="shared" ca="1" si="14"/>
        <v/>
      </c>
      <c r="J65" s="348" t="str">
        <f t="shared" ca="1" si="14"/>
        <v/>
      </c>
      <c r="K65" s="349" t="str">
        <f t="shared" ca="1" si="14"/>
        <v/>
      </c>
      <c r="L65" s="359"/>
      <c r="M65" s="351">
        <f t="shared" ca="1" si="8"/>
        <v>0</v>
      </c>
      <c r="N65" s="352">
        <v>2801</v>
      </c>
      <c r="O65" s="353" t="str">
        <f t="shared" ca="1" si="9"/>
        <v>预计负债</v>
      </c>
      <c r="P65" s="351">
        <f t="shared" ca="1" si="10"/>
        <v>0</v>
      </c>
      <c r="Q65" s="354"/>
      <c r="R65" s="354"/>
      <c r="S65" s="354"/>
      <c r="T65" s="355" t="str">
        <f t="shared" ca="1" si="15"/>
        <v/>
      </c>
      <c r="U65" s="346" t="str">
        <f t="shared" ca="1" si="13"/>
        <v/>
      </c>
      <c r="V65" s="356" t="str">
        <f t="shared" ca="1" si="13"/>
        <v/>
      </c>
      <c r="W65" s="345" t="str">
        <f t="shared" ca="1" si="13"/>
        <v/>
      </c>
      <c r="X65" s="346" t="str">
        <f t="shared" ca="1" si="13"/>
        <v/>
      </c>
      <c r="Y65" s="347" t="str">
        <f t="shared" ca="1" si="13"/>
        <v/>
      </c>
      <c r="Z65" s="348" t="str">
        <f t="shared" ca="1" si="13"/>
        <v/>
      </c>
      <c r="AA65" s="346" t="str">
        <f t="shared" ca="1" si="13"/>
        <v/>
      </c>
      <c r="AB65" s="347" t="str">
        <f t="shared" ca="1" si="13"/>
        <v/>
      </c>
      <c r="AC65" s="348" t="str">
        <f t="shared" ca="1" si="13"/>
        <v/>
      </c>
      <c r="AD65" s="349" t="str">
        <f t="shared" ca="1" si="13"/>
        <v/>
      </c>
      <c r="AE65" s="357" t="str">
        <f t="shared" ca="1" si="6"/>
        <v/>
      </c>
    </row>
    <row r="66" spans="1:31" hidden="1">
      <c r="A66" s="358" t="str">
        <f t="shared" ca="1" si="16"/>
        <v/>
      </c>
      <c r="B66" s="346" t="str">
        <f t="shared" ca="1" si="14"/>
        <v/>
      </c>
      <c r="C66" s="356" t="str">
        <f t="shared" ca="1" si="14"/>
        <v/>
      </c>
      <c r="D66" s="345" t="str">
        <f t="shared" ca="1" si="14"/>
        <v/>
      </c>
      <c r="E66" s="346" t="str">
        <f t="shared" ca="1" si="14"/>
        <v/>
      </c>
      <c r="F66" s="347" t="str">
        <f t="shared" ca="1" si="14"/>
        <v/>
      </c>
      <c r="G66" s="348" t="str">
        <f t="shared" ca="1" si="14"/>
        <v/>
      </c>
      <c r="H66" s="346" t="str">
        <f t="shared" ca="1" si="14"/>
        <v/>
      </c>
      <c r="I66" s="347" t="str">
        <f t="shared" ca="1" si="14"/>
        <v/>
      </c>
      <c r="J66" s="348" t="str">
        <f t="shared" ca="1" si="14"/>
        <v/>
      </c>
      <c r="K66" s="349" t="str">
        <f t="shared" ca="1" si="14"/>
        <v/>
      </c>
      <c r="L66" s="359"/>
      <c r="M66" s="351">
        <f t="shared" ca="1" si="8"/>
        <v>0</v>
      </c>
      <c r="N66" s="352">
        <v>2901</v>
      </c>
      <c r="O66" s="353" t="str">
        <f t="shared" ca="1" si="9"/>
        <v>递延所得税负债</v>
      </c>
      <c r="P66" s="351">
        <f t="shared" ca="1" si="10"/>
        <v>0</v>
      </c>
      <c r="Q66" s="354"/>
      <c r="R66" s="354"/>
      <c r="S66" s="354"/>
      <c r="T66" s="355" t="str">
        <f t="shared" ca="1" si="15"/>
        <v/>
      </c>
      <c r="U66" s="346" t="str">
        <f t="shared" ca="1" si="13"/>
        <v/>
      </c>
      <c r="V66" s="356" t="str">
        <f t="shared" ca="1" si="13"/>
        <v/>
      </c>
      <c r="W66" s="345" t="str">
        <f t="shared" ca="1" si="13"/>
        <v/>
      </c>
      <c r="X66" s="346" t="str">
        <f t="shared" ca="1" si="13"/>
        <v/>
      </c>
      <c r="Y66" s="347" t="str">
        <f t="shared" ca="1" si="13"/>
        <v/>
      </c>
      <c r="Z66" s="348" t="str">
        <f t="shared" ca="1" si="13"/>
        <v/>
      </c>
      <c r="AA66" s="346" t="str">
        <f t="shared" ca="1" si="13"/>
        <v/>
      </c>
      <c r="AB66" s="347" t="str">
        <f t="shared" ca="1" si="13"/>
        <v/>
      </c>
      <c r="AC66" s="348" t="str">
        <f t="shared" ca="1" si="13"/>
        <v/>
      </c>
      <c r="AD66" s="349" t="str">
        <f t="shared" ca="1" si="13"/>
        <v/>
      </c>
      <c r="AE66" s="357" t="str">
        <f t="shared" ca="1" si="6"/>
        <v/>
      </c>
    </row>
    <row r="67" spans="1:31" hidden="1">
      <c r="A67" s="358" t="str">
        <f t="shared" ca="1" si="16"/>
        <v/>
      </c>
      <c r="B67" s="346" t="str">
        <f t="shared" ca="1" si="14"/>
        <v/>
      </c>
      <c r="C67" s="356" t="str">
        <f t="shared" ca="1" si="14"/>
        <v/>
      </c>
      <c r="D67" s="345" t="str">
        <f t="shared" ca="1" si="14"/>
        <v/>
      </c>
      <c r="E67" s="346" t="str">
        <f t="shared" ca="1" si="14"/>
        <v/>
      </c>
      <c r="F67" s="347" t="str">
        <f t="shared" ca="1" si="14"/>
        <v/>
      </c>
      <c r="G67" s="348" t="str">
        <f t="shared" ca="1" si="14"/>
        <v/>
      </c>
      <c r="H67" s="346" t="str">
        <f t="shared" ca="1" si="14"/>
        <v/>
      </c>
      <c r="I67" s="347" t="str">
        <f t="shared" ca="1" si="14"/>
        <v/>
      </c>
      <c r="J67" s="348" t="str">
        <f t="shared" ca="1" si="14"/>
        <v/>
      </c>
      <c r="K67" s="349" t="str">
        <f t="shared" ca="1" si="14"/>
        <v/>
      </c>
      <c r="L67" s="359"/>
      <c r="M67" s="351">
        <f t="shared" ca="1" si="8"/>
        <v>0</v>
      </c>
      <c r="N67" s="352">
        <v>4001</v>
      </c>
      <c r="O67" s="353" t="str">
        <f t="shared" ca="1" si="9"/>
        <v>实收资本(或股本)</v>
      </c>
      <c r="P67" s="351">
        <f t="shared" ca="1" si="10"/>
        <v>0</v>
      </c>
      <c r="Q67" s="354"/>
      <c r="R67" s="354"/>
      <c r="S67" s="354"/>
      <c r="T67" s="355" t="str">
        <f t="shared" ca="1" si="15"/>
        <v/>
      </c>
      <c r="U67" s="346" t="str">
        <f t="shared" ca="1" si="13"/>
        <v/>
      </c>
      <c r="V67" s="356" t="str">
        <f t="shared" ca="1" si="13"/>
        <v/>
      </c>
      <c r="W67" s="345" t="str">
        <f t="shared" ca="1" si="13"/>
        <v/>
      </c>
      <c r="X67" s="346" t="str">
        <f t="shared" ca="1" si="13"/>
        <v/>
      </c>
      <c r="Y67" s="347" t="str">
        <f t="shared" ca="1" si="13"/>
        <v/>
      </c>
      <c r="Z67" s="348" t="str">
        <f t="shared" ca="1" si="13"/>
        <v/>
      </c>
      <c r="AA67" s="346" t="str">
        <f t="shared" ca="1" si="13"/>
        <v/>
      </c>
      <c r="AB67" s="347" t="str">
        <f t="shared" ca="1" si="13"/>
        <v/>
      </c>
      <c r="AC67" s="348" t="str">
        <f t="shared" ca="1" si="13"/>
        <v/>
      </c>
      <c r="AD67" s="349" t="str">
        <f t="shared" ca="1" si="13"/>
        <v/>
      </c>
      <c r="AE67" s="357" t="str">
        <f t="shared" ca="1" si="6"/>
        <v/>
      </c>
    </row>
    <row r="68" spans="1:31" hidden="1">
      <c r="A68" s="358" t="str">
        <f t="shared" ca="1" si="16"/>
        <v/>
      </c>
      <c r="B68" s="346" t="str">
        <f t="shared" ca="1" si="14"/>
        <v/>
      </c>
      <c r="C68" s="356" t="str">
        <f t="shared" ca="1" si="14"/>
        <v/>
      </c>
      <c r="D68" s="345" t="str">
        <f t="shared" ca="1" si="14"/>
        <v/>
      </c>
      <c r="E68" s="346" t="str">
        <f t="shared" ca="1" si="14"/>
        <v/>
      </c>
      <c r="F68" s="347" t="str">
        <f t="shared" ca="1" si="14"/>
        <v/>
      </c>
      <c r="G68" s="348" t="str">
        <f t="shared" ca="1" si="14"/>
        <v/>
      </c>
      <c r="H68" s="346" t="str">
        <f t="shared" ca="1" si="14"/>
        <v/>
      </c>
      <c r="I68" s="347" t="str">
        <f t="shared" ca="1" si="14"/>
        <v/>
      </c>
      <c r="J68" s="348" t="str">
        <f t="shared" ca="1" si="14"/>
        <v/>
      </c>
      <c r="K68" s="349" t="str">
        <f t="shared" ca="1" si="14"/>
        <v/>
      </c>
      <c r="L68" s="359"/>
      <c r="M68" s="351">
        <f t="shared" ca="1" si="8"/>
        <v>0</v>
      </c>
      <c r="N68" s="352">
        <v>4002</v>
      </c>
      <c r="O68" s="353" t="str">
        <f t="shared" ca="1" si="9"/>
        <v>资本公积</v>
      </c>
      <c r="P68" s="351">
        <f t="shared" ca="1" si="10"/>
        <v>0</v>
      </c>
      <c r="Q68" s="354"/>
      <c r="R68" s="354"/>
      <c r="S68" s="354"/>
      <c r="T68" s="355" t="str">
        <f t="shared" ca="1" si="15"/>
        <v/>
      </c>
      <c r="U68" s="346" t="str">
        <f t="shared" ca="1" si="13"/>
        <v/>
      </c>
      <c r="V68" s="356" t="str">
        <f t="shared" ca="1" si="13"/>
        <v/>
      </c>
      <c r="W68" s="345" t="str">
        <f t="shared" ca="1" si="13"/>
        <v/>
      </c>
      <c r="X68" s="346" t="str">
        <f t="shared" ca="1" si="13"/>
        <v/>
      </c>
      <c r="Y68" s="347" t="str">
        <f t="shared" ca="1" si="13"/>
        <v/>
      </c>
      <c r="Z68" s="348" t="str">
        <f t="shared" ca="1" si="13"/>
        <v/>
      </c>
      <c r="AA68" s="346" t="str">
        <f t="shared" ca="1" si="13"/>
        <v/>
      </c>
      <c r="AB68" s="347" t="str">
        <f t="shared" ca="1" si="13"/>
        <v/>
      </c>
      <c r="AC68" s="348" t="str">
        <f t="shared" ca="1" si="13"/>
        <v/>
      </c>
      <c r="AD68" s="349" t="str">
        <f t="shared" ca="1" si="13"/>
        <v/>
      </c>
      <c r="AE68" s="357" t="str">
        <f t="shared" ca="1" si="6"/>
        <v/>
      </c>
    </row>
    <row r="69" spans="1:31" hidden="1">
      <c r="A69" s="358" t="str">
        <f t="shared" ca="1" si="16"/>
        <v/>
      </c>
      <c r="B69" s="346" t="str">
        <f t="shared" ca="1" si="14"/>
        <v/>
      </c>
      <c r="C69" s="356" t="str">
        <f t="shared" ca="1" si="14"/>
        <v/>
      </c>
      <c r="D69" s="345" t="str">
        <f t="shared" ca="1" si="14"/>
        <v/>
      </c>
      <c r="E69" s="346" t="str">
        <f t="shared" ca="1" si="14"/>
        <v/>
      </c>
      <c r="F69" s="347" t="str">
        <f t="shared" ca="1" si="14"/>
        <v/>
      </c>
      <c r="G69" s="348" t="str">
        <f t="shared" ca="1" si="14"/>
        <v/>
      </c>
      <c r="H69" s="346" t="str">
        <f t="shared" ca="1" si="14"/>
        <v/>
      </c>
      <c r="I69" s="347" t="str">
        <f t="shared" ca="1" si="14"/>
        <v/>
      </c>
      <c r="J69" s="348" t="str">
        <f t="shared" ca="1" si="14"/>
        <v/>
      </c>
      <c r="K69" s="349" t="str">
        <f t="shared" ca="1" si="14"/>
        <v/>
      </c>
      <c r="L69" s="359"/>
      <c r="M69" s="351">
        <f t="shared" ref="M69:M93" ca="1" si="17">SUMIFS(借方金额,记账月份,$AH$1,账户名称,$O69&amp;"*")</f>
        <v>0</v>
      </c>
      <c r="N69" s="352">
        <v>4101</v>
      </c>
      <c r="O69" s="353" t="str">
        <f t="shared" ref="O69:O93" ca="1" si="18">INDEX(账户查询,MATCH($N69,科目代码,))</f>
        <v>盈余公积</v>
      </c>
      <c r="P69" s="351">
        <f t="shared" ref="P69:P93" ca="1" si="19">SUMIFS(贷方金额,记账月份,$AH$1,账户名称,$O69&amp;"*")</f>
        <v>0</v>
      </c>
      <c r="Q69" s="354"/>
      <c r="R69" s="354"/>
      <c r="S69" s="354"/>
      <c r="T69" s="355" t="str">
        <f t="shared" ca="1" si="15"/>
        <v/>
      </c>
      <c r="U69" s="346" t="str">
        <f t="shared" ca="1" si="13"/>
        <v/>
      </c>
      <c r="V69" s="356" t="str">
        <f t="shared" ca="1" si="13"/>
        <v/>
      </c>
      <c r="W69" s="345" t="str">
        <f t="shared" ca="1" si="13"/>
        <v/>
      </c>
      <c r="X69" s="346" t="str">
        <f t="shared" ca="1" si="13"/>
        <v/>
      </c>
      <c r="Y69" s="347" t="str">
        <f t="shared" ca="1" si="13"/>
        <v/>
      </c>
      <c r="Z69" s="348" t="str">
        <f t="shared" ca="1" si="13"/>
        <v/>
      </c>
      <c r="AA69" s="346" t="str">
        <f t="shared" ca="1" si="13"/>
        <v/>
      </c>
      <c r="AB69" s="347" t="str">
        <f t="shared" ca="1" si="13"/>
        <v/>
      </c>
      <c r="AC69" s="348" t="str">
        <f t="shared" ca="1" si="13"/>
        <v/>
      </c>
      <c r="AD69" s="349" t="str">
        <f t="shared" ca="1" si="13"/>
        <v/>
      </c>
      <c r="AE69" s="357" t="str">
        <f t="shared" ca="1" si="6"/>
        <v/>
      </c>
    </row>
    <row r="70" spans="1:31">
      <c r="A70" s="358" t="str">
        <f t="shared" ca="1" si="16"/>
        <v xml:space="preserve"> </v>
      </c>
      <c r="B70" s="346" t="str">
        <f t="shared" ca="1" si="14"/>
        <v xml:space="preserve"> </v>
      </c>
      <c r="C70" s="356" t="str">
        <f t="shared" ca="1" si="14"/>
        <v xml:space="preserve"> </v>
      </c>
      <c r="D70" s="345" t="str">
        <f t="shared" ca="1" si="14"/>
        <v xml:space="preserve"> </v>
      </c>
      <c r="E70" s="346" t="str">
        <f t="shared" ca="1" si="14"/>
        <v>￥</v>
      </c>
      <c r="F70" s="347" t="str">
        <f t="shared" ca="1" si="14"/>
        <v>3</v>
      </c>
      <c r="G70" s="348" t="str">
        <f t="shared" ca="1" si="14"/>
        <v>6</v>
      </c>
      <c r="H70" s="346" t="str">
        <f t="shared" ca="1" si="14"/>
        <v>3</v>
      </c>
      <c r="I70" s="347" t="str">
        <f t="shared" ca="1" si="14"/>
        <v>9</v>
      </c>
      <c r="J70" s="348" t="str">
        <f t="shared" ca="1" si="14"/>
        <v>3</v>
      </c>
      <c r="K70" s="349" t="str">
        <f t="shared" ca="1" si="14"/>
        <v>2</v>
      </c>
      <c r="L70" s="359"/>
      <c r="M70" s="351">
        <f t="shared" ca="1" si="17"/>
        <v>3639.32</v>
      </c>
      <c r="N70" s="352">
        <v>4103</v>
      </c>
      <c r="O70" s="353" t="str">
        <f t="shared" ca="1" si="18"/>
        <v>本年利润</v>
      </c>
      <c r="P70" s="351">
        <f t="shared" ca="1" si="19"/>
        <v>0</v>
      </c>
      <c r="Q70" s="354"/>
      <c r="R70" s="354"/>
      <c r="S70" s="354"/>
      <c r="T70" s="355" t="str">
        <f t="shared" ca="1" si="15"/>
        <v/>
      </c>
      <c r="U70" s="346" t="str">
        <f t="shared" ca="1" si="13"/>
        <v/>
      </c>
      <c r="V70" s="356" t="str">
        <f t="shared" ca="1" si="13"/>
        <v/>
      </c>
      <c r="W70" s="345" t="str">
        <f t="shared" ca="1" si="13"/>
        <v/>
      </c>
      <c r="X70" s="346" t="str">
        <f t="shared" ca="1" si="13"/>
        <v/>
      </c>
      <c r="Y70" s="347" t="str">
        <f t="shared" ca="1" si="13"/>
        <v/>
      </c>
      <c r="Z70" s="348" t="str">
        <f t="shared" ca="1" si="13"/>
        <v/>
      </c>
      <c r="AA70" s="346" t="str">
        <f t="shared" ca="1" si="13"/>
        <v/>
      </c>
      <c r="AB70" s="347" t="str">
        <f t="shared" ca="1" si="13"/>
        <v/>
      </c>
      <c r="AC70" s="348" t="str">
        <f t="shared" ca="1" si="13"/>
        <v/>
      </c>
      <c r="AD70" s="349" t="str">
        <f t="shared" ca="1" si="13"/>
        <v/>
      </c>
      <c r="AE70" s="357" t="str">
        <f t="shared" ref="AE70:AE94" ca="1" si="20">IF(AND(M70=0,P70=0),"","是")</f>
        <v>是</v>
      </c>
    </row>
    <row r="71" spans="1:31" hidden="1">
      <c r="A71" s="358" t="str">
        <f t="shared" ca="1" si="16"/>
        <v/>
      </c>
      <c r="B71" s="346" t="str">
        <f t="shared" ca="1" si="14"/>
        <v/>
      </c>
      <c r="C71" s="356" t="str">
        <f t="shared" ca="1" si="14"/>
        <v/>
      </c>
      <c r="D71" s="345" t="str">
        <f t="shared" ca="1" si="14"/>
        <v/>
      </c>
      <c r="E71" s="346" t="str">
        <f t="shared" ca="1" si="14"/>
        <v/>
      </c>
      <c r="F71" s="347" t="str">
        <f t="shared" ca="1" si="14"/>
        <v/>
      </c>
      <c r="G71" s="348" t="str">
        <f t="shared" ca="1" si="14"/>
        <v/>
      </c>
      <c r="H71" s="346" t="str">
        <f t="shared" ca="1" si="14"/>
        <v/>
      </c>
      <c r="I71" s="347" t="str">
        <f t="shared" ca="1" si="14"/>
        <v/>
      </c>
      <c r="J71" s="348" t="str">
        <f t="shared" ca="1" si="14"/>
        <v/>
      </c>
      <c r="K71" s="349" t="str">
        <f t="shared" ca="1" si="14"/>
        <v/>
      </c>
      <c r="L71" s="359"/>
      <c r="M71" s="351">
        <f t="shared" ca="1" si="17"/>
        <v>0</v>
      </c>
      <c r="N71" s="352">
        <v>4104</v>
      </c>
      <c r="O71" s="353" t="str">
        <f t="shared" ca="1" si="18"/>
        <v>利润分配</v>
      </c>
      <c r="P71" s="351">
        <f t="shared" ca="1" si="19"/>
        <v>0</v>
      </c>
      <c r="Q71" s="354"/>
      <c r="R71" s="354"/>
      <c r="S71" s="354"/>
      <c r="T71" s="355" t="str">
        <f t="shared" ca="1" si="15"/>
        <v/>
      </c>
      <c r="U71" s="346" t="str">
        <f t="shared" ca="1" si="13"/>
        <v/>
      </c>
      <c r="V71" s="356" t="str">
        <f t="shared" ca="1" si="13"/>
        <v/>
      </c>
      <c r="W71" s="345" t="str">
        <f t="shared" ca="1" si="13"/>
        <v/>
      </c>
      <c r="X71" s="346" t="str">
        <f t="shared" ca="1" si="13"/>
        <v/>
      </c>
      <c r="Y71" s="347" t="str">
        <f t="shared" ca="1" si="13"/>
        <v/>
      </c>
      <c r="Z71" s="348" t="str">
        <f t="shared" ca="1" si="13"/>
        <v/>
      </c>
      <c r="AA71" s="346" t="str">
        <f t="shared" ca="1" si="13"/>
        <v/>
      </c>
      <c r="AB71" s="347" t="str">
        <f t="shared" ca="1" si="13"/>
        <v/>
      </c>
      <c r="AC71" s="348" t="str">
        <f t="shared" ca="1" si="13"/>
        <v/>
      </c>
      <c r="AD71" s="349" t="str">
        <f t="shared" ca="1" si="13"/>
        <v/>
      </c>
      <c r="AE71" s="357" t="str">
        <f t="shared" ca="1" si="20"/>
        <v/>
      </c>
    </row>
    <row r="72" spans="1:31" hidden="1">
      <c r="A72" s="358" t="str">
        <f t="shared" ca="1" si="16"/>
        <v/>
      </c>
      <c r="B72" s="346" t="str">
        <f t="shared" ca="1" si="14"/>
        <v/>
      </c>
      <c r="C72" s="356" t="str">
        <f t="shared" ca="1" si="14"/>
        <v/>
      </c>
      <c r="D72" s="345" t="str">
        <f t="shared" ca="1" si="14"/>
        <v/>
      </c>
      <c r="E72" s="346" t="str">
        <f t="shared" ca="1" si="14"/>
        <v/>
      </c>
      <c r="F72" s="347" t="str">
        <f t="shared" ca="1" si="14"/>
        <v/>
      </c>
      <c r="G72" s="348" t="str">
        <f t="shared" ca="1" si="14"/>
        <v/>
      </c>
      <c r="H72" s="346" t="str">
        <f t="shared" ca="1" si="14"/>
        <v/>
      </c>
      <c r="I72" s="347" t="str">
        <f t="shared" ca="1" si="14"/>
        <v/>
      </c>
      <c r="J72" s="348" t="str">
        <f t="shared" ca="1" si="14"/>
        <v/>
      </c>
      <c r="K72" s="349" t="str">
        <f t="shared" ca="1" si="14"/>
        <v/>
      </c>
      <c r="L72" s="359"/>
      <c r="M72" s="351">
        <f t="shared" ca="1" si="17"/>
        <v>0</v>
      </c>
      <c r="N72" s="352">
        <v>4201</v>
      </c>
      <c r="O72" s="353" t="str">
        <f t="shared" ca="1" si="18"/>
        <v>库存股</v>
      </c>
      <c r="P72" s="351">
        <f t="shared" ca="1" si="19"/>
        <v>0</v>
      </c>
      <c r="Q72" s="354"/>
      <c r="R72" s="354"/>
      <c r="S72" s="354"/>
      <c r="T72" s="355" t="str">
        <f t="shared" ca="1" si="15"/>
        <v/>
      </c>
      <c r="U72" s="346" t="str">
        <f t="shared" ca="1" si="13"/>
        <v/>
      </c>
      <c r="V72" s="356" t="str">
        <f t="shared" ca="1" si="13"/>
        <v/>
      </c>
      <c r="W72" s="345" t="str">
        <f t="shared" ca="1" si="13"/>
        <v/>
      </c>
      <c r="X72" s="346" t="str">
        <f t="shared" ca="1" si="13"/>
        <v/>
      </c>
      <c r="Y72" s="347" t="str">
        <f t="shared" ca="1" si="13"/>
        <v/>
      </c>
      <c r="Z72" s="348" t="str">
        <f t="shared" ca="1" si="13"/>
        <v/>
      </c>
      <c r="AA72" s="346" t="str">
        <f t="shared" ca="1" si="13"/>
        <v/>
      </c>
      <c r="AB72" s="347" t="str">
        <f t="shared" ca="1" si="13"/>
        <v/>
      </c>
      <c r="AC72" s="348" t="str">
        <f t="shared" ca="1" si="13"/>
        <v/>
      </c>
      <c r="AD72" s="349" t="str">
        <f t="shared" ca="1" si="13"/>
        <v/>
      </c>
      <c r="AE72" s="357" t="str">
        <f t="shared" ca="1" si="20"/>
        <v/>
      </c>
    </row>
    <row r="73" spans="1:31" hidden="1">
      <c r="A73" s="358" t="str">
        <f t="shared" ca="1" si="16"/>
        <v/>
      </c>
      <c r="B73" s="346" t="str">
        <f t="shared" ca="1" si="14"/>
        <v/>
      </c>
      <c r="C73" s="356" t="str">
        <f t="shared" ca="1" si="14"/>
        <v/>
      </c>
      <c r="D73" s="345" t="str">
        <f t="shared" ca="1" si="14"/>
        <v/>
      </c>
      <c r="E73" s="346" t="str">
        <f t="shared" ca="1" si="14"/>
        <v/>
      </c>
      <c r="F73" s="347" t="str">
        <f t="shared" ca="1" si="14"/>
        <v/>
      </c>
      <c r="G73" s="348" t="str">
        <f t="shared" ca="1" si="14"/>
        <v/>
      </c>
      <c r="H73" s="346" t="str">
        <f t="shared" ca="1" si="14"/>
        <v/>
      </c>
      <c r="I73" s="347" t="str">
        <f t="shared" ca="1" si="14"/>
        <v/>
      </c>
      <c r="J73" s="348" t="str">
        <f t="shared" ca="1" si="14"/>
        <v/>
      </c>
      <c r="K73" s="349" t="str">
        <f t="shared" ca="1" si="14"/>
        <v/>
      </c>
      <c r="L73" s="359"/>
      <c r="M73" s="351">
        <f t="shared" ca="1" si="17"/>
        <v>0</v>
      </c>
      <c r="N73" s="352">
        <v>5001</v>
      </c>
      <c r="O73" s="353" t="str">
        <f t="shared" ca="1" si="18"/>
        <v>开发成本</v>
      </c>
      <c r="P73" s="351">
        <f t="shared" ca="1" si="19"/>
        <v>0</v>
      </c>
      <c r="Q73" s="354"/>
      <c r="R73" s="354"/>
      <c r="S73" s="354"/>
      <c r="T73" s="355" t="str">
        <f t="shared" ca="1" si="15"/>
        <v/>
      </c>
      <c r="U73" s="346" t="str">
        <f t="shared" ca="1" si="13"/>
        <v/>
      </c>
      <c r="V73" s="356" t="str">
        <f t="shared" ca="1" si="13"/>
        <v/>
      </c>
      <c r="W73" s="345" t="str">
        <f t="shared" ca="1" si="13"/>
        <v/>
      </c>
      <c r="X73" s="346" t="str">
        <f t="shared" ca="1" si="13"/>
        <v/>
      </c>
      <c r="Y73" s="347" t="str">
        <f t="shared" ca="1" si="13"/>
        <v/>
      </c>
      <c r="Z73" s="348" t="str">
        <f t="shared" ca="1" si="13"/>
        <v/>
      </c>
      <c r="AA73" s="346" t="str">
        <f t="shared" ca="1" si="13"/>
        <v/>
      </c>
      <c r="AB73" s="347" t="str">
        <f t="shared" ca="1" si="13"/>
        <v/>
      </c>
      <c r="AC73" s="348" t="str">
        <f t="shared" ca="1" si="13"/>
        <v/>
      </c>
      <c r="AD73" s="349" t="str">
        <f t="shared" ca="1" si="13"/>
        <v/>
      </c>
      <c r="AE73" s="357" t="str">
        <f t="shared" ca="1" si="20"/>
        <v/>
      </c>
    </row>
    <row r="74" spans="1:31" hidden="1">
      <c r="A74" s="358" t="str">
        <f t="shared" ca="1" si="16"/>
        <v/>
      </c>
      <c r="B74" s="346" t="str">
        <f t="shared" ca="1" si="14"/>
        <v/>
      </c>
      <c r="C74" s="356" t="str">
        <f t="shared" ca="1" si="14"/>
        <v/>
      </c>
      <c r="D74" s="345" t="str">
        <f t="shared" ca="1" si="14"/>
        <v/>
      </c>
      <c r="E74" s="346" t="str">
        <f t="shared" ca="1" si="14"/>
        <v/>
      </c>
      <c r="F74" s="347" t="str">
        <f t="shared" ca="1" si="14"/>
        <v/>
      </c>
      <c r="G74" s="348" t="str">
        <f t="shared" ca="1" si="14"/>
        <v/>
      </c>
      <c r="H74" s="346" t="str">
        <f t="shared" ca="1" si="14"/>
        <v/>
      </c>
      <c r="I74" s="347" t="str">
        <f t="shared" ca="1" si="14"/>
        <v/>
      </c>
      <c r="J74" s="348" t="str">
        <f t="shared" ca="1" si="14"/>
        <v/>
      </c>
      <c r="K74" s="349" t="str">
        <f t="shared" ca="1" si="14"/>
        <v/>
      </c>
      <c r="L74" s="359"/>
      <c r="M74" s="351">
        <f t="shared" ca="1" si="17"/>
        <v>0</v>
      </c>
      <c r="N74" s="352">
        <v>5101</v>
      </c>
      <c r="O74" s="353" t="str">
        <f t="shared" ca="1" si="18"/>
        <v>开发间接费用</v>
      </c>
      <c r="P74" s="351">
        <f t="shared" ca="1" si="19"/>
        <v>0</v>
      </c>
      <c r="Q74" s="354"/>
      <c r="R74" s="354"/>
      <c r="S74" s="354"/>
      <c r="T74" s="355" t="str">
        <f t="shared" ca="1" si="15"/>
        <v/>
      </c>
      <c r="U74" s="346" t="str">
        <f t="shared" ca="1" si="13"/>
        <v/>
      </c>
      <c r="V74" s="356" t="str">
        <f t="shared" ca="1" si="13"/>
        <v/>
      </c>
      <c r="W74" s="345" t="str">
        <f t="shared" ca="1" si="13"/>
        <v/>
      </c>
      <c r="X74" s="346" t="str">
        <f t="shared" ca="1" si="13"/>
        <v/>
      </c>
      <c r="Y74" s="347" t="str">
        <f t="shared" ca="1" si="13"/>
        <v/>
      </c>
      <c r="Z74" s="348" t="str">
        <f t="shared" ca="1" si="13"/>
        <v/>
      </c>
      <c r="AA74" s="346" t="str">
        <f t="shared" ca="1" si="13"/>
        <v/>
      </c>
      <c r="AB74" s="347" t="str">
        <f t="shared" ca="1" si="13"/>
        <v/>
      </c>
      <c r="AC74" s="348" t="str">
        <f t="shared" ca="1" si="13"/>
        <v/>
      </c>
      <c r="AD74" s="349" t="str">
        <f t="shared" ca="1" si="13"/>
        <v/>
      </c>
      <c r="AE74" s="357" t="str">
        <f t="shared" ca="1" si="20"/>
        <v/>
      </c>
    </row>
    <row r="75" spans="1:31" hidden="1">
      <c r="A75" s="358" t="str">
        <f t="shared" ca="1" si="16"/>
        <v/>
      </c>
      <c r="B75" s="346" t="str">
        <f t="shared" ca="1" si="14"/>
        <v/>
      </c>
      <c r="C75" s="356" t="str">
        <f t="shared" ca="1" si="14"/>
        <v/>
      </c>
      <c r="D75" s="345" t="str">
        <f t="shared" ca="1" si="14"/>
        <v/>
      </c>
      <c r="E75" s="346" t="str">
        <f t="shared" ca="1" si="14"/>
        <v/>
      </c>
      <c r="F75" s="347" t="str">
        <f t="shared" ca="1" si="14"/>
        <v/>
      </c>
      <c r="G75" s="348" t="str">
        <f t="shared" ca="1" si="14"/>
        <v/>
      </c>
      <c r="H75" s="346" t="str">
        <f t="shared" ca="1" si="14"/>
        <v/>
      </c>
      <c r="I75" s="347" t="str">
        <f t="shared" ca="1" si="14"/>
        <v/>
      </c>
      <c r="J75" s="348" t="str">
        <f t="shared" ca="1" si="14"/>
        <v/>
      </c>
      <c r="K75" s="349" t="str">
        <f t="shared" ca="1" si="14"/>
        <v/>
      </c>
      <c r="L75" s="359"/>
      <c r="M75" s="351">
        <f t="shared" ca="1" si="17"/>
        <v>0</v>
      </c>
      <c r="N75" s="352">
        <v>5201</v>
      </c>
      <c r="O75" s="353" t="str">
        <f t="shared" ca="1" si="18"/>
        <v>劳务成本</v>
      </c>
      <c r="P75" s="351">
        <f t="shared" ca="1" si="19"/>
        <v>0</v>
      </c>
      <c r="Q75" s="354"/>
      <c r="R75" s="354"/>
      <c r="S75" s="354"/>
      <c r="T75" s="355" t="str">
        <f t="shared" ca="1" si="15"/>
        <v/>
      </c>
      <c r="U75" s="346" t="str">
        <f t="shared" ca="1" si="13"/>
        <v/>
      </c>
      <c r="V75" s="356" t="str">
        <f t="shared" ca="1" si="13"/>
        <v/>
      </c>
      <c r="W75" s="345" t="str">
        <f t="shared" ca="1" si="13"/>
        <v/>
      </c>
      <c r="X75" s="346" t="str">
        <f t="shared" ca="1" si="13"/>
        <v/>
      </c>
      <c r="Y75" s="347" t="str">
        <f t="shared" ca="1" si="13"/>
        <v/>
      </c>
      <c r="Z75" s="348" t="str">
        <f t="shared" ca="1" si="13"/>
        <v/>
      </c>
      <c r="AA75" s="346" t="str">
        <f t="shared" ca="1" si="13"/>
        <v/>
      </c>
      <c r="AB75" s="347" t="str">
        <f t="shared" ca="1" si="13"/>
        <v/>
      </c>
      <c r="AC75" s="348" t="str">
        <f t="shared" ca="1" si="13"/>
        <v/>
      </c>
      <c r="AD75" s="349" t="str">
        <f t="shared" ca="1" si="13"/>
        <v/>
      </c>
      <c r="AE75" s="357" t="str">
        <f t="shared" ca="1" si="20"/>
        <v/>
      </c>
    </row>
    <row r="76" spans="1:31" hidden="1">
      <c r="A76" s="358" t="str">
        <f t="shared" ca="1" si="16"/>
        <v/>
      </c>
      <c r="B76" s="346" t="str">
        <f t="shared" ca="1" si="14"/>
        <v/>
      </c>
      <c r="C76" s="356" t="str">
        <f t="shared" ca="1" si="14"/>
        <v/>
      </c>
      <c r="D76" s="345" t="str">
        <f t="shared" ca="1" si="14"/>
        <v/>
      </c>
      <c r="E76" s="346" t="str">
        <f t="shared" ca="1" si="14"/>
        <v/>
      </c>
      <c r="F76" s="347" t="str">
        <f t="shared" ca="1" si="14"/>
        <v/>
      </c>
      <c r="G76" s="348" t="str">
        <f t="shared" ca="1" si="14"/>
        <v/>
      </c>
      <c r="H76" s="346" t="str">
        <f t="shared" ca="1" si="14"/>
        <v/>
      </c>
      <c r="I76" s="347" t="str">
        <f t="shared" ca="1" si="14"/>
        <v/>
      </c>
      <c r="J76" s="348" t="str">
        <f t="shared" ca="1" si="14"/>
        <v/>
      </c>
      <c r="K76" s="349" t="str">
        <f t="shared" ca="1" si="14"/>
        <v/>
      </c>
      <c r="L76" s="359"/>
      <c r="M76" s="351">
        <f t="shared" ca="1" si="17"/>
        <v>0</v>
      </c>
      <c r="N76" s="352">
        <v>5301</v>
      </c>
      <c r="O76" s="353" t="str">
        <f t="shared" ca="1" si="18"/>
        <v>研发支出</v>
      </c>
      <c r="P76" s="351">
        <f t="shared" ca="1" si="19"/>
        <v>0</v>
      </c>
      <c r="Q76" s="354"/>
      <c r="R76" s="354"/>
      <c r="S76" s="354"/>
      <c r="T76" s="355" t="str">
        <f t="shared" ca="1" si="15"/>
        <v/>
      </c>
      <c r="U76" s="346" t="str">
        <f t="shared" ca="1" si="13"/>
        <v/>
      </c>
      <c r="V76" s="356" t="str">
        <f t="shared" ca="1" si="13"/>
        <v/>
      </c>
      <c r="W76" s="345" t="str">
        <f t="shared" ca="1" si="13"/>
        <v/>
      </c>
      <c r="X76" s="346" t="str">
        <f t="shared" ca="1" si="13"/>
        <v/>
      </c>
      <c r="Y76" s="347" t="str">
        <f t="shared" ca="1" si="13"/>
        <v/>
      </c>
      <c r="Z76" s="348" t="str">
        <f t="shared" ca="1" si="13"/>
        <v/>
      </c>
      <c r="AA76" s="346" t="str">
        <f t="shared" ca="1" si="13"/>
        <v/>
      </c>
      <c r="AB76" s="347" t="str">
        <f t="shared" ca="1" si="13"/>
        <v/>
      </c>
      <c r="AC76" s="348" t="str">
        <f t="shared" ca="1" si="13"/>
        <v/>
      </c>
      <c r="AD76" s="349" t="str">
        <f t="shared" ca="1" si="13"/>
        <v/>
      </c>
      <c r="AE76" s="357" t="str">
        <f t="shared" ca="1" si="20"/>
        <v/>
      </c>
    </row>
    <row r="77" spans="1:31" hidden="1">
      <c r="A77" s="358" t="str">
        <f t="shared" ca="1" si="16"/>
        <v/>
      </c>
      <c r="B77" s="346" t="str">
        <f t="shared" ca="1" si="14"/>
        <v/>
      </c>
      <c r="C77" s="356" t="str">
        <f t="shared" ca="1" si="14"/>
        <v/>
      </c>
      <c r="D77" s="345" t="str">
        <f t="shared" ca="1" si="14"/>
        <v/>
      </c>
      <c r="E77" s="346" t="str">
        <f t="shared" ca="1" si="14"/>
        <v/>
      </c>
      <c r="F77" s="347" t="str">
        <f t="shared" ca="1" si="14"/>
        <v/>
      </c>
      <c r="G77" s="348" t="str">
        <f t="shared" ca="1" si="14"/>
        <v/>
      </c>
      <c r="H77" s="346" t="str">
        <f t="shared" ca="1" si="14"/>
        <v/>
      </c>
      <c r="I77" s="347" t="str">
        <f t="shared" ca="1" si="14"/>
        <v/>
      </c>
      <c r="J77" s="348" t="str">
        <f t="shared" ca="1" si="14"/>
        <v/>
      </c>
      <c r="K77" s="349" t="str">
        <f t="shared" ca="1" si="14"/>
        <v/>
      </c>
      <c r="L77" s="359"/>
      <c r="M77" s="351">
        <f t="shared" ca="1" si="17"/>
        <v>0</v>
      </c>
      <c r="N77" s="352">
        <v>5401</v>
      </c>
      <c r="O77" s="353" t="str">
        <f t="shared" ca="1" si="18"/>
        <v>工程施工</v>
      </c>
      <c r="P77" s="351">
        <f t="shared" ca="1" si="19"/>
        <v>0</v>
      </c>
      <c r="Q77" s="354"/>
      <c r="R77" s="354"/>
      <c r="S77" s="354"/>
      <c r="T77" s="355" t="str">
        <f t="shared" ca="1" si="15"/>
        <v/>
      </c>
      <c r="U77" s="346" t="str">
        <f t="shared" ca="1" si="13"/>
        <v/>
      </c>
      <c r="V77" s="356" t="str">
        <f t="shared" ca="1" si="13"/>
        <v/>
      </c>
      <c r="W77" s="345" t="str">
        <f t="shared" ca="1" si="13"/>
        <v/>
      </c>
      <c r="X77" s="346" t="str">
        <f t="shared" ca="1" si="13"/>
        <v/>
      </c>
      <c r="Y77" s="347" t="str">
        <f t="shared" ca="1" si="13"/>
        <v/>
      </c>
      <c r="Z77" s="348" t="str">
        <f t="shared" ca="1" si="13"/>
        <v/>
      </c>
      <c r="AA77" s="346" t="str">
        <f t="shared" ca="1" si="13"/>
        <v/>
      </c>
      <c r="AB77" s="347" t="str">
        <f t="shared" ca="1" si="13"/>
        <v/>
      </c>
      <c r="AC77" s="348" t="str">
        <f t="shared" ca="1" si="13"/>
        <v/>
      </c>
      <c r="AD77" s="349" t="str">
        <f t="shared" ca="1" si="13"/>
        <v/>
      </c>
      <c r="AE77" s="357" t="str">
        <f t="shared" ca="1" si="20"/>
        <v/>
      </c>
    </row>
    <row r="78" spans="1:31" hidden="1">
      <c r="A78" s="358" t="str">
        <f t="shared" ca="1" si="16"/>
        <v/>
      </c>
      <c r="B78" s="346" t="str">
        <f t="shared" ca="1" si="14"/>
        <v/>
      </c>
      <c r="C78" s="356" t="str">
        <f t="shared" ca="1" si="14"/>
        <v/>
      </c>
      <c r="D78" s="345" t="str">
        <f t="shared" ca="1" si="14"/>
        <v/>
      </c>
      <c r="E78" s="346" t="str">
        <f t="shared" ca="1" si="14"/>
        <v/>
      </c>
      <c r="F78" s="347" t="str">
        <f t="shared" ca="1" si="14"/>
        <v/>
      </c>
      <c r="G78" s="348" t="str">
        <f t="shared" ca="1" si="14"/>
        <v/>
      </c>
      <c r="H78" s="346" t="str">
        <f t="shared" ca="1" si="14"/>
        <v/>
      </c>
      <c r="I78" s="347" t="str">
        <f t="shared" ca="1" si="14"/>
        <v/>
      </c>
      <c r="J78" s="348" t="str">
        <f t="shared" ca="1" si="14"/>
        <v/>
      </c>
      <c r="K78" s="349" t="str">
        <f t="shared" ca="1" si="14"/>
        <v/>
      </c>
      <c r="L78" s="359"/>
      <c r="M78" s="351">
        <f t="shared" ca="1" si="17"/>
        <v>0</v>
      </c>
      <c r="N78" s="352">
        <v>5402</v>
      </c>
      <c r="O78" s="353" t="str">
        <f t="shared" ca="1" si="18"/>
        <v>工程结算</v>
      </c>
      <c r="P78" s="351">
        <f t="shared" ca="1" si="19"/>
        <v>0</v>
      </c>
      <c r="Q78" s="354"/>
      <c r="R78" s="354"/>
      <c r="S78" s="354"/>
      <c r="T78" s="355" t="str">
        <f t="shared" ca="1" si="15"/>
        <v/>
      </c>
      <c r="U78" s="346" t="str">
        <f t="shared" ca="1" si="13"/>
        <v/>
      </c>
      <c r="V78" s="356" t="str">
        <f t="shared" ca="1" si="13"/>
        <v/>
      </c>
      <c r="W78" s="345" t="str">
        <f t="shared" ca="1" si="13"/>
        <v/>
      </c>
      <c r="X78" s="346" t="str">
        <f t="shared" ca="1" si="13"/>
        <v/>
      </c>
      <c r="Y78" s="347" t="str">
        <f t="shared" ca="1" si="13"/>
        <v/>
      </c>
      <c r="Z78" s="348" t="str">
        <f t="shared" ca="1" si="13"/>
        <v/>
      </c>
      <c r="AA78" s="346" t="str">
        <f t="shared" ca="1" si="13"/>
        <v/>
      </c>
      <c r="AB78" s="347" t="str">
        <f t="shared" ca="1" si="13"/>
        <v/>
      </c>
      <c r="AC78" s="348" t="str">
        <f t="shared" ca="1" si="13"/>
        <v/>
      </c>
      <c r="AD78" s="349" t="str">
        <f t="shared" ca="1" si="13"/>
        <v/>
      </c>
      <c r="AE78" s="357" t="str">
        <f t="shared" ca="1" si="20"/>
        <v/>
      </c>
    </row>
    <row r="79" spans="1:31" ht="14.25" hidden="1" customHeight="1">
      <c r="A79" s="358" t="str">
        <f t="shared" ca="1" si="16"/>
        <v/>
      </c>
      <c r="B79" s="346" t="str">
        <f t="shared" ca="1" si="14"/>
        <v/>
      </c>
      <c r="C79" s="356" t="str">
        <f t="shared" ca="1" si="14"/>
        <v/>
      </c>
      <c r="D79" s="345" t="str">
        <f t="shared" ca="1" si="14"/>
        <v/>
      </c>
      <c r="E79" s="346" t="str">
        <f t="shared" ca="1" si="14"/>
        <v/>
      </c>
      <c r="F79" s="347" t="str">
        <f t="shared" ca="1" si="14"/>
        <v/>
      </c>
      <c r="G79" s="348" t="str">
        <f t="shared" ca="1" si="14"/>
        <v/>
      </c>
      <c r="H79" s="346" t="str">
        <f t="shared" ca="1" si="14"/>
        <v/>
      </c>
      <c r="I79" s="347" t="str">
        <f t="shared" ca="1" si="14"/>
        <v/>
      </c>
      <c r="J79" s="348" t="str">
        <f t="shared" ca="1" si="14"/>
        <v/>
      </c>
      <c r="K79" s="349" t="str">
        <f t="shared" ca="1" si="14"/>
        <v/>
      </c>
      <c r="L79" s="359"/>
      <c r="M79" s="351">
        <f t="shared" ca="1" si="17"/>
        <v>0</v>
      </c>
      <c r="N79" s="352">
        <v>6001</v>
      </c>
      <c r="O79" s="353" t="str">
        <f t="shared" ca="1" si="18"/>
        <v>主营业务收入</v>
      </c>
      <c r="P79" s="351">
        <f t="shared" ca="1" si="19"/>
        <v>0</v>
      </c>
      <c r="Q79" s="354"/>
      <c r="R79" s="354"/>
      <c r="S79" s="354"/>
      <c r="T79" s="355" t="str">
        <f t="shared" ca="1" si="15"/>
        <v/>
      </c>
      <c r="U79" s="346" t="str">
        <f t="shared" ca="1" si="13"/>
        <v/>
      </c>
      <c r="V79" s="356" t="str">
        <f t="shared" ca="1" si="13"/>
        <v/>
      </c>
      <c r="W79" s="345" t="str">
        <f t="shared" ca="1" si="13"/>
        <v/>
      </c>
      <c r="X79" s="346" t="str">
        <f t="shared" ca="1" si="13"/>
        <v/>
      </c>
      <c r="Y79" s="347" t="str">
        <f t="shared" ca="1" si="13"/>
        <v/>
      </c>
      <c r="Z79" s="348" t="str">
        <f t="shared" ca="1" si="13"/>
        <v/>
      </c>
      <c r="AA79" s="346" t="str">
        <f t="shared" ca="1" si="13"/>
        <v/>
      </c>
      <c r="AB79" s="347" t="str">
        <f t="shared" ca="1" si="13"/>
        <v/>
      </c>
      <c r="AC79" s="348" t="str">
        <f t="shared" ca="1" si="13"/>
        <v/>
      </c>
      <c r="AD79" s="349" t="str">
        <f t="shared" ca="1" si="13"/>
        <v/>
      </c>
      <c r="AE79" s="357" t="str">
        <f t="shared" ca="1" si="20"/>
        <v/>
      </c>
    </row>
    <row r="80" spans="1:31" hidden="1">
      <c r="A80" s="358" t="str">
        <f t="shared" ca="1" si="16"/>
        <v/>
      </c>
      <c r="B80" s="346" t="str">
        <f t="shared" ca="1" si="14"/>
        <v/>
      </c>
      <c r="C80" s="356" t="str">
        <f t="shared" ca="1" si="14"/>
        <v/>
      </c>
      <c r="D80" s="345" t="str">
        <f t="shared" ca="1" si="14"/>
        <v/>
      </c>
      <c r="E80" s="346" t="str">
        <f t="shared" ca="1" si="14"/>
        <v/>
      </c>
      <c r="F80" s="347" t="str">
        <f t="shared" ca="1" si="14"/>
        <v/>
      </c>
      <c r="G80" s="348" t="str">
        <f t="shared" ca="1" si="14"/>
        <v/>
      </c>
      <c r="H80" s="346" t="str">
        <f t="shared" ca="1" si="14"/>
        <v/>
      </c>
      <c r="I80" s="347" t="str">
        <f t="shared" ca="1" si="14"/>
        <v/>
      </c>
      <c r="J80" s="348" t="str">
        <f t="shared" ca="1" si="14"/>
        <v/>
      </c>
      <c r="K80" s="349" t="str">
        <f t="shared" ca="1" si="14"/>
        <v/>
      </c>
      <c r="L80" s="359"/>
      <c r="M80" s="351">
        <f t="shared" ca="1" si="17"/>
        <v>0</v>
      </c>
      <c r="N80" s="352">
        <v>6051</v>
      </c>
      <c r="O80" s="353" t="str">
        <f t="shared" ca="1" si="18"/>
        <v>其他业务收入</v>
      </c>
      <c r="P80" s="351">
        <f t="shared" ca="1" si="19"/>
        <v>0</v>
      </c>
      <c r="Q80" s="354"/>
      <c r="R80" s="354"/>
      <c r="S80" s="354"/>
      <c r="T80" s="355" t="str">
        <f t="shared" ca="1" si="15"/>
        <v/>
      </c>
      <c r="U80" s="346" t="str">
        <f t="shared" ca="1" si="13"/>
        <v/>
      </c>
      <c r="V80" s="356" t="str">
        <f t="shared" ca="1" si="13"/>
        <v/>
      </c>
      <c r="W80" s="345" t="str">
        <f t="shared" ca="1" si="13"/>
        <v/>
      </c>
      <c r="X80" s="346" t="str">
        <f t="shared" ca="1" si="13"/>
        <v/>
      </c>
      <c r="Y80" s="347" t="str">
        <f t="shared" ca="1" si="13"/>
        <v/>
      </c>
      <c r="Z80" s="348" t="str">
        <f t="shared" ca="1" si="13"/>
        <v/>
      </c>
      <c r="AA80" s="346" t="str">
        <f t="shared" ca="1" si="13"/>
        <v/>
      </c>
      <c r="AB80" s="347" t="str">
        <f t="shared" ca="1" si="13"/>
        <v/>
      </c>
      <c r="AC80" s="348" t="str">
        <f t="shared" ca="1" si="13"/>
        <v/>
      </c>
      <c r="AD80" s="349" t="str">
        <f t="shared" ca="1" si="13"/>
        <v/>
      </c>
      <c r="AE80" s="357" t="str">
        <f t="shared" ca="1" si="20"/>
        <v/>
      </c>
    </row>
    <row r="81" spans="1:31" ht="14.25" hidden="1" customHeight="1">
      <c r="A81" s="358" t="str">
        <f t="shared" ca="1" si="16"/>
        <v/>
      </c>
      <c r="B81" s="346" t="str">
        <f t="shared" ca="1" si="14"/>
        <v/>
      </c>
      <c r="C81" s="356" t="str">
        <f t="shared" ca="1" si="14"/>
        <v/>
      </c>
      <c r="D81" s="345" t="str">
        <f t="shared" ca="1" si="14"/>
        <v/>
      </c>
      <c r="E81" s="346" t="str">
        <f t="shared" ca="1" si="14"/>
        <v/>
      </c>
      <c r="F81" s="347" t="str">
        <f t="shared" ca="1" si="14"/>
        <v/>
      </c>
      <c r="G81" s="348" t="str">
        <f t="shared" ca="1" si="14"/>
        <v/>
      </c>
      <c r="H81" s="346" t="str">
        <f t="shared" ca="1" si="14"/>
        <v/>
      </c>
      <c r="I81" s="347" t="str">
        <f t="shared" ca="1" si="14"/>
        <v/>
      </c>
      <c r="J81" s="348" t="str">
        <f t="shared" ca="1" si="14"/>
        <v/>
      </c>
      <c r="K81" s="349" t="str">
        <f t="shared" ca="1" si="14"/>
        <v/>
      </c>
      <c r="L81" s="359"/>
      <c r="M81" s="351">
        <f t="shared" ca="1" si="17"/>
        <v>0</v>
      </c>
      <c r="N81" s="352">
        <v>6101</v>
      </c>
      <c r="O81" s="353" t="str">
        <f t="shared" ca="1" si="18"/>
        <v>公允价值变动损益</v>
      </c>
      <c r="P81" s="351">
        <f t="shared" ca="1" si="19"/>
        <v>0</v>
      </c>
      <c r="Q81" s="354"/>
      <c r="R81" s="354"/>
      <c r="S81" s="354"/>
      <c r="T81" s="355" t="str">
        <f t="shared" ca="1" si="15"/>
        <v/>
      </c>
      <c r="U81" s="346" t="str">
        <f t="shared" ca="1" si="13"/>
        <v/>
      </c>
      <c r="V81" s="356" t="str">
        <f t="shared" ca="1" si="13"/>
        <v/>
      </c>
      <c r="W81" s="345" t="str">
        <f t="shared" ca="1" si="13"/>
        <v/>
      </c>
      <c r="X81" s="346" t="str">
        <f t="shared" ca="1" si="13"/>
        <v/>
      </c>
      <c r="Y81" s="347" t="str">
        <f t="shared" ca="1" si="13"/>
        <v/>
      </c>
      <c r="Z81" s="348" t="str">
        <f t="shared" ca="1" si="13"/>
        <v/>
      </c>
      <c r="AA81" s="346" t="str">
        <f t="shared" ca="1" si="13"/>
        <v/>
      </c>
      <c r="AB81" s="347" t="str">
        <f t="shared" ca="1" si="13"/>
        <v/>
      </c>
      <c r="AC81" s="348" t="str">
        <f t="shared" ca="1" si="13"/>
        <v/>
      </c>
      <c r="AD81" s="349" t="str">
        <f t="shared" ca="1" si="13"/>
        <v/>
      </c>
      <c r="AE81" s="357" t="str">
        <f t="shared" ca="1" si="20"/>
        <v/>
      </c>
    </row>
    <row r="82" spans="1:31" ht="14.25" hidden="1" customHeight="1">
      <c r="A82" s="358" t="str">
        <f t="shared" ca="1" si="16"/>
        <v/>
      </c>
      <c r="B82" s="346" t="str">
        <f t="shared" ca="1" si="14"/>
        <v/>
      </c>
      <c r="C82" s="356" t="str">
        <f t="shared" ca="1" si="14"/>
        <v/>
      </c>
      <c r="D82" s="345" t="str">
        <f t="shared" ca="1" si="14"/>
        <v/>
      </c>
      <c r="E82" s="346" t="str">
        <f t="shared" ca="1" si="14"/>
        <v/>
      </c>
      <c r="F82" s="347" t="str">
        <f t="shared" ca="1" si="14"/>
        <v/>
      </c>
      <c r="G82" s="348" t="str">
        <f t="shared" ca="1" si="14"/>
        <v/>
      </c>
      <c r="H82" s="346" t="str">
        <f t="shared" ca="1" si="14"/>
        <v/>
      </c>
      <c r="I82" s="347" t="str">
        <f t="shared" ca="1" si="14"/>
        <v/>
      </c>
      <c r="J82" s="348" t="str">
        <f t="shared" ca="1" si="14"/>
        <v/>
      </c>
      <c r="K82" s="349" t="str">
        <f t="shared" ca="1" si="14"/>
        <v/>
      </c>
      <c r="L82" s="359"/>
      <c r="M82" s="351">
        <f t="shared" ca="1" si="17"/>
        <v>0</v>
      </c>
      <c r="N82" s="352">
        <v>6111</v>
      </c>
      <c r="O82" s="353" t="str">
        <f t="shared" ca="1" si="18"/>
        <v>投资收益</v>
      </c>
      <c r="P82" s="351">
        <f t="shared" ca="1" si="19"/>
        <v>0</v>
      </c>
      <c r="Q82" s="354"/>
      <c r="R82" s="354"/>
      <c r="S82" s="354"/>
      <c r="T82" s="355" t="str">
        <f t="shared" ca="1" si="15"/>
        <v/>
      </c>
      <c r="U82" s="346" t="str">
        <f t="shared" ca="1" si="13"/>
        <v/>
      </c>
      <c r="V82" s="356" t="str">
        <f t="shared" ca="1" si="13"/>
        <v/>
      </c>
      <c r="W82" s="345" t="str">
        <f t="shared" ca="1" si="13"/>
        <v/>
      </c>
      <c r="X82" s="346" t="str">
        <f t="shared" ca="1" si="13"/>
        <v/>
      </c>
      <c r="Y82" s="347" t="str">
        <f t="shared" ca="1" si="13"/>
        <v/>
      </c>
      <c r="Z82" s="348" t="str">
        <f t="shared" ca="1" si="13"/>
        <v/>
      </c>
      <c r="AA82" s="346" t="str">
        <f t="shared" ca="1" si="13"/>
        <v/>
      </c>
      <c r="AB82" s="347" t="str">
        <f t="shared" ca="1" si="13"/>
        <v/>
      </c>
      <c r="AC82" s="348" t="str">
        <f t="shared" ca="1" si="13"/>
        <v/>
      </c>
      <c r="AD82" s="349" t="str">
        <f t="shared" ca="1" si="13"/>
        <v/>
      </c>
      <c r="AE82" s="357" t="str">
        <f t="shared" ca="1" si="20"/>
        <v/>
      </c>
    </row>
    <row r="83" spans="1:31" ht="14.25" hidden="1" customHeight="1">
      <c r="A83" s="358" t="str">
        <f t="shared" ca="1" si="16"/>
        <v/>
      </c>
      <c r="B83" s="346" t="str">
        <f t="shared" ca="1" si="14"/>
        <v/>
      </c>
      <c r="C83" s="356" t="str">
        <f t="shared" ca="1" si="14"/>
        <v/>
      </c>
      <c r="D83" s="345" t="str">
        <f t="shared" ca="1" si="14"/>
        <v/>
      </c>
      <c r="E83" s="346" t="str">
        <f t="shared" ca="1" si="14"/>
        <v/>
      </c>
      <c r="F83" s="347" t="str">
        <f t="shared" ca="1" si="14"/>
        <v/>
      </c>
      <c r="G83" s="348" t="str">
        <f t="shared" ca="1" si="14"/>
        <v/>
      </c>
      <c r="H83" s="346" t="str">
        <f t="shared" ca="1" si="14"/>
        <v/>
      </c>
      <c r="I83" s="347" t="str">
        <f t="shared" ca="1" si="14"/>
        <v/>
      </c>
      <c r="J83" s="348" t="str">
        <f t="shared" ca="1" si="14"/>
        <v/>
      </c>
      <c r="K83" s="349" t="str">
        <f t="shared" ca="1" si="14"/>
        <v/>
      </c>
      <c r="L83" s="359"/>
      <c r="M83" s="351">
        <f t="shared" ca="1" si="17"/>
        <v>0</v>
      </c>
      <c r="N83" s="352">
        <v>6301</v>
      </c>
      <c r="O83" s="353" t="str">
        <f t="shared" ca="1" si="18"/>
        <v>营业外收入</v>
      </c>
      <c r="P83" s="351">
        <f t="shared" ca="1" si="19"/>
        <v>0</v>
      </c>
      <c r="Q83" s="354"/>
      <c r="R83" s="354"/>
      <c r="S83" s="354"/>
      <c r="T83" s="355" t="str">
        <f t="shared" ca="1" si="15"/>
        <v/>
      </c>
      <c r="U83" s="346" t="str">
        <f t="shared" ca="1" si="13"/>
        <v/>
      </c>
      <c r="V83" s="356" t="str">
        <f t="shared" ca="1" si="13"/>
        <v/>
      </c>
      <c r="W83" s="345" t="str">
        <f t="shared" ca="1" si="13"/>
        <v/>
      </c>
      <c r="X83" s="346" t="str">
        <f t="shared" ca="1" si="13"/>
        <v/>
      </c>
      <c r="Y83" s="347" t="str">
        <f t="shared" ca="1" si="13"/>
        <v/>
      </c>
      <c r="Z83" s="348" t="str">
        <f t="shared" ca="1" si="13"/>
        <v/>
      </c>
      <c r="AA83" s="346" t="str">
        <f t="shared" ca="1" si="13"/>
        <v/>
      </c>
      <c r="AB83" s="347" t="str">
        <f t="shared" ca="1" si="13"/>
        <v/>
      </c>
      <c r="AC83" s="348" t="str">
        <f t="shared" ca="1" si="13"/>
        <v/>
      </c>
      <c r="AD83" s="349" t="str">
        <f t="shared" ca="1" si="13"/>
        <v/>
      </c>
      <c r="AE83" s="357" t="str">
        <f t="shared" ca="1" si="20"/>
        <v/>
      </c>
    </row>
    <row r="84" spans="1:31" hidden="1">
      <c r="A84" s="358" t="str">
        <f t="shared" ca="1" si="16"/>
        <v/>
      </c>
      <c r="B84" s="346" t="str">
        <f t="shared" ca="1" si="16"/>
        <v/>
      </c>
      <c r="C84" s="356" t="str">
        <f t="shared" ca="1" si="16"/>
        <v/>
      </c>
      <c r="D84" s="345" t="str">
        <f t="shared" ca="1" si="16"/>
        <v/>
      </c>
      <c r="E84" s="346" t="str">
        <f t="shared" ca="1" si="16"/>
        <v/>
      </c>
      <c r="F84" s="347" t="str">
        <f t="shared" ca="1" si="16"/>
        <v/>
      </c>
      <c r="G84" s="348" t="str">
        <f t="shared" ca="1" si="16"/>
        <v/>
      </c>
      <c r="H84" s="346" t="str">
        <f t="shared" ca="1" si="16"/>
        <v/>
      </c>
      <c r="I84" s="347" t="str">
        <f t="shared" ca="1" si="16"/>
        <v/>
      </c>
      <c r="J84" s="348" t="str">
        <f t="shared" ca="1" si="16"/>
        <v/>
      </c>
      <c r="K84" s="349" t="str">
        <f t="shared" ca="1" si="16"/>
        <v/>
      </c>
      <c r="L84" s="359"/>
      <c r="M84" s="351">
        <f t="shared" ca="1" si="17"/>
        <v>0</v>
      </c>
      <c r="N84" s="352">
        <v>6401</v>
      </c>
      <c r="O84" s="353" t="str">
        <f t="shared" ca="1" si="18"/>
        <v>主营业务成本</v>
      </c>
      <c r="P84" s="351">
        <f t="shared" ca="1" si="19"/>
        <v>0</v>
      </c>
      <c r="Q84" s="354"/>
      <c r="R84" s="354"/>
      <c r="S84" s="354"/>
      <c r="T84" s="355" t="str">
        <f t="shared" ca="1" si="15"/>
        <v/>
      </c>
      <c r="U84" s="346" t="str">
        <f t="shared" ca="1" si="15"/>
        <v/>
      </c>
      <c r="V84" s="356" t="str">
        <f t="shared" ca="1" si="15"/>
        <v/>
      </c>
      <c r="W84" s="345" t="str">
        <f t="shared" ca="1" si="15"/>
        <v/>
      </c>
      <c r="X84" s="346" t="str">
        <f t="shared" ca="1" si="15"/>
        <v/>
      </c>
      <c r="Y84" s="347" t="str">
        <f t="shared" ca="1" si="15"/>
        <v/>
      </c>
      <c r="Z84" s="348" t="str">
        <f t="shared" ca="1" si="15"/>
        <v/>
      </c>
      <c r="AA84" s="346" t="str">
        <f t="shared" ca="1" si="15"/>
        <v/>
      </c>
      <c r="AB84" s="347" t="str">
        <f t="shared" ca="1" si="15"/>
        <v/>
      </c>
      <c r="AC84" s="348" t="str">
        <f t="shared" ca="1" si="15"/>
        <v/>
      </c>
      <c r="AD84" s="349" t="str">
        <f t="shared" ca="1" si="15"/>
        <v/>
      </c>
      <c r="AE84" s="357" t="str">
        <f t="shared" ca="1" si="20"/>
        <v/>
      </c>
    </row>
    <row r="85" spans="1:31" hidden="1">
      <c r="A85" s="358" t="str">
        <f t="shared" ref="A85:K94" ca="1" si="21">LEFT(RIGHT(TEXT($M85/1%," ￥0; ￥-0;"),12-COLUMN()))</f>
        <v/>
      </c>
      <c r="B85" s="346" t="str">
        <f t="shared" ca="1" si="21"/>
        <v/>
      </c>
      <c r="C85" s="356" t="str">
        <f t="shared" ca="1" si="21"/>
        <v/>
      </c>
      <c r="D85" s="345" t="str">
        <f t="shared" ca="1" si="21"/>
        <v/>
      </c>
      <c r="E85" s="346" t="str">
        <f t="shared" ca="1" si="21"/>
        <v/>
      </c>
      <c r="F85" s="347" t="str">
        <f t="shared" ca="1" si="21"/>
        <v/>
      </c>
      <c r="G85" s="348" t="str">
        <f t="shared" ca="1" si="21"/>
        <v/>
      </c>
      <c r="H85" s="346" t="str">
        <f t="shared" ca="1" si="21"/>
        <v/>
      </c>
      <c r="I85" s="347" t="str">
        <f t="shared" ca="1" si="21"/>
        <v/>
      </c>
      <c r="J85" s="348" t="str">
        <f t="shared" ca="1" si="21"/>
        <v/>
      </c>
      <c r="K85" s="349" t="str">
        <f t="shared" ca="1" si="21"/>
        <v/>
      </c>
      <c r="L85" s="359"/>
      <c r="M85" s="351">
        <f t="shared" ca="1" si="17"/>
        <v>0</v>
      </c>
      <c r="N85" s="352">
        <v>6402</v>
      </c>
      <c r="O85" s="353" t="str">
        <f t="shared" ca="1" si="18"/>
        <v>其他业务成本</v>
      </c>
      <c r="P85" s="351">
        <f t="shared" ca="1" si="19"/>
        <v>0</v>
      </c>
      <c r="Q85" s="354"/>
      <c r="R85" s="354"/>
      <c r="S85" s="354"/>
      <c r="T85" s="355" t="str">
        <f t="shared" ref="T85:AD94" ca="1" si="22">LEFT(RIGHT(TEXT($P85/1%," ￥0; ￥-0;"),31-COLUMN()))</f>
        <v/>
      </c>
      <c r="U85" s="346" t="str">
        <f t="shared" ca="1" si="22"/>
        <v/>
      </c>
      <c r="V85" s="356" t="str">
        <f t="shared" ca="1" si="22"/>
        <v/>
      </c>
      <c r="W85" s="345" t="str">
        <f t="shared" ca="1" si="22"/>
        <v/>
      </c>
      <c r="X85" s="346" t="str">
        <f t="shared" ca="1" si="22"/>
        <v/>
      </c>
      <c r="Y85" s="347" t="str">
        <f t="shared" ca="1" si="22"/>
        <v/>
      </c>
      <c r="Z85" s="348" t="str">
        <f t="shared" ca="1" si="22"/>
        <v/>
      </c>
      <c r="AA85" s="346" t="str">
        <f t="shared" ca="1" si="22"/>
        <v/>
      </c>
      <c r="AB85" s="347" t="str">
        <f t="shared" ca="1" si="22"/>
        <v/>
      </c>
      <c r="AC85" s="348" t="str">
        <f t="shared" ca="1" si="22"/>
        <v/>
      </c>
      <c r="AD85" s="349" t="str">
        <f t="shared" ca="1" si="22"/>
        <v/>
      </c>
      <c r="AE85" s="357" t="str">
        <f t="shared" ca="1" si="20"/>
        <v/>
      </c>
    </row>
    <row r="86" spans="1:31" hidden="1">
      <c r="A86" s="358" t="str">
        <f t="shared" ca="1" si="21"/>
        <v/>
      </c>
      <c r="B86" s="346" t="str">
        <f t="shared" ca="1" si="21"/>
        <v/>
      </c>
      <c r="C86" s="356" t="str">
        <f t="shared" ca="1" si="21"/>
        <v/>
      </c>
      <c r="D86" s="345" t="str">
        <f t="shared" ca="1" si="21"/>
        <v/>
      </c>
      <c r="E86" s="346" t="str">
        <f t="shared" ca="1" si="21"/>
        <v/>
      </c>
      <c r="F86" s="347" t="str">
        <f t="shared" ca="1" si="21"/>
        <v/>
      </c>
      <c r="G86" s="348" t="str">
        <f t="shared" ca="1" si="21"/>
        <v/>
      </c>
      <c r="H86" s="346" t="str">
        <f t="shared" ca="1" si="21"/>
        <v/>
      </c>
      <c r="I86" s="347" t="str">
        <f t="shared" ca="1" si="21"/>
        <v/>
      </c>
      <c r="J86" s="348" t="str">
        <f t="shared" ca="1" si="21"/>
        <v/>
      </c>
      <c r="K86" s="349" t="str">
        <f t="shared" ca="1" si="21"/>
        <v/>
      </c>
      <c r="L86" s="359"/>
      <c r="M86" s="351">
        <f t="shared" ca="1" si="17"/>
        <v>0</v>
      </c>
      <c r="N86" s="352">
        <v>6403</v>
      </c>
      <c r="O86" s="353" t="str">
        <f t="shared" ca="1" si="18"/>
        <v>营业税金及附加</v>
      </c>
      <c r="P86" s="351">
        <f t="shared" ca="1" si="19"/>
        <v>0</v>
      </c>
      <c r="Q86" s="354"/>
      <c r="R86" s="354"/>
      <c r="S86" s="354"/>
      <c r="T86" s="355" t="str">
        <f t="shared" ca="1" si="22"/>
        <v/>
      </c>
      <c r="U86" s="346" t="str">
        <f t="shared" ca="1" si="22"/>
        <v/>
      </c>
      <c r="V86" s="356" t="str">
        <f t="shared" ca="1" si="22"/>
        <v/>
      </c>
      <c r="W86" s="345" t="str">
        <f t="shared" ca="1" si="22"/>
        <v/>
      </c>
      <c r="X86" s="346" t="str">
        <f t="shared" ca="1" si="22"/>
        <v/>
      </c>
      <c r="Y86" s="347" t="str">
        <f t="shared" ca="1" si="22"/>
        <v/>
      </c>
      <c r="Z86" s="348" t="str">
        <f t="shared" ca="1" si="22"/>
        <v/>
      </c>
      <c r="AA86" s="346" t="str">
        <f t="shared" ca="1" si="22"/>
        <v/>
      </c>
      <c r="AB86" s="347" t="str">
        <f t="shared" ca="1" si="22"/>
        <v/>
      </c>
      <c r="AC86" s="348" t="str">
        <f t="shared" ca="1" si="22"/>
        <v/>
      </c>
      <c r="AD86" s="349" t="str">
        <f t="shared" ca="1" si="22"/>
        <v/>
      </c>
      <c r="AE86" s="357" t="str">
        <f t="shared" ca="1" si="20"/>
        <v/>
      </c>
    </row>
    <row r="87" spans="1:31" hidden="1">
      <c r="A87" s="358" t="str">
        <f t="shared" ca="1" si="21"/>
        <v/>
      </c>
      <c r="B87" s="346" t="str">
        <f t="shared" ca="1" si="21"/>
        <v/>
      </c>
      <c r="C87" s="356" t="str">
        <f t="shared" ca="1" si="21"/>
        <v/>
      </c>
      <c r="D87" s="345" t="str">
        <f t="shared" ca="1" si="21"/>
        <v/>
      </c>
      <c r="E87" s="346" t="str">
        <f t="shared" ca="1" si="21"/>
        <v/>
      </c>
      <c r="F87" s="347" t="str">
        <f t="shared" ca="1" si="21"/>
        <v/>
      </c>
      <c r="G87" s="348" t="str">
        <f t="shared" ca="1" si="21"/>
        <v/>
      </c>
      <c r="H87" s="346" t="str">
        <f t="shared" ca="1" si="21"/>
        <v/>
      </c>
      <c r="I87" s="347" t="str">
        <f t="shared" ca="1" si="21"/>
        <v/>
      </c>
      <c r="J87" s="348" t="str">
        <f t="shared" ca="1" si="21"/>
        <v/>
      </c>
      <c r="K87" s="349" t="str">
        <f t="shared" ca="1" si="21"/>
        <v/>
      </c>
      <c r="L87" s="359"/>
      <c r="M87" s="351">
        <f t="shared" ca="1" si="17"/>
        <v>0</v>
      </c>
      <c r="N87" s="352">
        <v>6601</v>
      </c>
      <c r="O87" s="353" t="str">
        <f t="shared" ca="1" si="18"/>
        <v>销售费用</v>
      </c>
      <c r="P87" s="351">
        <f t="shared" ca="1" si="19"/>
        <v>0</v>
      </c>
      <c r="Q87" s="354"/>
      <c r="R87" s="354"/>
      <c r="S87" s="354"/>
      <c r="T87" s="355" t="str">
        <f t="shared" ca="1" si="22"/>
        <v/>
      </c>
      <c r="U87" s="346" t="str">
        <f t="shared" ca="1" si="22"/>
        <v/>
      </c>
      <c r="V87" s="356" t="str">
        <f t="shared" ca="1" si="22"/>
        <v/>
      </c>
      <c r="W87" s="345" t="str">
        <f t="shared" ca="1" si="22"/>
        <v/>
      </c>
      <c r="X87" s="346" t="str">
        <f t="shared" ca="1" si="22"/>
        <v/>
      </c>
      <c r="Y87" s="347" t="str">
        <f t="shared" ca="1" si="22"/>
        <v/>
      </c>
      <c r="Z87" s="348" t="str">
        <f t="shared" ca="1" si="22"/>
        <v/>
      </c>
      <c r="AA87" s="346" t="str">
        <f t="shared" ca="1" si="22"/>
        <v/>
      </c>
      <c r="AB87" s="347" t="str">
        <f t="shared" ca="1" si="22"/>
        <v/>
      </c>
      <c r="AC87" s="348" t="str">
        <f t="shared" ca="1" si="22"/>
        <v/>
      </c>
      <c r="AD87" s="349" t="str">
        <f t="shared" ca="1" si="22"/>
        <v/>
      </c>
      <c r="AE87" s="357" t="str">
        <f t="shared" ca="1" si="20"/>
        <v/>
      </c>
    </row>
    <row r="88" spans="1:31">
      <c r="A88" s="358" t="str">
        <f t="shared" ca="1" si="21"/>
        <v xml:space="preserve"> </v>
      </c>
      <c r="B88" s="346" t="str">
        <f t="shared" ca="1" si="21"/>
        <v xml:space="preserve"> </v>
      </c>
      <c r="C88" s="356" t="str">
        <f t="shared" ca="1" si="21"/>
        <v xml:space="preserve"> </v>
      </c>
      <c r="D88" s="345" t="str">
        <f t="shared" ca="1" si="21"/>
        <v xml:space="preserve"> </v>
      </c>
      <c r="E88" s="346" t="str">
        <f t="shared" ca="1" si="21"/>
        <v>￥</v>
      </c>
      <c r="F88" s="347" t="str">
        <f t="shared" ca="1" si="21"/>
        <v>3</v>
      </c>
      <c r="G88" s="348" t="str">
        <f t="shared" ca="1" si="21"/>
        <v>6</v>
      </c>
      <c r="H88" s="346" t="str">
        <f t="shared" ca="1" si="21"/>
        <v>0</v>
      </c>
      <c r="I88" s="347" t="str">
        <f t="shared" ca="1" si="21"/>
        <v>1</v>
      </c>
      <c r="J88" s="348" t="str">
        <f t="shared" ca="1" si="21"/>
        <v>8</v>
      </c>
      <c r="K88" s="349" t="str">
        <f t="shared" ca="1" si="21"/>
        <v>2</v>
      </c>
      <c r="L88" s="359"/>
      <c r="M88" s="351">
        <f t="shared" ca="1" si="17"/>
        <v>3601.82</v>
      </c>
      <c r="N88" s="352">
        <v>6602</v>
      </c>
      <c r="O88" s="353" t="str">
        <f t="shared" ca="1" si="18"/>
        <v>管理费用</v>
      </c>
      <c r="P88" s="351">
        <f t="shared" ca="1" si="19"/>
        <v>3601.82</v>
      </c>
      <c r="Q88" s="354"/>
      <c r="R88" s="354"/>
      <c r="S88" s="354"/>
      <c r="T88" s="355" t="str">
        <f t="shared" ca="1" si="22"/>
        <v xml:space="preserve"> </v>
      </c>
      <c r="U88" s="346" t="str">
        <f t="shared" ca="1" si="22"/>
        <v xml:space="preserve"> </v>
      </c>
      <c r="V88" s="356" t="str">
        <f t="shared" ca="1" si="22"/>
        <v xml:space="preserve"> </v>
      </c>
      <c r="W88" s="345" t="str">
        <f t="shared" ca="1" si="22"/>
        <v xml:space="preserve"> </v>
      </c>
      <c r="X88" s="346" t="str">
        <f t="shared" ca="1" si="22"/>
        <v>￥</v>
      </c>
      <c r="Y88" s="347" t="str">
        <f t="shared" ca="1" si="22"/>
        <v>3</v>
      </c>
      <c r="Z88" s="348" t="str">
        <f t="shared" ca="1" si="22"/>
        <v>6</v>
      </c>
      <c r="AA88" s="346" t="str">
        <f t="shared" ca="1" si="22"/>
        <v>0</v>
      </c>
      <c r="AB88" s="347" t="str">
        <f t="shared" ca="1" si="22"/>
        <v>1</v>
      </c>
      <c r="AC88" s="348" t="str">
        <f t="shared" ca="1" si="22"/>
        <v>8</v>
      </c>
      <c r="AD88" s="349" t="str">
        <f t="shared" ca="1" si="22"/>
        <v>2</v>
      </c>
      <c r="AE88" s="357" t="str">
        <f t="shared" ca="1" si="20"/>
        <v>是</v>
      </c>
    </row>
    <row r="89" spans="1:31">
      <c r="A89" s="358" t="str">
        <f t="shared" ca="1" si="21"/>
        <v xml:space="preserve"> </v>
      </c>
      <c r="B89" s="346" t="str">
        <f t="shared" ca="1" si="21"/>
        <v xml:space="preserve"> </v>
      </c>
      <c r="C89" s="356" t="str">
        <f t="shared" ca="1" si="21"/>
        <v xml:space="preserve"> </v>
      </c>
      <c r="D89" s="345" t="str">
        <f t="shared" ca="1" si="21"/>
        <v xml:space="preserve"> </v>
      </c>
      <c r="E89" s="346" t="str">
        <f t="shared" ca="1" si="21"/>
        <v xml:space="preserve"> </v>
      </c>
      <c r="F89" s="347" t="str">
        <f t="shared" ca="1" si="21"/>
        <v xml:space="preserve"> </v>
      </c>
      <c r="G89" s="348" t="str">
        <f t="shared" ca="1" si="21"/>
        <v>￥</v>
      </c>
      <c r="H89" s="346" t="str">
        <f t="shared" ca="1" si="21"/>
        <v>3</v>
      </c>
      <c r="I89" s="347" t="str">
        <f t="shared" ca="1" si="21"/>
        <v>7</v>
      </c>
      <c r="J89" s="348" t="str">
        <f t="shared" ca="1" si="21"/>
        <v>5</v>
      </c>
      <c r="K89" s="349" t="str">
        <f t="shared" ca="1" si="21"/>
        <v>0</v>
      </c>
      <c r="L89" s="359"/>
      <c r="M89" s="351">
        <f t="shared" ca="1" si="17"/>
        <v>37.5</v>
      </c>
      <c r="N89" s="352">
        <v>6603</v>
      </c>
      <c r="O89" s="353" t="str">
        <f t="shared" ca="1" si="18"/>
        <v>财务费用</v>
      </c>
      <c r="P89" s="351">
        <f t="shared" ca="1" si="19"/>
        <v>37.5</v>
      </c>
      <c r="Q89" s="354"/>
      <c r="R89" s="354"/>
      <c r="S89" s="354"/>
      <c r="T89" s="355" t="str">
        <f t="shared" ca="1" si="22"/>
        <v xml:space="preserve"> </v>
      </c>
      <c r="U89" s="346" t="str">
        <f t="shared" ca="1" si="22"/>
        <v xml:space="preserve"> </v>
      </c>
      <c r="V89" s="356" t="str">
        <f t="shared" ca="1" si="22"/>
        <v xml:space="preserve"> </v>
      </c>
      <c r="W89" s="345" t="str">
        <f t="shared" ca="1" si="22"/>
        <v xml:space="preserve"> </v>
      </c>
      <c r="X89" s="346" t="str">
        <f t="shared" ca="1" si="22"/>
        <v xml:space="preserve"> </v>
      </c>
      <c r="Y89" s="347" t="str">
        <f t="shared" ca="1" si="22"/>
        <v xml:space="preserve"> </v>
      </c>
      <c r="Z89" s="348" t="str">
        <f t="shared" ca="1" si="22"/>
        <v>￥</v>
      </c>
      <c r="AA89" s="346" t="str">
        <f t="shared" ca="1" si="22"/>
        <v>3</v>
      </c>
      <c r="AB89" s="347" t="str">
        <f t="shared" ca="1" si="22"/>
        <v>7</v>
      </c>
      <c r="AC89" s="348" t="str">
        <f t="shared" ca="1" si="22"/>
        <v>5</v>
      </c>
      <c r="AD89" s="349" t="str">
        <f t="shared" ca="1" si="22"/>
        <v>0</v>
      </c>
      <c r="AE89" s="357" t="str">
        <f t="shared" ca="1" si="20"/>
        <v>是</v>
      </c>
    </row>
    <row r="90" spans="1:31" hidden="1">
      <c r="A90" s="358" t="str">
        <f t="shared" ca="1" si="21"/>
        <v/>
      </c>
      <c r="B90" s="346" t="str">
        <f t="shared" ca="1" si="21"/>
        <v/>
      </c>
      <c r="C90" s="356" t="str">
        <f t="shared" ca="1" si="21"/>
        <v/>
      </c>
      <c r="D90" s="345" t="str">
        <f t="shared" ca="1" si="21"/>
        <v/>
      </c>
      <c r="E90" s="346" t="str">
        <f t="shared" ca="1" si="21"/>
        <v/>
      </c>
      <c r="F90" s="347" t="str">
        <f t="shared" ca="1" si="21"/>
        <v/>
      </c>
      <c r="G90" s="348" t="str">
        <f t="shared" ca="1" si="21"/>
        <v/>
      </c>
      <c r="H90" s="346" t="str">
        <f t="shared" ca="1" si="21"/>
        <v/>
      </c>
      <c r="I90" s="347" t="str">
        <f t="shared" ca="1" si="21"/>
        <v/>
      </c>
      <c r="J90" s="348" t="str">
        <f t="shared" ca="1" si="21"/>
        <v/>
      </c>
      <c r="K90" s="349" t="str">
        <f t="shared" ca="1" si="21"/>
        <v/>
      </c>
      <c r="L90" s="359"/>
      <c r="M90" s="351">
        <f t="shared" ca="1" si="17"/>
        <v>0</v>
      </c>
      <c r="N90" s="352">
        <v>6701</v>
      </c>
      <c r="O90" s="353" t="str">
        <f t="shared" ca="1" si="18"/>
        <v>资产减值损失</v>
      </c>
      <c r="P90" s="351">
        <f t="shared" ca="1" si="19"/>
        <v>0</v>
      </c>
      <c r="Q90" s="354"/>
      <c r="R90" s="354"/>
      <c r="S90" s="354"/>
      <c r="T90" s="355" t="str">
        <f t="shared" ca="1" si="22"/>
        <v/>
      </c>
      <c r="U90" s="346" t="str">
        <f t="shared" ca="1" si="22"/>
        <v/>
      </c>
      <c r="V90" s="356" t="str">
        <f t="shared" ca="1" si="22"/>
        <v/>
      </c>
      <c r="W90" s="345" t="str">
        <f t="shared" ca="1" si="22"/>
        <v/>
      </c>
      <c r="X90" s="346" t="str">
        <f t="shared" ca="1" si="22"/>
        <v/>
      </c>
      <c r="Y90" s="347" t="str">
        <f t="shared" ca="1" si="22"/>
        <v/>
      </c>
      <c r="Z90" s="348" t="str">
        <f t="shared" ca="1" si="22"/>
        <v/>
      </c>
      <c r="AA90" s="346" t="str">
        <f t="shared" ca="1" si="22"/>
        <v/>
      </c>
      <c r="AB90" s="347" t="str">
        <f t="shared" ca="1" si="22"/>
        <v/>
      </c>
      <c r="AC90" s="348" t="str">
        <f t="shared" ca="1" si="22"/>
        <v/>
      </c>
      <c r="AD90" s="349" t="str">
        <f t="shared" ca="1" si="22"/>
        <v/>
      </c>
      <c r="AE90" s="357" t="str">
        <f t="shared" ca="1" si="20"/>
        <v/>
      </c>
    </row>
    <row r="91" spans="1:31" hidden="1">
      <c r="A91" s="358" t="str">
        <f t="shared" ca="1" si="21"/>
        <v/>
      </c>
      <c r="B91" s="346" t="str">
        <f t="shared" ca="1" si="21"/>
        <v/>
      </c>
      <c r="C91" s="356" t="str">
        <f t="shared" ca="1" si="21"/>
        <v/>
      </c>
      <c r="D91" s="345" t="str">
        <f t="shared" ca="1" si="21"/>
        <v/>
      </c>
      <c r="E91" s="346" t="str">
        <f t="shared" ca="1" si="21"/>
        <v/>
      </c>
      <c r="F91" s="347" t="str">
        <f t="shared" ca="1" si="21"/>
        <v/>
      </c>
      <c r="G91" s="348" t="str">
        <f t="shared" ca="1" si="21"/>
        <v/>
      </c>
      <c r="H91" s="346" t="str">
        <f t="shared" ca="1" si="21"/>
        <v/>
      </c>
      <c r="I91" s="347" t="str">
        <f t="shared" ca="1" si="21"/>
        <v/>
      </c>
      <c r="J91" s="348" t="str">
        <f t="shared" ca="1" si="21"/>
        <v/>
      </c>
      <c r="K91" s="349" t="str">
        <f t="shared" ca="1" si="21"/>
        <v/>
      </c>
      <c r="L91" s="359"/>
      <c r="M91" s="351">
        <f t="shared" ca="1" si="17"/>
        <v>0</v>
      </c>
      <c r="N91" s="352">
        <v>6711</v>
      </c>
      <c r="O91" s="353" t="str">
        <f t="shared" ca="1" si="18"/>
        <v>营业外支出</v>
      </c>
      <c r="P91" s="351">
        <f t="shared" ca="1" si="19"/>
        <v>0</v>
      </c>
      <c r="Q91" s="354"/>
      <c r="R91" s="354"/>
      <c r="S91" s="354"/>
      <c r="T91" s="355" t="str">
        <f t="shared" ca="1" si="22"/>
        <v/>
      </c>
      <c r="U91" s="346" t="str">
        <f t="shared" ca="1" si="22"/>
        <v/>
      </c>
      <c r="V91" s="356" t="str">
        <f t="shared" ca="1" si="22"/>
        <v/>
      </c>
      <c r="W91" s="345" t="str">
        <f t="shared" ca="1" si="22"/>
        <v/>
      </c>
      <c r="X91" s="346" t="str">
        <f t="shared" ca="1" si="22"/>
        <v/>
      </c>
      <c r="Y91" s="347" t="str">
        <f t="shared" ca="1" si="22"/>
        <v/>
      </c>
      <c r="Z91" s="348" t="str">
        <f t="shared" ca="1" si="22"/>
        <v/>
      </c>
      <c r="AA91" s="346" t="str">
        <f t="shared" ca="1" si="22"/>
        <v/>
      </c>
      <c r="AB91" s="347" t="str">
        <f t="shared" ca="1" si="22"/>
        <v/>
      </c>
      <c r="AC91" s="348" t="str">
        <f t="shared" ca="1" si="22"/>
        <v/>
      </c>
      <c r="AD91" s="349" t="str">
        <f t="shared" ca="1" si="22"/>
        <v/>
      </c>
      <c r="AE91" s="357" t="str">
        <f t="shared" ca="1" si="20"/>
        <v/>
      </c>
    </row>
    <row r="92" spans="1:31" hidden="1">
      <c r="A92" s="358" t="str">
        <f t="shared" ca="1" si="21"/>
        <v/>
      </c>
      <c r="B92" s="346" t="str">
        <f t="shared" ca="1" si="21"/>
        <v/>
      </c>
      <c r="C92" s="356" t="str">
        <f t="shared" ca="1" si="21"/>
        <v/>
      </c>
      <c r="D92" s="345" t="str">
        <f t="shared" ca="1" si="21"/>
        <v/>
      </c>
      <c r="E92" s="346" t="str">
        <f t="shared" ca="1" si="21"/>
        <v/>
      </c>
      <c r="F92" s="347" t="str">
        <f t="shared" ca="1" si="21"/>
        <v/>
      </c>
      <c r="G92" s="348" t="str">
        <f t="shared" ca="1" si="21"/>
        <v/>
      </c>
      <c r="H92" s="346" t="str">
        <f t="shared" ca="1" si="21"/>
        <v/>
      </c>
      <c r="I92" s="347" t="str">
        <f t="shared" ca="1" si="21"/>
        <v/>
      </c>
      <c r="J92" s="348" t="str">
        <f t="shared" ca="1" si="21"/>
        <v/>
      </c>
      <c r="K92" s="349" t="str">
        <f t="shared" ca="1" si="21"/>
        <v/>
      </c>
      <c r="L92" s="359"/>
      <c r="M92" s="351">
        <f t="shared" ca="1" si="17"/>
        <v>0</v>
      </c>
      <c r="N92" s="352">
        <v>6801</v>
      </c>
      <c r="O92" s="353" t="str">
        <f t="shared" ca="1" si="18"/>
        <v>所得税费用</v>
      </c>
      <c r="P92" s="351">
        <f t="shared" ca="1" si="19"/>
        <v>0</v>
      </c>
      <c r="Q92" s="354"/>
      <c r="R92" s="354"/>
      <c r="S92" s="354"/>
      <c r="T92" s="355" t="str">
        <f t="shared" ca="1" si="22"/>
        <v/>
      </c>
      <c r="U92" s="346" t="str">
        <f t="shared" ca="1" si="22"/>
        <v/>
      </c>
      <c r="V92" s="356" t="str">
        <f t="shared" ca="1" si="22"/>
        <v/>
      </c>
      <c r="W92" s="345" t="str">
        <f t="shared" ca="1" si="22"/>
        <v/>
      </c>
      <c r="X92" s="346" t="str">
        <f t="shared" ca="1" si="22"/>
        <v/>
      </c>
      <c r="Y92" s="347" t="str">
        <f t="shared" ca="1" si="22"/>
        <v/>
      </c>
      <c r="Z92" s="348" t="str">
        <f t="shared" ca="1" si="22"/>
        <v/>
      </c>
      <c r="AA92" s="346" t="str">
        <f t="shared" ca="1" si="22"/>
        <v/>
      </c>
      <c r="AB92" s="347" t="str">
        <f t="shared" ca="1" si="22"/>
        <v/>
      </c>
      <c r="AC92" s="348" t="str">
        <f t="shared" ca="1" si="22"/>
        <v/>
      </c>
      <c r="AD92" s="349" t="str">
        <f t="shared" ca="1" si="22"/>
        <v/>
      </c>
      <c r="AE92" s="357" t="str">
        <f t="shared" ca="1" si="20"/>
        <v/>
      </c>
    </row>
    <row r="93" spans="1:31" hidden="1">
      <c r="A93" s="358" t="str">
        <f t="shared" ca="1" si="21"/>
        <v/>
      </c>
      <c r="B93" s="346" t="str">
        <f t="shared" ca="1" si="21"/>
        <v/>
      </c>
      <c r="C93" s="356" t="str">
        <f t="shared" ca="1" si="21"/>
        <v/>
      </c>
      <c r="D93" s="345" t="str">
        <f t="shared" ca="1" si="21"/>
        <v/>
      </c>
      <c r="E93" s="346" t="str">
        <f t="shared" ca="1" si="21"/>
        <v/>
      </c>
      <c r="F93" s="347" t="str">
        <f t="shared" ca="1" si="21"/>
        <v/>
      </c>
      <c r="G93" s="348" t="str">
        <f t="shared" ca="1" si="21"/>
        <v/>
      </c>
      <c r="H93" s="346" t="str">
        <f t="shared" ca="1" si="21"/>
        <v/>
      </c>
      <c r="I93" s="347" t="str">
        <f t="shared" ca="1" si="21"/>
        <v/>
      </c>
      <c r="J93" s="348" t="str">
        <f t="shared" ca="1" si="21"/>
        <v/>
      </c>
      <c r="K93" s="349" t="str">
        <f t="shared" ca="1" si="21"/>
        <v/>
      </c>
      <c r="L93" s="359"/>
      <c r="M93" s="351">
        <f t="shared" ca="1" si="17"/>
        <v>0</v>
      </c>
      <c r="N93" s="352">
        <v>6901</v>
      </c>
      <c r="O93" s="353" t="str">
        <f t="shared" ca="1" si="18"/>
        <v>以前年度损益调整</v>
      </c>
      <c r="P93" s="351">
        <f t="shared" ca="1" si="19"/>
        <v>0</v>
      </c>
      <c r="Q93" s="354"/>
      <c r="R93" s="354"/>
      <c r="S93" s="354"/>
      <c r="T93" s="355" t="str">
        <f t="shared" ca="1" si="22"/>
        <v/>
      </c>
      <c r="U93" s="346" t="str">
        <f t="shared" ca="1" si="22"/>
        <v/>
      </c>
      <c r="V93" s="356" t="str">
        <f t="shared" ca="1" si="22"/>
        <v/>
      </c>
      <c r="W93" s="345" t="str">
        <f t="shared" ca="1" si="22"/>
        <v/>
      </c>
      <c r="X93" s="346" t="str">
        <f t="shared" ca="1" si="22"/>
        <v/>
      </c>
      <c r="Y93" s="347" t="str">
        <f t="shared" ca="1" si="22"/>
        <v/>
      </c>
      <c r="Z93" s="348" t="str">
        <f t="shared" ca="1" si="22"/>
        <v/>
      </c>
      <c r="AA93" s="346" t="str">
        <f t="shared" ca="1" si="22"/>
        <v/>
      </c>
      <c r="AB93" s="347" t="str">
        <f t="shared" ca="1" si="22"/>
        <v/>
      </c>
      <c r="AC93" s="348" t="str">
        <f t="shared" ca="1" si="22"/>
        <v/>
      </c>
      <c r="AD93" s="349" t="str">
        <f t="shared" ca="1" si="22"/>
        <v/>
      </c>
      <c r="AE93" s="357" t="str">
        <f t="shared" ca="1" si="20"/>
        <v/>
      </c>
    </row>
    <row r="94" spans="1:31" ht="14.25" customHeight="1">
      <c r="A94" s="361" t="str">
        <f t="shared" ca="1" si="21"/>
        <v xml:space="preserve"> </v>
      </c>
      <c r="B94" s="362" t="str">
        <f t="shared" ca="1" si="21"/>
        <v xml:space="preserve"> </v>
      </c>
      <c r="C94" s="363" t="str">
        <f t="shared" ca="1" si="21"/>
        <v xml:space="preserve"> </v>
      </c>
      <c r="D94" s="364" t="str">
        <f t="shared" ca="1" si="21"/>
        <v>￥</v>
      </c>
      <c r="E94" s="362" t="str">
        <f t="shared" ca="1" si="21"/>
        <v>1</v>
      </c>
      <c r="F94" s="365" t="str">
        <f t="shared" ca="1" si="21"/>
        <v>2</v>
      </c>
      <c r="G94" s="366" t="str">
        <f t="shared" ca="1" si="21"/>
        <v>6</v>
      </c>
      <c r="H94" s="362" t="str">
        <f t="shared" ca="1" si="21"/>
        <v>5</v>
      </c>
      <c r="I94" s="365" t="str">
        <f t="shared" ca="1" si="21"/>
        <v>8</v>
      </c>
      <c r="J94" s="366" t="str">
        <f t="shared" ca="1" si="21"/>
        <v>6</v>
      </c>
      <c r="K94" s="367" t="str">
        <f t="shared" ca="1" si="21"/>
        <v>2</v>
      </c>
      <c r="L94" s="359"/>
      <c r="M94" s="368">
        <f ca="1">SUM(INDIRECT("R5C:R[-1]C",))</f>
        <v>12658.62</v>
      </c>
      <c r="N94" s="369"/>
      <c r="O94" s="370" t="s">
        <v>883</v>
      </c>
      <c r="P94" s="370">
        <f ca="1">SUM(INDIRECT("R5C:R[-1]C",))</f>
        <v>12658.62</v>
      </c>
      <c r="Q94" s="370"/>
      <c r="R94" s="370"/>
      <c r="S94" s="370"/>
      <c r="T94" s="371" t="str">
        <f t="shared" ca="1" si="22"/>
        <v xml:space="preserve"> </v>
      </c>
      <c r="U94" s="362" t="str">
        <f t="shared" ca="1" si="22"/>
        <v xml:space="preserve"> </v>
      </c>
      <c r="V94" s="363" t="str">
        <f t="shared" ca="1" si="22"/>
        <v xml:space="preserve"> </v>
      </c>
      <c r="W94" s="364" t="str">
        <f t="shared" ca="1" si="22"/>
        <v>￥</v>
      </c>
      <c r="X94" s="362" t="str">
        <f t="shared" ca="1" si="22"/>
        <v>1</v>
      </c>
      <c r="Y94" s="365" t="str">
        <f t="shared" ca="1" si="22"/>
        <v>2</v>
      </c>
      <c r="Z94" s="366" t="str">
        <f t="shared" ca="1" si="22"/>
        <v>6</v>
      </c>
      <c r="AA94" s="362" t="str">
        <f t="shared" ca="1" si="22"/>
        <v>5</v>
      </c>
      <c r="AB94" s="365" t="str">
        <f t="shared" ca="1" si="22"/>
        <v>8</v>
      </c>
      <c r="AC94" s="366" t="str">
        <f t="shared" ca="1" si="22"/>
        <v>6</v>
      </c>
      <c r="AD94" s="367" t="str">
        <f t="shared" ca="1" si="22"/>
        <v>2</v>
      </c>
      <c r="AE94" s="357" t="str">
        <f t="shared" ca="1" si="20"/>
        <v>是</v>
      </c>
    </row>
  </sheetData>
  <sheetProtection formatCells="0"/>
  <autoFilter ref="AE4:AF94">
    <filterColumn colId="0">
      <customFilters>
        <customFilter operator="notEqual" val=" "/>
      </customFilters>
    </filterColumn>
  </autoFilter>
  <mergeCells count="3">
    <mergeCell ref="A3:K3"/>
    <mergeCell ref="N3:O4"/>
    <mergeCell ref="T3:AD3"/>
  </mergeCells>
  <phoneticPr fontId="2" type="noConversion"/>
  <dataValidations count="2">
    <dataValidation allowBlank="1" showInputMessage="1" showErrorMessage="1" prompt="请选择查询的所属月份" sqref="AH1"/>
    <dataValidation allowBlank="1" showInputMessage="1" showErrorMessage="1" prompt="请选择查询的所属年度" sqref="AF1"/>
  </dataValidations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微调框 1">
              <controlPr defaultSize="0" autoPict="0">
                <anchor moveWithCells="1" sizeWithCells="1">
                  <from>
                    <xdr:col>32</xdr:col>
                    <xdr:colOff>9525</xdr:colOff>
                    <xdr:row>0</xdr:row>
                    <xdr:rowOff>9525</xdr:rowOff>
                  </from>
                  <to>
                    <xdr:col>32</xdr:col>
                    <xdr:colOff>190500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微调框 2">
              <controlPr defaultSize="0" autoPict="0">
                <anchor moveWithCells="1" sizeWithCells="1">
                  <from>
                    <xdr:col>34</xdr:col>
                    <xdr:colOff>9525</xdr:colOff>
                    <xdr:row>0</xdr:row>
                    <xdr:rowOff>9525</xdr:rowOff>
                  </from>
                  <to>
                    <xdr:col>34</xdr:col>
                    <xdr:colOff>190500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Spinner 3">
              <controlPr defaultSize="0" autoPict="0">
                <anchor moveWithCells="1" sizeWithCells="1">
                  <from>
                    <xdr:col>32</xdr:col>
                    <xdr:colOff>9525</xdr:colOff>
                    <xdr:row>0</xdr:row>
                    <xdr:rowOff>9525</xdr:rowOff>
                  </from>
                  <to>
                    <xdr:col>32</xdr:col>
                    <xdr:colOff>190500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Spinner 4">
              <controlPr defaultSize="0" autoPict="0">
                <anchor moveWithCells="1" sizeWithCells="1">
                  <from>
                    <xdr:col>34</xdr:col>
                    <xdr:colOff>9525</xdr:colOff>
                    <xdr:row>0</xdr:row>
                    <xdr:rowOff>9525</xdr:rowOff>
                  </from>
                  <to>
                    <xdr:col>34</xdr:col>
                    <xdr:colOff>190500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9"/>
  <sheetViews>
    <sheetView tabSelected="1" workbookViewId="0">
      <pane ySplit="3" topLeftCell="A4" activePane="bottomLeft" state="frozen"/>
      <selection activeCell="O71" sqref="O71"/>
      <selection pane="bottomLeft" activeCell="AG9" sqref="AG9"/>
    </sheetView>
  </sheetViews>
  <sheetFormatPr defaultColWidth="8.625" defaultRowHeight="14.25"/>
  <cols>
    <col min="1" max="4" width="4.875" style="315" customWidth="1"/>
    <col min="5" max="5" width="27.375" style="315" customWidth="1"/>
    <col min="6" max="6" width="13.125" style="315" hidden="1" customWidth="1"/>
    <col min="7" max="7" width="2.125" style="318" customWidth="1"/>
    <col min="8" max="17" width="2.125" style="315" customWidth="1"/>
    <col min="18" max="18" width="13.125" style="315" hidden="1" customWidth="1"/>
    <col min="19" max="29" width="2.125" style="315" customWidth="1"/>
    <col min="30" max="30" width="3.25" style="315" customWidth="1"/>
    <col min="31" max="31" width="14.875" style="315" hidden="1" customWidth="1"/>
    <col min="32" max="32" width="2.125" style="318" customWidth="1"/>
    <col min="33" max="42" width="2.125" style="315" customWidth="1"/>
    <col min="43" max="43" width="8.625" style="315"/>
    <col min="44" max="44" width="0" style="315" hidden="1" customWidth="1"/>
    <col min="45" max="45" width="18.25" style="315" hidden="1" customWidth="1"/>
    <col min="46" max="16384" width="8.625" style="315"/>
  </cols>
  <sheetData>
    <row r="1" spans="1:45" ht="46.5" customHeight="1">
      <c r="E1" s="372" t="s">
        <v>884</v>
      </c>
      <c r="F1" s="373"/>
      <c r="G1" s="374"/>
      <c r="H1" s="374"/>
      <c r="I1" s="374"/>
      <c r="J1" s="374"/>
      <c r="K1" s="375" t="s">
        <v>885</v>
      </c>
      <c r="L1" s="308"/>
      <c r="M1" s="308"/>
      <c r="N1" s="308"/>
      <c r="O1" s="308"/>
      <c r="P1" s="308"/>
      <c r="Q1" s="518" t="s">
        <v>886</v>
      </c>
      <c r="R1" s="519"/>
      <c r="S1" s="519"/>
      <c r="T1" s="519"/>
      <c r="U1" s="519"/>
      <c r="V1" s="519"/>
      <c r="W1" s="519"/>
      <c r="X1" s="519"/>
      <c r="Y1" s="519"/>
      <c r="Z1" s="519"/>
      <c r="AA1" s="519"/>
      <c r="AB1" s="519"/>
      <c r="AC1" s="519"/>
      <c r="AD1" s="519"/>
      <c r="AF1" s="374"/>
      <c r="AG1" s="374"/>
      <c r="AH1" s="374"/>
      <c r="AI1" s="374"/>
      <c r="AJ1" s="374"/>
      <c r="AK1" s="374"/>
      <c r="AL1" s="374"/>
      <c r="AM1" s="374"/>
      <c r="AN1" s="374"/>
      <c r="AO1" s="374"/>
      <c r="AP1" s="374"/>
      <c r="AQ1" s="87" t="str">
        <f>HYPERLINK("#目录!C3","返回")</f>
        <v>返回</v>
      </c>
      <c r="AR1" s="315" t="s">
        <v>887</v>
      </c>
      <c r="AS1" s="315" t="s">
        <v>888</v>
      </c>
    </row>
    <row r="2" spans="1:45" ht="23.25" customHeight="1">
      <c r="A2" s="376" t="str">
        <f>资产负债表!$J$1&amp;"年"</f>
        <v>2013年</v>
      </c>
      <c r="B2" s="377"/>
      <c r="C2" s="378" t="s">
        <v>889</v>
      </c>
      <c r="D2" s="378" t="s">
        <v>890</v>
      </c>
      <c r="E2" s="379" t="s">
        <v>891</v>
      </c>
      <c r="F2" s="380" t="s">
        <v>892</v>
      </c>
      <c r="G2" s="381"/>
      <c r="H2" s="382"/>
      <c r="I2" s="382"/>
      <c r="J2" s="382"/>
      <c r="K2" s="382"/>
      <c r="L2" s="382" t="s">
        <v>893</v>
      </c>
      <c r="M2" s="382"/>
      <c r="N2" s="382"/>
      <c r="O2" s="382"/>
      <c r="P2" s="382"/>
      <c r="Q2" s="383"/>
      <c r="R2" s="384" t="s">
        <v>894</v>
      </c>
      <c r="S2" s="382"/>
      <c r="T2" s="382"/>
      <c r="U2" s="382"/>
      <c r="V2" s="382"/>
      <c r="W2" s="382"/>
      <c r="X2" s="382" t="s">
        <v>895</v>
      </c>
      <c r="Y2" s="382"/>
      <c r="Z2" s="382"/>
      <c r="AA2" s="382"/>
      <c r="AB2" s="382"/>
      <c r="AC2" s="383"/>
      <c r="AD2" s="520" t="s">
        <v>896</v>
      </c>
      <c r="AE2" s="385" t="s">
        <v>897</v>
      </c>
      <c r="AF2" s="386" t="s">
        <v>898</v>
      </c>
      <c r="AG2" s="387"/>
      <c r="AH2" s="387"/>
      <c r="AI2" s="387"/>
      <c r="AJ2" s="387"/>
      <c r="AK2" s="387"/>
      <c r="AL2" s="387"/>
      <c r="AM2" s="387"/>
      <c r="AN2" s="388"/>
      <c r="AO2" s="389"/>
      <c r="AP2" s="390"/>
      <c r="AR2" s="315">
        <v>1001</v>
      </c>
      <c r="AS2" s="315" t="s">
        <v>25</v>
      </c>
    </row>
    <row r="3" spans="1:45" ht="19.5" customHeight="1" thickBot="1">
      <c r="A3" s="391" t="s">
        <v>899</v>
      </c>
      <c r="B3" s="378" t="s">
        <v>900</v>
      </c>
      <c r="C3" s="379" t="s">
        <v>901</v>
      </c>
      <c r="D3" s="379" t="s">
        <v>902</v>
      </c>
      <c r="E3" s="392" t="s">
        <v>903</v>
      </c>
      <c r="F3" s="393"/>
      <c r="G3" s="394" t="s">
        <v>904</v>
      </c>
      <c r="H3" s="395" t="s">
        <v>905</v>
      </c>
      <c r="I3" s="396" t="s">
        <v>906</v>
      </c>
      <c r="J3" s="397" t="s">
        <v>907</v>
      </c>
      <c r="K3" s="398" t="s">
        <v>908</v>
      </c>
      <c r="L3" s="399" t="s">
        <v>905</v>
      </c>
      <c r="M3" s="400" t="s">
        <v>906</v>
      </c>
      <c r="N3" s="395" t="s">
        <v>907</v>
      </c>
      <c r="O3" s="401" t="s">
        <v>909</v>
      </c>
      <c r="P3" s="397" t="s">
        <v>910</v>
      </c>
      <c r="Q3" s="402" t="s">
        <v>911</v>
      </c>
      <c r="R3" s="403"/>
      <c r="S3" s="404" t="s">
        <v>904</v>
      </c>
      <c r="T3" s="395" t="s">
        <v>905</v>
      </c>
      <c r="U3" s="396" t="s">
        <v>906</v>
      </c>
      <c r="V3" s="404" t="s">
        <v>907</v>
      </c>
      <c r="W3" s="395" t="s">
        <v>908</v>
      </c>
      <c r="X3" s="405" t="s">
        <v>905</v>
      </c>
      <c r="Y3" s="400" t="s">
        <v>906</v>
      </c>
      <c r="Z3" s="395" t="s">
        <v>907</v>
      </c>
      <c r="AA3" s="405" t="s">
        <v>909</v>
      </c>
      <c r="AB3" s="400" t="s">
        <v>910</v>
      </c>
      <c r="AC3" s="402" t="s">
        <v>911</v>
      </c>
      <c r="AD3" s="521"/>
      <c r="AE3" s="406"/>
      <c r="AF3" s="407" t="s">
        <v>904</v>
      </c>
      <c r="AG3" s="408" t="s">
        <v>905</v>
      </c>
      <c r="AH3" s="409" t="s">
        <v>906</v>
      </c>
      <c r="AI3" s="410" t="s">
        <v>907</v>
      </c>
      <c r="AJ3" s="408" t="s">
        <v>908</v>
      </c>
      <c r="AK3" s="409" t="s">
        <v>905</v>
      </c>
      <c r="AL3" s="410" t="s">
        <v>906</v>
      </c>
      <c r="AM3" s="408" t="s">
        <v>907</v>
      </c>
      <c r="AN3" s="411" t="s">
        <v>909</v>
      </c>
      <c r="AO3" s="412" t="s">
        <v>910</v>
      </c>
      <c r="AP3" s="413" t="s">
        <v>911</v>
      </c>
      <c r="AR3" s="315">
        <v>1002</v>
      </c>
      <c r="AS3" s="315" t="s">
        <v>886</v>
      </c>
    </row>
    <row r="4" spans="1:45" ht="15.75" customHeight="1">
      <c r="A4" s="391">
        <v>1</v>
      </c>
      <c r="B4" s="391">
        <v>1</v>
      </c>
      <c r="C4" s="414"/>
      <c r="D4" s="414"/>
      <c r="E4" s="415" t="s">
        <v>912</v>
      </c>
      <c r="G4" s="355"/>
      <c r="H4" s="346"/>
      <c r="I4" s="356"/>
      <c r="J4" s="416"/>
      <c r="K4" s="417"/>
      <c r="L4" s="418"/>
      <c r="M4" s="348"/>
      <c r="N4" s="346"/>
      <c r="O4" s="418"/>
      <c r="P4" s="419"/>
      <c r="Q4" s="349"/>
      <c r="R4" s="420"/>
      <c r="S4" s="345"/>
      <c r="T4" s="346"/>
      <c r="U4" s="356"/>
      <c r="V4" s="345"/>
      <c r="W4" s="346"/>
      <c r="X4" s="347"/>
      <c r="Y4" s="348"/>
      <c r="Z4" s="346"/>
      <c r="AA4" s="347"/>
      <c r="AB4" s="348"/>
      <c r="AC4" s="349"/>
      <c r="AD4" s="421" t="s">
        <v>0</v>
      </c>
      <c r="AE4" s="422">
        <f ca="1">INDEX(OFFSET(科目代码,,5,,2),MATCH($Q1,OFFSET(科目代码,,1),),2-(LEFT(INDEX(科目代码,MATCH($Q1,OFFSET(科目代码,,1),)),4)*1&lt;2001))</f>
        <v>6895.07</v>
      </c>
      <c r="AF4" s="423" t="str">
        <f ca="1">LEFT(RIGHT(TEXT($AE4/1%," ￥0; ￥-0;"),43-COLUMN()))</f>
        <v xml:space="preserve"> </v>
      </c>
      <c r="AG4" s="346" t="str">
        <f t="shared" ref="AG4:AP19" ca="1" si="0">LEFT(RIGHT(TEXT($AE4/1%," ￥0; ￥-0;"),43-COLUMN()))</f>
        <v xml:space="preserve"> </v>
      </c>
      <c r="AH4" s="356" t="str">
        <f t="shared" ca="1" si="0"/>
        <v xml:space="preserve"> </v>
      </c>
      <c r="AI4" s="345" t="str">
        <f t="shared" ca="1" si="0"/>
        <v xml:space="preserve"> </v>
      </c>
      <c r="AJ4" s="346" t="str">
        <f t="shared" ca="1" si="0"/>
        <v>￥</v>
      </c>
      <c r="AK4" s="347" t="str">
        <f t="shared" ca="1" si="0"/>
        <v>6</v>
      </c>
      <c r="AL4" s="348" t="str">
        <f t="shared" ca="1" si="0"/>
        <v>8</v>
      </c>
      <c r="AM4" s="346" t="str">
        <f t="shared" ca="1" si="0"/>
        <v>9</v>
      </c>
      <c r="AN4" s="347" t="str">
        <f t="shared" ca="1" si="0"/>
        <v>5</v>
      </c>
      <c r="AO4" s="348" t="str">
        <f t="shared" ca="1" si="0"/>
        <v>0</v>
      </c>
      <c r="AP4" s="349" t="str">
        <f t="shared" ca="1" si="0"/>
        <v>7</v>
      </c>
      <c r="AR4" s="315">
        <v>1012</v>
      </c>
      <c r="AS4" s="315" t="s">
        <v>913</v>
      </c>
    </row>
    <row r="5" spans="1:45" ht="15.75" customHeight="1">
      <c r="A5" s="391">
        <v>1</v>
      </c>
      <c r="B5" s="391">
        <v>31</v>
      </c>
      <c r="C5" s="414"/>
      <c r="D5" s="414"/>
      <c r="E5" s="415" t="s">
        <v>914</v>
      </c>
      <c r="F5" s="422">
        <f ca="1">SUMIFS(借方金额,记账月份,$A5,账户名称,$Q$1&amp;"*")</f>
        <v>4000</v>
      </c>
      <c r="G5" s="355" t="str">
        <f t="shared" ref="G5:Q28" ca="1" si="1">LEFT(RIGHT(TEXT($F5/1%," ￥0; ￥-0;"),18-COLUMN()))</f>
        <v xml:space="preserve"> </v>
      </c>
      <c r="H5" s="346" t="str">
        <f t="shared" ca="1" si="1"/>
        <v xml:space="preserve"> </v>
      </c>
      <c r="I5" s="356" t="str">
        <f t="shared" ca="1" si="1"/>
        <v xml:space="preserve"> </v>
      </c>
      <c r="J5" s="345" t="str">
        <f t="shared" ca="1" si="1"/>
        <v xml:space="preserve"> </v>
      </c>
      <c r="K5" s="346" t="str">
        <f t="shared" ca="1" si="1"/>
        <v>￥</v>
      </c>
      <c r="L5" s="356" t="str">
        <f t="shared" ca="1" si="1"/>
        <v>4</v>
      </c>
      <c r="M5" s="348" t="str">
        <f t="shared" ca="1" si="1"/>
        <v>0</v>
      </c>
      <c r="N5" s="346" t="str">
        <f t="shared" ca="1" si="1"/>
        <v>0</v>
      </c>
      <c r="O5" s="356" t="str">
        <f t="shared" ca="1" si="1"/>
        <v>0</v>
      </c>
      <c r="P5" s="348" t="str">
        <f t="shared" ca="1" si="1"/>
        <v>0</v>
      </c>
      <c r="Q5" s="349" t="str">
        <f t="shared" ca="1" si="1"/>
        <v>0</v>
      </c>
      <c r="R5" s="424">
        <f ca="1">SUMIFS(贷方金额,记账月份,$A5,账户名称,$Q$1&amp;"*")</f>
        <v>5019.3</v>
      </c>
      <c r="S5" s="345" t="str">
        <f ca="1">LEFT(RIGHT(TEXT($R5/1%," ￥0; ￥-0;"),30-COLUMN()))</f>
        <v xml:space="preserve"> </v>
      </c>
      <c r="T5" s="346" t="str">
        <f t="shared" ref="T5:AC20" ca="1" si="2">LEFT(RIGHT(TEXT($R5/1%," ￥0; ￥-0;"),30-COLUMN()))</f>
        <v xml:space="preserve"> </v>
      </c>
      <c r="U5" s="356" t="str">
        <f t="shared" ca="1" si="2"/>
        <v xml:space="preserve"> </v>
      </c>
      <c r="V5" s="345" t="str">
        <f t="shared" ca="1" si="2"/>
        <v xml:space="preserve"> </v>
      </c>
      <c r="W5" s="346" t="str">
        <f t="shared" ca="1" si="2"/>
        <v>￥</v>
      </c>
      <c r="X5" s="347" t="str">
        <f t="shared" ca="1" si="2"/>
        <v>5</v>
      </c>
      <c r="Y5" s="348" t="str">
        <f t="shared" ca="1" si="2"/>
        <v>0</v>
      </c>
      <c r="Z5" s="346" t="str">
        <f t="shared" ca="1" si="2"/>
        <v>1</v>
      </c>
      <c r="AA5" s="347" t="str">
        <f t="shared" ca="1" si="2"/>
        <v>9</v>
      </c>
      <c r="AB5" s="348" t="str">
        <f t="shared" ca="1" si="2"/>
        <v>3</v>
      </c>
      <c r="AC5" s="349" t="str">
        <f t="shared" ca="1" si="2"/>
        <v>0</v>
      </c>
      <c r="AD5" s="425" t="str">
        <f ca="1">IF($E5="本年累计","",IF(OR(AND($AD4="",$AE4="",$AD3&lt;&gt;"借",$AD3&lt;&gt;"贷",($F5-$R5)&gt;=0),AND($AD4="",$AE4&lt;&gt;"",$AD3="借",($AE3+$F5-$R5)&gt;=0),AND($AD4="",$AE4&lt;&gt;"",$AD3="贷",(-$AE3+$F5-$R5)&gt;=0),AND($AD4="借",($AE4+$F5-$R5)&gt;=0),AND($AD4="贷",(-$AE4+$F5-$R5)&gt;=0),),"借","贷"))</f>
        <v>借</v>
      </c>
      <c r="AE5" s="422">
        <f ca="1">IF($E5="本年累计",$AE4,IF(OR(AD4="借",AND(AD4="",AD3="借")),ABS(AE4+F5-R5),ABS(-AE4+F5-R5)))</f>
        <v>5875.77</v>
      </c>
      <c r="AF5" s="423" t="str">
        <f t="shared" ref="AF5:AP28" ca="1" si="3">LEFT(RIGHT(TEXT($AE5/1%," ￥0; ￥-0;"),43-COLUMN()))</f>
        <v xml:space="preserve"> </v>
      </c>
      <c r="AG5" s="346" t="str">
        <f t="shared" ca="1" si="0"/>
        <v xml:space="preserve"> </v>
      </c>
      <c r="AH5" s="356" t="str">
        <f t="shared" ca="1" si="0"/>
        <v xml:space="preserve"> </v>
      </c>
      <c r="AI5" s="345" t="str">
        <f t="shared" ca="1" si="0"/>
        <v xml:space="preserve"> </v>
      </c>
      <c r="AJ5" s="346" t="str">
        <f t="shared" ca="1" si="0"/>
        <v>￥</v>
      </c>
      <c r="AK5" s="347" t="str">
        <f t="shared" ca="1" si="0"/>
        <v>5</v>
      </c>
      <c r="AL5" s="348" t="str">
        <f t="shared" ca="1" si="0"/>
        <v>8</v>
      </c>
      <c r="AM5" s="346" t="str">
        <f t="shared" ca="1" si="0"/>
        <v>7</v>
      </c>
      <c r="AN5" s="347" t="str">
        <f t="shared" ca="1" si="0"/>
        <v>5</v>
      </c>
      <c r="AO5" s="348" t="str">
        <f t="shared" ca="1" si="0"/>
        <v>7</v>
      </c>
      <c r="AP5" s="349" t="str">
        <f t="shared" ca="1" si="0"/>
        <v>7</v>
      </c>
      <c r="AR5" s="315">
        <v>1101</v>
      </c>
      <c r="AS5" s="315" t="s">
        <v>915</v>
      </c>
    </row>
    <row r="6" spans="1:45" ht="15.75" customHeight="1">
      <c r="A6" s="391">
        <v>1</v>
      </c>
      <c r="B6" s="391">
        <v>31</v>
      </c>
      <c r="C6" s="414"/>
      <c r="D6" s="414"/>
      <c r="E6" s="415" t="s">
        <v>916</v>
      </c>
      <c r="F6" s="422">
        <f ca="1">SUMIFS(借方金额,记账月份,"&lt;="&amp;$A6,账户名称,$Q$1&amp;"*")</f>
        <v>4000</v>
      </c>
      <c r="G6" s="355" t="str">
        <f t="shared" ca="1" si="1"/>
        <v xml:space="preserve"> </v>
      </c>
      <c r="H6" s="346" t="str">
        <f t="shared" ca="1" si="1"/>
        <v xml:space="preserve"> </v>
      </c>
      <c r="I6" s="356" t="str">
        <f t="shared" ca="1" si="1"/>
        <v xml:space="preserve"> </v>
      </c>
      <c r="J6" s="345" t="str">
        <f t="shared" ca="1" si="1"/>
        <v xml:space="preserve"> </v>
      </c>
      <c r="K6" s="346" t="str">
        <f t="shared" ca="1" si="1"/>
        <v>￥</v>
      </c>
      <c r="L6" s="356" t="str">
        <f t="shared" ca="1" si="1"/>
        <v>4</v>
      </c>
      <c r="M6" s="348" t="str">
        <f t="shared" ca="1" si="1"/>
        <v>0</v>
      </c>
      <c r="N6" s="346" t="str">
        <f t="shared" ca="1" si="1"/>
        <v>0</v>
      </c>
      <c r="O6" s="356" t="str">
        <f t="shared" ca="1" si="1"/>
        <v>0</v>
      </c>
      <c r="P6" s="348" t="str">
        <f t="shared" ca="1" si="1"/>
        <v>0</v>
      </c>
      <c r="Q6" s="349" t="str">
        <f t="shared" ca="1" si="1"/>
        <v>0</v>
      </c>
      <c r="R6" s="424">
        <f ca="1">SUMIFS(贷方金额,记账月份,"&lt;="&amp;$A6,账户名称,$Q$1&amp;"*")</f>
        <v>5019.3</v>
      </c>
      <c r="S6" s="345" t="str">
        <f t="shared" ref="S6:AC28" ca="1" si="4">LEFT(RIGHT(TEXT($R6/1%," ￥0; ￥-0;"),30-COLUMN()))</f>
        <v xml:space="preserve"> </v>
      </c>
      <c r="T6" s="346" t="str">
        <f t="shared" ca="1" si="2"/>
        <v xml:space="preserve"> </v>
      </c>
      <c r="U6" s="356" t="str">
        <f t="shared" ca="1" si="2"/>
        <v xml:space="preserve"> </v>
      </c>
      <c r="V6" s="345" t="str">
        <f t="shared" ca="1" si="2"/>
        <v xml:space="preserve"> </v>
      </c>
      <c r="W6" s="346" t="str">
        <f t="shared" ca="1" si="2"/>
        <v>￥</v>
      </c>
      <c r="X6" s="347" t="str">
        <f t="shared" ca="1" si="2"/>
        <v>5</v>
      </c>
      <c r="Y6" s="348" t="str">
        <f t="shared" ca="1" si="2"/>
        <v>0</v>
      </c>
      <c r="Z6" s="346" t="str">
        <f t="shared" ca="1" si="2"/>
        <v>1</v>
      </c>
      <c r="AA6" s="347" t="str">
        <f t="shared" ca="1" si="2"/>
        <v>9</v>
      </c>
      <c r="AB6" s="348" t="str">
        <f t="shared" ca="1" si="2"/>
        <v>3</v>
      </c>
      <c r="AC6" s="349" t="str">
        <f t="shared" ca="1" si="2"/>
        <v>0</v>
      </c>
      <c r="AD6" s="425" t="str">
        <f t="shared" ref="AD6:AD28" si="5">IF($E6="本年累计","",IF(OR(AND($AD5="",$AE5="",$AD4&lt;&gt;"借",$AD4&lt;&gt;"贷",($F6-$R6)&gt;=0),AND($AD5="",$AE5&lt;&gt;"",$AD4="借",($AE4+$F6-$R6)&gt;=0),AND($AD5="",$AE5&lt;&gt;"",$AD4="贷",(-$AE4+$F6-$R6)&gt;=0),AND($AD5="借",($AE5+$F6-$R6)&gt;=0),AND($AD5="贷",(-$AE5+$F6-$R6)&gt;=0),),"借","贷"))</f>
        <v/>
      </c>
      <c r="AE6" s="422">
        <f t="shared" ref="AE6:AE28" ca="1" si="6">IF($E6="本年累计",$AE5,IF(OR(AD5="借",AND(AD5="",AD4="借")),ABS(AE5+F6-R6),ABS(-AE5+F6-R6)))</f>
        <v>5875.77</v>
      </c>
      <c r="AF6" s="423" t="str">
        <f t="shared" ca="1" si="3"/>
        <v xml:space="preserve"> </v>
      </c>
      <c r="AG6" s="346" t="str">
        <f t="shared" ca="1" si="0"/>
        <v xml:space="preserve"> </v>
      </c>
      <c r="AH6" s="356" t="str">
        <f t="shared" ca="1" si="0"/>
        <v xml:space="preserve"> </v>
      </c>
      <c r="AI6" s="345" t="str">
        <f t="shared" ca="1" si="0"/>
        <v xml:space="preserve"> </v>
      </c>
      <c r="AJ6" s="346" t="str">
        <f t="shared" ca="1" si="0"/>
        <v>￥</v>
      </c>
      <c r="AK6" s="347" t="str">
        <f t="shared" ca="1" si="0"/>
        <v>5</v>
      </c>
      <c r="AL6" s="348" t="str">
        <f t="shared" ca="1" si="0"/>
        <v>8</v>
      </c>
      <c r="AM6" s="346" t="str">
        <f t="shared" ca="1" si="0"/>
        <v>7</v>
      </c>
      <c r="AN6" s="347" t="str">
        <f t="shared" ca="1" si="0"/>
        <v>5</v>
      </c>
      <c r="AO6" s="348" t="str">
        <f t="shared" ca="1" si="0"/>
        <v>7</v>
      </c>
      <c r="AP6" s="349" t="str">
        <f t="shared" ca="1" si="0"/>
        <v>7</v>
      </c>
      <c r="AR6" s="315">
        <v>1121</v>
      </c>
      <c r="AS6" s="315" t="s">
        <v>917</v>
      </c>
    </row>
    <row r="7" spans="1:45" ht="15.75" customHeight="1">
      <c r="A7" s="391">
        <v>2</v>
      </c>
      <c r="B7" s="391">
        <v>28</v>
      </c>
      <c r="C7" s="414"/>
      <c r="D7" s="414"/>
      <c r="E7" s="379" t="s">
        <v>918</v>
      </c>
      <c r="F7" s="422">
        <f ca="1">SUMIFS(借方金额,记账月份,$A7,账户名称,$Q$1&amp;"*")</f>
        <v>0</v>
      </c>
      <c r="G7" s="355" t="str">
        <f t="shared" ca="1" si="1"/>
        <v/>
      </c>
      <c r="H7" s="346" t="str">
        <f t="shared" ca="1" si="1"/>
        <v/>
      </c>
      <c r="I7" s="356" t="str">
        <f t="shared" ca="1" si="1"/>
        <v/>
      </c>
      <c r="J7" s="345" t="str">
        <f t="shared" ca="1" si="1"/>
        <v/>
      </c>
      <c r="K7" s="346" t="str">
        <f t="shared" ca="1" si="1"/>
        <v/>
      </c>
      <c r="L7" s="356" t="str">
        <f t="shared" ca="1" si="1"/>
        <v/>
      </c>
      <c r="M7" s="348" t="str">
        <f t="shared" ca="1" si="1"/>
        <v/>
      </c>
      <c r="N7" s="346" t="str">
        <f t="shared" ca="1" si="1"/>
        <v/>
      </c>
      <c r="O7" s="356" t="str">
        <f t="shared" ca="1" si="1"/>
        <v/>
      </c>
      <c r="P7" s="348" t="str">
        <f t="shared" ca="1" si="1"/>
        <v/>
      </c>
      <c r="Q7" s="349" t="str">
        <f t="shared" ca="1" si="1"/>
        <v/>
      </c>
      <c r="R7" s="424">
        <f ca="1">SUMIFS(贷方金额,记账月份,$A7,账户名称,$Q$1&amp;"*")</f>
        <v>3</v>
      </c>
      <c r="S7" s="345" t="str">
        <f t="shared" ca="1" si="4"/>
        <v xml:space="preserve"> </v>
      </c>
      <c r="T7" s="346" t="str">
        <f t="shared" ca="1" si="2"/>
        <v xml:space="preserve"> </v>
      </c>
      <c r="U7" s="356" t="str">
        <f t="shared" ca="1" si="2"/>
        <v xml:space="preserve"> </v>
      </c>
      <c r="V7" s="345" t="str">
        <f t="shared" ca="1" si="2"/>
        <v xml:space="preserve"> </v>
      </c>
      <c r="W7" s="346" t="str">
        <f t="shared" ca="1" si="2"/>
        <v xml:space="preserve"> </v>
      </c>
      <c r="X7" s="347" t="str">
        <f t="shared" ca="1" si="2"/>
        <v xml:space="preserve"> </v>
      </c>
      <c r="Y7" s="348" t="str">
        <f t="shared" ca="1" si="2"/>
        <v xml:space="preserve"> </v>
      </c>
      <c r="Z7" s="346" t="str">
        <f t="shared" ca="1" si="2"/>
        <v>￥</v>
      </c>
      <c r="AA7" s="347" t="str">
        <f t="shared" ca="1" si="2"/>
        <v>3</v>
      </c>
      <c r="AB7" s="348" t="str">
        <f t="shared" ca="1" si="2"/>
        <v>0</v>
      </c>
      <c r="AC7" s="349" t="str">
        <f t="shared" ca="1" si="2"/>
        <v>0</v>
      </c>
      <c r="AD7" s="425" t="str">
        <f t="shared" ca="1" si="5"/>
        <v>借</v>
      </c>
      <c r="AE7" s="422">
        <f t="shared" ca="1" si="6"/>
        <v>5872.77</v>
      </c>
      <c r="AF7" s="423" t="str">
        <f t="shared" ca="1" si="3"/>
        <v xml:space="preserve"> </v>
      </c>
      <c r="AG7" s="346" t="str">
        <f t="shared" ca="1" si="0"/>
        <v xml:space="preserve"> </v>
      </c>
      <c r="AH7" s="356" t="str">
        <f t="shared" ca="1" si="0"/>
        <v xml:space="preserve"> </v>
      </c>
      <c r="AI7" s="345" t="str">
        <f t="shared" ca="1" si="0"/>
        <v xml:space="preserve"> </v>
      </c>
      <c r="AJ7" s="346" t="str">
        <f t="shared" ca="1" si="0"/>
        <v>￥</v>
      </c>
      <c r="AK7" s="347" t="str">
        <f t="shared" ca="1" si="0"/>
        <v>5</v>
      </c>
      <c r="AL7" s="348" t="str">
        <f t="shared" ca="1" si="0"/>
        <v>8</v>
      </c>
      <c r="AM7" s="346" t="str">
        <f t="shared" ca="1" si="0"/>
        <v>7</v>
      </c>
      <c r="AN7" s="347" t="str">
        <f t="shared" ca="1" si="0"/>
        <v>2</v>
      </c>
      <c r="AO7" s="348" t="str">
        <f t="shared" ca="1" si="0"/>
        <v>7</v>
      </c>
      <c r="AP7" s="349" t="str">
        <f t="shared" ca="1" si="0"/>
        <v>7</v>
      </c>
      <c r="AR7" s="315">
        <v>1122</v>
      </c>
      <c r="AS7" s="315" t="s">
        <v>919</v>
      </c>
    </row>
    <row r="8" spans="1:45" ht="15.75" customHeight="1">
      <c r="A8" s="391">
        <v>2</v>
      </c>
      <c r="B8" s="391">
        <v>28</v>
      </c>
      <c r="C8" s="414"/>
      <c r="D8" s="414"/>
      <c r="E8" s="379" t="s">
        <v>920</v>
      </c>
      <c r="F8" s="422">
        <f ca="1">SUMIFS(借方金额,记账月份,"&lt;="&amp;$A8,账户名称,$Q$1&amp;"*")</f>
        <v>4000</v>
      </c>
      <c r="G8" s="355" t="str">
        <f t="shared" ca="1" si="1"/>
        <v xml:space="preserve"> </v>
      </c>
      <c r="H8" s="346" t="str">
        <f t="shared" ca="1" si="1"/>
        <v xml:space="preserve"> </v>
      </c>
      <c r="I8" s="356" t="str">
        <f t="shared" ca="1" si="1"/>
        <v xml:space="preserve"> </v>
      </c>
      <c r="J8" s="345" t="str">
        <f t="shared" ca="1" si="1"/>
        <v xml:space="preserve"> </v>
      </c>
      <c r="K8" s="346" t="str">
        <f t="shared" ca="1" si="1"/>
        <v>￥</v>
      </c>
      <c r="L8" s="356" t="str">
        <f t="shared" ca="1" si="1"/>
        <v>4</v>
      </c>
      <c r="M8" s="348" t="str">
        <f t="shared" ca="1" si="1"/>
        <v>0</v>
      </c>
      <c r="N8" s="346" t="str">
        <f t="shared" ca="1" si="1"/>
        <v>0</v>
      </c>
      <c r="O8" s="356" t="str">
        <f t="shared" ca="1" si="1"/>
        <v>0</v>
      </c>
      <c r="P8" s="348" t="str">
        <f t="shared" ca="1" si="1"/>
        <v>0</v>
      </c>
      <c r="Q8" s="349" t="str">
        <f t="shared" ca="1" si="1"/>
        <v>0</v>
      </c>
      <c r="R8" s="424">
        <f ca="1">SUMIFS(贷方金额,记账月份,"&lt;="&amp;$A8,账户名称,$Q$1&amp;"*")</f>
        <v>5022.3</v>
      </c>
      <c r="S8" s="345" t="str">
        <f t="shared" ca="1" si="4"/>
        <v xml:space="preserve"> </v>
      </c>
      <c r="T8" s="346" t="str">
        <f t="shared" ca="1" si="2"/>
        <v xml:space="preserve"> </v>
      </c>
      <c r="U8" s="356" t="str">
        <f t="shared" ca="1" si="2"/>
        <v xml:space="preserve"> </v>
      </c>
      <c r="V8" s="345" t="str">
        <f t="shared" ca="1" si="2"/>
        <v xml:space="preserve"> </v>
      </c>
      <c r="W8" s="346" t="str">
        <f t="shared" ca="1" si="2"/>
        <v>￥</v>
      </c>
      <c r="X8" s="347" t="str">
        <f t="shared" ca="1" si="2"/>
        <v>5</v>
      </c>
      <c r="Y8" s="348" t="str">
        <f t="shared" ca="1" si="2"/>
        <v>0</v>
      </c>
      <c r="Z8" s="346" t="str">
        <f t="shared" ca="1" si="2"/>
        <v>2</v>
      </c>
      <c r="AA8" s="347" t="str">
        <f t="shared" ca="1" si="2"/>
        <v>2</v>
      </c>
      <c r="AB8" s="348" t="str">
        <f t="shared" ca="1" si="2"/>
        <v>3</v>
      </c>
      <c r="AC8" s="349" t="str">
        <f t="shared" ca="1" si="2"/>
        <v>0</v>
      </c>
      <c r="AD8" s="425" t="str">
        <f t="shared" si="5"/>
        <v/>
      </c>
      <c r="AE8" s="422">
        <f t="shared" ca="1" si="6"/>
        <v>5872.77</v>
      </c>
      <c r="AF8" s="423" t="str">
        <f t="shared" ca="1" si="3"/>
        <v xml:space="preserve"> </v>
      </c>
      <c r="AG8" s="346" t="str">
        <f t="shared" ca="1" si="0"/>
        <v xml:space="preserve"> </v>
      </c>
      <c r="AH8" s="356" t="str">
        <f t="shared" ca="1" si="0"/>
        <v xml:space="preserve"> </v>
      </c>
      <c r="AI8" s="345" t="str">
        <f t="shared" ca="1" si="0"/>
        <v xml:space="preserve"> </v>
      </c>
      <c r="AJ8" s="346" t="str">
        <f t="shared" ca="1" si="0"/>
        <v>￥</v>
      </c>
      <c r="AK8" s="347" t="str">
        <f t="shared" ca="1" si="0"/>
        <v>5</v>
      </c>
      <c r="AL8" s="348" t="str">
        <f t="shared" ca="1" si="0"/>
        <v>8</v>
      </c>
      <c r="AM8" s="346" t="str">
        <f t="shared" ca="1" si="0"/>
        <v>7</v>
      </c>
      <c r="AN8" s="347" t="str">
        <f t="shared" ca="1" si="0"/>
        <v>2</v>
      </c>
      <c r="AO8" s="348" t="str">
        <f t="shared" ca="1" si="0"/>
        <v>7</v>
      </c>
      <c r="AP8" s="349" t="str">
        <f t="shared" ca="1" si="0"/>
        <v>7</v>
      </c>
      <c r="AR8" s="315">
        <v>1123</v>
      </c>
      <c r="AS8" s="315" t="s">
        <v>921</v>
      </c>
    </row>
    <row r="9" spans="1:45" ht="15.75" customHeight="1">
      <c r="A9" s="391">
        <v>3</v>
      </c>
      <c r="B9" s="391">
        <v>31</v>
      </c>
      <c r="C9" s="414"/>
      <c r="D9" s="414"/>
      <c r="E9" s="379" t="s">
        <v>922</v>
      </c>
      <c r="F9" s="422">
        <f ca="1">SUMIFS(借方金额,记账月份,$A9,账户名称,$Q$1&amp;"*")</f>
        <v>270.79000000000002</v>
      </c>
      <c r="G9" s="355" t="str">
        <f t="shared" ca="1" si="1"/>
        <v xml:space="preserve"> </v>
      </c>
      <c r="H9" s="346" t="str">
        <f t="shared" ca="1" si="1"/>
        <v xml:space="preserve"> </v>
      </c>
      <c r="I9" s="356" t="str">
        <f t="shared" ca="1" si="1"/>
        <v xml:space="preserve"> </v>
      </c>
      <c r="J9" s="345" t="str">
        <f t="shared" ca="1" si="1"/>
        <v xml:space="preserve"> </v>
      </c>
      <c r="K9" s="346" t="str">
        <f t="shared" ca="1" si="1"/>
        <v xml:space="preserve"> </v>
      </c>
      <c r="L9" s="356" t="str">
        <f t="shared" ca="1" si="1"/>
        <v>￥</v>
      </c>
      <c r="M9" s="348" t="str">
        <f t="shared" ca="1" si="1"/>
        <v>2</v>
      </c>
      <c r="N9" s="346" t="str">
        <f t="shared" ca="1" si="1"/>
        <v>7</v>
      </c>
      <c r="O9" s="356" t="str">
        <f t="shared" ca="1" si="1"/>
        <v>0</v>
      </c>
      <c r="P9" s="348" t="str">
        <f t="shared" ca="1" si="1"/>
        <v>7</v>
      </c>
      <c r="Q9" s="349" t="str">
        <f t="shared" ca="1" si="1"/>
        <v>9</v>
      </c>
      <c r="R9" s="424">
        <f ca="1">SUMIFS(贷方金额,记账月份,$A9,账户名称,$Q$1&amp;"*")</f>
        <v>525.35</v>
      </c>
      <c r="S9" s="345" t="str">
        <f t="shared" ca="1" si="4"/>
        <v xml:space="preserve"> </v>
      </c>
      <c r="T9" s="346" t="str">
        <f t="shared" ca="1" si="2"/>
        <v xml:space="preserve"> </v>
      </c>
      <c r="U9" s="356" t="str">
        <f t="shared" ca="1" si="2"/>
        <v xml:space="preserve"> </v>
      </c>
      <c r="V9" s="345" t="str">
        <f t="shared" ca="1" si="2"/>
        <v xml:space="preserve"> </v>
      </c>
      <c r="W9" s="346" t="str">
        <f t="shared" ca="1" si="2"/>
        <v xml:space="preserve"> </v>
      </c>
      <c r="X9" s="347" t="str">
        <f t="shared" ca="1" si="2"/>
        <v>￥</v>
      </c>
      <c r="Y9" s="348" t="str">
        <f t="shared" ca="1" si="2"/>
        <v>5</v>
      </c>
      <c r="Z9" s="346" t="str">
        <f t="shared" ca="1" si="2"/>
        <v>2</v>
      </c>
      <c r="AA9" s="347" t="str">
        <f t="shared" ca="1" si="2"/>
        <v>5</v>
      </c>
      <c r="AB9" s="348" t="str">
        <f t="shared" ca="1" si="2"/>
        <v>3</v>
      </c>
      <c r="AC9" s="349" t="str">
        <f t="shared" ca="1" si="2"/>
        <v>5</v>
      </c>
      <c r="AD9" s="425" t="str">
        <f t="shared" ca="1" si="5"/>
        <v>借</v>
      </c>
      <c r="AE9" s="422">
        <f t="shared" ca="1" si="6"/>
        <v>5618.21</v>
      </c>
      <c r="AF9" s="423" t="str">
        <f t="shared" ca="1" si="3"/>
        <v xml:space="preserve"> </v>
      </c>
      <c r="AG9" s="346" t="str">
        <f t="shared" ca="1" si="0"/>
        <v xml:space="preserve"> </v>
      </c>
      <c r="AH9" s="356" t="str">
        <f t="shared" ca="1" si="0"/>
        <v xml:space="preserve"> </v>
      </c>
      <c r="AI9" s="345" t="str">
        <f t="shared" ca="1" si="0"/>
        <v xml:space="preserve"> </v>
      </c>
      <c r="AJ9" s="346" t="str">
        <f t="shared" ca="1" si="0"/>
        <v>￥</v>
      </c>
      <c r="AK9" s="347" t="str">
        <f t="shared" ca="1" si="0"/>
        <v>5</v>
      </c>
      <c r="AL9" s="348" t="str">
        <f t="shared" ca="1" si="0"/>
        <v>6</v>
      </c>
      <c r="AM9" s="346" t="str">
        <f t="shared" ca="1" si="0"/>
        <v>1</v>
      </c>
      <c r="AN9" s="347" t="str">
        <f t="shared" ca="1" si="0"/>
        <v>8</v>
      </c>
      <c r="AO9" s="348" t="str">
        <f t="shared" ca="1" si="0"/>
        <v>2</v>
      </c>
      <c r="AP9" s="349" t="str">
        <f t="shared" ca="1" si="0"/>
        <v>1</v>
      </c>
      <c r="AR9" s="315">
        <v>1131</v>
      </c>
      <c r="AS9" s="315" t="s">
        <v>923</v>
      </c>
    </row>
    <row r="10" spans="1:45" ht="15.75" customHeight="1">
      <c r="A10" s="391">
        <v>3</v>
      </c>
      <c r="B10" s="391">
        <v>31</v>
      </c>
      <c r="C10" s="414"/>
      <c r="D10" s="414"/>
      <c r="E10" s="379" t="s">
        <v>920</v>
      </c>
      <c r="F10" s="422">
        <f ca="1">SUMIFS(借方金额,记账月份,"&lt;="&amp;$A10,账户名称,$Q$1&amp;"*")</f>
        <v>4270.79</v>
      </c>
      <c r="G10" s="355" t="str">
        <f t="shared" ca="1" si="1"/>
        <v xml:space="preserve"> </v>
      </c>
      <c r="H10" s="346" t="str">
        <f t="shared" ca="1" si="1"/>
        <v xml:space="preserve"> </v>
      </c>
      <c r="I10" s="356" t="str">
        <f t="shared" ca="1" si="1"/>
        <v xml:space="preserve"> </v>
      </c>
      <c r="J10" s="345" t="str">
        <f t="shared" ca="1" si="1"/>
        <v xml:space="preserve"> </v>
      </c>
      <c r="K10" s="346" t="str">
        <f t="shared" ca="1" si="1"/>
        <v>￥</v>
      </c>
      <c r="L10" s="356" t="str">
        <f t="shared" ca="1" si="1"/>
        <v>4</v>
      </c>
      <c r="M10" s="348" t="str">
        <f t="shared" ca="1" si="1"/>
        <v>2</v>
      </c>
      <c r="N10" s="346" t="str">
        <f t="shared" ca="1" si="1"/>
        <v>7</v>
      </c>
      <c r="O10" s="356" t="str">
        <f t="shared" ca="1" si="1"/>
        <v>0</v>
      </c>
      <c r="P10" s="348" t="str">
        <f t="shared" ca="1" si="1"/>
        <v>7</v>
      </c>
      <c r="Q10" s="349" t="str">
        <f t="shared" ca="1" si="1"/>
        <v>9</v>
      </c>
      <c r="R10" s="424">
        <f ca="1">SUMIFS(贷方金额,记账月份,"&lt;="&amp;$A10,账户名称,$Q$1&amp;"*")</f>
        <v>5547.65</v>
      </c>
      <c r="S10" s="345" t="str">
        <f t="shared" ca="1" si="4"/>
        <v xml:space="preserve"> </v>
      </c>
      <c r="T10" s="346" t="str">
        <f t="shared" ca="1" si="2"/>
        <v xml:space="preserve"> </v>
      </c>
      <c r="U10" s="356" t="str">
        <f t="shared" ca="1" si="2"/>
        <v xml:space="preserve"> </v>
      </c>
      <c r="V10" s="345" t="str">
        <f t="shared" ca="1" si="2"/>
        <v xml:space="preserve"> </v>
      </c>
      <c r="W10" s="346" t="str">
        <f t="shared" ca="1" si="2"/>
        <v>￥</v>
      </c>
      <c r="X10" s="347" t="str">
        <f t="shared" ca="1" si="2"/>
        <v>5</v>
      </c>
      <c r="Y10" s="348" t="str">
        <f t="shared" ca="1" si="2"/>
        <v>5</v>
      </c>
      <c r="Z10" s="346" t="str">
        <f t="shared" ca="1" si="2"/>
        <v>4</v>
      </c>
      <c r="AA10" s="347" t="str">
        <f t="shared" ca="1" si="2"/>
        <v>7</v>
      </c>
      <c r="AB10" s="348" t="str">
        <f t="shared" ca="1" si="2"/>
        <v>6</v>
      </c>
      <c r="AC10" s="349" t="str">
        <f t="shared" ca="1" si="2"/>
        <v>5</v>
      </c>
      <c r="AD10" s="425" t="str">
        <f t="shared" si="5"/>
        <v/>
      </c>
      <c r="AE10" s="422">
        <f t="shared" ca="1" si="6"/>
        <v>5618.21</v>
      </c>
      <c r="AF10" s="423" t="str">
        <f t="shared" ca="1" si="3"/>
        <v xml:space="preserve"> </v>
      </c>
      <c r="AG10" s="346" t="str">
        <f t="shared" ca="1" si="0"/>
        <v xml:space="preserve"> </v>
      </c>
      <c r="AH10" s="356" t="str">
        <f t="shared" ca="1" si="0"/>
        <v xml:space="preserve"> </v>
      </c>
      <c r="AI10" s="345" t="str">
        <f t="shared" ca="1" si="0"/>
        <v xml:space="preserve"> </v>
      </c>
      <c r="AJ10" s="346" t="str">
        <f t="shared" ca="1" si="0"/>
        <v>￥</v>
      </c>
      <c r="AK10" s="347" t="str">
        <f t="shared" ca="1" si="0"/>
        <v>5</v>
      </c>
      <c r="AL10" s="348" t="str">
        <f t="shared" ca="1" si="0"/>
        <v>6</v>
      </c>
      <c r="AM10" s="346" t="str">
        <f t="shared" ca="1" si="0"/>
        <v>1</v>
      </c>
      <c r="AN10" s="347" t="str">
        <f t="shared" ca="1" si="0"/>
        <v>8</v>
      </c>
      <c r="AO10" s="348" t="str">
        <f t="shared" ca="1" si="0"/>
        <v>2</v>
      </c>
      <c r="AP10" s="349" t="str">
        <f t="shared" ca="1" si="0"/>
        <v>1</v>
      </c>
      <c r="AR10" s="315">
        <v>1132</v>
      </c>
      <c r="AS10" s="315" t="s">
        <v>924</v>
      </c>
    </row>
    <row r="11" spans="1:45" ht="15.75" customHeight="1">
      <c r="A11" s="391">
        <v>4</v>
      </c>
      <c r="B11" s="391">
        <v>30</v>
      </c>
      <c r="C11" s="414"/>
      <c r="D11" s="414"/>
      <c r="E11" s="379" t="s">
        <v>922</v>
      </c>
      <c r="F11" s="422">
        <f ca="1">SUMIFS(借方金额,记账月份,$A11,账户名称,$Q$1&amp;"*")</f>
        <v>0</v>
      </c>
      <c r="G11" s="355" t="str">
        <f t="shared" ca="1" si="1"/>
        <v/>
      </c>
      <c r="H11" s="346" t="str">
        <f t="shared" ca="1" si="1"/>
        <v/>
      </c>
      <c r="I11" s="356" t="str">
        <f t="shared" ca="1" si="1"/>
        <v/>
      </c>
      <c r="J11" s="345" t="str">
        <f t="shared" ca="1" si="1"/>
        <v/>
      </c>
      <c r="K11" s="346" t="str">
        <f t="shared" ca="1" si="1"/>
        <v/>
      </c>
      <c r="L11" s="356" t="str">
        <f t="shared" ca="1" si="1"/>
        <v/>
      </c>
      <c r="M11" s="348" t="str">
        <f t="shared" ca="1" si="1"/>
        <v/>
      </c>
      <c r="N11" s="346" t="str">
        <f t="shared" ca="1" si="1"/>
        <v/>
      </c>
      <c r="O11" s="356" t="str">
        <f t="shared" ca="1" si="1"/>
        <v/>
      </c>
      <c r="P11" s="348" t="str">
        <f t="shared" ca="1" si="1"/>
        <v/>
      </c>
      <c r="Q11" s="349" t="str">
        <f t="shared" ca="1" si="1"/>
        <v/>
      </c>
      <c r="R11" s="424">
        <f ca="1">SUMIFS(贷方金额,记账月份,$A11,账户名称,$Q$1&amp;"*")</f>
        <v>37.5</v>
      </c>
      <c r="S11" s="345" t="str">
        <f t="shared" ca="1" si="4"/>
        <v xml:space="preserve"> </v>
      </c>
      <c r="T11" s="346" t="str">
        <f t="shared" ca="1" si="2"/>
        <v xml:space="preserve"> </v>
      </c>
      <c r="U11" s="356" t="str">
        <f t="shared" ca="1" si="2"/>
        <v xml:space="preserve"> </v>
      </c>
      <c r="V11" s="345" t="str">
        <f t="shared" ca="1" si="2"/>
        <v xml:space="preserve"> </v>
      </c>
      <c r="W11" s="346" t="str">
        <f t="shared" ca="1" si="2"/>
        <v xml:space="preserve"> </v>
      </c>
      <c r="X11" s="347" t="str">
        <f t="shared" ca="1" si="2"/>
        <v xml:space="preserve"> </v>
      </c>
      <c r="Y11" s="348" t="str">
        <f t="shared" ca="1" si="2"/>
        <v>￥</v>
      </c>
      <c r="Z11" s="346" t="str">
        <f t="shared" ca="1" si="2"/>
        <v>3</v>
      </c>
      <c r="AA11" s="347" t="str">
        <f t="shared" ca="1" si="2"/>
        <v>7</v>
      </c>
      <c r="AB11" s="348" t="str">
        <f t="shared" ca="1" si="2"/>
        <v>5</v>
      </c>
      <c r="AC11" s="349" t="str">
        <f t="shared" ca="1" si="2"/>
        <v>0</v>
      </c>
      <c r="AD11" s="425" t="str">
        <f t="shared" ca="1" si="5"/>
        <v>借</v>
      </c>
      <c r="AE11" s="422">
        <f t="shared" ca="1" si="6"/>
        <v>5580.71</v>
      </c>
      <c r="AF11" s="423" t="str">
        <f t="shared" ca="1" si="3"/>
        <v xml:space="preserve"> </v>
      </c>
      <c r="AG11" s="346" t="str">
        <f t="shared" ca="1" si="0"/>
        <v xml:space="preserve"> </v>
      </c>
      <c r="AH11" s="356" t="str">
        <f t="shared" ca="1" si="0"/>
        <v xml:space="preserve"> </v>
      </c>
      <c r="AI11" s="345" t="str">
        <f t="shared" ca="1" si="0"/>
        <v xml:space="preserve"> </v>
      </c>
      <c r="AJ11" s="346" t="str">
        <f t="shared" ca="1" si="0"/>
        <v>￥</v>
      </c>
      <c r="AK11" s="347" t="str">
        <f t="shared" ca="1" si="0"/>
        <v>5</v>
      </c>
      <c r="AL11" s="348" t="str">
        <f t="shared" ca="1" si="0"/>
        <v>5</v>
      </c>
      <c r="AM11" s="346" t="str">
        <f t="shared" ca="1" si="0"/>
        <v>8</v>
      </c>
      <c r="AN11" s="347" t="str">
        <f t="shared" ca="1" si="0"/>
        <v>0</v>
      </c>
      <c r="AO11" s="348" t="str">
        <f t="shared" ca="1" si="0"/>
        <v>7</v>
      </c>
      <c r="AP11" s="349" t="str">
        <f t="shared" ca="1" si="0"/>
        <v>1</v>
      </c>
      <c r="AR11" s="315">
        <v>1221</v>
      </c>
      <c r="AS11" s="315" t="s">
        <v>925</v>
      </c>
    </row>
    <row r="12" spans="1:45" ht="15.75" customHeight="1">
      <c r="A12" s="391">
        <v>4</v>
      </c>
      <c r="B12" s="391">
        <v>30</v>
      </c>
      <c r="C12" s="414"/>
      <c r="D12" s="414"/>
      <c r="E12" s="415" t="s">
        <v>916</v>
      </c>
      <c r="F12" s="422">
        <f ca="1">SUMIFS(借方金额,记账月份,"&lt;="&amp;$A12,账户名称,$Q$1&amp;"*")</f>
        <v>4270.79</v>
      </c>
      <c r="G12" s="355" t="str">
        <f t="shared" ca="1" si="1"/>
        <v xml:space="preserve"> </v>
      </c>
      <c r="H12" s="346" t="str">
        <f t="shared" ca="1" si="1"/>
        <v xml:space="preserve"> </v>
      </c>
      <c r="I12" s="356" t="str">
        <f t="shared" ca="1" si="1"/>
        <v xml:space="preserve"> </v>
      </c>
      <c r="J12" s="345" t="str">
        <f t="shared" ca="1" si="1"/>
        <v xml:space="preserve"> </v>
      </c>
      <c r="K12" s="346" t="str">
        <f t="shared" ca="1" si="1"/>
        <v>￥</v>
      </c>
      <c r="L12" s="356" t="str">
        <f t="shared" ca="1" si="1"/>
        <v>4</v>
      </c>
      <c r="M12" s="348" t="str">
        <f t="shared" ca="1" si="1"/>
        <v>2</v>
      </c>
      <c r="N12" s="346" t="str">
        <f t="shared" ca="1" si="1"/>
        <v>7</v>
      </c>
      <c r="O12" s="356" t="str">
        <f t="shared" ca="1" si="1"/>
        <v>0</v>
      </c>
      <c r="P12" s="348" t="str">
        <f t="shared" ca="1" si="1"/>
        <v>7</v>
      </c>
      <c r="Q12" s="349" t="str">
        <f t="shared" ca="1" si="1"/>
        <v>9</v>
      </c>
      <c r="R12" s="424">
        <f ca="1">SUMIFS(贷方金额,记账月份,"&lt;="&amp;$A12,账户名称,$Q$1&amp;"*")</f>
        <v>5585.15</v>
      </c>
      <c r="S12" s="345" t="str">
        <f t="shared" ca="1" si="4"/>
        <v xml:space="preserve"> </v>
      </c>
      <c r="T12" s="346" t="str">
        <f t="shared" ca="1" si="2"/>
        <v xml:space="preserve"> </v>
      </c>
      <c r="U12" s="356" t="str">
        <f t="shared" ca="1" si="2"/>
        <v xml:space="preserve"> </v>
      </c>
      <c r="V12" s="345" t="str">
        <f t="shared" ca="1" si="2"/>
        <v xml:space="preserve"> </v>
      </c>
      <c r="W12" s="346" t="str">
        <f t="shared" ca="1" si="2"/>
        <v>￥</v>
      </c>
      <c r="X12" s="347" t="str">
        <f t="shared" ca="1" si="2"/>
        <v>5</v>
      </c>
      <c r="Y12" s="348" t="str">
        <f t="shared" ca="1" si="2"/>
        <v>5</v>
      </c>
      <c r="Z12" s="346" t="str">
        <f t="shared" ca="1" si="2"/>
        <v>8</v>
      </c>
      <c r="AA12" s="347" t="str">
        <f t="shared" ca="1" si="2"/>
        <v>5</v>
      </c>
      <c r="AB12" s="348" t="str">
        <f t="shared" ca="1" si="2"/>
        <v>1</v>
      </c>
      <c r="AC12" s="349" t="str">
        <f t="shared" ca="1" si="2"/>
        <v>5</v>
      </c>
      <c r="AD12" s="425" t="str">
        <f t="shared" si="5"/>
        <v/>
      </c>
      <c r="AE12" s="422">
        <f t="shared" ca="1" si="6"/>
        <v>5580.71</v>
      </c>
      <c r="AF12" s="423" t="str">
        <f t="shared" ca="1" si="3"/>
        <v xml:space="preserve"> </v>
      </c>
      <c r="AG12" s="346" t="str">
        <f t="shared" ca="1" si="0"/>
        <v xml:space="preserve"> </v>
      </c>
      <c r="AH12" s="356" t="str">
        <f t="shared" ca="1" si="0"/>
        <v xml:space="preserve"> </v>
      </c>
      <c r="AI12" s="345" t="str">
        <f t="shared" ca="1" si="0"/>
        <v xml:space="preserve"> </v>
      </c>
      <c r="AJ12" s="346" t="str">
        <f t="shared" ca="1" si="0"/>
        <v>￥</v>
      </c>
      <c r="AK12" s="347" t="str">
        <f t="shared" ca="1" si="0"/>
        <v>5</v>
      </c>
      <c r="AL12" s="348" t="str">
        <f t="shared" ca="1" si="0"/>
        <v>5</v>
      </c>
      <c r="AM12" s="346" t="str">
        <f t="shared" ca="1" si="0"/>
        <v>8</v>
      </c>
      <c r="AN12" s="347" t="str">
        <f t="shared" ca="1" si="0"/>
        <v>0</v>
      </c>
      <c r="AO12" s="348" t="str">
        <f t="shared" ca="1" si="0"/>
        <v>7</v>
      </c>
      <c r="AP12" s="349" t="str">
        <f t="shared" ca="1" si="0"/>
        <v>1</v>
      </c>
      <c r="AR12" s="315">
        <v>1225</v>
      </c>
      <c r="AS12" s="315" t="s">
        <v>926</v>
      </c>
    </row>
    <row r="13" spans="1:45" ht="15.75" customHeight="1">
      <c r="A13" s="391">
        <v>5</v>
      </c>
      <c r="B13" s="391">
        <v>31</v>
      </c>
      <c r="C13" s="414"/>
      <c r="D13" s="414"/>
      <c r="E13" s="379" t="s">
        <v>922</v>
      </c>
      <c r="F13" s="422">
        <f ca="1">SUMIFS(借方金额,记账月份,$A13,账户名称,$Q$1&amp;"*")</f>
        <v>0</v>
      </c>
      <c r="G13" s="355" t="str">
        <f t="shared" ca="1" si="1"/>
        <v/>
      </c>
      <c r="H13" s="346" t="str">
        <f t="shared" ca="1" si="1"/>
        <v/>
      </c>
      <c r="I13" s="356" t="str">
        <f t="shared" ca="1" si="1"/>
        <v/>
      </c>
      <c r="J13" s="345" t="str">
        <f t="shared" ca="1" si="1"/>
        <v/>
      </c>
      <c r="K13" s="346" t="str">
        <f t="shared" ca="1" si="1"/>
        <v/>
      </c>
      <c r="L13" s="356" t="str">
        <f t="shared" ca="1" si="1"/>
        <v/>
      </c>
      <c r="M13" s="348" t="str">
        <f t="shared" ca="1" si="1"/>
        <v/>
      </c>
      <c r="N13" s="346" t="str">
        <f t="shared" ca="1" si="1"/>
        <v/>
      </c>
      <c r="O13" s="356" t="str">
        <f t="shared" ca="1" si="1"/>
        <v/>
      </c>
      <c r="P13" s="348" t="str">
        <f t="shared" ca="1" si="1"/>
        <v/>
      </c>
      <c r="Q13" s="349" t="str">
        <f t="shared" ca="1" si="1"/>
        <v/>
      </c>
      <c r="R13" s="424">
        <f ca="1">SUMIFS(贷方金额,记账月份,$A13,账户名称,$Q$1&amp;"*")</f>
        <v>212.15</v>
      </c>
      <c r="S13" s="345" t="str">
        <f t="shared" ca="1" si="4"/>
        <v xml:space="preserve"> </v>
      </c>
      <c r="T13" s="346" t="str">
        <f t="shared" ca="1" si="2"/>
        <v xml:space="preserve"> </v>
      </c>
      <c r="U13" s="356" t="str">
        <f t="shared" ca="1" si="2"/>
        <v xml:space="preserve"> </v>
      </c>
      <c r="V13" s="345" t="str">
        <f t="shared" ca="1" si="2"/>
        <v xml:space="preserve"> </v>
      </c>
      <c r="W13" s="346" t="str">
        <f t="shared" ca="1" si="2"/>
        <v xml:space="preserve"> </v>
      </c>
      <c r="X13" s="347" t="str">
        <f t="shared" ca="1" si="2"/>
        <v>￥</v>
      </c>
      <c r="Y13" s="348" t="str">
        <f t="shared" ca="1" si="2"/>
        <v>2</v>
      </c>
      <c r="Z13" s="346" t="str">
        <f t="shared" ca="1" si="2"/>
        <v>1</v>
      </c>
      <c r="AA13" s="347" t="str">
        <f t="shared" ca="1" si="2"/>
        <v>2</v>
      </c>
      <c r="AB13" s="348" t="str">
        <f t="shared" ca="1" si="2"/>
        <v>1</v>
      </c>
      <c r="AC13" s="349" t="str">
        <f t="shared" ca="1" si="2"/>
        <v>5</v>
      </c>
      <c r="AD13" s="425" t="str">
        <f t="shared" ca="1" si="5"/>
        <v>借</v>
      </c>
      <c r="AE13" s="422">
        <f t="shared" ca="1" si="6"/>
        <v>5368.56</v>
      </c>
      <c r="AF13" s="423" t="str">
        <f t="shared" ca="1" si="3"/>
        <v xml:space="preserve"> </v>
      </c>
      <c r="AG13" s="346" t="str">
        <f t="shared" ca="1" si="0"/>
        <v xml:space="preserve"> </v>
      </c>
      <c r="AH13" s="356" t="str">
        <f t="shared" ca="1" si="0"/>
        <v xml:space="preserve"> </v>
      </c>
      <c r="AI13" s="345" t="str">
        <f t="shared" ca="1" si="0"/>
        <v xml:space="preserve"> </v>
      </c>
      <c r="AJ13" s="346" t="str">
        <f t="shared" ca="1" si="0"/>
        <v>￥</v>
      </c>
      <c r="AK13" s="347" t="str">
        <f t="shared" ca="1" si="0"/>
        <v>5</v>
      </c>
      <c r="AL13" s="348" t="str">
        <f t="shared" ca="1" si="0"/>
        <v>3</v>
      </c>
      <c r="AM13" s="346" t="str">
        <f t="shared" ca="1" si="0"/>
        <v>6</v>
      </c>
      <c r="AN13" s="347" t="str">
        <f t="shared" ca="1" si="0"/>
        <v>8</v>
      </c>
      <c r="AO13" s="348" t="str">
        <f t="shared" ca="1" si="0"/>
        <v>5</v>
      </c>
      <c r="AP13" s="349" t="str">
        <f t="shared" ca="1" si="0"/>
        <v>6</v>
      </c>
      <c r="AR13" s="315">
        <v>1231</v>
      </c>
      <c r="AS13" s="315" t="s">
        <v>927</v>
      </c>
    </row>
    <row r="14" spans="1:45" ht="15.75" customHeight="1">
      <c r="A14" s="391">
        <v>5</v>
      </c>
      <c r="B14" s="391">
        <v>31</v>
      </c>
      <c r="C14" s="414"/>
      <c r="D14" s="414"/>
      <c r="E14" s="415" t="s">
        <v>916</v>
      </c>
      <c r="F14" s="422">
        <f ca="1">SUMIFS(借方金额,记账月份,"&lt;="&amp;$A14,账户名称,$Q$1&amp;"*")</f>
        <v>4270.79</v>
      </c>
      <c r="G14" s="355" t="str">
        <f t="shared" ca="1" si="1"/>
        <v xml:space="preserve"> </v>
      </c>
      <c r="H14" s="346" t="str">
        <f t="shared" ca="1" si="1"/>
        <v xml:space="preserve"> </v>
      </c>
      <c r="I14" s="356" t="str">
        <f t="shared" ca="1" si="1"/>
        <v xml:space="preserve"> </v>
      </c>
      <c r="J14" s="345" t="str">
        <f t="shared" ca="1" si="1"/>
        <v xml:space="preserve"> </v>
      </c>
      <c r="K14" s="346" t="str">
        <f t="shared" ca="1" si="1"/>
        <v>￥</v>
      </c>
      <c r="L14" s="356" t="str">
        <f t="shared" ca="1" si="1"/>
        <v>4</v>
      </c>
      <c r="M14" s="348" t="str">
        <f t="shared" ca="1" si="1"/>
        <v>2</v>
      </c>
      <c r="N14" s="346" t="str">
        <f t="shared" ca="1" si="1"/>
        <v>7</v>
      </c>
      <c r="O14" s="356" t="str">
        <f t="shared" ca="1" si="1"/>
        <v>0</v>
      </c>
      <c r="P14" s="348" t="str">
        <f t="shared" ca="1" si="1"/>
        <v>7</v>
      </c>
      <c r="Q14" s="349" t="str">
        <f t="shared" ca="1" si="1"/>
        <v>9</v>
      </c>
      <c r="R14" s="424">
        <f ca="1">SUMIFS(贷方金额,记账月份,"&lt;="&amp;$A14,账户名称,$Q$1&amp;"*")</f>
        <v>5797.3</v>
      </c>
      <c r="S14" s="345" t="str">
        <f t="shared" ca="1" si="4"/>
        <v xml:space="preserve"> </v>
      </c>
      <c r="T14" s="346" t="str">
        <f t="shared" ca="1" si="2"/>
        <v xml:space="preserve"> </v>
      </c>
      <c r="U14" s="356" t="str">
        <f t="shared" ca="1" si="2"/>
        <v xml:space="preserve"> </v>
      </c>
      <c r="V14" s="345" t="str">
        <f t="shared" ca="1" si="2"/>
        <v xml:space="preserve"> </v>
      </c>
      <c r="W14" s="346" t="str">
        <f t="shared" ca="1" si="2"/>
        <v>￥</v>
      </c>
      <c r="X14" s="347" t="str">
        <f t="shared" ca="1" si="2"/>
        <v>5</v>
      </c>
      <c r="Y14" s="348" t="str">
        <f t="shared" ca="1" si="2"/>
        <v>7</v>
      </c>
      <c r="Z14" s="346" t="str">
        <f t="shared" ca="1" si="2"/>
        <v>9</v>
      </c>
      <c r="AA14" s="347" t="str">
        <f t="shared" ca="1" si="2"/>
        <v>7</v>
      </c>
      <c r="AB14" s="348" t="str">
        <f t="shared" ca="1" si="2"/>
        <v>3</v>
      </c>
      <c r="AC14" s="349" t="str">
        <f t="shared" ca="1" si="2"/>
        <v>0</v>
      </c>
      <c r="AD14" s="425" t="str">
        <f t="shared" si="5"/>
        <v/>
      </c>
      <c r="AE14" s="422">
        <f t="shared" ca="1" si="6"/>
        <v>5368.56</v>
      </c>
      <c r="AF14" s="423" t="str">
        <f t="shared" ca="1" si="3"/>
        <v xml:space="preserve"> </v>
      </c>
      <c r="AG14" s="346" t="str">
        <f t="shared" ca="1" si="0"/>
        <v xml:space="preserve"> </v>
      </c>
      <c r="AH14" s="356" t="str">
        <f t="shared" ca="1" si="0"/>
        <v xml:space="preserve"> </v>
      </c>
      <c r="AI14" s="345" t="str">
        <f t="shared" ca="1" si="0"/>
        <v xml:space="preserve"> </v>
      </c>
      <c r="AJ14" s="346" t="str">
        <f t="shared" ca="1" si="0"/>
        <v>￥</v>
      </c>
      <c r="AK14" s="347" t="str">
        <f t="shared" ca="1" si="0"/>
        <v>5</v>
      </c>
      <c r="AL14" s="348" t="str">
        <f t="shared" ca="1" si="0"/>
        <v>3</v>
      </c>
      <c r="AM14" s="346" t="str">
        <f t="shared" ca="1" si="0"/>
        <v>6</v>
      </c>
      <c r="AN14" s="347" t="str">
        <f t="shared" ca="1" si="0"/>
        <v>8</v>
      </c>
      <c r="AO14" s="348" t="str">
        <f t="shared" ca="1" si="0"/>
        <v>5</v>
      </c>
      <c r="AP14" s="349" t="str">
        <f t="shared" ca="1" si="0"/>
        <v>6</v>
      </c>
      <c r="AR14" s="315">
        <v>1401</v>
      </c>
      <c r="AS14" s="315" t="s">
        <v>928</v>
      </c>
    </row>
    <row r="15" spans="1:45" ht="15.75" customHeight="1">
      <c r="A15" s="391">
        <v>6</v>
      </c>
      <c r="B15" s="391">
        <v>60</v>
      </c>
      <c r="C15" s="414"/>
      <c r="D15" s="414"/>
      <c r="E15" s="415" t="s">
        <v>914</v>
      </c>
      <c r="F15" s="422">
        <f ca="1">SUMIFS(借方金额,记账月份,$A15,账户名称,$Q$1&amp;"*")</f>
        <v>27.33</v>
      </c>
      <c r="G15" s="355" t="str">
        <f t="shared" ca="1" si="1"/>
        <v xml:space="preserve"> </v>
      </c>
      <c r="H15" s="346" t="str">
        <f t="shared" ca="1" si="1"/>
        <v xml:space="preserve"> </v>
      </c>
      <c r="I15" s="356" t="str">
        <f t="shared" ca="1" si="1"/>
        <v xml:space="preserve"> </v>
      </c>
      <c r="J15" s="345" t="str">
        <f t="shared" ca="1" si="1"/>
        <v xml:space="preserve"> </v>
      </c>
      <c r="K15" s="346" t="str">
        <f t="shared" ca="1" si="1"/>
        <v xml:space="preserve"> </v>
      </c>
      <c r="L15" s="356" t="str">
        <f t="shared" ca="1" si="1"/>
        <v xml:space="preserve"> </v>
      </c>
      <c r="M15" s="348" t="str">
        <f t="shared" ca="1" si="1"/>
        <v>￥</v>
      </c>
      <c r="N15" s="346" t="str">
        <f t="shared" ca="1" si="1"/>
        <v>2</v>
      </c>
      <c r="O15" s="356" t="str">
        <f t="shared" ca="1" si="1"/>
        <v>7</v>
      </c>
      <c r="P15" s="348" t="str">
        <f t="shared" ca="1" si="1"/>
        <v>3</v>
      </c>
      <c r="Q15" s="349" t="str">
        <f t="shared" ca="1" si="1"/>
        <v>3</v>
      </c>
      <c r="R15" s="424">
        <f ca="1">SUMIFS(贷方金额,记账月份,$A15,账户名称,$Q$1&amp;"*")</f>
        <v>167.5</v>
      </c>
      <c r="S15" s="345" t="str">
        <f t="shared" ca="1" si="4"/>
        <v xml:space="preserve"> </v>
      </c>
      <c r="T15" s="346" t="str">
        <f t="shared" ca="1" si="2"/>
        <v xml:space="preserve"> </v>
      </c>
      <c r="U15" s="356" t="str">
        <f t="shared" ca="1" si="2"/>
        <v xml:space="preserve"> </v>
      </c>
      <c r="V15" s="345" t="str">
        <f t="shared" ca="1" si="2"/>
        <v xml:space="preserve"> </v>
      </c>
      <c r="W15" s="346" t="str">
        <f t="shared" ca="1" si="2"/>
        <v xml:space="preserve"> </v>
      </c>
      <c r="X15" s="347" t="str">
        <f t="shared" ca="1" si="2"/>
        <v>￥</v>
      </c>
      <c r="Y15" s="348" t="str">
        <f t="shared" ca="1" si="2"/>
        <v>1</v>
      </c>
      <c r="Z15" s="346" t="str">
        <f t="shared" ca="1" si="2"/>
        <v>6</v>
      </c>
      <c r="AA15" s="347" t="str">
        <f t="shared" ca="1" si="2"/>
        <v>7</v>
      </c>
      <c r="AB15" s="348" t="str">
        <f t="shared" ca="1" si="2"/>
        <v>5</v>
      </c>
      <c r="AC15" s="349" t="str">
        <f t="shared" ca="1" si="2"/>
        <v>0</v>
      </c>
      <c r="AD15" s="425" t="str">
        <f t="shared" ca="1" si="5"/>
        <v>借</v>
      </c>
      <c r="AE15" s="422">
        <f t="shared" ca="1" si="6"/>
        <v>5228.3900000000003</v>
      </c>
      <c r="AF15" s="423" t="str">
        <f t="shared" ca="1" si="3"/>
        <v xml:space="preserve"> </v>
      </c>
      <c r="AG15" s="346" t="str">
        <f t="shared" ca="1" si="0"/>
        <v xml:space="preserve"> </v>
      </c>
      <c r="AH15" s="356" t="str">
        <f t="shared" ca="1" si="0"/>
        <v xml:space="preserve"> </v>
      </c>
      <c r="AI15" s="345" t="str">
        <f t="shared" ca="1" si="0"/>
        <v xml:space="preserve"> </v>
      </c>
      <c r="AJ15" s="346" t="str">
        <f t="shared" ca="1" si="0"/>
        <v>￥</v>
      </c>
      <c r="AK15" s="347" t="str">
        <f t="shared" ca="1" si="0"/>
        <v>5</v>
      </c>
      <c r="AL15" s="348" t="str">
        <f t="shared" ca="1" si="0"/>
        <v>2</v>
      </c>
      <c r="AM15" s="346" t="str">
        <f t="shared" ca="1" si="0"/>
        <v>2</v>
      </c>
      <c r="AN15" s="347" t="str">
        <f t="shared" ca="1" si="0"/>
        <v>8</v>
      </c>
      <c r="AO15" s="348" t="str">
        <f t="shared" ca="1" si="0"/>
        <v>3</v>
      </c>
      <c r="AP15" s="349" t="str">
        <f t="shared" ca="1" si="0"/>
        <v>9</v>
      </c>
      <c r="AR15" s="315">
        <v>1402</v>
      </c>
      <c r="AS15" s="315" t="s">
        <v>929</v>
      </c>
    </row>
    <row r="16" spans="1:45" ht="15.75" customHeight="1">
      <c r="A16" s="391">
        <v>6</v>
      </c>
      <c r="B16" s="391">
        <v>60</v>
      </c>
      <c r="C16" s="414"/>
      <c r="D16" s="414"/>
      <c r="E16" s="415" t="s">
        <v>916</v>
      </c>
      <c r="F16" s="422">
        <f ca="1">SUMIFS(借方金额,记账月份,"&lt;="&amp;$A16,账户名称,$Q$1&amp;"*")</f>
        <v>4298.12</v>
      </c>
      <c r="G16" s="355" t="str">
        <f t="shared" ca="1" si="1"/>
        <v xml:space="preserve"> </v>
      </c>
      <c r="H16" s="346" t="str">
        <f t="shared" ca="1" si="1"/>
        <v xml:space="preserve"> </v>
      </c>
      <c r="I16" s="356" t="str">
        <f t="shared" ca="1" si="1"/>
        <v xml:space="preserve"> </v>
      </c>
      <c r="J16" s="345" t="str">
        <f t="shared" ca="1" si="1"/>
        <v xml:space="preserve"> </v>
      </c>
      <c r="K16" s="346" t="str">
        <f t="shared" ca="1" si="1"/>
        <v>￥</v>
      </c>
      <c r="L16" s="356" t="str">
        <f t="shared" ca="1" si="1"/>
        <v>4</v>
      </c>
      <c r="M16" s="348" t="str">
        <f t="shared" ca="1" si="1"/>
        <v>2</v>
      </c>
      <c r="N16" s="346" t="str">
        <f t="shared" ca="1" si="1"/>
        <v>9</v>
      </c>
      <c r="O16" s="356" t="str">
        <f t="shared" ca="1" si="1"/>
        <v>8</v>
      </c>
      <c r="P16" s="348" t="str">
        <f t="shared" ca="1" si="1"/>
        <v>1</v>
      </c>
      <c r="Q16" s="349" t="str">
        <f t="shared" ca="1" si="1"/>
        <v>2</v>
      </c>
      <c r="R16" s="424">
        <f ca="1">SUMIFS(贷方金额,记账月份,"&lt;="&amp;$A16,账户名称,$Q$1&amp;"*")</f>
        <v>5964.8</v>
      </c>
      <c r="S16" s="345" t="str">
        <f t="shared" ca="1" si="4"/>
        <v xml:space="preserve"> </v>
      </c>
      <c r="T16" s="346" t="str">
        <f t="shared" ca="1" si="2"/>
        <v xml:space="preserve"> </v>
      </c>
      <c r="U16" s="356" t="str">
        <f t="shared" ca="1" si="2"/>
        <v xml:space="preserve"> </v>
      </c>
      <c r="V16" s="345" t="str">
        <f t="shared" ca="1" si="2"/>
        <v xml:space="preserve"> </v>
      </c>
      <c r="W16" s="346" t="str">
        <f t="shared" ca="1" si="2"/>
        <v>￥</v>
      </c>
      <c r="X16" s="347" t="str">
        <f t="shared" ca="1" si="2"/>
        <v>5</v>
      </c>
      <c r="Y16" s="348" t="str">
        <f t="shared" ca="1" si="2"/>
        <v>9</v>
      </c>
      <c r="Z16" s="346" t="str">
        <f t="shared" ca="1" si="2"/>
        <v>6</v>
      </c>
      <c r="AA16" s="347" t="str">
        <f t="shared" ca="1" si="2"/>
        <v>4</v>
      </c>
      <c r="AB16" s="348" t="str">
        <f t="shared" ca="1" si="2"/>
        <v>8</v>
      </c>
      <c r="AC16" s="349" t="str">
        <f t="shared" ca="1" si="2"/>
        <v>0</v>
      </c>
      <c r="AD16" s="425" t="str">
        <f t="shared" si="5"/>
        <v/>
      </c>
      <c r="AE16" s="422">
        <f t="shared" ca="1" si="6"/>
        <v>5228.3900000000003</v>
      </c>
      <c r="AF16" s="423" t="str">
        <f t="shared" ca="1" si="3"/>
        <v xml:space="preserve"> </v>
      </c>
      <c r="AG16" s="346" t="str">
        <f t="shared" ca="1" si="0"/>
        <v xml:space="preserve"> </v>
      </c>
      <c r="AH16" s="356" t="str">
        <f t="shared" ca="1" si="0"/>
        <v xml:space="preserve"> </v>
      </c>
      <c r="AI16" s="345" t="str">
        <f t="shared" ca="1" si="0"/>
        <v xml:space="preserve"> </v>
      </c>
      <c r="AJ16" s="346" t="str">
        <f t="shared" ca="1" si="0"/>
        <v>￥</v>
      </c>
      <c r="AK16" s="347" t="str">
        <f t="shared" ca="1" si="0"/>
        <v>5</v>
      </c>
      <c r="AL16" s="348" t="str">
        <f t="shared" ca="1" si="0"/>
        <v>2</v>
      </c>
      <c r="AM16" s="346" t="str">
        <f t="shared" ca="1" si="0"/>
        <v>2</v>
      </c>
      <c r="AN16" s="347" t="str">
        <f t="shared" ca="1" si="0"/>
        <v>8</v>
      </c>
      <c r="AO16" s="348" t="str">
        <f t="shared" ca="1" si="0"/>
        <v>3</v>
      </c>
      <c r="AP16" s="349" t="str">
        <f t="shared" ca="1" si="0"/>
        <v>9</v>
      </c>
      <c r="AR16" s="315">
        <v>1403</v>
      </c>
      <c r="AS16" s="315" t="s">
        <v>930</v>
      </c>
    </row>
    <row r="17" spans="1:45" ht="15.75" customHeight="1">
      <c r="A17" s="391">
        <v>7</v>
      </c>
      <c r="B17" s="391">
        <v>31</v>
      </c>
      <c r="C17" s="414"/>
      <c r="D17" s="414"/>
      <c r="E17" s="415" t="s">
        <v>914</v>
      </c>
      <c r="F17" s="422">
        <f ca="1">SUMIFS(借方金额,记账月份,$A17,账户名称,$Q$1&amp;"*")</f>
        <v>0</v>
      </c>
      <c r="G17" s="355" t="str">
        <f t="shared" ca="1" si="1"/>
        <v/>
      </c>
      <c r="H17" s="346" t="str">
        <f t="shared" ca="1" si="1"/>
        <v/>
      </c>
      <c r="I17" s="356" t="str">
        <f t="shared" ca="1" si="1"/>
        <v/>
      </c>
      <c r="J17" s="345" t="str">
        <f t="shared" ca="1" si="1"/>
        <v/>
      </c>
      <c r="K17" s="346" t="str">
        <f t="shared" ca="1" si="1"/>
        <v/>
      </c>
      <c r="L17" s="356" t="str">
        <f t="shared" ca="1" si="1"/>
        <v/>
      </c>
      <c r="M17" s="348" t="str">
        <f t="shared" ca="1" si="1"/>
        <v/>
      </c>
      <c r="N17" s="346" t="str">
        <f t="shared" ca="1" si="1"/>
        <v/>
      </c>
      <c r="O17" s="356" t="str">
        <f t="shared" ca="1" si="1"/>
        <v/>
      </c>
      <c r="P17" s="348" t="str">
        <f t="shared" ca="1" si="1"/>
        <v/>
      </c>
      <c r="Q17" s="349" t="str">
        <f t="shared" ca="1" si="1"/>
        <v/>
      </c>
      <c r="R17" s="424">
        <f ca="1">SUMIFS(贷方金额,记账月份,$A17,账户名称,$Q$1&amp;"*")</f>
        <v>204</v>
      </c>
      <c r="S17" s="345" t="str">
        <f t="shared" ca="1" si="4"/>
        <v xml:space="preserve"> </v>
      </c>
      <c r="T17" s="346" t="str">
        <f t="shared" ca="1" si="2"/>
        <v xml:space="preserve"> </v>
      </c>
      <c r="U17" s="356" t="str">
        <f t="shared" ca="1" si="2"/>
        <v xml:space="preserve"> </v>
      </c>
      <c r="V17" s="345" t="str">
        <f t="shared" ca="1" si="2"/>
        <v xml:space="preserve"> </v>
      </c>
      <c r="W17" s="346" t="str">
        <f t="shared" ca="1" si="2"/>
        <v xml:space="preserve"> </v>
      </c>
      <c r="X17" s="347" t="str">
        <f t="shared" ca="1" si="2"/>
        <v>￥</v>
      </c>
      <c r="Y17" s="348" t="str">
        <f t="shared" ca="1" si="2"/>
        <v>2</v>
      </c>
      <c r="Z17" s="346" t="str">
        <f t="shared" ca="1" si="2"/>
        <v>0</v>
      </c>
      <c r="AA17" s="347" t="str">
        <f t="shared" ca="1" si="2"/>
        <v>4</v>
      </c>
      <c r="AB17" s="348" t="str">
        <f t="shared" ca="1" si="2"/>
        <v>0</v>
      </c>
      <c r="AC17" s="349" t="str">
        <f t="shared" ca="1" si="2"/>
        <v>0</v>
      </c>
      <c r="AD17" s="425" t="str">
        <f t="shared" ca="1" si="5"/>
        <v>借</v>
      </c>
      <c r="AE17" s="422">
        <f t="shared" ca="1" si="6"/>
        <v>5024.3900000000003</v>
      </c>
      <c r="AF17" s="423" t="str">
        <f t="shared" ca="1" si="3"/>
        <v xml:space="preserve"> </v>
      </c>
      <c r="AG17" s="346" t="str">
        <f t="shared" ca="1" si="0"/>
        <v xml:space="preserve"> </v>
      </c>
      <c r="AH17" s="356" t="str">
        <f t="shared" ca="1" si="0"/>
        <v xml:space="preserve"> </v>
      </c>
      <c r="AI17" s="345" t="str">
        <f t="shared" ca="1" si="0"/>
        <v xml:space="preserve"> </v>
      </c>
      <c r="AJ17" s="346" t="str">
        <f t="shared" ca="1" si="0"/>
        <v>￥</v>
      </c>
      <c r="AK17" s="347" t="str">
        <f t="shared" ca="1" si="0"/>
        <v>5</v>
      </c>
      <c r="AL17" s="348" t="str">
        <f t="shared" ca="1" si="0"/>
        <v>0</v>
      </c>
      <c r="AM17" s="346" t="str">
        <f t="shared" ca="1" si="0"/>
        <v>2</v>
      </c>
      <c r="AN17" s="347" t="str">
        <f t="shared" ca="1" si="0"/>
        <v>4</v>
      </c>
      <c r="AO17" s="348" t="str">
        <f t="shared" ca="1" si="0"/>
        <v>3</v>
      </c>
      <c r="AP17" s="349" t="str">
        <f t="shared" ca="1" si="0"/>
        <v>9</v>
      </c>
      <c r="AR17" s="315">
        <v>1404</v>
      </c>
      <c r="AS17" s="315" t="s">
        <v>931</v>
      </c>
    </row>
    <row r="18" spans="1:45" ht="15.75" customHeight="1">
      <c r="A18" s="391">
        <v>7</v>
      </c>
      <c r="B18" s="391">
        <v>31</v>
      </c>
      <c r="C18" s="414"/>
      <c r="D18" s="414"/>
      <c r="E18" s="379" t="s">
        <v>920</v>
      </c>
      <c r="F18" s="422">
        <f ca="1">SUMIFS(借方金额,记账月份,"&lt;="&amp;$A18,账户名称,$Q$1&amp;"*")</f>
        <v>4298.12</v>
      </c>
      <c r="G18" s="355" t="str">
        <f t="shared" ca="1" si="1"/>
        <v xml:space="preserve"> </v>
      </c>
      <c r="H18" s="346" t="str">
        <f t="shared" ca="1" si="1"/>
        <v xml:space="preserve"> </v>
      </c>
      <c r="I18" s="356" t="str">
        <f t="shared" ca="1" si="1"/>
        <v xml:space="preserve"> </v>
      </c>
      <c r="J18" s="345" t="str">
        <f t="shared" ca="1" si="1"/>
        <v xml:space="preserve"> </v>
      </c>
      <c r="K18" s="346" t="str">
        <f t="shared" ca="1" si="1"/>
        <v>￥</v>
      </c>
      <c r="L18" s="356" t="str">
        <f t="shared" ca="1" si="1"/>
        <v>4</v>
      </c>
      <c r="M18" s="348" t="str">
        <f t="shared" ca="1" si="1"/>
        <v>2</v>
      </c>
      <c r="N18" s="346" t="str">
        <f t="shared" ca="1" si="1"/>
        <v>9</v>
      </c>
      <c r="O18" s="356" t="str">
        <f t="shared" ca="1" si="1"/>
        <v>8</v>
      </c>
      <c r="P18" s="348" t="str">
        <f t="shared" ca="1" si="1"/>
        <v>1</v>
      </c>
      <c r="Q18" s="349" t="str">
        <f t="shared" ca="1" si="1"/>
        <v>2</v>
      </c>
      <c r="R18" s="424">
        <f ca="1">SUMIFS(贷方金额,记账月份,"&lt;="&amp;$A18,账户名称,$Q$1&amp;"*")</f>
        <v>6168.8</v>
      </c>
      <c r="S18" s="345" t="str">
        <f t="shared" ca="1" si="4"/>
        <v xml:space="preserve"> </v>
      </c>
      <c r="T18" s="346" t="str">
        <f t="shared" ca="1" si="2"/>
        <v xml:space="preserve"> </v>
      </c>
      <c r="U18" s="356" t="str">
        <f t="shared" ca="1" si="2"/>
        <v xml:space="preserve"> </v>
      </c>
      <c r="V18" s="345" t="str">
        <f t="shared" ca="1" si="2"/>
        <v xml:space="preserve"> </v>
      </c>
      <c r="W18" s="346" t="str">
        <f t="shared" ca="1" si="2"/>
        <v>￥</v>
      </c>
      <c r="X18" s="347" t="str">
        <f t="shared" ca="1" si="2"/>
        <v>6</v>
      </c>
      <c r="Y18" s="348" t="str">
        <f t="shared" ca="1" si="2"/>
        <v>1</v>
      </c>
      <c r="Z18" s="346" t="str">
        <f t="shared" ca="1" si="2"/>
        <v>6</v>
      </c>
      <c r="AA18" s="347" t="str">
        <f t="shared" ca="1" si="2"/>
        <v>8</v>
      </c>
      <c r="AB18" s="348" t="str">
        <f t="shared" ca="1" si="2"/>
        <v>8</v>
      </c>
      <c r="AC18" s="349" t="str">
        <f t="shared" ca="1" si="2"/>
        <v>0</v>
      </c>
      <c r="AD18" s="425" t="str">
        <f t="shared" si="5"/>
        <v/>
      </c>
      <c r="AE18" s="422">
        <f t="shared" ca="1" si="6"/>
        <v>5024.3900000000003</v>
      </c>
      <c r="AF18" s="423" t="str">
        <f t="shared" ca="1" si="3"/>
        <v xml:space="preserve"> </v>
      </c>
      <c r="AG18" s="346" t="str">
        <f t="shared" ca="1" si="0"/>
        <v xml:space="preserve"> </v>
      </c>
      <c r="AH18" s="356" t="str">
        <f t="shared" ca="1" si="0"/>
        <v xml:space="preserve"> </v>
      </c>
      <c r="AI18" s="345" t="str">
        <f t="shared" ca="1" si="0"/>
        <v xml:space="preserve"> </v>
      </c>
      <c r="AJ18" s="346" t="str">
        <f t="shared" ca="1" si="0"/>
        <v>￥</v>
      </c>
      <c r="AK18" s="347" t="str">
        <f t="shared" ca="1" si="0"/>
        <v>5</v>
      </c>
      <c r="AL18" s="348" t="str">
        <f t="shared" ca="1" si="0"/>
        <v>0</v>
      </c>
      <c r="AM18" s="346" t="str">
        <f t="shared" ca="1" si="0"/>
        <v>2</v>
      </c>
      <c r="AN18" s="347" t="str">
        <f t="shared" ca="1" si="0"/>
        <v>4</v>
      </c>
      <c r="AO18" s="348" t="str">
        <f t="shared" ca="1" si="0"/>
        <v>3</v>
      </c>
      <c r="AP18" s="349" t="str">
        <f t="shared" ca="1" si="0"/>
        <v>9</v>
      </c>
      <c r="AR18" s="315">
        <v>1408</v>
      </c>
      <c r="AS18" s="315" t="s">
        <v>932</v>
      </c>
    </row>
    <row r="19" spans="1:45" ht="15.75" customHeight="1">
      <c r="A19" s="391">
        <v>8</v>
      </c>
      <c r="B19" s="391">
        <v>31</v>
      </c>
      <c r="C19" s="414"/>
      <c r="D19" s="414"/>
      <c r="E19" s="415" t="s">
        <v>922</v>
      </c>
      <c r="F19" s="422">
        <f ca="1">SUMIFS(借方金额,记账月份,$A19,账户名称,$Q$1&amp;"*")</f>
        <v>0</v>
      </c>
      <c r="G19" s="355" t="str">
        <f t="shared" ca="1" si="1"/>
        <v/>
      </c>
      <c r="H19" s="346" t="str">
        <f t="shared" ca="1" si="1"/>
        <v/>
      </c>
      <c r="I19" s="356" t="str">
        <f t="shared" ca="1" si="1"/>
        <v/>
      </c>
      <c r="J19" s="345" t="str">
        <f t="shared" ca="1" si="1"/>
        <v/>
      </c>
      <c r="K19" s="346" t="str">
        <f t="shared" ca="1" si="1"/>
        <v/>
      </c>
      <c r="L19" s="356" t="str">
        <f t="shared" ca="1" si="1"/>
        <v/>
      </c>
      <c r="M19" s="348" t="str">
        <f t="shared" ca="1" si="1"/>
        <v/>
      </c>
      <c r="N19" s="346" t="str">
        <f t="shared" ca="1" si="1"/>
        <v/>
      </c>
      <c r="O19" s="356" t="str">
        <f t="shared" ca="1" si="1"/>
        <v/>
      </c>
      <c r="P19" s="348" t="str">
        <f t="shared" ca="1" si="1"/>
        <v/>
      </c>
      <c r="Q19" s="349" t="str">
        <f t="shared" ca="1" si="1"/>
        <v/>
      </c>
      <c r="R19" s="424">
        <f ca="1">SUMIFS(贷方金额,记账月份,$A19,账户名称,$Q$1&amp;"*")</f>
        <v>226.5</v>
      </c>
      <c r="S19" s="345" t="str">
        <f t="shared" ca="1" si="4"/>
        <v xml:space="preserve"> </v>
      </c>
      <c r="T19" s="346" t="str">
        <f t="shared" ca="1" si="2"/>
        <v xml:space="preserve"> </v>
      </c>
      <c r="U19" s="356" t="str">
        <f t="shared" ca="1" si="2"/>
        <v xml:space="preserve"> </v>
      </c>
      <c r="V19" s="345" t="str">
        <f t="shared" ca="1" si="2"/>
        <v xml:space="preserve"> </v>
      </c>
      <c r="W19" s="346" t="str">
        <f t="shared" ca="1" si="2"/>
        <v xml:space="preserve"> </v>
      </c>
      <c r="X19" s="347" t="str">
        <f t="shared" ca="1" si="2"/>
        <v>￥</v>
      </c>
      <c r="Y19" s="348" t="str">
        <f t="shared" ca="1" si="2"/>
        <v>2</v>
      </c>
      <c r="Z19" s="346" t="str">
        <f t="shared" ca="1" si="2"/>
        <v>2</v>
      </c>
      <c r="AA19" s="347" t="str">
        <f t="shared" ca="1" si="2"/>
        <v>6</v>
      </c>
      <c r="AB19" s="348" t="str">
        <f t="shared" ca="1" si="2"/>
        <v>5</v>
      </c>
      <c r="AC19" s="349" t="str">
        <f t="shared" ca="1" si="2"/>
        <v>0</v>
      </c>
      <c r="AD19" s="425" t="str">
        <f t="shared" ca="1" si="5"/>
        <v>借</v>
      </c>
      <c r="AE19" s="422">
        <f t="shared" ca="1" si="6"/>
        <v>4797.8900000000003</v>
      </c>
      <c r="AF19" s="423" t="str">
        <f t="shared" ca="1" si="3"/>
        <v xml:space="preserve"> </v>
      </c>
      <c r="AG19" s="346" t="str">
        <f t="shared" ca="1" si="0"/>
        <v xml:space="preserve"> </v>
      </c>
      <c r="AH19" s="356" t="str">
        <f t="shared" ca="1" si="0"/>
        <v xml:space="preserve"> </v>
      </c>
      <c r="AI19" s="345" t="str">
        <f t="shared" ca="1" si="0"/>
        <v xml:space="preserve"> </v>
      </c>
      <c r="AJ19" s="346" t="str">
        <f t="shared" ca="1" si="0"/>
        <v>￥</v>
      </c>
      <c r="AK19" s="347" t="str">
        <f t="shared" ca="1" si="0"/>
        <v>4</v>
      </c>
      <c r="AL19" s="348" t="str">
        <f t="shared" ca="1" si="0"/>
        <v>7</v>
      </c>
      <c r="AM19" s="346" t="str">
        <f t="shared" ca="1" si="0"/>
        <v>9</v>
      </c>
      <c r="AN19" s="347" t="str">
        <f t="shared" ca="1" si="0"/>
        <v>7</v>
      </c>
      <c r="AO19" s="348" t="str">
        <f t="shared" ca="1" si="0"/>
        <v>8</v>
      </c>
      <c r="AP19" s="349" t="str">
        <f t="shared" ca="1" si="0"/>
        <v>9</v>
      </c>
      <c r="AR19" s="315">
        <v>1411</v>
      </c>
      <c r="AS19" s="315" t="s">
        <v>933</v>
      </c>
    </row>
    <row r="20" spans="1:45" ht="15.75" customHeight="1">
      <c r="A20" s="391">
        <v>8</v>
      </c>
      <c r="B20" s="391">
        <v>31</v>
      </c>
      <c r="C20" s="414"/>
      <c r="D20" s="414"/>
      <c r="E20" s="415" t="s">
        <v>916</v>
      </c>
      <c r="F20" s="422">
        <f ca="1">SUMIFS(借方金额,记账月份,"&lt;="&amp;$A20,账户名称,$Q$1&amp;"*")</f>
        <v>4298.12</v>
      </c>
      <c r="G20" s="355" t="str">
        <f t="shared" ca="1" si="1"/>
        <v xml:space="preserve"> </v>
      </c>
      <c r="H20" s="346" t="str">
        <f t="shared" ca="1" si="1"/>
        <v xml:space="preserve"> </v>
      </c>
      <c r="I20" s="356" t="str">
        <f t="shared" ca="1" si="1"/>
        <v xml:space="preserve"> </v>
      </c>
      <c r="J20" s="345" t="str">
        <f t="shared" ca="1" si="1"/>
        <v xml:space="preserve"> </v>
      </c>
      <c r="K20" s="346" t="str">
        <f t="shared" ca="1" si="1"/>
        <v>￥</v>
      </c>
      <c r="L20" s="356" t="str">
        <f t="shared" ca="1" si="1"/>
        <v>4</v>
      </c>
      <c r="M20" s="348" t="str">
        <f t="shared" ca="1" si="1"/>
        <v>2</v>
      </c>
      <c r="N20" s="346" t="str">
        <f t="shared" ca="1" si="1"/>
        <v>9</v>
      </c>
      <c r="O20" s="356" t="str">
        <f t="shared" ca="1" si="1"/>
        <v>8</v>
      </c>
      <c r="P20" s="348" t="str">
        <f t="shared" ca="1" si="1"/>
        <v>1</v>
      </c>
      <c r="Q20" s="349" t="str">
        <f t="shared" ca="1" si="1"/>
        <v>2</v>
      </c>
      <c r="R20" s="424">
        <f ca="1">SUMIFS(贷方金额,记账月份,"&lt;="&amp;$A20,账户名称,$Q$1&amp;"*")</f>
        <v>6395.3</v>
      </c>
      <c r="S20" s="345" t="str">
        <f t="shared" ca="1" si="4"/>
        <v xml:space="preserve"> </v>
      </c>
      <c r="T20" s="346" t="str">
        <f t="shared" ca="1" si="2"/>
        <v xml:space="preserve"> </v>
      </c>
      <c r="U20" s="356" t="str">
        <f t="shared" ca="1" si="2"/>
        <v xml:space="preserve"> </v>
      </c>
      <c r="V20" s="345" t="str">
        <f t="shared" ca="1" si="2"/>
        <v xml:space="preserve"> </v>
      </c>
      <c r="W20" s="346" t="str">
        <f t="shared" ca="1" si="2"/>
        <v>￥</v>
      </c>
      <c r="X20" s="347" t="str">
        <f t="shared" ca="1" si="2"/>
        <v>6</v>
      </c>
      <c r="Y20" s="348" t="str">
        <f t="shared" ca="1" si="2"/>
        <v>3</v>
      </c>
      <c r="Z20" s="346" t="str">
        <f t="shared" ca="1" si="2"/>
        <v>9</v>
      </c>
      <c r="AA20" s="347" t="str">
        <f t="shared" ca="1" si="2"/>
        <v>5</v>
      </c>
      <c r="AB20" s="348" t="str">
        <f t="shared" ca="1" si="2"/>
        <v>3</v>
      </c>
      <c r="AC20" s="349" t="str">
        <f t="shared" ca="1" si="2"/>
        <v>0</v>
      </c>
      <c r="AD20" s="425" t="str">
        <f t="shared" si="5"/>
        <v/>
      </c>
      <c r="AE20" s="422">
        <f t="shared" ca="1" si="6"/>
        <v>4797.8900000000003</v>
      </c>
      <c r="AF20" s="423" t="str">
        <f t="shared" ca="1" si="3"/>
        <v xml:space="preserve"> </v>
      </c>
      <c r="AG20" s="346" t="str">
        <f t="shared" ca="1" si="3"/>
        <v xml:space="preserve"> </v>
      </c>
      <c r="AH20" s="356" t="str">
        <f t="shared" ca="1" si="3"/>
        <v xml:space="preserve"> </v>
      </c>
      <c r="AI20" s="345" t="str">
        <f t="shared" ca="1" si="3"/>
        <v xml:space="preserve"> </v>
      </c>
      <c r="AJ20" s="346" t="str">
        <f t="shared" ca="1" si="3"/>
        <v>￥</v>
      </c>
      <c r="AK20" s="347" t="str">
        <f t="shared" ca="1" si="3"/>
        <v>4</v>
      </c>
      <c r="AL20" s="348" t="str">
        <f t="shared" ca="1" si="3"/>
        <v>7</v>
      </c>
      <c r="AM20" s="346" t="str">
        <f t="shared" ca="1" si="3"/>
        <v>9</v>
      </c>
      <c r="AN20" s="347" t="str">
        <f t="shared" ca="1" si="3"/>
        <v>7</v>
      </c>
      <c r="AO20" s="348" t="str">
        <f t="shared" ca="1" si="3"/>
        <v>8</v>
      </c>
      <c r="AP20" s="349" t="str">
        <f t="shared" ca="1" si="3"/>
        <v>9</v>
      </c>
      <c r="AR20" s="315">
        <v>1471</v>
      </c>
      <c r="AS20" s="315" t="s">
        <v>934</v>
      </c>
    </row>
    <row r="21" spans="1:45" ht="15.75" customHeight="1">
      <c r="A21" s="391">
        <v>9</v>
      </c>
      <c r="B21" s="391">
        <v>30</v>
      </c>
      <c r="C21" s="414"/>
      <c r="D21" s="414"/>
      <c r="E21" s="415" t="s">
        <v>914</v>
      </c>
      <c r="F21" s="422">
        <f ca="1">SUMIFS(借方金额,记账月份,$A21,账户名称,$Q$1&amp;"*")</f>
        <v>1.6</v>
      </c>
      <c r="G21" s="355" t="str">
        <f t="shared" ca="1" si="1"/>
        <v xml:space="preserve"> </v>
      </c>
      <c r="H21" s="346" t="str">
        <f t="shared" ca="1" si="1"/>
        <v xml:space="preserve"> </v>
      </c>
      <c r="I21" s="356" t="str">
        <f t="shared" ca="1" si="1"/>
        <v xml:space="preserve"> </v>
      </c>
      <c r="J21" s="345" t="str">
        <f t="shared" ca="1" si="1"/>
        <v xml:space="preserve"> </v>
      </c>
      <c r="K21" s="346" t="str">
        <f t="shared" ca="1" si="1"/>
        <v xml:space="preserve"> </v>
      </c>
      <c r="L21" s="356" t="str">
        <f t="shared" ca="1" si="1"/>
        <v xml:space="preserve"> </v>
      </c>
      <c r="M21" s="348" t="str">
        <f t="shared" ca="1" si="1"/>
        <v xml:space="preserve"> </v>
      </c>
      <c r="N21" s="346" t="str">
        <f t="shared" ca="1" si="1"/>
        <v>￥</v>
      </c>
      <c r="O21" s="356" t="str">
        <f t="shared" ca="1" si="1"/>
        <v>1</v>
      </c>
      <c r="P21" s="348" t="str">
        <f t="shared" ca="1" si="1"/>
        <v>6</v>
      </c>
      <c r="Q21" s="349" t="str">
        <f t="shared" ca="1" si="1"/>
        <v>0</v>
      </c>
      <c r="R21" s="424">
        <f ca="1">SUMIFS(贷方金额,记账月份,$A21,账户名称,$Q$1&amp;"*")</f>
        <v>166.5</v>
      </c>
      <c r="S21" s="345" t="str">
        <f t="shared" ca="1" si="4"/>
        <v xml:space="preserve"> </v>
      </c>
      <c r="T21" s="346" t="str">
        <f t="shared" ca="1" si="4"/>
        <v xml:space="preserve"> </v>
      </c>
      <c r="U21" s="356" t="str">
        <f t="shared" ca="1" si="4"/>
        <v xml:space="preserve"> </v>
      </c>
      <c r="V21" s="345" t="str">
        <f t="shared" ca="1" si="4"/>
        <v xml:space="preserve"> </v>
      </c>
      <c r="W21" s="346" t="str">
        <f t="shared" ca="1" si="4"/>
        <v xml:space="preserve"> </v>
      </c>
      <c r="X21" s="347" t="str">
        <f t="shared" ca="1" si="4"/>
        <v>￥</v>
      </c>
      <c r="Y21" s="348" t="str">
        <f t="shared" ca="1" si="4"/>
        <v>1</v>
      </c>
      <c r="Z21" s="346" t="str">
        <f t="shared" ca="1" si="4"/>
        <v>6</v>
      </c>
      <c r="AA21" s="347" t="str">
        <f t="shared" ca="1" si="4"/>
        <v>6</v>
      </c>
      <c r="AB21" s="348" t="str">
        <f t="shared" ca="1" si="4"/>
        <v>5</v>
      </c>
      <c r="AC21" s="349" t="str">
        <f t="shared" ca="1" si="4"/>
        <v>0</v>
      </c>
      <c r="AD21" s="425" t="str">
        <f t="shared" ca="1" si="5"/>
        <v>借</v>
      </c>
      <c r="AE21" s="422">
        <f t="shared" ca="1" si="6"/>
        <v>4632.99</v>
      </c>
      <c r="AF21" s="423" t="str">
        <f t="shared" ca="1" si="3"/>
        <v xml:space="preserve"> </v>
      </c>
      <c r="AG21" s="346" t="str">
        <f t="shared" ca="1" si="3"/>
        <v xml:space="preserve"> </v>
      </c>
      <c r="AH21" s="356" t="str">
        <f t="shared" ca="1" si="3"/>
        <v xml:space="preserve"> </v>
      </c>
      <c r="AI21" s="345" t="str">
        <f t="shared" ca="1" si="3"/>
        <v xml:space="preserve"> </v>
      </c>
      <c r="AJ21" s="346" t="str">
        <f t="shared" ca="1" si="3"/>
        <v>￥</v>
      </c>
      <c r="AK21" s="347" t="str">
        <f t="shared" ca="1" si="3"/>
        <v>4</v>
      </c>
      <c r="AL21" s="348" t="str">
        <f t="shared" ca="1" si="3"/>
        <v>6</v>
      </c>
      <c r="AM21" s="346" t="str">
        <f t="shared" ca="1" si="3"/>
        <v>3</v>
      </c>
      <c r="AN21" s="347" t="str">
        <f t="shared" ca="1" si="3"/>
        <v>2</v>
      </c>
      <c r="AO21" s="348" t="str">
        <f t="shared" ca="1" si="3"/>
        <v>9</v>
      </c>
      <c r="AP21" s="349" t="str">
        <f t="shared" ca="1" si="3"/>
        <v>9</v>
      </c>
      <c r="AR21" s="315">
        <v>1501</v>
      </c>
      <c r="AS21" s="315" t="s">
        <v>935</v>
      </c>
    </row>
    <row r="22" spans="1:45" ht="15.75" customHeight="1">
      <c r="A22" s="391">
        <v>9</v>
      </c>
      <c r="B22" s="391">
        <v>30</v>
      </c>
      <c r="C22" s="414"/>
      <c r="D22" s="414"/>
      <c r="E22" s="415" t="s">
        <v>916</v>
      </c>
      <c r="F22" s="422">
        <f ca="1">SUMIFS(借方金额,记账月份,"&lt;="&amp;$A22,账户名称,$Q$1&amp;"*")</f>
        <v>4299.72</v>
      </c>
      <c r="G22" s="355" t="str">
        <f t="shared" ca="1" si="1"/>
        <v xml:space="preserve"> </v>
      </c>
      <c r="H22" s="346" t="str">
        <f t="shared" ca="1" si="1"/>
        <v xml:space="preserve"> </v>
      </c>
      <c r="I22" s="356" t="str">
        <f t="shared" ca="1" si="1"/>
        <v xml:space="preserve"> </v>
      </c>
      <c r="J22" s="345" t="str">
        <f t="shared" ca="1" si="1"/>
        <v xml:space="preserve"> </v>
      </c>
      <c r="K22" s="346" t="str">
        <f t="shared" ca="1" si="1"/>
        <v>￥</v>
      </c>
      <c r="L22" s="356" t="str">
        <f t="shared" ca="1" si="1"/>
        <v>4</v>
      </c>
      <c r="M22" s="348" t="str">
        <f t="shared" ca="1" si="1"/>
        <v>2</v>
      </c>
      <c r="N22" s="346" t="str">
        <f t="shared" ca="1" si="1"/>
        <v>9</v>
      </c>
      <c r="O22" s="356" t="str">
        <f t="shared" ca="1" si="1"/>
        <v>9</v>
      </c>
      <c r="P22" s="348" t="str">
        <f t="shared" ca="1" si="1"/>
        <v>7</v>
      </c>
      <c r="Q22" s="349" t="str">
        <f t="shared" ca="1" si="1"/>
        <v>2</v>
      </c>
      <c r="R22" s="424">
        <f ca="1">SUMIFS(贷方金额,记账月份,"&lt;="&amp;$A22,账户名称,$Q$1&amp;"*")</f>
        <v>6561.8</v>
      </c>
      <c r="S22" s="345" t="str">
        <f t="shared" ca="1" si="4"/>
        <v xml:space="preserve"> </v>
      </c>
      <c r="T22" s="346" t="str">
        <f t="shared" ca="1" si="4"/>
        <v xml:space="preserve"> </v>
      </c>
      <c r="U22" s="356" t="str">
        <f t="shared" ca="1" si="4"/>
        <v xml:space="preserve"> </v>
      </c>
      <c r="V22" s="345" t="str">
        <f t="shared" ca="1" si="4"/>
        <v xml:space="preserve"> </v>
      </c>
      <c r="W22" s="346" t="str">
        <f t="shared" ca="1" si="4"/>
        <v>￥</v>
      </c>
      <c r="X22" s="347" t="str">
        <f t="shared" ca="1" si="4"/>
        <v>6</v>
      </c>
      <c r="Y22" s="348" t="str">
        <f t="shared" ca="1" si="4"/>
        <v>5</v>
      </c>
      <c r="Z22" s="346" t="str">
        <f t="shared" ca="1" si="4"/>
        <v>6</v>
      </c>
      <c r="AA22" s="347" t="str">
        <f t="shared" ca="1" si="4"/>
        <v>1</v>
      </c>
      <c r="AB22" s="348" t="str">
        <f t="shared" ca="1" si="4"/>
        <v>8</v>
      </c>
      <c r="AC22" s="349" t="str">
        <f t="shared" ca="1" si="4"/>
        <v>0</v>
      </c>
      <c r="AD22" s="425" t="str">
        <f t="shared" si="5"/>
        <v/>
      </c>
      <c r="AE22" s="422">
        <f t="shared" ca="1" si="6"/>
        <v>4632.99</v>
      </c>
      <c r="AF22" s="423" t="str">
        <f t="shared" ca="1" si="3"/>
        <v xml:space="preserve"> </v>
      </c>
      <c r="AG22" s="346" t="str">
        <f t="shared" ca="1" si="3"/>
        <v xml:space="preserve"> </v>
      </c>
      <c r="AH22" s="356" t="str">
        <f t="shared" ca="1" si="3"/>
        <v xml:space="preserve"> </v>
      </c>
      <c r="AI22" s="345" t="str">
        <f t="shared" ca="1" si="3"/>
        <v xml:space="preserve"> </v>
      </c>
      <c r="AJ22" s="346" t="str">
        <f t="shared" ca="1" si="3"/>
        <v>￥</v>
      </c>
      <c r="AK22" s="347" t="str">
        <f t="shared" ca="1" si="3"/>
        <v>4</v>
      </c>
      <c r="AL22" s="348" t="str">
        <f t="shared" ca="1" si="3"/>
        <v>6</v>
      </c>
      <c r="AM22" s="346" t="str">
        <f t="shared" ca="1" si="3"/>
        <v>3</v>
      </c>
      <c r="AN22" s="347" t="str">
        <f t="shared" ca="1" si="3"/>
        <v>2</v>
      </c>
      <c r="AO22" s="348" t="str">
        <f t="shared" ca="1" si="3"/>
        <v>9</v>
      </c>
      <c r="AP22" s="349" t="str">
        <f t="shared" ca="1" si="3"/>
        <v>9</v>
      </c>
      <c r="AR22" s="315">
        <v>1502</v>
      </c>
      <c r="AS22" s="315" t="s">
        <v>936</v>
      </c>
    </row>
    <row r="23" spans="1:45" ht="15.75" customHeight="1">
      <c r="A23" s="391">
        <v>10</v>
      </c>
      <c r="B23" s="391">
        <v>31</v>
      </c>
      <c r="C23" s="414"/>
      <c r="D23" s="414"/>
      <c r="E23" s="415" t="s">
        <v>914</v>
      </c>
      <c r="F23" s="422">
        <f ca="1">SUMIFS(借方金额,记账月份,$A23,账户名称,$Q$1&amp;"*")</f>
        <v>0</v>
      </c>
      <c r="G23" s="355" t="str">
        <f t="shared" ca="1" si="1"/>
        <v/>
      </c>
      <c r="H23" s="346" t="str">
        <f t="shared" ca="1" si="1"/>
        <v/>
      </c>
      <c r="I23" s="356" t="str">
        <f t="shared" ca="1" si="1"/>
        <v/>
      </c>
      <c r="J23" s="345" t="str">
        <f t="shared" ca="1" si="1"/>
        <v/>
      </c>
      <c r="K23" s="346" t="str">
        <f t="shared" ca="1" si="1"/>
        <v/>
      </c>
      <c r="L23" s="356" t="str">
        <f t="shared" ca="1" si="1"/>
        <v/>
      </c>
      <c r="M23" s="348" t="str">
        <f t="shared" ca="1" si="1"/>
        <v/>
      </c>
      <c r="N23" s="346" t="str">
        <f t="shared" ca="1" si="1"/>
        <v/>
      </c>
      <c r="O23" s="356" t="str">
        <f t="shared" ca="1" si="1"/>
        <v/>
      </c>
      <c r="P23" s="348" t="str">
        <f t="shared" ca="1" si="1"/>
        <v/>
      </c>
      <c r="Q23" s="349" t="str">
        <f t="shared" ca="1" si="1"/>
        <v/>
      </c>
      <c r="R23" s="424">
        <f ca="1">SUMIFS(贷方金额,记账月份,$A23,账户名称,$Q$1&amp;"*")</f>
        <v>37.5</v>
      </c>
      <c r="S23" s="345" t="str">
        <f t="shared" ca="1" si="4"/>
        <v xml:space="preserve"> </v>
      </c>
      <c r="T23" s="346" t="str">
        <f t="shared" ca="1" si="4"/>
        <v xml:space="preserve"> </v>
      </c>
      <c r="U23" s="356" t="str">
        <f t="shared" ca="1" si="4"/>
        <v xml:space="preserve"> </v>
      </c>
      <c r="V23" s="345" t="str">
        <f t="shared" ca="1" si="4"/>
        <v xml:space="preserve"> </v>
      </c>
      <c r="W23" s="346" t="str">
        <f t="shared" ca="1" si="4"/>
        <v xml:space="preserve"> </v>
      </c>
      <c r="X23" s="347" t="str">
        <f t="shared" ca="1" si="4"/>
        <v xml:space="preserve"> </v>
      </c>
      <c r="Y23" s="348" t="str">
        <f t="shared" ca="1" si="4"/>
        <v>￥</v>
      </c>
      <c r="Z23" s="346" t="str">
        <f t="shared" ca="1" si="4"/>
        <v>3</v>
      </c>
      <c r="AA23" s="347" t="str">
        <f t="shared" ca="1" si="4"/>
        <v>7</v>
      </c>
      <c r="AB23" s="348" t="str">
        <f t="shared" ca="1" si="4"/>
        <v>5</v>
      </c>
      <c r="AC23" s="349" t="str">
        <f t="shared" ca="1" si="4"/>
        <v>0</v>
      </c>
      <c r="AD23" s="425" t="str">
        <f t="shared" ca="1" si="5"/>
        <v>借</v>
      </c>
      <c r="AE23" s="422">
        <f t="shared" ca="1" si="6"/>
        <v>4595.49</v>
      </c>
      <c r="AF23" s="423" t="str">
        <f t="shared" ca="1" si="3"/>
        <v xml:space="preserve"> </v>
      </c>
      <c r="AG23" s="346" t="str">
        <f t="shared" ca="1" si="3"/>
        <v xml:space="preserve"> </v>
      </c>
      <c r="AH23" s="356" t="str">
        <f t="shared" ca="1" si="3"/>
        <v xml:space="preserve"> </v>
      </c>
      <c r="AI23" s="345" t="str">
        <f t="shared" ca="1" si="3"/>
        <v xml:space="preserve"> </v>
      </c>
      <c r="AJ23" s="346" t="str">
        <f t="shared" ca="1" si="3"/>
        <v>￥</v>
      </c>
      <c r="AK23" s="347" t="str">
        <f t="shared" ca="1" si="3"/>
        <v>4</v>
      </c>
      <c r="AL23" s="348" t="str">
        <f t="shared" ca="1" si="3"/>
        <v>5</v>
      </c>
      <c r="AM23" s="346" t="str">
        <f t="shared" ca="1" si="3"/>
        <v>9</v>
      </c>
      <c r="AN23" s="347" t="str">
        <f t="shared" ca="1" si="3"/>
        <v>5</v>
      </c>
      <c r="AO23" s="348" t="str">
        <f t="shared" ca="1" si="3"/>
        <v>4</v>
      </c>
      <c r="AP23" s="349" t="str">
        <f t="shared" ca="1" si="3"/>
        <v>9</v>
      </c>
      <c r="AR23" s="315">
        <v>1511</v>
      </c>
      <c r="AS23" s="315" t="s">
        <v>937</v>
      </c>
    </row>
    <row r="24" spans="1:45" ht="15.75" customHeight="1">
      <c r="A24" s="391">
        <v>10</v>
      </c>
      <c r="B24" s="391">
        <v>31</v>
      </c>
      <c r="C24" s="414"/>
      <c r="D24" s="414"/>
      <c r="E24" s="415" t="s">
        <v>916</v>
      </c>
      <c r="F24" s="422">
        <f ca="1">SUMIFS(借方金额,记账月份,"&lt;="&amp;$A24,账户名称,$Q$1&amp;"*")</f>
        <v>4299.72</v>
      </c>
      <c r="G24" s="355" t="str">
        <f t="shared" ca="1" si="1"/>
        <v xml:space="preserve"> </v>
      </c>
      <c r="H24" s="346" t="str">
        <f t="shared" ca="1" si="1"/>
        <v xml:space="preserve"> </v>
      </c>
      <c r="I24" s="356" t="str">
        <f t="shared" ca="1" si="1"/>
        <v xml:space="preserve"> </v>
      </c>
      <c r="J24" s="345" t="str">
        <f t="shared" ca="1" si="1"/>
        <v xml:space="preserve"> </v>
      </c>
      <c r="K24" s="346" t="str">
        <f t="shared" ca="1" si="1"/>
        <v>￥</v>
      </c>
      <c r="L24" s="356" t="str">
        <f t="shared" ca="1" si="1"/>
        <v>4</v>
      </c>
      <c r="M24" s="348" t="str">
        <f t="shared" ca="1" si="1"/>
        <v>2</v>
      </c>
      <c r="N24" s="346" t="str">
        <f t="shared" ca="1" si="1"/>
        <v>9</v>
      </c>
      <c r="O24" s="356" t="str">
        <f t="shared" ca="1" si="1"/>
        <v>9</v>
      </c>
      <c r="P24" s="348" t="str">
        <f t="shared" ca="1" si="1"/>
        <v>7</v>
      </c>
      <c r="Q24" s="349" t="str">
        <f t="shared" ca="1" si="1"/>
        <v>2</v>
      </c>
      <c r="R24" s="424">
        <f ca="1">SUMIFS(贷方金额,记账月份,"&lt;="&amp;$A24,账户名称,$Q$1&amp;"*")</f>
        <v>6599.3</v>
      </c>
      <c r="S24" s="345" t="str">
        <f t="shared" ca="1" si="4"/>
        <v xml:space="preserve"> </v>
      </c>
      <c r="T24" s="346" t="str">
        <f t="shared" ca="1" si="4"/>
        <v xml:space="preserve"> </v>
      </c>
      <c r="U24" s="356" t="str">
        <f t="shared" ca="1" si="4"/>
        <v xml:space="preserve"> </v>
      </c>
      <c r="V24" s="345" t="str">
        <f t="shared" ca="1" si="4"/>
        <v xml:space="preserve"> </v>
      </c>
      <c r="W24" s="346" t="str">
        <f t="shared" ca="1" si="4"/>
        <v>￥</v>
      </c>
      <c r="X24" s="347" t="str">
        <f t="shared" ca="1" si="4"/>
        <v>6</v>
      </c>
      <c r="Y24" s="348" t="str">
        <f t="shared" ca="1" si="4"/>
        <v>5</v>
      </c>
      <c r="Z24" s="346" t="str">
        <f t="shared" ca="1" si="4"/>
        <v>9</v>
      </c>
      <c r="AA24" s="347" t="str">
        <f t="shared" ca="1" si="4"/>
        <v>9</v>
      </c>
      <c r="AB24" s="348" t="str">
        <f t="shared" ca="1" si="4"/>
        <v>3</v>
      </c>
      <c r="AC24" s="349" t="str">
        <f t="shared" ca="1" si="4"/>
        <v>0</v>
      </c>
      <c r="AD24" s="425" t="str">
        <f t="shared" si="5"/>
        <v/>
      </c>
      <c r="AE24" s="422">
        <f t="shared" ca="1" si="6"/>
        <v>4595.49</v>
      </c>
      <c r="AF24" s="423" t="str">
        <f t="shared" ca="1" si="3"/>
        <v xml:space="preserve"> </v>
      </c>
      <c r="AG24" s="346" t="str">
        <f t="shared" ca="1" si="3"/>
        <v xml:space="preserve"> </v>
      </c>
      <c r="AH24" s="356" t="str">
        <f t="shared" ca="1" si="3"/>
        <v xml:space="preserve"> </v>
      </c>
      <c r="AI24" s="345" t="str">
        <f t="shared" ca="1" si="3"/>
        <v xml:space="preserve"> </v>
      </c>
      <c r="AJ24" s="346" t="str">
        <f t="shared" ca="1" si="3"/>
        <v>￥</v>
      </c>
      <c r="AK24" s="347" t="str">
        <f t="shared" ca="1" si="3"/>
        <v>4</v>
      </c>
      <c r="AL24" s="348" t="str">
        <f t="shared" ca="1" si="3"/>
        <v>5</v>
      </c>
      <c r="AM24" s="346" t="str">
        <f t="shared" ca="1" si="3"/>
        <v>9</v>
      </c>
      <c r="AN24" s="347" t="str">
        <f t="shared" ca="1" si="3"/>
        <v>5</v>
      </c>
      <c r="AO24" s="348" t="str">
        <f t="shared" ca="1" si="3"/>
        <v>4</v>
      </c>
      <c r="AP24" s="349" t="str">
        <f t="shared" ca="1" si="3"/>
        <v>9</v>
      </c>
      <c r="AR24" s="315">
        <v>1512</v>
      </c>
      <c r="AS24" s="315" t="s">
        <v>938</v>
      </c>
    </row>
    <row r="25" spans="1:45" ht="15.75" customHeight="1">
      <c r="A25" s="391">
        <v>11</v>
      </c>
      <c r="B25" s="391">
        <v>30</v>
      </c>
      <c r="C25" s="414"/>
      <c r="D25" s="414"/>
      <c r="E25" s="379" t="s">
        <v>939</v>
      </c>
      <c r="F25" s="422">
        <f ca="1">SUMIFS(借方金额,记账月份,$A25,账户名称,$Q$1&amp;"*")</f>
        <v>0</v>
      </c>
      <c r="G25" s="355" t="str">
        <f t="shared" ca="1" si="1"/>
        <v/>
      </c>
      <c r="H25" s="346" t="str">
        <f t="shared" ca="1" si="1"/>
        <v/>
      </c>
      <c r="I25" s="356" t="str">
        <f t="shared" ca="1" si="1"/>
        <v/>
      </c>
      <c r="J25" s="345" t="str">
        <f t="shared" ca="1" si="1"/>
        <v/>
      </c>
      <c r="K25" s="346" t="str">
        <f t="shared" ca="1" si="1"/>
        <v/>
      </c>
      <c r="L25" s="356" t="str">
        <f t="shared" ca="1" si="1"/>
        <v/>
      </c>
      <c r="M25" s="348" t="str">
        <f t="shared" ca="1" si="1"/>
        <v/>
      </c>
      <c r="N25" s="346" t="str">
        <f t="shared" ca="1" si="1"/>
        <v/>
      </c>
      <c r="O25" s="356" t="str">
        <f t="shared" ca="1" si="1"/>
        <v/>
      </c>
      <c r="P25" s="348" t="str">
        <f t="shared" ca="1" si="1"/>
        <v/>
      </c>
      <c r="Q25" s="349" t="str">
        <f t="shared" ca="1" si="1"/>
        <v/>
      </c>
      <c r="R25" s="424">
        <f ca="1">SUMIFS(贷方金额,记账月份,$A25,账户名称,$Q$1&amp;"*")</f>
        <v>0</v>
      </c>
      <c r="S25" s="345" t="str">
        <f t="shared" ca="1" si="4"/>
        <v/>
      </c>
      <c r="T25" s="346" t="str">
        <f t="shared" ca="1" si="4"/>
        <v/>
      </c>
      <c r="U25" s="356" t="str">
        <f t="shared" ca="1" si="4"/>
        <v/>
      </c>
      <c r="V25" s="345" t="str">
        <f t="shared" ca="1" si="4"/>
        <v/>
      </c>
      <c r="W25" s="346" t="str">
        <f t="shared" ca="1" si="4"/>
        <v/>
      </c>
      <c r="X25" s="347" t="str">
        <f t="shared" ca="1" si="4"/>
        <v/>
      </c>
      <c r="Y25" s="348" t="str">
        <f t="shared" ca="1" si="4"/>
        <v/>
      </c>
      <c r="Z25" s="346" t="str">
        <f t="shared" ca="1" si="4"/>
        <v/>
      </c>
      <c r="AA25" s="347" t="str">
        <f t="shared" ca="1" si="4"/>
        <v/>
      </c>
      <c r="AB25" s="348" t="str">
        <f t="shared" ca="1" si="4"/>
        <v/>
      </c>
      <c r="AC25" s="349" t="str">
        <f t="shared" ca="1" si="4"/>
        <v/>
      </c>
      <c r="AD25" s="425" t="str">
        <f t="shared" ca="1" si="5"/>
        <v>借</v>
      </c>
      <c r="AE25" s="422">
        <f t="shared" ca="1" si="6"/>
        <v>4595.49</v>
      </c>
      <c r="AF25" s="423" t="str">
        <f t="shared" ca="1" si="3"/>
        <v xml:space="preserve"> </v>
      </c>
      <c r="AG25" s="346" t="str">
        <f t="shared" ca="1" si="3"/>
        <v xml:space="preserve"> </v>
      </c>
      <c r="AH25" s="356" t="str">
        <f t="shared" ca="1" si="3"/>
        <v xml:space="preserve"> </v>
      </c>
      <c r="AI25" s="345" t="str">
        <f t="shared" ca="1" si="3"/>
        <v xml:space="preserve"> </v>
      </c>
      <c r="AJ25" s="346" t="str">
        <f t="shared" ca="1" si="3"/>
        <v>￥</v>
      </c>
      <c r="AK25" s="347" t="str">
        <f t="shared" ca="1" si="3"/>
        <v>4</v>
      </c>
      <c r="AL25" s="348" t="str">
        <f t="shared" ca="1" si="3"/>
        <v>5</v>
      </c>
      <c r="AM25" s="346" t="str">
        <f t="shared" ca="1" si="3"/>
        <v>9</v>
      </c>
      <c r="AN25" s="347" t="str">
        <f t="shared" ca="1" si="3"/>
        <v>5</v>
      </c>
      <c r="AO25" s="348" t="str">
        <f t="shared" ca="1" si="3"/>
        <v>4</v>
      </c>
      <c r="AP25" s="349" t="str">
        <f t="shared" ca="1" si="3"/>
        <v>9</v>
      </c>
      <c r="AR25" s="315">
        <v>1521</v>
      </c>
      <c r="AS25" s="315" t="s">
        <v>940</v>
      </c>
    </row>
    <row r="26" spans="1:45" ht="15.75" customHeight="1">
      <c r="A26" s="391">
        <v>11</v>
      </c>
      <c r="B26" s="391">
        <v>30</v>
      </c>
      <c r="C26" s="414"/>
      <c r="D26" s="414"/>
      <c r="E26" s="415" t="s">
        <v>916</v>
      </c>
      <c r="F26" s="422">
        <f ca="1">SUMIFS(借方金额,记账月份,"&lt;="&amp;$A26,账户名称,$Q$1&amp;"*")</f>
        <v>4299.72</v>
      </c>
      <c r="G26" s="355" t="str">
        <f t="shared" ca="1" si="1"/>
        <v xml:space="preserve"> </v>
      </c>
      <c r="H26" s="346" t="str">
        <f t="shared" ca="1" si="1"/>
        <v xml:space="preserve"> </v>
      </c>
      <c r="I26" s="356" t="str">
        <f t="shared" ca="1" si="1"/>
        <v xml:space="preserve"> </v>
      </c>
      <c r="J26" s="345" t="str">
        <f t="shared" ca="1" si="1"/>
        <v xml:space="preserve"> </v>
      </c>
      <c r="K26" s="346" t="str">
        <f t="shared" ca="1" si="1"/>
        <v>￥</v>
      </c>
      <c r="L26" s="356" t="str">
        <f t="shared" ca="1" si="1"/>
        <v>4</v>
      </c>
      <c r="M26" s="348" t="str">
        <f t="shared" ca="1" si="1"/>
        <v>2</v>
      </c>
      <c r="N26" s="346" t="str">
        <f t="shared" ca="1" si="1"/>
        <v>9</v>
      </c>
      <c r="O26" s="356" t="str">
        <f t="shared" ca="1" si="1"/>
        <v>9</v>
      </c>
      <c r="P26" s="348" t="str">
        <f t="shared" ca="1" si="1"/>
        <v>7</v>
      </c>
      <c r="Q26" s="349" t="str">
        <f t="shared" ca="1" si="1"/>
        <v>2</v>
      </c>
      <c r="R26" s="424">
        <f ca="1">SUMIFS(贷方金额,记账月份,"&lt;="&amp;$A26,账户名称,$Q$1&amp;"*")</f>
        <v>6599.3</v>
      </c>
      <c r="S26" s="345" t="str">
        <f t="shared" ca="1" si="4"/>
        <v xml:space="preserve"> </v>
      </c>
      <c r="T26" s="346" t="str">
        <f t="shared" ca="1" si="4"/>
        <v xml:space="preserve"> </v>
      </c>
      <c r="U26" s="356" t="str">
        <f t="shared" ca="1" si="4"/>
        <v xml:space="preserve"> </v>
      </c>
      <c r="V26" s="345" t="str">
        <f t="shared" ca="1" si="4"/>
        <v xml:space="preserve"> </v>
      </c>
      <c r="W26" s="346" t="str">
        <f t="shared" ca="1" si="4"/>
        <v>￥</v>
      </c>
      <c r="X26" s="347" t="str">
        <f t="shared" ca="1" si="4"/>
        <v>6</v>
      </c>
      <c r="Y26" s="348" t="str">
        <f t="shared" ca="1" si="4"/>
        <v>5</v>
      </c>
      <c r="Z26" s="346" t="str">
        <f t="shared" ca="1" si="4"/>
        <v>9</v>
      </c>
      <c r="AA26" s="347" t="str">
        <f t="shared" ca="1" si="4"/>
        <v>9</v>
      </c>
      <c r="AB26" s="348" t="str">
        <f t="shared" ca="1" si="4"/>
        <v>3</v>
      </c>
      <c r="AC26" s="349" t="str">
        <f t="shared" ca="1" si="4"/>
        <v>0</v>
      </c>
      <c r="AD26" s="425" t="str">
        <f t="shared" si="5"/>
        <v/>
      </c>
      <c r="AE26" s="422">
        <f t="shared" ca="1" si="6"/>
        <v>4595.49</v>
      </c>
      <c r="AF26" s="423" t="str">
        <f t="shared" ca="1" si="3"/>
        <v xml:space="preserve"> </v>
      </c>
      <c r="AG26" s="346" t="str">
        <f t="shared" ca="1" si="3"/>
        <v xml:space="preserve"> </v>
      </c>
      <c r="AH26" s="356" t="str">
        <f t="shared" ca="1" si="3"/>
        <v xml:space="preserve"> </v>
      </c>
      <c r="AI26" s="345" t="str">
        <f t="shared" ca="1" si="3"/>
        <v xml:space="preserve"> </v>
      </c>
      <c r="AJ26" s="346" t="str">
        <f t="shared" ca="1" si="3"/>
        <v>￥</v>
      </c>
      <c r="AK26" s="347" t="str">
        <f t="shared" ca="1" si="3"/>
        <v>4</v>
      </c>
      <c r="AL26" s="348" t="str">
        <f t="shared" ca="1" si="3"/>
        <v>5</v>
      </c>
      <c r="AM26" s="346" t="str">
        <f t="shared" ca="1" si="3"/>
        <v>9</v>
      </c>
      <c r="AN26" s="347" t="str">
        <f t="shared" ca="1" si="3"/>
        <v>5</v>
      </c>
      <c r="AO26" s="348" t="str">
        <f t="shared" ca="1" si="3"/>
        <v>4</v>
      </c>
      <c r="AP26" s="349" t="str">
        <f t="shared" ca="1" si="3"/>
        <v>9</v>
      </c>
      <c r="AR26" s="315">
        <v>1531</v>
      </c>
      <c r="AS26" s="315" t="s">
        <v>941</v>
      </c>
    </row>
    <row r="27" spans="1:45" ht="15.75" customHeight="1">
      <c r="A27" s="391">
        <v>12</v>
      </c>
      <c r="B27" s="391">
        <v>31</v>
      </c>
      <c r="C27" s="414"/>
      <c r="D27" s="414"/>
      <c r="E27" s="415" t="s">
        <v>914</v>
      </c>
      <c r="F27" s="422">
        <f ca="1">SUMIFS(借方金额,记账月份,$A27,账户名称,$Q$1&amp;"*")</f>
        <v>0</v>
      </c>
      <c r="G27" s="355" t="str">
        <f t="shared" ca="1" si="1"/>
        <v/>
      </c>
      <c r="H27" s="346" t="str">
        <f t="shared" ca="1" si="1"/>
        <v/>
      </c>
      <c r="I27" s="356" t="str">
        <f t="shared" ca="1" si="1"/>
        <v/>
      </c>
      <c r="J27" s="345" t="str">
        <f t="shared" ca="1" si="1"/>
        <v/>
      </c>
      <c r="K27" s="346" t="str">
        <f t="shared" ca="1" si="1"/>
        <v/>
      </c>
      <c r="L27" s="356" t="str">
        <f t="shared" ca="1" si="1"/>
        <v/>
      </c>
      <c r="M27" s="348" t="str">
        <f t="shared" ca="1" si="1"/>
        <v/>
      </c>
      <c r="N27" s="346" t="str">
        <f t="shared" ca="1" si="1"/>
        <v/>
      </c>
      <c r="O27" s="356" t="str">
        <f t="shared" ca="1" si="1"/>
        <v/>
      </c>
      <c r="P27" s="348" t="str">
        <f t="shared" ca="1" si="1"/>
        <v/>
      </c>
      <c r="Q27" s="349" t="str">
        <f t="shared" ca="1" si="1"/>
        <v/>
      </c>
      <c r="R27" s="424">
        <f ca="1">SUMIFS(贷方金额,记账月份,$A27,账户名称,$Q$1&amp;"*")</f>
        <v>0</v>
      </c>
      <c r="S27" s="345" t="str">
        <f t="shared" ca="1" si="4"/>
        <v/>
      </c>
      <c r="T27" s="346" t="str">
        <f t="shared" ca="1" si="4"/>
        <v/>
      </c>
      <c r="U27" s="356" t="str">
        <f t="shared" ca="1" si="4"/>
        <v/>
      </c>
      <c r="V27" s="345" t="str">
        <f t="shared" ca="1" si="4"/>
        <v/>
      </c>
      <c r="W27" s="346" t="str">
        <f t="shared" ca="1" si="4"/>
        <v/>
      </c>
      <c r="X27" s="347" t="str">
        <f t="shared" ca="1" si="4"/>
        <v/>
      </c>
      <c r="Y27" s="348" t="str">
        <f t="shared" ca="1" si="4"/>
        <v/>
      </c>
      <c r="Z27" s="346" t="str">
        <f t="shared" ca="1" si="4"/>
        <v/>
      </c>
      <c r="AA27" s="347" t="str">
        <f t="shared" ca="1" si="4"/>
        <v/>
      </c>
      <c r="AB27" s="348" t="str">
        <f t="shared" ca="1" si="4"/>
        <v/>
      </c>
      <c r="AC27" s="349" t="str">
        <f t="shared" ca="1" si="4"/>
        <v/>
      </c>
      <c r="AD27" s="425" t="str">
        <f t="shared" ca="1" si="5"/>
        <v>借</v>
      </c>
      <c r="AE27" s="422">
        <f t="shared" ca="1" si="6"/>
        <v>4595.49</v>
      </c>
      <c r="AF27" s="423" t="str">
        <f t="shared" ca="1" si="3"/>
        <v xml:space="preserve"> </v>
      </c>
      <c r="AG27" s="346" t="str">
        <f t="shared" ca="1" si="3"/>
        <v xml:space="preserve"> </v>
      </c>
      <c r="AH27" s="356" t="str">
        <f t="shared" ca="1" si="3"/>
        <v xml:space="preserve"> </v>
      </c>
      <c r="AI27" s="345" t="str">
        <f t="shared" ca="1" si="3"/>
        <v xml:space="preserve"> </v>
      </c>
      <c r="AJ27" s="346" t="str">
        <f t="shared" ca="1" si="3"/>
        <v>￥</v>
      </c>
      <c r="AK27" s="347" t="str">
        <f t="shared" ca="1" si="3"/>
        <v>4</v>
      </c>
      <c r="AL27" s="348" t="str">
        <f t="shared" ca="1" si="3"/>
        <v>5</v>
      </c>
      <c r="AM27" s="346" t="str">
        <f t="shared" ca="1" si="3"/>
        <v>9</v>
      </c>
      <c r="AN27" s="347" t="str">
        <f t="shared" ca="1" si="3"/>
        <v>5</v>
      </c>
      <c r="AO27" s="348" t="str">
        <f t="shared" ca="1" si="3"/>
        <v>4</v>
      </c>
      <c r="AP27" s="349" t="str">
        <f t="shared" ca="1" si="3"/>
        <v>9</v>
      </c>
      <c r="AR27" s="315">
        <v>1532</v>
      </c>
      <c r="AS27" s="315" t="s">
        <v>942</v>
      </c>
    </row>
    <row r="28" spans="1:45" ht="15.75" customHeight="1">
      <c r="A28" s="391">
        <v>12</v>
      </c>
      <c r="B28" s="391">
        <v>31</v>
      </c>
      <c r="C28" s="414"/>
      <c r="D28" s="414"/>
      <c r="E28" s="415" t="s">
        <v>916</v>
      </c>
      <c r="F28" s="422">
        <f ca="1">SUMIFS(借方金额,记账月份,"&lt;="&amp;$A28,账户名称,$Q$1&amp;"*")</f>
        <v>4299.72</v>
      </c>
      <c r="G28" s="371" t="str">
        <f t="shared" ca="1" si="1"/>
        <v xml:space="preserve"> </v>
      </c>
      <c r="H28" s="362" t="str">
        <f t="shared" ca="1" si="1"/>
        <v xml:space="preserve"> </v>
      </c>
      <c r="I28" s="363" t="str">
        <f t="shared" ref="I28:Q28" ca="1" si="7">LEFT(RIGHT(TEXT($F28/1%," ￥0; ￥-0;"),18-COLUMN()))</f>
        <v xml:space="preserve"> </v>
      </c>
      <c r="J28" s="364" t="str">
        <f t="shared" ca="1" si="7"/>
        <v xml:space="preserve"> </v>
      </c>
      <c r="K28" s="362" t="str">
        <f t="shared" ca="1" si="7"/>
        <v>￥</v>
      </c>
      <c r="L28" s="363" t="str">
        <f t="shared" ca="1" si="7"/>
        <v>4</v>
      </c>
      <c r="M28" s="366" t="str">
        <f t="shared" ca="1" si="7"/>
        <v>2</v>
      </c>
      <c r="N28" s="362" t="str">
        <f t="shared" ca="1" si="7"/>
        <v>9</v>
      </c>
      <c r="O28" s="363" t="str">
        <f t="shared" ca="1" si="7"/>
        <v>9</v>
      </c>
      <c r="P28" s="366" t="str">
        <f t="shared" ca="1" si="7"/>
        <v>7</v>
      </c>
      <c r="Q28" s="367" t="str">
        <f t="shared" ca="1" si="7"/>
        <v>2</v>
      </c>
      <c r="R28" s="426">
        <f ca="1">SUMIFS(贷方金额,记账月份,"&lt;="&amp;$A28,账户名称,$Q$1&amp;"*")</f>
        <v>6599.3</v>
      </c>
      <c r="S28" s="364" t="str">
        <f t="shared" ca="1" si="4"/>
        <v xml:space="preserve"> </v>
      </c>
      <c r="T28" s="362" t="str">
        <f t="shared" ca="1" si="4"/>
        <v xml:space="preserve"> </v>
      </c>
      <c r="U28" s="363" t="str">
        <f t="shared" ca="1" si="4"/>
        <v xml:space="preserve"> </v>
      </c>
      <c r="V28" s="364" t="str">
        <f t="shared" ca="1" si="4"/>
        <v xml:space="preserve"> </v>
      </c>
      <c r="W28" s="362" t="str">
        <f t="shared" ca="1" si="4"/>
        <v>￥</v>
      </c>
      <c r="X28" s="365" t="str">
        <f t="shared" ca="1" si="4"/>
        <v>6</v>
      </c>
      <c r="Y28" s="366" t="str">
        <f t="shared" ca="1" si="4"/>
        <v>5</v>
      </c>
      <c r="Z28" s="362" t="str">
        <f t="shared" ca="1" si="4"/>
        <v>9</v>
      </c>
      <c r="AA28" s="365" t="str">
        <f t="shared" ca="1" si="4"/>
        <v>9</v>
      </c>
      <c r="AB28" s="366" t="str">
        <f t="shared" ca="1" si="4"/>
        <v>3</v>
      </c>
      <c r="AC28" s="367" t="str">
        <f t="shared" ca="1" si="4"/>
        <v>0</v>
      </c>
      <c r="AD28" s="427" t="str">
        <f t="shared" si="5"/>
        <v/>
      </c>
      <c r="AE28" s="422">
        <f t="shared" ca="1" si="6"/>
        <v>4595.49</v>
      </c>
      <c r="AF28" s="428" t="str">
        <f t="shared" ca="1" si="3"/>
        <v xml:space="preserve"> </v>
      </c>
      <c r="AG28" s="362" t="str">
        <f t="shared" ca="1" si="3"/>
        <v xml:space="preserve"> </v>
      </c>
      <c r="AH28" s="363" t="str">
        <f t="shared" ca="1" si="3"/>
        <v xml:space="preserve"> </v>
      </c>
      <c r="AI28" s="364" t="str">
        <f t="shared" ca="1" si="3"/>
        <v xml:space="preserve"> </v>
      </c>
      <c r="AJ28" s="362" t="str">
        <f t="shared" ca="1" si="3"/>
        <v>￥</v>
      </c>
      <c r="AK28" s="365" t="str">
        <f t="shared" ca="1" si="3"/>
        <v>4</v>
      </c>
      <c r="AL28" s="366" t="str">
        <f t="shared" ca="1" si="3"/>
        <v>5</v>
      </c>
      <c r="AM28" s="362" t="str">
        <f t="shared" ca="1" si="3"/>
        <v>9</v>
      </c>
      <c r="AN28" s="365" t="str">
        <f t="shared" ca="1" si="3"/>
        <v>5</v>
      </c>
      <c r="AO28" s="366" t="str">
        <f t="shared" ca="1" si="3"/>
        <v>4</v>
      </c>
      <c r="AP28" s="367" t="str">
        <f t="shared" ca="1" si="3"/>
        <v>9</v>
      </c>
      <c r="AR28" s="315">
        <v>1601</v>
      </c>
      <c r="AS28" s="315" t="s">
        <v>943</v>
      </c>
    </row>
    <row r="29" spans="1:45">
      <c r="AR29" s="315">
        <v>1602</v>
      </c>
      <c r="AS29" s="315" t="s">
        <v>944</v>
      </c>
    </row>
    <row r="30" spans="1:45">
      <c r="AR30" s="315">
        <v>1603</v>
      </c>
      <c r="AS30" s="315" t="s">
        <v>945</v>
      </c>
    </row>
    <row r="31" spans="1:45">
      <c r="AR31" s="315">
        <v>1604</v>
      </c>
      <c r="AS31" s="315" t="s">
        <v>946</v>
      </c>
    </row>
    <row r="32" spans="1:45">
      <c r="AR32" s="315">
        <v>1605</v>
      </c>
      <c r="AS32" s="315" t="s">
        <v>947</v>
      </c>
    </row>
    <row r="33" spans="44:45">
      <c r="AR33" s="315">
        <v>1606</v>
      </c>
      <c r="AS33" s="315" t="s">
        <v>948</v>
      </c>
    </row>
    <row r="34" spans="44:45">
      <c r="AR34" s="315">
        <v>1701</v>
      </c>
      <c r="AS34" s="315" t="s">
        <v>1</v>
      </c>
    </row>
    <row r="35" spans="44:45">
      <c r="AR35" s="315">
        <v>1702</v>
      </c>
      <c r="AS35" s="315" t="s">
        <v>949</v>
      </c>
    </row>
    <row r="36" spans="44:45">
      <c r="AR36" s="315">
        <v>1703</v>
      </c>
      <c r="AS36" s="315" t="s">
        <v>950</v>
      </c>
    </row>
    <row r="37" spans="44:45">
      <c r="AR37" s="315">
        <v>1801</v>
      </c>
      <c r="AS37" s="315" t="s">
        <v>951</v>
      </c>
    </row>
    <row r="38" spans="44:45">
      <c r="AR38" s="315">
        <v>1811</v>
      </c>
      <c r="AS38" s="315" t="s">
        <v>952</v>
      </c>
    </row>
    <row r="39" spans="44:45">
      <c r="AR39" s="315">
        <v>1901</v>
      </c>
      <c r="AS39" s="315" t="s">
        <v>953</v>
      </c>
    </row>
    <row r="40" spans="44:45">
      <c r="AR40" s="315">
        <v>2001</v>
      </c>
      <c r="AS40" s="315" t="s">
        <v>954</v>
      </c>
    </row>
    <row r="41" spans="44:45">
      <c r="AR41" s="315">
        <v>2101</v>
      </c>
      <c r="AS41" s="315" t="s">
        <v>955</v>
      </c>
    </row>
    <row r="42" spans="44:45">
      <c r="AR42" s="315">
        <v>2201</v>
      </c>
      <c r="AS42" s="315" t="s">
        <v>3</v>
      </c>
    </row>
    <row r="43" spans="44:45">
      <c r="AR43" s="315">
        <v>2202</v>
      </c>
      <c r="AS43" s="315" t="s">
        <v>4</v>
      </c>
    </row>
    <row r="44" spans="44:45">
      <c r="AR44" s="315">
        <v>2203</v>
      </c>
      <c r="AS44" s="315" t="s">
        <v>956</v>
      </c>
    </row>
    <row r="45" spans="44:45">
      <c r="AR45" s="315">
        <v>2211</v>
      </c>
      <c r="AS45" s="315" t="s">
        <v>5</v>
      </c>
    </row>
    <row r="46" spans="44:45">
      <c r="AR46" s="315">
        <v>2221</v>
      </c>
      <c r="AS46" s="315" t="s">
        <v>12</v>
      </c>
    </row>
    <row r="47" spans="44:45">
      <c r="AR47" s="315">
        <v>2231</v>
      </c>
      <c r="AS47" s="315" t="s">
        <v>14</v>
      </c>
    </row>
    <row r="48" spans="44:45">
      <c r="AR48" s="315">
        <v>2232</v>
      </c>
      <c r="AS48" s="315" t="s">
        <v>15</v>
      </c>
    </row>
    <row r="49" spans="44:45">
      <c r="AR49" s="315">
        <v>2241</v>
      </c>
      <c r="AS49" s="315" t="s">
        <v>16</v>
      </c>
    </row>
    <row r="50" spans="44:45">
      <c r="AR50" s="315">
        <v>2501</v>
      </c>
      <c r="AS50" s="315" t="s">
        <v>957</v>
      </c>
    </row>
    <row r="51" spans="44:45">
      <c r="AR51" s="315">
        <v>2502</v>
      </c>
      <c r="AS51" s="315" t="s">
        <v>958</v>
      </c>
    </row>
    <row r="52" spans="44:45">
      <c r="AR52" s="315">
        <v>2701</v>
      </c>
      <c r="AS52" s="315" t="s">
        <v>959</v>
      </c>
    </row>
    <row r="53" spans="44:45">
      <c r="AR53" s="315">
        <v>2711</v>
      </c>
      <c r="AS53" s="315" t="s">
        <v>960</v>
      </c>
    </row>
    <row r="54" spans="44:45">
      <c r="AR54" s="315">
        <v>2801</v>
      </c>
      <c r="AS54" s="315" t="s">
        <v>17</v>
      </c>
    </row>
    <row r="55" spans="44:45">
      <c r="AR55" s="315">
        <v>2901</v>
      </c>
      <c r="AS55" s="315" t="s">
        <v>961</v>
      </c>
    </row>
    <row r="56" spans="44:45">
      <c r="AR56" s="315">
        <v>4001</v>
      </c>
      <c r="AS56" s="315" t="s">
        <v>962</v>
      </c>
    </row>
    <row r="57" spans="44:45">
      <c r="AR57" s="315">
        <v>4002</v>
      </c>
      <c r="AS57" s="315" t="s">
        <v>18</v>
      </c>
    </row>
    <row r="58" spans="44:45">
      <c r="AR58" s="315">
        <v>4101</v>
      </c>
      <c r="AS58" s="315" t="s">
        <v>19</v>
      </c>
    </row>
    <row r="59" spans="44:45">
      <c r="AR59" s="315">
        <v>4103</v>
      </c>
      <c r="AS59" s="315" t="s">
        <v>52</v>
      </c>
    </row>
    <row r="60" spans="44:45">
      <c r="AR60" s="315">
        <v>4104</v>
      </c>
      <c r="AS60" s="315" t="s">
        <v>963</v>
      </c>
    </row>
    <row r="61" spans="44:45">
      <c r="AR61" s="315">
        <v>4201</v>
      </c>
      <c r="AS61" s="315" t="s">
        <v>964</v>
      </c>
    </row>
    <row r="62" spans="44:45">
      <c r="AR62" s="315">
        <v>5401</v>
      </c>
      <c r="AS62" s="315" t="s">
        <v>965</v>
      </c>
    </row>
    <row r="63" spans="44:45">
      <c r="AR63" s="315">
        <v>5402</v>
      </c>
      <c r="AS63" s="315" t="s">
        <v>966</v>
      </c>
    </row>
    <row r="64" spans="44:45">
      <c r="AR64" s="315">
        <v>5403</v>
      </c>
      <c r="AS64" s="315" t="s">
        <v>967</v>
      </c>
    </row>
    <row r="65" spans="44:45">
      <c r="AR65" s="315">
        <v>6001</v>
      </c>
      <c r="AS65" s="315" t="s">
        <v>968</v>
      </c>
    </row>
    <row r="66" spans="44:45">
      <c r="AR66" s="315">
        <v>6051</v>
      </c>
      <c r="AS66" s="315" t="s">
        <v>969</v>
      </c>
    </row>
    <row r="67" spans="44:45">
      <c r="AR67" s="315">
        <v>6101</v>
      </c>
      <c r="AS67" s="315" t="s">
        <v>970</v>
      </c>
    </row>
    <row r="68" spans="44:45">
      <c r="AR68" s="315">
        <v>6111</v>
      </c>
      <c r="AS68" s="315" t="s">
        <v>971</v>
      </c>
    </row>
    <row r="69" spans="44:45">
      <c r="AR69" s="315">
        <v>6301</v>
      </c>
      <c r="AS69" s="315" t="s">
        <v>972</v>
      </c>
    </row>
    <row r="70" spans="44:45">
      <c r="AR70" s="315">
        <v>6401</v>
      </c>
      <c r="AS70" s="315" t="s">
        <v>973</v>
      </c>
    </row>
    <row r="71" spans="44:45">
      <c r="AR71" s="315">
        <v>6402</v>
      </c>
      <c r="AS71" s="315" t="s">
        <v>974</v>
      </c>
    </row>
    <row r="72" spans="44:45">
      <c r="AR72" s="315">
        <v>6403</v>
      </c>
      <c r="AS72" s="315" t="s">
        <v>20</v>
      </c>
    </row>
    <row r="73" spans="44:45">
      <c r="AR73" s="315">
        <v>6601</v>
      </c>
      <c r="AS73" s="315" t="s">
        <v>21</v>
      </c>
    </row>
    <row r="74" spans="44:45">
      <c r="AR74" s="315">
        <v>6602</v>
      </c>
      <c r="AS74" s="315" t="s">
        <v>22</v>
      </c>
    </row>
    <row r="75" spans="44:45">
      <c r="AR75" s="315">
        <v>6603</v>
      </c>
      <c r="AS75" s="315" t="s">
        <v>975</v>
      </c>
    </row>
    <row r="76" spans="44:45">
      <c r="AR76" s="315">
        <v>6701</v>
      </c>
      <c r="AS76" s="315" t="s">
        <v>976</v>
      </c>
    </row>
    <row r="77" spans="44:45">
      <c r="AR77" s="315">
        <v>6711</v>
      </c>
      <c r="AS77" s="315" t="s">
        <v>977</v>
      </c>
    </row>
    <row r="78" spans="44:45">
      <c r="AR78" s="315">
        <v>6801</v>
      </c>
      <c r="AS78" s="315" t="s">
        <v>978</v>
      </c>
    </row>
    <row r="79" spans="44:45">
      <c r="AR79" s="315">
        <v>6901</v>
      </c>
      <c r="AS79" s="315" t="s">
        <v>979</v>
      </c>
    </row>
  </sheetData>
  <mergeCells count="2">
    <mergeCell ref="Q1:AD1"/>
    <mergeCell ref="AD2:AD3"/>
  </mergeCells>
  <phoneticPr fontId="2" type="noConversion"/>
  <dataValidations count="2">
    <dataValidation type="list" allowBlank="1" showInputMessage="1" showErrorMessage="1" sqref="Q1:AD1">
      <formula1>$AS$2:$AS$79</formula1>
    </dataValidation>
    <dataValidation type="list" allowBlank="1" showInputMessage="1" showErrorMessage="1" sqref="AD4">
      <formula1>"借,贷"</formula1>
    </dataValidation>
  </dataValidations>
  <pageMargins left="0.70866141732283472" right="0.51181102362204722" top="0.55118110236220474" bottom="0.55118110236220474" header="0.31496062992125984" footer="0.31496062992125984"/>
  <pageSetup paperSize="9" orientation="landscape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00"/>
  <sheetViews>
    <sheetView workbookViewId="0">
      <pane ySplit="5" topLeftCell="A6" activePane="bottomLeft" state="frozen"/>
      <selection activeCell="O71" sqref="O71"/>
      <selection pane="bottomLeft" activeCell="R1" sqref="R1:R1048576"/>
    </sheetView>
  </sheetViews>
  <sheetFormatPr defaultRowHeight="14.25"/>
  <cols>
    <col min="1" max="4" width="5.125" style="433" customWidth="1"/>
    <col min="5" max="5" width="24.25" style="433" customWidth="1"/>
    <col min="6" max="6" width="16.5" style="433" hidden="1" customWidth="1"/>
    <col min="7" max="17" width="2.125" style="433" customWidth="1"/>
    <col min="18" max="18" width="16.5" style="433" hidden="1" customWidth="1"/>
    <col min="19" max="29" width="2.125" style="433" customWidth="1"/>
    <col min="30" max="30" width="3.875" style="433" customWidth="1"/>
    <col min="31" max="31" width="16.25" style="433" hidden="1" customWidth="1"/>
    <col min="32" max="42" width="2.125" style="433" customWidth="1"/>
    <col min="43" max="43" width="4.875" style="433" customWidth="1"/>
    <col min="44" max="44" width="9" style="433" customWidth="1"/>
    <col min="45" max="45" width="5.25" style="433" customWidth="1"/>
    <col min="46" max="56" width="4.875" style="433" customWidth="1"/>
    <col min="57" max="59" width="5.25" style="433" customWidth="1"/>
    <col min="60" max="16384" width="9" style="433"/>
  </cols>
  <sheetData>
    <row r="1" spans="1:59" ht="37.5" customHeight="1">
      <c r="A1" s="429"/>
      <c r="B1" s="430"/>
      <c r="C1" s="430"/>
      <c r="D1" s="430"/>
      <c r="E1" s="527" t="str">
        <f>IFERROR(VLOOKUP($AR$2,会计科目表!$A:$H,2,),"")</f>
        <v>银行存款</v>
      </c>
      <c r="F1" s="528"/>
      <c r="G1" s="528"/>
      <c r="H1" s="528"/>
      <c r="I1" s="528"/>
      <c r="J1" s="528"/>
      <c r="K1" s="528"/>
      <c r="L1" s="528"/>
      <c r="M1" s="528"/>
      <c r="N1" s="528"/>
      <c r="O1" s="528"/>
      <c r="P1" s="528"/>
      <c r="Q1" s="528"/>
      <c r="R1" s="431"/>
      <c r="S1" s="529" t="s">
        <v>885</v>
      </c>
      <c r="T1" s="530"/>
      <c r="U1" s="530"/>
      <c r="V1" s="530"/>
      <c r="W1" s="530"/>
      <c r="X1" s="432"/>
      <c r="Y1" s="432" t="str">
        <f>IFERROR(VLOOKUP($AR$2,会计科目表!$A:$H,2,),"")</f>
        <v>银行存款</v>
      </c>
      <c r="Z1" s="431"/>
      <c r="AA1" s="431"/>
      <c r="AB1" s="431"/>
      <c r="AC1" s="431"/>
      <c r="AD1" s="431"/>
      <c r="AE1" s="431"/>
      <c r="AF1" s="431"/>
      <c r="AG1" s="431"/>
      <c r="AH1" s="431"/>
      <c r="AI1" s="431"/>
      <c r="AJ1" s="431"/>
      <c r="AK1" s="431"/>
      <c r="AL1" s="431"/>
      <c r="AM1" s="431"/>
      <c r="AN1" s="431"/>
      <c r="AO1" s="431"/>
      <c r="AP1" s="431"/>
      <c r="AS1" s="434" t="str">
        <f>HYPERLINK("#目录!C3","返回")</f>
        <v>返回</v>
      </c>
      <c r="AT1" s="435" t="s">
        <v>980</v>
      </c>
      <c r="AU1" s="436">
        <v>1</v>
      </c>
      <c r="AV1" s="436">
        <v>2</v>
      </c>
      <c r="AW1" s="436">
        <v>3</v>
      </c>
      <c r="AX1" s="436">
        <v>4</v>
      </c>
      <c r="AY1" s="436">
        <v>5</v>
      </c>
      <c r="AZ1" s="436">
        <v>6</v>
      </c>
      <c r="BA1" s="436">
        <v>7</v>
      </c>
      <c r="BB1" s="436">
        <v>8</v>
      </c>
      <c r="BC1" s="436">
        <v>9</v>
      </c>
      <c r="BD1" s="436">
        <v>10</v>
      </c>
      <c r="BE1" s="436">
        <v>11</v>
      </c>
      <c r="BF1" s="436">
        <v>12</v>
      </c>
      <c r="BG1" s="435" t="s">
        <v>981</v>
      </c>
    </row>
    <row r="2" spans="1:59" ht="19.5" customHeight="1" thickBot="1">
      <c r="A2" s="437"/>
      <c r="B2" s="437"/>
      <c r="C2" s="438"/>
      <c r="D2" s="438"/>
      <c r="E2" s="439"/>
      <c r="F2" s="439"/>
      <c r="G2" s="439"/>
      <c r="H2" s="439"/>
      <c r="I2" s="439"/>
      <c r="J2" s="439"/>
      <c r="K2" s="439"/>
      <c r="L2" s="439"/>
      <c r="M2" s="439"/>
      <c r="N2" s="439"/>
      <c r="O2" s="439"/>
      <c r="P2" s="439"/>
      <c r="Q2" s="439"/>
      <c r="R2" s="439"/>
      <c r="S2" s="438" t="s">
        <v>982</v>
      </c>
      <c r="T2" s="439"/>
      <c r="U2" s="439"/>
      <c r="V2" s="439"/>
      <c r="W2" s="439"/>
      <c r="X2" s="439"/>
      <c r="Y2" s="439" t="str">
        <f>IFERROR(VLOOKUP($AR$2,会计科目表!$A:$H,3,),"")</f>
        <v>农业银行_人民支行</v>
      </c>
      <c r="Z2" s="439"/>
      <c r="AA2" s="439"/>
      <c r="AB2" s="439"/>
      <c r="AC2" s="439"/>
      <c r="AD2" s="439"/>
      <c r="AE2" s="439"/>
      <c r="AF2" s="439"/>
      <c r="AG2" s="439"/>
      <c r="AH2" s="439"/>
      <c r="AI2" s="439"/>
      <c r="AJ2" s="439"/>
      <c r="AK2" s="439"/>
      <c r="AL2" s="439"/>
      <c r="AM2" s="439"/>
      <c r="AN2" s="439"/>
      <c r="AO2" s="439"/>
      <c r="AP2" s="439"/>
      <c r="AR2" s="440">
        <v>10020101</v>
      </c>
      <c r="AT2" s="435" t="s">
        <v>983</v>
      </c>
      <c r="AU2" s="436">
        <f t="shared" ref="AU2:BF2" ca="1" si="0">SUMPRODUCT((记账月份=AU1)*(科目编号=$AR$2))</f>
        <v>3</v>
      </c>
      <c r="AV2" s="436">
        <f t="shared" ca="1" si="0"/>
        <v>1</v>
      </c>
      <c r="AW2" s="436">
        <f t="shared" ca="1" si="0"/>
        <v>5</v>
      </c>
      <c r="AX2" s="436">
        <f t="shared" ca="1" si="0"/>
        <v>1</v>
      </c>
      <c r="AY2" s="436">
        <f t="shared" ca="1" si="0"/>
        <v>4</v>
      </c>
      <c r="AZ2" s="436">
        <f t="shared" ca="1" si="0"/>
        <v>4</v>
      </c>
      <c r="BA2" s="436">
        <f t="shared" ca="1" si="0"/>
        <v>3</v>
      </c>
      <c r="BB2" s="436">
        <f t="shared" ca="1" si="0"/>
        <v>3</v>
      </c>
      <c r="BC2" s="436">
        <f t="shared" ca="1" si="0"/>
        <v>3</v>
      </c>
      <c r="BD2" s="436">
        <f t="shared" ca="1" si="0"/>
        <v>1</v>
      </c>
      <c r="BE2" s="436">
        <f t="shared" ca="1" si="0"/>
        <v>0</v>
      </c>
      <c r="BF2" s="436">
        <f t="shared" ca="1" si="0"/>
        <v>0</v>
      </c>
      <c r="BG2" s="436">
        <f ca="1">SUM(AU2:BF2)</f>
        <v>28</v>
      </c>
    </row>
    <row r="3" spans="1:59" ht="21.75" customHeight="1" thickBot="1">
      <c r="A3" s="531" t="str">
        <f>资产负债表!$J$1&amp;"年"</f>
        <v>2013年</v>
      </c>
      <c r="B3" s="532"/>
      <c r="C3" s="533" t="s">
        <v>984</v>
      </c>
      <c r="D3" s="531"/>
      <c r="E3" s="534" t="s">
        <v>985</v>
      </c>
      <c r="F3" s="441" t="s">
        <v>986</v>
      </c>
      <c r="G3" s="524" t="s">
        <v>987</v>
      </c>
      <c r="H3" s="525"/>
      <c r="I3" s="525"/>
      <c r="J3" s="525"/>
      <c r="K3" s="525"/>
      <c r="L3" s="525"/>
      <c r="M3" s="525"/>
      <c r="N3" s="525"/>
      <c r="O3" s="525"/>
      <c r="P3" s="525"/>
      <c r="Q3" s="526"/>
      <c r="R3" s="442" t="s">
        <v>988</v>
      </c>
      <c r="S3" s="524" t="s">
        <v>989</v>
      </c>
      <c r="T3" s="525"/>
      <c r="U3" s="525"/>
      <c r="V3" s="525"/>
      <c r="W3" s="525"/>
      <c r="X3" s="525"/>
      <c r="Y3" s="525"/>
      <c r="Z3" s="525"/>
      <c r="AA3" s="525"/>
      <c r="AB3" s="525"/>
      <c r="AC3" s="526"/>
      <c r="AD3" s="522" t="s">
        <v>990</v>
      </c>
      <c r="AE3" s="441" t="s">
        <v>991</v>
      </c>
      <c r="AF3" s="524" t="s">
        <v>992</v>
      </c>
      <c r="AG3" s="525"/>
      <c r="AH3" s="525"/>
      <c r="AI3" s="525"/>
      <c r="AJ3" s="525"/>
      <c r="AK3" s="525"/>
      <c r="AL3" s="525"/>
      <c r="AM3" s="525"/>
      <c r="AN3" s="525"/>
      <c r="AO3" s="525"/>
      <c r="AP3" s="526"/>
      <c r="AQ3" s="443"/>
      <c r="AR3" s="443"/>
      <c r="AS3" s="443"/>
      <c r="AT3" s="435" t="s">
        <v>993</v>
      </c>
      <c r="AU3" s="436">
        <f ca="1">IF(AU2=0,0,AU2+6)</f>
        <v>9</v>
      </c>
      <c r="AV3" s="436">
        <f ca="1">IF(SUM($AU$3:AU$3)=0,IF(AV$2=0,0,AV$2+6),IF(AV$2=0,AU3,AU3+AV2+2))</f>
        <v>12</v>
      </c>
      <c r="AW3" s="436">
        <f ca="1">IF(SUM($AU$3:AV$3)=0,IF(AW$2=0,0,AW$2+6),IF(AW$2=0,AV3,AV3+AW2+2))</f>
        <v>19</v>
      </c>
      <c r="AX3" s="436">
        <f ca="1">IF(SUM($AU$3:AW$3)=0,IF(AX$2=0,0,AX$2+6),IF(AX$2=0,AW3,AW3+AX2+2))</f>
        <v>22</v>
      </c>
      <c r="AY3" s="436">
        <f ca="1">IF(SUM($AU$3:AX$3)=0,IF(AY$2=0,0,AY$2+6),IF(AY$2=0,AX3,AX3+AY2+2))</f>
        <v>28</v>
      </c>
      <c r="AZ3" s="436">
        <f ca="1">IF(SUM($AU$3:AY$3)=0,IF(AZ$2=0,0,AZ$2+6),IF(AZ$2=0,AY3,AY3+AZ2+2))</f>
        <v>34</v>
      </c>
      <c r="BA3" s="436">
        <f ca="1">IF(SUM($AU$3:AZ$3)=0,IF(BA$2=0,0,BA$2+6),IF(BA$2=0,AZ3,AZ3+BA2+2))</f>
        <v>39</v>
      </c>
      <c r="BB3" s="436">
        <f ca="1">IF(SUM($AU$3:BA$3)=0,IF(BB$2=0,0,BB$2+6),IF(BB$2=0,BA3,BA3+BB2+2))</f>
        <v>44</v>
      </c>
      <c r="BC3" s="436">
        <f ca="1">IF(SUM($AU$3:BB$3)=0,IF(BC$2=0,0,BC$2+6),IF(BC$2=0,BB3,BB3+BC2+2))</f>
        <v>49</v>
      </c>
      <c r="BD3" s="436">
        <f ca="1">IF(SUM($AU$3:BC$3)=0,IF(BD$2=0,0,BD$2+6),IF(BD$2=0,BC3,BC3+BD2+2))</f>
        <v>52</v>
      </c>
      <c r="BE3" s="436">
        <f ca="1">IF(SUM($AU$3:BD$3)=0,IF(BE$2=0,0,BE$2+6),IF(BE$2=0,BD3,BD3+BE2+2))</f>
        <v>52</v>
      </c>
      <c r="BF3" s="436">
        <f ca="1">IF(SUM($AU$3:BE$3)=0,IF(BF$2=0,0,BF$2+6),IF(BF$2=0,BE3,BE3+BF2+2))</f>
        <v>52</v>
      </c>
      <c r="BG3" s="436">
        <f t="array" aca="1" ref="BG3" ca="1">SMALL(IF($AU$3:$BF3&lt;&gt;0,$AU$3:$BF3,500),1)</f>
        <v>9</v>
      </c>
    </row>
    <row r="4" spans="1:59" ht="21.75" customHeight="1">
      <c r="A4" s="444" t="s">
        <v>860</v>
      </c>
      <c r="B4" s="445" t="s">
        <v>900</v>
      </c>
      <c r="C4" s="446" t="s">
        <v>994</v>
      </c>
      <c r="D4" s="444" t="s">
        <v>995</v>
      </c>
      <c r="E4" s="535"/>
      <c r="F4" s="447"/>
      <c r="G4" s="448" t="s">
        <v>904</v>
      </c>
      <c r="H4" s="449" t="s">
        <v>875</v>
      </c>
      <c r="I4" s="449" t="s">
        <v>745</v>
      </c>
      <c r="J4" s="449" t="s">
        <v>746</v>
      </c>
      <c r="K4" s="449" t="s">
        <v>747</v>
      </c>
      <c r="L4" s="449" t="s">
        <v>875</v>
      </c>
      <c r="M4" s="449" t="s">
        <v>745</v>
      </c>
      <c r="N4" s="449" t="s">
        <v>746</v>
      </c>
      <c r="O4" s="450" t="s">
        <v>721</v>
      </c>
      <c r="P4" s="451" t="s">
        <v>749</v>
      </c>
      <c r="Q4" s="452" t="s">
        <v>911</v>
      </c>
      <c r="R4" s="453"/>
      <c r="S4" s="448" t="s">
        <v>871</v>
      </c>
      <c r="T4" s="449" t="s">
        <v>875</v>
      </c>
      <c r="U4" s="449" t="s">
        <v>745</v>
      </c>
      <c r="V4" s="449" t="s">
        <v>746</v>
      </c>
      <c r="W4" s="449" t="s">
        <v>747</v>
      </c>
      <c r="X4" s="449" t="s">
        <v>875</v>
      </c>
      <c r="Y4" s="449" t="s">
        <v>745</v>
      </c>
      <c r="Z4" s="449" t="s">
        <v>746</v>
      </c>
      <c r="AA4" s="450" t="s">
        <v>721</v>
      </c>
      <c r="AB4" s="451" t="s">
        <v>749</v>
      </c>
      <c r="AC4" s="452" t="s">
        <v>877</v>
      </c>
      <c r="AD4" s="523"/>
      <c r="AE4" s="447"/>
      <c r="AF4" s="448" t="s">
        <v>904</v>
      </c>
      <c r="AG4" s="449" t="s">
        <v>905</v>
      </c>
      <c r="AH4" s="449" t="s">
        <v>906</v>
      </c>
      <c r="AI4" s="449" t="s">
        <v>907</v>
      </c>
      <c r="AJ4" s="449" t="s">
        <v>908</v>
      </c>
      <c r="AK4" s="449" t="s">
        <v>905</v>
      </c>
      <c r="AL4" s="449" t="s">
        <v>906</v>
      </c>
      <c r="AM4" s="449" t="s">
        <v>907</v>
      </c>
      <c r="AN4" s="450" t="s">
        <v>909</v>
      </c>
      <c r="AO4" s="451" t="s">
        <v>910</v>
      </c>
      <c r="AP4" s="452" t="s">
        <v>911</v>
      </c>
      <c r="AQ4" s="443"/>
    </row>
    <row r="5" spans="1:59" ht="18" customHeight="1">
      <c r="A5" s="454">
        <v>1</v>
      </c>
      <c r="B5" s="454">
        <v>1</v>
      </c>
      <c r="C5" s="455"/>
      <c r="D5" s="456"/>
      <c r="E5" s="457" t="s">
        <v>996</v>
      </c>
      <c r="F5" s="458"/>
      <c r="G5" s="459"/>
      <c r="H5" s="460"/>
      <c r="I5" s="460"/>
      <c r="J5" s="460"/>
      <c r="K5" s="460"/>
      <c r="L5" s="460"/>
      <c r="M5" s="460"/>
      <c r="N5" s="460"/>
      <c r="O5" s="461"/>
      <c r="P5" s="462"/>
      <c r="Q5" s="463"/>
      <c r="R5" s="464"/>
      <c r="S5" s="459"/>
      <c r="T5" s="460"/>
      <c r="U5" s="460"/>
      <c r="V5" s="460"/>
      <c r="W5" s="460"/>
      <c r="X5" s="460"/>
      <c r="Y5" s="460"/>
      <c r="Z5" s="460"/>
      <c r="AA5" s="461"/>
      <c r="AB5" s="462"/>
      <c r="AC5" s="463"/>
      <c r="AD5" s="465" t="s">
        <v>0</v>
      </c>
      <c r="AE5" s="466">
        <f ca="1">INDEX(OFFSET(科目代码,,5,,2),MATCH($AR2,科目代码,),2-(LEFT($AR2,4)*1&lt;2001))</f>
        <v>6895.07</v>
      </c>
      <c r="AF5" s="459" t="str">
        <f t="shared" ref="AF5:AP20" ca="1" si="1">LEFT(RIGHT(TEXT($AE5/1%," ￥0; ￥-0;"),43-COLUMN()))</f>
        <v xml:space="preserve"> </v>
      </c>
      <c r="AG5" s="460" t="str">
        <f t="shared" ca="1" si="1"/>
        <v xml:space="preserve"> </v>
      </c>
      <c r="AH5" s="460" t="str">
        <f t="shared" ca="1" si="1"/>
        <v xml:space="preserve"> </v>
      </c>
      <c r="AI5" s="460" t="str">
        <f t="shared" ca="1" si="1"/>
        <v xml:space="preserve"> </v>
      </c>
      <c r="AJ5" s="460" t="str">
        <f t="shared" ca="1" si="1"/>
        <v>￥</v>
      </c>
      <c r="AK5" s="460" t="str">
        <f t="shared" ca="1" si="1"/>
        <v>6</v>
      </c>
      <c r="AL5" s="460" t="str">
        <f t="shared" ca="1" si="1"/>
        <v>8</v>
      </c>
      <c r="AM5" s="460" t="str">
        <f t="shared" ca="1" si="1"/>
        <v>9</v>
      </c>
      <c r="AN5" s="461" t="str">
        <f t="shared" ca="1" si="1"/>
        <v>5</v>
      </c>
      <c r="AO5" s="462" t="str">
        <f t="shared" ca="1" si="1"/>
        <v>0</v>
      </c>
      <c r="AP5" s="463" t="str">
        <f t="shared" ca="1" si="1"/>
        <v>7</v>
      </c>
      <c r="AQ5" s="467"/>
      <c r="AR5" s="468"/>
    </row>
    <row r="6" spans="1:59" ht="15" customHeight="1">
      <c r="A6" s="469">
        <f ca="1">IFERROR(INDEX(凭证录入!A:A,$AR6),"")</f>
        <v>1</v>
      </c>
      <c r="B6" s="469">
        <f ca="1">IFERROR(INDEX(凭证录入!B:B,$AR6),"")</f>
        <v>8</v>
      </c>
      <c r="C6" s="470" t="str">
        <f ca="1">IFERROR(INDEX(凭证录入!G:G,$AR6),"")</f>
        <v>现付</v>
      </c>
      <c r="D6" s="471">
        <f ca="1">IFERROR(INDEX(凭证录入!F:F,$AR6),"")</f>
        <v>1</v>
      </c>
      <c r="E6" s="472" t="str">
        <f ca="1">IFERROR(INDEX(凭证录入!H:H,$AR6),$AR6)</f>
        <v>现金存行</v>
      </c>
      <c r="F6" s="473">
        <f ca="1">IF(OR($BG$2=0,$AR6=""),,IF($AR6="本月合计",IF(ROW()=$BG$3,SUM($F5:$F$6),SUM(INDIRECT("$F$"&amp;OFFSET($AU$3,,MATCH(ROW(),$AU$3:$BF$3,)-2)+2&amp;":$E"&amp;ROW()-1))),IF($AR6="本年累计",SUMIF($AR$6:$AR6,"本月合计",$F5:$F$6),INDEX(凭证录入!K:K,$AR6))))</f>
        <v>4000</v>
      </c>
      <c r="G6" s="459" t="str">
        <f t="shared" ref="G6:Q21" ca="1" si="2">LEFT(RIGHT(TEXT($F6/1%," ￥0; ￥-0;"),18-COLUMN()))</f>
        <v xml:space="preserve"> </v>
      </c>
      <c r="H6" s="460" t="str">
        <f t="shared" ca="1" si="2"/>
        <v xml:space="preserve"> </v>
      </c>
      <c r="I6" s="460" t="str">
        <f t="shared" ca="1" si="2"/>
        <v xml:space="preserve"> </v>
      </c>
      <c r="J6" s="460" t="str">
        <f t="shared" ca="1" si="2"/>
        <v xml:space="preserve"> </v>
      </c>
      <c r="K6" s="460" t="str">
        <f t="shared" ca="1" si="2"/>
        <v>￥</v>
      </c>
      <c r="L6" s="460" t="str">
        <f t="shared" ca="1" si="2"/>
        <v>4</v>
      </c>
      <c r="M6" s="460" t="str">
        <f t="shared" ca="1" si="2"/>
        <v>0</v>
      </c>
      <c r="N6" s="460" t="str">
        <f t="shared" ca="1" si="2"/>
        <v>0</v>
      </c>
      <c r="O6" s="461" t="str">
        <f t="shared" ca="1" si="2"/>
        <v>0</v>
      </c>
      <c r="P6" s="474" t="str">
        <f t="shared" ca="1" si="2"/>
        <v>0</v>
      </c>
      <c r="Q6" s="475" t="str">
        <f t="shared" ca="1" si="2"/>
        <v>0</v>
      </c>
      <c r="R6" s="476">
        <f ca="1">IF(OR($BG$2=0,$AR6=""),,IF($AR6="本月合计",IF(ROW()=$BG$3,SUM($R5:$R$6),SUM(INDIRECT("$R$"&amp;OFFSET($AU$3,,MATCH(ROW(),$AU$3:$BF$3,)-2)+2&amp;":$R"&amp;ROW()-1))),IF($AR6="本年累计",SUMIF($AR$6:$AR6,"本月合计",$R5:$R$6),INDEX(凭证录入!L:L,$AR6))))</f>
        <v>0</v>
      </c>
      <c r="S6" s="459" t="str">
        <f t="shared" ref="S6:AC21" ca="1" si="3">LEFT(RIGHT(TEXT($R6/1%," ￥0; ￥-0;"),30-COLUMN()))</f>
        <v/>
      </c>
      <c r="T6" s="460" t="str">
        <f t="shared" ca="1" si="3"/>
        <v/>
      </c>
      <c r="U6" s="460" t="str">
        <f t="shared" ca="1" si="3"/>
        <v/>
      </c>
      <c r="V6" s="460" t="str">
        <f t="shared" ca="1" si="3"/>
        <v/>
      </c>
      <c r="W6" s="460" t="str">
        <f t="shared" ca="1" si="3"/>
        <v/>
      </c>
      <c r="X6" s="460" t="str">
        <f t="shared" ca="1" si="3"/>
        <v/>
      </c>
      <c r="Y6" s="460" t="str">
        <f t="shared" ca="1" si="3"/>
        <v/>
      </c>
      <c r="Z6" s="460" t="str">
        <f t="shared" ca="1" si="3"/>
        <v/>
      </c>
      <c r="AA6" s="461" t="str">
        <f t="shared" ca="1" si="3"/>
        <v/>
      </c>
      <c r="AB6" s="474" t="str">
        <f t="shared" ca="1" si="3"/>
        <v/>
      </c>
      <c r="AC6" s="475" t="str">
        <f t="shared" ca="1" si="3"/>
        <v/>
      </c>
      <c r="AD6" s="477" t="str">
        <f t="shared" ref="AD6:AD69" ca="1" si="4">IF(OR($BG$2=0,$AR6="",$AR6="本月合计",$AR6="本年累计"),"",IF(OR(AND($AD5="",$AE5="",$AD3&lt;&gt;"借",$AD3&lt;&gt;"贷",($F6-$R6)&gt;=0),AND($AD5="",$AE5&lt;&gt;"",$AD3="借",($AE4+$F6-$R6)&gt;=0),AND($AD5="",$AE5&lt;&gt;"",$AD3="贷",(-$AE4+$F6-$R6)&gt;=0),AND($AD5="借",($AE5+$F6-$R6)&gt;=0),AND($AD5="贷",(-$AE5+$F6-$R6)&gt;=0),),"借","贷"))</f>
        <v>借</v>
      </c>
      <c r="AE6" s="478">
        <f t="shared" ref="AE6:AE69" ca="1" si="5">IF(OR($BG$2=0,$AR6=""),,IF(OR($AR6="本月合计",$AR6="本年累计"),$AE5,IF(OR(AD5="借",AND(AD5="",AD4="",AD3="借")),ABS(AE5+F6-R6),ABS(-AE5+F6-R6))))</f>
        <v>10895.07</v>
      </c>
      <c r="AF6" s="459" t="str">
        <f t="shared" ca="1" si="1"/>
        <v xml:space="preserve"> </v>
      </c>
      <c r="AG6" s="460" t="str">
        <f t="shared" ca="1" si="1"/>
        <v xml:space="preserve"> </v>
      </c>
      <c r="AH6" s="460" t="str">
        <f t="shared" ca="1" si="1"/>
        <v xml:space="preserve"> </v>
      </c>
      <c r="AI6" s="460" t="str">
        <f t="shared" ca="1" si="1"/>
        <v>￥</v>
      </c>
      <c r="AJ6" s="460" t="str">
        <f t="shared" ca="1" si="1"/>
        <v>1</v>
      </c>
      <c r="AK6" s="460" t="str">
        <f t="shared" ca="1" si="1"/>
        <v>0</v>
      </c>
      <c r="AL6" s="460" t="str">
        <f t="shared" ca="1" si="1"/>
        <v>8</v>
      </c>
      <c r="AM6" s="460" t="str">
        <f t="shared" ca="1" si="1"/>
        <v>9</v>
      </c>
      <c r="AN6" s="461" t="str">
        <f t="shared" ca="1" si="1"/>
        <v>5</v>
      </c>
      <c r="AO6" s="474" t="str">
        <f t="shared" ca="1" si="1"/>
        <v>0</v>
      </c>
      <c r="AP6" s="475" t="str">
        <f t="shared" ca="1" si="1"/>
        <v>7</v>
      </c>
      <c r="AQ6" s="479">
        <f t="array" aca="1" ref="AQ6" ca="1">IF(ROW()-5&lt;=COUNTIF(科目编号,$AR$2),SMALL(IF(科目编号=$AR$2,ROW(科目编号),""),ROW()-5),"")</f>
        <v>5</v>
      </c>
      <c r="AR6" s="480">
        <f ca="1">IF($BG$2=0,"",IF(AR5="本月合计","本年累计",IF(OR(ROW()=$AU$3,ROW()=$AV$3,ROW()=$AW$3,ROW()=$AX$3,ROW()=$AY$3,ROW()=$AZ$3,ROW()=$BA$3,ROW()=$BB$3,ROW()=$BC$3,ROW()=$BD$3,ROW()=$BE$3,ROW()=$BF$3),"本月合计",IF(ROW()&lt;7,$AQ$6,OFFSET($AQ$6,COUNT($AR5:AR$6),0)))))</f>
        <v>5</v>
      </c>
    </row>
    <row r="7" spans="1:59" ht="15" customHeight="1">
      <c r="A7" s="469">
        <f ca="1">IFERROR(INDEX(凭证录入!A:A,$AR7),"")</f>
        <v>1</v>
      </c>
      <c r="B7" s="469">
        <f ca="1">IFERROR(INDEX(凭证录入!B:B,$AR7),"")</f>
        <v>8</v>
      </c>
      <c r="C7" s="470" t="str">
        <f ca="1">IFERROR(INDEX(凭证录入!G:G,$AR7),"")</f>
        <v>银付</v>
      </c>
      <c r="D7" s="471">
        <f ca="1">IFERROR(INDEX(凭证录入!F:F,$AR7),"")</f>
        <v>1</v>
      </c>
      <c r="E7" s="472" t="str">
        <f ca="1">IFERROR(INDEX(凭证录入!H:H,$AR7),$AR7)</f>
        <v>支付1月社保</v>
      </c>
      <c r="F7" s="473">
        <f ca="1">IF(OR($BG$2=0,$AR7=""),,IF($AR7="本月合计",IF(ROW()=$BG$3,SUM($F6:$F$6),SUM(INDIRECT("$F$"&amp;OFFSET($AU$3,,MATCH(ROW(),$AU$3:$BF$3,)-2)+2&amp;":$E"&amp;ROW()-1))),IF($AR7="本年累计",SUMIF($AR$6:$AR7,"本月合计",$F6:$F$6),INDEX(凭证录入!K:K,$AR7))))</f>
        <v>0</v>
      </c>
      <c r="G7" s="459" t="str">
        <f t="shared" ca="1" si="2"/>
        <v/>
      </c>
      <c r="H7" s="460" t="str">
        <f t="shared" ca="1" si="2"/>
        <v/>
      </c>
      <c r="I7" s="460" t="str">
        <f t="shared" ca="1" si="2"/>
        <v/>
      </c>
      <c r="J7" s="460" t="str">
        <f t="shared" ca="1" si="2"/>
        <v/>
      </c>
      <c r="K7" s="460" t="str">
        <f t="shared" ca="1" si="2"/>
        <v/>
      </c>
      <c r="L7" s="460" t="str">
        <f t="shared" ca="1" si="2"/>
        <v/>
      </c>
      <c r="M7" s="460" t="str">
        <f t="shared" ca="1" si="2"/>
        <v/>
      </c>
      <c r="N7" s="460" t="str">
        <f t="shared" ca="1" si="2"/>
        <v/>
      </c>
      <c r="O7" s="461" t="str">
        <f t="shared" ca="1" si="2"/>
        <v/>
      </c>
      <c r="P7" s="474" t="str">
        <f t="shared" ca="1" si="2"/>
        <v/>
      </c>
      <c r="Q7" s="475" t="str">
        <f t="shared" ca="1" si="2"/>
        <v/>
      </c>
      <c r="R7" s="476">
        <f ca="1">IF(OR($BG$2=0,$AR7=""),,IF($AR7="本月合计",IF(ROW()=$BG$3,SUM($R6:$R$6),SUM(INDIRECT("$R$"&amp;OFFSET($AU$3,,MATCH(ROW(),$AU$3:$BF$3,)-2)+2&amp;":$R"&amp;ROW()-1))),IF($AR7="本年累计",SUMIF($AR$6:$AR7,"本月合计",$R6:$R$6),INDEX(凭证录入!L:L,$AR7))))</f>
        <v>4981.8</v>
      </c>
      <c r="S7" s="459" t="str">
        <f t="shared" ca="1" si="3"/>
        <v xml:space="preserve"> </v>
      </c>
      <c r="T7" s="460" t="str">
        <f t="shared" ca="1" si="3"/>
        <v xml:space="preserve"> </v>
      </c>
      <c r="U7" s="460" t="str">
        <f t="shared" ca="1" si="3"/>
        <v xml:space="preserve"> </v>
      </c>
      <c r="V7" s="460" t="str">
        <f t="shared" ca="1" si="3"/>
        <v xml:space="preserve"> </v>
      </c>
      <c r="W7" s="460" t="str">
        <f t="shared" ca="1" si="3"/>
        <v>￥</v>
      </c>
      <c r="X7" s="460" t="str">
        <f t="shared" ca="1" si="3"/>
        <v>4</v>
      </c>
      <c r="Y7" s="460" t="str">
        <f t="shared" ca="1" si="3"/>
        <v>9</v>
      </c>
      <c r="Z7" s="460" t="str">
        <f t="shared" ca="1" si="3"/>
        <v>8</v>
      </c>
      <c r="AA7" s="461" t="str">
        <f t="shared" ca="1" si="3"/>
        <v>1</v>
      </c>
      <c r="AB7" s="474" t="str">
        <f t="shared" ca="1" si="3"/>
        <v>8</v>
      </c>
      <c r="AC7" s="475" t="str">
        <f t="shared" ca="1" si="3"/>
        <v>0</v>
      </c>
      <c r="AD7" s="477" t="str">
        <f t="shared" ca="1" si="4"/>
        <v>借</v>
      </c>
      <c r="AE7" s="478">
        <f t="shared" ca="1" si="5"/>
        <v>5913.27</v>
      </c>
      <c r="AF7" s="459" t="str">
        <f t="shared" ca="1" si="1"/>
        <v xml:space="preserve"> </v>
      </c>
      <c r="AG7" s="460" t="str">
        <f t="shared" ca="1" si="1"/>
        <v xml:space="preserve"> </v>
      </c>
      <c r="AH7" s="460" t="str">
        <f t="shared" ca="1" si="1"/>
        <v xml:space="preserve"> </v>
      </c>
      <c r="AI7" s="460" t="str">
        <f t="shared" ca="1" si="1"/>
        <v xml:space="preserve"> </v>
      </c>
      <c r="AJ7" s="460" t="str">
        <f t="shared" ca="1" si="1"/>
        <v>￥</v>
      </c>
      <c r="AK7" s="460" t="str">
        <f t="shared" ca="1" si="1"/>
        <v>5</v>
      </c>
      <c r="AL7" s="460" t="str">
        <f t="shared" ca="1" si="1"/>
        <v>9</v>
      </c>
      <c r="AM7" s="460" t="str">
        <f t="shared" ca="1" si="1"/>
        <v>1</v>
      </c>
      <c r="AN7" s="461" t="str">
        <f t="shared" ca="1" si="1"/>
        <v>3</v>
      </c>
      <c r="AO7" s="474" t="str">
        <f t="shared" ca="1" si="1"/>
        <v>2</v>
      </c>
      <c r="AP7" s="475" t="str">
        <f t="shared" ca="1" si="1"/>
        <v>7</v>
      </c>
      <c r="AQ7" s="479">
        <f t="array" aca="1" ref="AQ7" ca="1">IF(ROW()-5&lt;=COUNTIF(科目编号,$AR$2),SMALL(IF(科目编号=$AR$2,ROW(科目编号),""),ROW()-5),"")</f>
        <v>9</v>
      </c>
      <c r="AR7" s="480">
        <f ca="1">IF($BG$2=0,"",IF(AR6="本月合计","本年累计",IF(OR(ROW()=$AU$3,ROW()=$AV$3,ROW()=$AW$3,ROW()=$AX$3,ROW()=$AY$3,ROW()=$AZ$3,ROW()=$BA$3,ROW()=$BB$3,ROW()=$BC$3,ROW()=$BD$3,ROW()=$BE$3,ROW()=$BF$3),"本月合计",IF(ROW()&lt;7,$AQ$6,OFFSET($AQ$6,COUNT($AR6:AR$6),0)))))</f>
        <v>9</v>
      </c>
    </row>
    <row r="8" spans="1:59" ht="15" customHeight="1">
      <c r="A8" s="469">
        <f ca="1">IFERROR(INDEX(凭证录入!A:A,$AR8),"")</f>
        <v>1</v>
      </c>
      <c r="B8" s="469">
        <f ca="1">IFERROR(INDEX(凭证录入!B:B,$AR8),"")</f>
        <v>14</v>
      </c>
      <c r="C8" s="470" t="str">
        <f ca="1">IFERROR(INDEX(凭证录入!G:G,$AR8),"")</f>
        <v>银付</v>
      </c>
      <c r="D8" s="471">
        <f ca="1">IFERROR(INDEX(凭证录入!F:F,$AR8),"")</f>
        <v>2</v>
      </c>
      <c r="E8" s="472" t="str">
        <f ca="1">IFERROR(INDEX(凭证录入!H:H,$AR8),$AR8)</f>
        <v>电话银行年费</v>
      </c>
      <c r="F8" s="473">
        <f ca="1">IF(OR($BG$2=0,$AR8=""),,IF($AR8="本月合计",IF(ROW()=$BG$3,SUM($F$6:$F7),SUM(INDIRECT("$F$"&amp;OFFSET($AU$3,,MATCH(ROW(),$AU$3:$BF$3,)-2)+2&amp;":$E"&amp;ROW()-1))),IF($AR8="本年累计",SUMIF($AR$6:$AR8,"本月合计",$F$6:$F7),INDEX(凭证录入!K:K,$AR8))))</f>
        <v>0</v>
      </c>
      <c r="G8" s="459" t="str">
        <f t="shared" ca="1" si="2"/>
        <v/>
      </c>
      <c r="H8" s="460" t="str">
        <f t="shared" ca="1" si="2"/>
        <v/>
      </c>
      <c r="I8" s="460" t="str">
        <f t="shared" ca="1" si="2"/>
        <v/>
      </c>
      <c r="J8" s="460" t="str">
        <f t="shared" ca="1" si="2"/>
        <v/>
      </c>
      <c r="K8" s="460" t="str">
        <f t="shared" ca="1" si="2"/>
        <v/>
      </c>
      <c r="L8" s="460" t="str">
        <f t="shared" ca="1" si="2"/>
        <v/>
      </c>
      <c r="M8" s="460" t="str">
        <f t="shared" ca="1" si="2"/>
        <v/>
      </c>
      <c r="N8" s="460" t="str">
        <f t="shared" ca="1" si="2"/>
        <v/>
      </c>
      <c r="O8" s="461" t="str">
        <f t="shared" ca="1" si="2"/>
        <v/>
      </c>
      <c r="P8" s="474" t="str">
        <f t="shared" ca="1" si="2"/>
        <v/>
      </c>
      <c r="Q8" s="475" t="str">
        <f t="shared" ca="1" si="2"/>
        <v/>
      </c>
      <c r="R8" s="476">
        <f ca="1">IF(OR($BG$2=0,$AR8=""),,IF($AR8="本月合计",IF(ROW()=$BG$3,SUM($R$6:$R7),SUM(INDIRECT("$R$"&amp;OFFSET($AU$3,,MATCH(ROW(),$AU$3:$BF$3,)-2)+2&amp;":$R"&amp;ROW()-1))),IF($AR8="本年累计",SUMIF($AR$6:$AR8,"本月合计",$R$6:$R7),INDEX(凭证录入!L:L,$AR8))))</f>
        <v>37.5</v>
      </c>
      <c r="S8" s="459" t="str">
        <f t="shared" ca="1" si="3"/>
        <v xml:space="preserve"> </v>
      </c>
      <c r="T8" s="460" t="str">
        <f t="shared" ca="1" si="3"/>
        <v xml:space="preserve"> </v>
      </c>
      <c r="U8" s="460" t="str">
        <f t="shared" ca="1" si="3"/>
        <v xml:space="preserve"> </v>
      </c>
      <c r="V8" s="460" t="str">
        <f t="shared" ca="1" si="3"/>
        <v xml:space="preserve"> </v>
      </c>
      <c r="W8" s="460" t="str">
        <f t="shared" ca="1" si="3"/>
        <v xml:space="preserve"> </v>
      </c>
      <c r="X8" s="460" t="str">
        <f t="shared" ca="1" si="3"/>
        <v xml:space="preserve"> </v>
      </c>
      <c r="Y8" s="460" t="str">
        <f t="shared" ca="1" si="3"/>
        <v>￥</v>
      </c>
      <c r="Z8" s="460" t="str">
        <f t="shared" ca="1" si="3"/>
        <v>3</v>
      </c>
      <c r="AA8" s="461" t="str">
        <f t="shared" ca="1" si="3"/>
        <v>7</v>
      </c>
      <c r="AB8" s="474" t="str">
        <f t="shared" ca="1" si="3"/>
        <v>5</v>
      </c>
      <c r="AC8" s="475" t="str">
        <f t="shared" ca="1" si="3"/>
        <v>0</v>
      </c>
      <c r="AD8" s="477" t="str">
        <f t="shared" ca="1" si="4"/>
        <v>借</v>
      </c>
      <c r="AE8" s="478">
        <f t="shared" ca="1" si="5"/>
        <v>5875.77</v>
      </c>
      <c r="AF8" s="459" t="str">
        <f t="shared" ca="1" si="1"/>
        <v xml:space="preserve"> </v>
      </c>
      <c r="AG8" s="460" t="str">
        <f t="shared" ca="1" si="1"/>
        <v xml:space="preserve"> </v>
      </c>
      <c r="AH8" s="460" t="str">
        <f t="shared" ca="1" si="1"/>
        <v xml:space="preserve"> </v>
      </c>
      <c r="AI8" s="460" t="str">
        <f t="shared" ca="1" si="1"/>
        <v xml:space="preserve"> </v>
      </c>
      <c r="AJ8" s="460" t="str">
        <f t="shared" ca="1" si="1"/>
        <v>￥</v>
      </c>
      <c r="AK8" s="460" t="str">
        <f t="shared" ca="1" si="1"/>
        <v>5</v>
      </c>
      <c r="AL8" s="460" t="str">
        <f t="shared" ca="1" si="1"/>
        <v>8</v>
      </c>
      <c r="AM8" s="460" t="str">
        <f t="shared" ca="1" si="1"/>
        <v>7</v>
      </c>
      <c r="AN8" s="461" t="str">
        <f t="shared" ca="1" si="1"/>
        <v>5</v>
      </c>
      <c r="AO8" s="474" t="str">
        <f t="shared" ca="1" si="1"/>
        <v>7</v>
      </c>
      <c r="AP8" s="475" t="str">
        <f t="shared" ca="1" si="1"/>
        <v>7</v>
      </c>
      <c r="AQ8" s="479">
        <f t="array" aca="1" ref="AQ8" ca="1">IF(ROW()-5&lt;=COUNTIF(科目编号,$AR$2),SMALL(IF(科目编号=$AR$2,ROW(科目编号),""),ROW()-5),"")</f>
        <v>11</v>
      </c>
      <c r="AR8" s="480">
        <f ca="1">IF($BG$2=0,"",IF(AR7="本月合计","本年累计",IF(OR(ROW()=$AU$3,ROW()=$AV$3,ROW()=$AW$3,ROW()=$AX$3,ROW()=$AY$3,ROW()=$AZ$3,ROW()=$BA$3,ROW()=$BB$3,ROW()=$BC$3,ROW()=$BD$3,ROW()=$BE$3,ROW()=$BF$3),"本月合计",IF(ROW()&lt;7,$AQ$6,OFFSET($AQ$6,COUNT($AR$6:AR7),0)))))</f>
        <v>11</v>
      </c>
    </row>
    <row r="9" spans="1:59" ht="15" customHeight="1">
      <c r="A9" s="469" t="str">
        <f ca="1">IFERROR(INDEX(凭证录入!A:A,$AR9),"")</f>
        <v/>
      </c>
      <c r="B9" s="469" t="str">
        <f ca="1">IFERROR(INDEX(凭证录入!B:B,$AR9),"")</f>
        <v/>
      </c>
      <c r="C9" s="470" t="str">
        <f ca="1">IFERROR(INDEX(凭证录入!G:G,$AR9),"")</f>
        <v/>
      </c>
      <c r="D9" s="471" t="str">
        <f ca="1">IFERROR(INDEX(凭证录入!F:F,$AR9),"")</f>
        <v/>
      </c>
      <c r="E9" s="472" t="str">
        <f ca="1">IFERROR(INDEX(凭证录入!H:H,$AR9),$AR9)</f>
        <v>本月合计</v>
      </c>
      <c r="F9" s="473">
        <f ca="1">IF(OR($BG$2=0,$AR9=""),,IF($AR9="本月合计",IF(ROW()=$BG$3,SUM($F$6:$F8),SUM(INDIRECT("$F$"&amp;OFFSET($AU$3,,MATCH(ROW(),$AU$3:$BF$3,)-2)+2&amp;":$E"&amp;ROW()-1))),IF($AR9="本年累计",SUMIF($AR$6:$AR9,"本月合计",$F$6:$F8),INDEX(凭证录入!K:K,$AR9))))</f>
        <v>4000</v>
      </c>
      <c r="G9" s="459" t="str">
        <f t="shared" ca="1" si="2"/>
        <v xml:space="preserve"> </v>
      </c>
      <c r="H9" s="460" t="str">
        <f t="shared" ca="1" si="2"/>
        <v xml:space="preserve"> </v>
      </c>
      <c r="I9" s="460" t="str">
        <f t="shared" ca="1" si="2"/>
        <v xml:space="preserve"> </v>
      </c>
      <c r="J9" s="460" t="str">
        <f t="shared" ca="1" si="2"/>
        <v xml:space="preserve"> </v>
      </c>
      <c r="K9" s="460" t="str">
        <f t="shared" ca="1" si="2"/>
        <v>￥</v>
      </c>
      <c r="L9" s="460" t="str">
        <f t="shared" ca="1" si="2"/>
        <v>4</v>
      </c>
      <c r="M9" s="460" t="str">
        <f t="shared" ca="1" si="2"/>
        <v>0</v>
      </c>
      <c r="N9" s="460" t="str">
        <f t="shared" ca="1" si="2"/>
        <v>0</v>
      </c>
      <c r="O9" s="461" t="str">
        <f t="shared" ca="1" si="2"/>
        <v>0</v>
      </c>
      <c r="P9" s="474" t="str">
        <f t="shared" ca="1" si="2"/>
        <v>0</v>
      </c>
      <c r="Q9" s="475" t="str">
        <f t="shared" ca="1" si="2"/>
        <v>0</v>
      </c>
      <c r="R9" s="476">
        <f ca="1">IF(OR($BG$2=0,$AR9=""),,IF($AR9="本月合计",IF(ROW()=$BG$3,SUM($R$6:$R8),SUM(INDIRECT("$R$"&amp;OFFSET($AU$3,,MATCH(ROW(),$AU$3:$BF$3,)-2)+2&amp;":$R"&amp;ROW()-1))),IF($AR9="本年累计",SUMIF($AR$6:$AR9,"本月合计",$R$6:$R8),INDEX(凭证录入!L:L,$AR9))))</f>
        <v>5019.3</v>
      </c>
      <c r="S9" s="459" t="str">
        <f t="shared" ca="1" si="3"/>
        <v xml:space="preserve"> </v>
      </c>
      <c r="T9" s="460" t="str">
        <f t="shared" ca="1" si="3"/>
        <v xml:space="preserve"> </v>
      </c>
      <c r="U9" s="460" t="str">
        <f t="shared" ca="1" si="3"/>
        <v xml:space="preserve"> </v>
      </c>
      <c r="V9" s="460" t="str">
        <f t="shared" ca="1" si="3"/>
        <v xml:space="preserve"> </v>
      </c>
      <c r="W9" s="460" t="str">
        <f t="shared" ca="1" si="3"/>
        <v>￥</v>
      </c>
      <c r="X9" s="460" t="str">
        <f t="shared" ca="1" si="3"/>
        <v>5</v>
      </c>
      <c r="Y9" s="460" t="str">
        <f t="shared" ca="1" si="3"/>
        <v>0</v>
      </c>
      <c r="Z9" s="460" t="str">
        <f t="shared" ca="1" si="3"/>
        <v>1</v>
      </c>
      <c r="AA9" s="461" t="str">
        <f t="shared" ca="1" si="3"/>
        <v>9</v>
      </c>
      <c r="AB9" s="474" t="str">
        <f t="shared" ca="1" si="3"/>
        <v>3</v>
      </c>
      <c r="AC9" s="475" t="str">
        <f t="shared" ca="1" si="3"/>
        <v>0</v>
      </c>
      <c r="AD9" s="477" t="str">
        <f t="shared" ca="1" si="4"/>
        <v/>
      </c>
      <c r="AE9" s="478">
        <f t="shared" ca="1" si="5"/>
        <v>5875.77</v>
      </c>
      <c r="AF9" s="459" t="str">
        <f t="shared" ca="1" si="1"/>
        <v xml:space="preserve"> </v>
      </c>
      <c r="AG9" s="460" t="str">
        <f t="shared" ca="1" si="1"/>
        <v xml:space="preserve"> </v>
      </c>
      <c r="AH9" s="460" t="str">
        <f t="shared" ca="1" si="1"/>
        <v xml:space="preserve"> </v>
      </c>
      <c r="AI9" s="460" t="str">
        <f t="shared" ca="1" si="1"/>
        <v xml:space="preserve"> </v>
      </c>
      <c r="AJ9" s="460" t="str">
        <f t="shared" ca="1" si="1"/>
        <v>￥</v>
      </c>
      <c r="AK9" s="460" t="str">
        <f t="shared" ca="1" si="1"/>
        <v>5</v>
      </c>
      <c r="AL9" s="460" t="str">
        <f t="shared" ca="1" si="1"/>
        <v>8</v>
      </c>
      <c r="AM9" s="460" t="str">
        <f t="shared" ca="1" si="1"/>
        <v>7</v>
      </c>
      <c r="AN9" s="461" t="str">
        <f t="shared" ca="1" si="1"/>
        <v>5</v>
      </c>
      <c r="AO9" s="474" t="str">
        <f t="shared" ca="1" si="1"/>
        <v>7</v>
      </c>
      <c r="AP9" s="475" t="str">
        <f t="shared" ca="1" si="1"/>
        <v>7</v>
      </c>
      <c r="AQ9" s="479">
        <f t="array" aca="1" ref="AQ9" ca="1">IF(ROW()-5&lt;=COUNTIF(科目编号,$AR$2),SMALL(IF(科目编号=$AR$2,ROW(科目编号),""),ROW()-5),"")</f>
        <v>23</v>
      </c>
      <c r="AR9" s="480" t="str">
        <f ca="1">IF($BG$2=0,"",IF(AR8="本月合计","本年累计",IF(OR(ROW()=$AU$3,ROW()=$AV$3,ROW()=$AW$3,ROW()=$AX$3,ROW()=$AY$3,ROW()=$AZ$3,ROW()=$BA$3,ROW()=$BB$3,ROW()=$BC$3,ROW()=$BD$3,ROW()=$BE$3,ROW()=$BF$3),"本月合计",IF(ROW()&lt;7,$AQ$6,OFFSET($AQ$6,COUNT($AR$6:AR8),0)))))</f>
        <v>本月合计</v>
      </c>
    </row>
    <row r="10" spans="1:59" ht="15" customHeight="1">
      <c r="A10" s="469" t="str">
        <f ca="1">IFERROR(INDEX(凭证录入!A:A,$AR10),"")</f>
        <v/>
      </c>
      <c r="B10" s="469" t="str">
        <f ca="1">IFERROR(INDEX(凭证录入!B:B,$AR10),"")</f>
        <v/>
      </c>
      <c r="C10" s="470" t="str">
        <f ca="1">IFERROR(INDEX(凭证录入!G:G,$AR10),"")</f>
        <v/>
      </c>
      <c r="D10" s="471" t="str">
        <f ca="1">IFERROR(INDEX(凭证录入!F:F,$AR10),"")</f>
        <v/>
      </c>
      <c r="E10" s="472" t="str">
        <f ca="1">IFERROR(INDEX(凭证录入!H:H,$AR10),$AR10)</f>
        <v>本年累计</v>
      </c>
      <c r="F10" s="473">
        <f ca="1">IF(OR($BG$2=0,$AR10=""),,IF($AR10="本月合计",IF(ROW()=$BG$3,SUM($F$6:$F9),SUM(INDIRECT("$F$"&amp;OFFSET($AU$3,,MATCH(ROW(),$AU$3:$BF$3,)-2)+2&amp;":$E"&amp;ROW()-1))),IF($AR10="本年累计",SUMIF($AR$6:$AR10,"本月合计",$F$6:$F9),INDEX(凭证录入!K:K,$AR10))))</f>
        <v>4000</v>
      </c>
      <c r="G10" s="459" t="str">
        <f t="shared" ca="1" si="2"/>
        <v xml:space="preserve"> </v>
      </c>
      <c r="H10" s="460" t="str">
        <f t="shared" ca="1" si="2"/>
        <v xml:space="preserve"> </v>
      </c>
      <c r="I10" s="460" t="str">
        <f t="shared" ca="1" si="2"/>
        <v xml:space="preserve"> </v>
      </c>
      <c r="J10" s="460" t="str">
        <f t="shared" ca="1" si="2"/>
        <v xml:space="preserve"> </v>
      </c>
      <c r="K10" s="460" t="str">
        <f t="shared" ca="1" si="2"/>
        <v>￥</v>
      </c>
      <c r="L10" s="460" t="str">
        <f t="shared" ca="1" si="2"/>
        <v>4</v>
      </c>
      <c r="M10" s="460" t="str">
        <f t="shared" ca="1" si="2"/>
        <v>0</v>
      </c>
      <c r="N10" s="460" t="str">
        <f t="shared" ca="1" si="2"/>
        <v>0</v>
      </c>
      <c r="O10" s="461" t="str">
        <f t="shared" ca="1" si="2"/>
        <v>0</v>
      </c>
      <c r="P10" s="474" t="str">
        <f t="shared" ca="1" si="2"/>
        <v>0</v>
      </c>
      <c r="Q10" s="475" t="str">
        <f t="shared" ca="1" si="2"/>
        <v>0</v>
      </c>
      <c r="R10" s="476">
        <f ca="1">IF(OR($BG$2=0,$AR10=""),,IF($AR10="本月合计",IF(ROW()=$BG$3,SUM($R$6:$R9),SUM(INDIRECT("$R$"&amp;OFFSET($AU$3,,MATCH(ROW(),$AU$3:$BF$3,)-2)+2&amp;":$R"&amp;ROW()-1))),IF($AR10="本年累计",SUMIF($AR$6:$AR10,"本月合计",$R$6:$R9),INDEX(凭证录入!L:L,$AR10))))</f>
        <v>5019.3</v>
      </c>
      <c r="S10" s="459" t="str">
        <f t="shared" ca="1" si="3"/>
        <v xml:space="preserve"> </v>
      </c>
      <c r="T10" s="460" t="str">
        <f t="shared" ca="1" si="3"/>
        <v xml:space="preserve"> </v>
      </c>
      <c r="U10" s="460" t="str">
        <f t="shared" ca="1" si="3"/>
        <v xml:space="preserve"> </v>
      </c>
      <c r="V10" s="460" t="str">
        <f t="shared" ca="1" si="3"/>
        <v xml:space="preserve"> </v>
      </c>
      <c r="W10" s="460" t="str">
        <f t="shared" ca="1" si="3"/>
        <v>￥</v>
      </c>
      <c r="X10" s="460" t="str">
        <f t="shared" ca="1" si="3"/>
        <v>5</v>
      </c>
      <c r="Y10" s="460" t="str">
        <f t="shared" ca="1" si="3"/>
        <v>0</v>
      </c>
      <c r="Z10" s="460" t="str">
        <f t="shared" ca="1" si="3"/>
        <v>1</v>
      </c>
      <c r="AA10" s="461" t="str">
        <f t="shared" ca="1" si="3"/>
        <v>9</v>
      </c>
      <c r="AB10" s="474" t="str">
        <f t="shared" ca="1" si="3"/>
        <v>3</v>
      </c>
      <c r="AC10" s="475" t="str">
        <f t="shared" ca="1" si="3"/>
        <v>0</v>
      </c>
      <c r="AD10" s="477" t="str">
        <f t="shared" ca="1" si="4"/>
        <v/>
      </c>
      <c r="AE10" s="478">
        <f t="shared" ca="1" si="5"/>
        <v>5875.77</v>
      </c>
      <c r="AF10" s="459" t="str">
        <f t="shared" ca="1" si="1"/>
        <v xml:space="preserve"> </v>
      </c>
      <c r="AG10" s="460" t="str">
        <f t="shared" ca="1" si="1"/>
        <v xml:space="preserve"> </v>
      </c>
      <c r="AH10" s="460" t="str">
        <f t="shared" ca="1" si="1"/>
        <v xml:space="preserve"> </v>
      </c>
      <c r="AI10" s="460" t="str">
        <f t="shared" ca="1" si="1"/>
        <v xml:space="preserve"> </v>
      </c>
      <c r="AJ10" s="460" t="str">
        <f t="shared" ca="1" si="1"/>
        <v>￥</v>
      </c>
      <c r="AK10" s="460" t="str">
        <f t="shared" ca="1" si="1"/>
        <v>5</v>
      </c>
      <c r="AL10" s="460" t="str">
        <f t="shared" ca="1" si="1"/>
        <v>8</v>
      </c>
      <c r="AM10" s="460" t="str">
        <f t="shared" ca="1" si="1"/>
        <v>7</v>
      </c>
      <c r="AN10" s="461" t="str">
        <f t="shared" ca="1" si="1"/>
        <v>5</v>
      </c>
      <c r="AO10" s="474" t="str">
        <f t="shared" ca="1" si="1"/>
        <v>7</v>
      </c>
      <c r="AP10" s="475" t="str">
        <f t="shared" ca="1" si="1"/>
        <v>7</v>
      </c>
      <c r="AQ10" s="479">
        <f t="array" aca="1" ref="AQ10" ca="1">IF(ROW()-5&lt;=COUNTIF(科目编号,$AR$2),SMALL(IF(科目编号=$AR$2,ROW(科目编号),""),ROW()-5),"")</f>
        <v>28</v>
      </c>
      <c r="AR10" s="480" t="str">
        <f ca="1">IF($BG$2=0,"",IF(AR9="本月合计","本年累计",IF(OR(ROW()=$AU$3,ROW()=$AV$3,ROW()=$AW$3,ROW()=$AX$3,ROW()=$AY$3,ROW()=$AZ$3,ROW()=$BA$3,ROW()=$BB$3,ROW()=$BC$3,ROW()=$BD$3,ROW()=$BE$3,ROW()=$BF$3),"本月合计",IF(ROW()&lt;7,$AQ$6,OFFSET($AQ$6,COUNT($AR$6:AR9),0)))))</f>
        <v>本年累计</v>
      </c>
    </row>
    <row r="11" spans="1:59" ht="15" customHeight="1">
      <c r="A11" s="469">
        <f ca="1">IFERROR(INDEX(凭证录入!A:A,$AR11),"")</f>
        <v>2</v>
      </c>
      <c r="B11" s="469">
        <f ca="1">IFERROR(INDEX(凭证录入!B:B,$AR11),"")</f>
        <v>5</v>
      </c>
      <c r="C11" s="470" t="str">
        <f ca="1">IFERROR(INDEX(凭证录入!G:G,$AR11),"")</f>
        <v>银付</v>
      </c>
      <c r="D11" s="471">
        <f ca="1">IFERROR(INDEX(凭证录入!F:F,$AR11),"")</f>
        <v>1</v>
      </c>
      <c r="E11" s="472" t="str">
        <f ca="1">IFERROR(INDEX(凭证录入!H:H,$AR11),$AR11)</f>
        <v>票据交换费</v>
      </c>
      <c r="F11" s="473">
        <f ca="1">IF(OR($BG$2=0,$AR11=""),,IF($AR11="本月合计",IF(ROW()=$BG$3,SUM($F$6:$F10),SUM(INDIRECT("$F$"&amp;OFFSET($AU$3,,MATCH(ROW(),$AU$3:$BF$3,)-2)+2&amp;":$E"&amp;ROW()-1))),IF($AR11="本年累计",SUMIF($AR$6:$AR11,"本月合计",$F$6:$F10),INDEX(凭证录入!K:K,$AR11))))</f>
        <v>0</v>
      </c>
      <c r="G11" s="459" t="str">
        <f t="shared" ca="1" si="2"/>
        <v/>
      </c>
      <c r="H11" s="460" t="str">
        <f t="shared" ca="1" si="2"/>
        <v/>
      </c>
      <c r="I11" s="460" t="str">
        <f t="shared" ca="1" si="2"/>
        <v/>
      </c>
      <c r="J11" s="460" t="str">
        <f t="shared" ca="1" si="2"/>
        <v/>
      </c>
      <c r="K11" s="460" t="str">
        <f t="shared" ca="1" si="2"/>
        <v/>
      </c>
      <c r="L11" s="460" t="str">
        <f t="shared" ca="1" si="2"/>
        <v/>
      </c>
      <c r="M11" s="460" t="str">
        <f t="shared" ca="1" si="2"/>
        <v/>
      </c>
      <c r="N11" s="460" t="str">
        <f t="shared" ca="1" si="2"/>
        <v/>
      </c>
      <c r="O11" s="461" t="str">
        <f t="shared" ca="1" si="2"/>
        <v/>
      </c>
      <c r="P11" s="474" t="str">
        <f t="shared" ca="1" si="2"/>
        <v/>
      </c>
      <c r="Q11" s="475" t="str">
        <f t="shared" ca="1" si="2"/>
        <v/>
      </c>
      <c r="R11" s="476">
        <f ca="1">IF(OR($BG$2=0,$AR11=""),,IF($AR11="本月合计",IF(ROW()=$BG$3,SUM($R$6:$R10),SUM(INDIRECT("$R$"&amp;OFFSET($AU$3,,MATCH(ROW(),$AU$3:$BF$3,)-2)+2&amp;":$R"&amp;ROW()-1))),IF($AR11="本年累计",SUMIF($AR$6:$AR11,"本月合计",$R$6:$R10),INDEX(凭证录入!L:L,$AR11))))</f>
        <v>3</v>
      </c>
      <c r="S11" s="459" t="str">
        <f t="shared" ca="1" si="3"/>
        <v xml:space="preserve"> </v>
      </c>
      <c r="T11" s="460" t="str">
        <f t="shared" ca="1" si="3"/>
        <v xml:space="preserve"> </v>
      </c>
      <c r="U11" s="460" t="str">
        <f t="shared" ca="1" si="3"/>
        <v xml:space="preserve"> </v>
      </c>
      <c r="V11" s="460" t="str">
        <f t="shared" ca="1" si="3"/>
        <v xml:space="preserve"> </v>
      </c>
      <c r="W11" s="460" t="str">
        <f t="shared" ca="1" si="3"/>
        <v xml:space="preserve"> </v>
      </c>
      <c r="X11" s="460" t="str">
        <f t="shared" ca="1" si="3"/>
        <v xml:space="preserve"> </v>
      </c>
      <c r="Y11" s="460" t="str">
        <f t="shared" ca="1" si="3"/>
        <v xml:space="preserve"> </v>
      </c>
      <c r="Z11" s="460" t="str">
        <f t="shared" ca="1" si="3"/>
        <v>￥</v>
      </c>
      <c r="AA11" s="461" t="str">
        <f t="shared" ca="1" si="3"/>
        <v>3</v>
      </c>
      <c r="AB11" s="474" t="str">
        <f t="shared" ca="1" si="3"/>
        <v>0</v>
      </c>
      <c r="AC11" s="475" t="str">
        <f t="shared" ca="1" si="3"/>
        <v>0</v>
      </c>
      <c r="AD11" s="477" t="str">
        <f t="shared" ca="1" si="4"/>
        <v>借</v>
      </c>
      <c r="AE11" s="478">
        <f t="shared" ca="1" si="5"/>
        <v>5872.77</v>
      </c>
      <c r="AF11" s="459" t="str">
        <f t="shared" ca="1" si="1"/>
        <v xml:space="preserve"> </v>
      </c>
      <c r="AG11" s="460" t="str">
        <f t="shared" ca="1" si="1"/>
        <v xml:space="preserve"> </v>
      </c>
      <c r="AH11" s="460" t="str">
        <f t="shared" ca="1" si="1"/>
        <v xml:space="preserve"> </v>
      </c>
      <c r="AI11" s="460" t="str">
        <f t="shared" ca="1" si="1"/>
        <v xml:space="preserve"> </v>
      </c>
      <c r="AJ11" s="460" t="str">
        <f t="shared" ca="1" si="1"/>
        <v>￥</v>
      </c>
      <c r="AK11" s="460" t="str">
        <f t="shared" ca="1" si="1"/>
        <v>5</v>
      </c>
      <c r="AL11" s="460" t="str">
        <f t="shared" ca="1" si="1"/>
        <v>8</v>
      </c>
      <c r="AM11" s="460" t="str">
        <f t="shared" ca="1" si="1"/>
        <v>7</v>
      </c>
      <c r="AN11" s="461" t="str">
        <f t="shared" ca="1" si="1"/>
        <v>2</v>
      </c>
      <c r="AO11" s="474" t="str">
        <f t="shared" ca="1" si="1"/>
        <v>7</v>
      </c>
      <c r="AP11" s="475" t="str">
        <f t="shared" ca="1" si="1"/>
        <v>7</v>
      </c>
      <c r="AQ11" s="479">
        <f t="array" aca="1" ref="AQ11" ca="1">IF(ROW()-5&lt;=COUNTIF(科目编号,$AR$2),SMALL(IF(科目编号=$AR$2,ROW(科目编号),""),ROW()-5),"")</f>
        <v>30</v>
      </c>
      <c r="AR11" s="480">
        <f ca="1">IF($BG$2=0,"",IF(AR10="本月合计","本年累计",IF(OR(ROW()=$AU$3,ROW()=$AV$3,ROW()=$AW$3,ROW()=$AX$3,ROW()=$AY$3,ROW()=$AZ$3,ROW()=$BA$3,ROW()=$BB$3,ROW()=$BC$3,ROW()=$BD$3,ROW()=$BE$3,ROW()=$BF$3),"本月合计",IF(ROW()&lt;7,$AQ$6,OFFSET($AQ$6,COUNT($AR$6:AR10),0)))))</f>
        <v>23</v>
      </c>
    </row>
    <row r="12" spans="1:59" ht="15" customHeight="1">
      <c r="A12" s="469" t="str">
        <f ca="1">IFERROR(INDEX(凭证录入!A:A,$AR12),"")</f>
        <v/>
      </c>
      <c r="B12" s="469" t="str">
        <f ca="1">IFERROR(INDEX(凭证录入!B:B,$AR12),"")</f>
        <v/>
      </c>
      <c r="C12" s="470" t="str">
        <f ca="1">IFERROR(INDEX(凭证录入!G:G,$AR12),"")</f>
        <v/>
      </c>
      <c r="D12" s="471" t="str">
        <f ca="1">IFERROR(INDEX(凭证录入!F:F,$AR12),"")</f>
        <v/>
      </c>
      <c r="E12" s="472" t="str">
        <f ca="1">IFERROR(INDEX(凭证录入!H:H,$AR12),$AR12)</f>
        <v>本月合计</v>
      </c>
      <c r="F12" s="473">
        <f ca="1">IF(OR($BG$2=0,$AR12=""),,IF($AR12="本月合计",IF(ROW()=$BG$3,SUM($F$6:$F11),SUM(INDIRECT("$F$"&amp;OFFSET($AU$3,,MATCH(ROW(),$AU$3:$BF$3,)-2)+2&amp;":$E"&amp;ROW()-1))),IF($AR12="本年累计",SUMIF($AR$6:$AR12,"本月合计",$F$6:$F11),INDEX(凭证录入!K:K,$AR12))))</f>
        <v>0</v>
      </c>
      <c r="G12" s="459" t="str">
        <f t="shared" ca="1" si="2"/>
        <v/>
      </c>
      <c r="H12" s="460" t="str">
        <f t="shared" ca="1" si="2"/>
        <v/>
      </c>
      <c r="I12" s="460" t="str">
        <f t="shared" ca="1" si="2"/>
        <v/>
      </c>
      <c r="J12" s="460" t="str">
        <f t="shared" ca="1" si="2"/>
        <v/>
      </c>
      <c r="K12" s="460" t="str">
        <f t="shared" ca="1" si="2"/>
        <v/>
      </c>
      <c r="L12" s="460" t="str">
        <f t="shared" ca="1" si="2"/>
        <v/>
      </c>
      <c r="M12" s="460" t="str">
        <f t="shared" ca="1" si="2"/>
        <v/>
      </c>
      <c r="N12" s="460" t="str">
        <f t="shared" ca="1" si="2"/>
        <v/>
      </c>
      <c r="O12" s="461" t="str">
        <f t="shared" ca="1" si="2"/>
        <v/>
      </c>
      <c r="P12" s="474" t="str">
        <f t="shared" ca="1" si="2"/>
        <v/>
      </c>
      <c r="Q12" s="475" t="str">
        <f t="shared" ca="1" si="2"/>
        <v/>
      </c>
      <c r="R12" s="476">
        <f ca="1">IF(OR($BG$2=0,$AR12=""),,IF($AR12="本月合计",IF(ROW()=$BG$3,SUM($R$6:$R11),SUM(INDIRECT("$R$"&amp;OFFSET($AU$3,,MATCH(ROW(),$AU$3:$BF$3,)-2)+2&amp;":$R"&amp;ROW()-1))),IF($AR12="本年累计",SUMIF($AR$6:$AR12,"本月合计",$R$6:$R11),INDEX(凭证录入!L:L,$AR12))))</f>
        <v>3</v>
      </c>
      <c r="S12" s="459" t="str">
        <f t="shared" ca="1" si="3"/>
        <v xml:space="preserve"> </v>
      </c>
      <c r="T12" s="460" t="str">
        <f t="shared" ca="1" si="3"/>
        <v xml:space="preserve"> </v>
      </c>
      <c r="U12" s="460" t="str">
        <f t="shared" ca="1" si="3"/>
        <v xml:space="preserve"> </v>
      </c>
      <c r="V12" s="460" t="str">
        <f t="shared" ca="1" si="3"/>
        <v xml:space="preserve"> </v>
      </c>
      <c r="W12" s="460" t="str">
        <f t="shared" ca="1" si="3"/>
        <v xml:space="preserve"> </v>
      </c>
      <c r="X12" s="460" t="str">
        <f t="shared" ca="1" si="3"/>
        <v xml:space="preserve"> </v>
      </c>
      <c r="Y12" s="460" t="str">
        <f t="shared" ca="1" si="3"/>
        <v xml:space="preserve"> </v>
      </c>
      <c r="Z12" s="460" t="str">
        <f t="shared" ca="1" si="3"/>
        <v>￥</v>
      </c>
      <c r="AA12" s="461" t="str">
        <f t="shared" ca="1" si="3"/>
        <v>3</v>
      </c>
      <c r="AB12" s="474" t="str">
        <f t="shared" ca="1" si="3"/>
        <v>0</v>
      </c>
      <c r="AC12" s="475" t="str">
        <f t="shared" ca="1" si="3"/>
        <v>0</v>
      </c>
      <c r="AD12" s="477" t="str">
        <f t="shared" ca="1" si="4"/>
        <v/>
      </c>
      <c r="AE12" s="478">
        <f t="shared" ca="1" si="5"/>
        <v>5872.77</v>
      </c>
      <c r="AF12" s="459" t="str">
        <f t="shared" ca="1" si="1"/>
        <v xml:space="preserve"> </v>
      </c>
      <c r="AG12" s="460" t="str">
        <f t="shared" ca="1" si="1"/>
        <v xml:space="preserve"> </v>
      </c>
      <c r="AH12" s="460" t="str">
        <f t="shared" ca="1" si="1"/>
        <v xml:space="preserve"> </v>
      </c>
      <c r="AI12" s="460" t="str">
        <f t="shared" ca="1" si="1"/>
        <v xml:space="preserve"> </v>
      </c>
      <c r="AJ12" s="460" t="str">
        <f t="shared" ca="1" si="1"/>
        <v>￥</v>
      </c>
      <c r="AK12" s="460" t="str">
        <f t="shared" ca="1" si="1"/>
        <v>5</v>
      </c>
      <c r="AL12" s="460" t="str">
        <f t="shared" ca="1" si="1"/>
        <v>8</v>
      </c>
      <c r="AM12" s="460" t="str">
        <f t="shared" ca="1" si="1"/>
        <v>7</v>
      </c>
      <c r="AN12" s="461" t="str">
        <f t="shared" ca="1" si="1"/>
        <v>2</v>
      </c>
      <c r="AO12" s="474" t="str">
        <f t="shared" ca="1" si="1"/>
        <v>7</v>
      </c>
      <c r="AP12" s="475" t="str">
        <f t="shared" ca="1" si="1"/>
        <v>7</v>
      </c>
      <c r="AQ12" s="479">
        <f t="array" aca="1" ref="AQ12" ca="1">IF(ROW()-5&lt;=COUNTIF(科目编号,$AR$2),SMALL(IF(科目编号=$AR$2,ROW(科目编号),""),ROW()-5),"")</f>
        <v>31</v>
      </c>
      <c r="AR12" s="480" t="str">
        <f ca="1">IF($BG$2=0,"",IF(AR11="本月合计","本年累计",IF(OR(ROW()=$AU$3,ROW()=$AV$3,ROW()=$AW$3,ROW()=$AX$3,ROW()=$AY$3,ROW()=$AZ$3,ROW()=$BA$3,ROW()=$BB$3,ROW()=$BC$3,ROW()=$BD$3,ROW()=$BE$3,ROW()=$BF$3),"本月合计",IF(ROW()&lt;7,$AQ$6,OFFSET($AQ$6,COUNT($AR$6:AR11),0)))))</f>
        <v>本月合计</v>
      </c>
    </row>
    <row r="13" spans="1:59" ht="15" customHeight="1">
      <c r="A13" s="469" t="str">
        <f ca="1">IFERROR(INDEX(凭证录入!A:A,$AR13),"")</f>
        <v/>
      </c>
      <c r="B13" s="469" t="str">
        <f ca="1">IFERROR(INDEX(凭证录入!B:B,$AR13),"")</f>
        <v/>
      </c>
      <c r="C13" s="470" t="str">
        <f ca="1">IFERROR(INDEX(凭证录入!G:G,$AR13),"")</f>
        <v/>
      </c>
      <c r="D13" s="471" t="str">
        <f ca="1">IFERROR(INDEX(凭证录入!F:F,$AR13),"")</f>
        <v/>
      </c>
      <c r="E13" s="472" t="str">
        <f ca="1">IFERROR(INDEX(凭证录入!H:H,$AR13),$AR13)</f>
        <v>本年累计</v>
      </c>
      <c r="F13" s="473">
        <f ca="1">IF(OR($BG$2=0,$AR13=""),,IF($AR13="本月合计",IF(ROW()=$BG$3,SUM($F$6:$F12),SUM(INDIRECT("$F$"&amp;OFFSET($AU$3,,MATCH(ROW(),$AU$3:$BF$3,)-2)+2&amp;":$E"&amp;ROW()-1))),IF($AR13="本年累计",SUMIF($AR$6:$AR13,"本月合计",$F$6:$F12),INDEX(凭证录入!K:K,$AR13))))</f>
        <v>4000</v>
      </c>
      <c r="G13" s="459" t="str">
        <f t="shared" ca="1" si="2"/>
        <v xml:space="preserve"> </v>
      </c>
      <c r="H13" s="460" t="str">
        <f t="shared" ca="1" si="2"/>
        <v xml:space="preserve"> </v>
      </c>
      <c r="I13" s="460" t="str">
        <f t="shared" ca="1" si="2"/>
        <v xml:space="preserve"> </v>
      </c>
      <c r="J13" s="460" t="str">
        <f t="shared" ca="1" si="2"/>
        <v xml:space="preserve"> </v>
      </c>
      <c r="K13" s="460" t="str">
        <f t="shared" ca="1" si="2"/>
        <v>￥</v>
      </c>
      <c r="L13" s="460" t="str">
        <f t="shared" ca="1" si="2"/>
        <v>4</v>
      </c>
      <c r="M13" s="460" t="str">
        <f t="shared" ca="1" si="2"/>
        <v>0</v>
      </c>
      <c r="N13" s="460" t="str">
        <f t="shared" ca="1" si="2"/>
        <v>0</v>
      </c>
      <c r="O13" s="461" t="str">
        <f t="shared" ca="1" si="2"/>
        <v>0</v>
      </c>
      <c r="P13" s="474" t="str">
        <f t="shared" ca="1" si="2"/>
        <v>0</v>
      </c>
      <c r="Q13" s="475" t="str">
        <f t="shared" ca="1" si="2"/>
        <v>0</v>
      </c>
      <c r="R13" s="476">
        <f ca="1">IF(OR($BG$2=0,$AR13=""),,IF($AR13="本月合计",IF(ROW()=$BG$3,SUM($R$6:$R12),SUM(INDIRECT("$R$"&amp;OFFSET($AU$3,,MATCH(ROW(),$AU$3:$BF$3,)-2)+2&amp;":$R"&amp;ROW()-1))),IF($AR13="本年累计",SUMIF($AR$6:$AR13,"本月合计",$R$6:$R12),INDEX(凭证录入!L:L,$AR13))))</f>
        <v>5022.3</v>
      </c>
      <c r="S13" s="459" t="str">
        <f t="shared" ca="1" si="3"/>
        <v xml:space="preserve"> </v>
      </c>
      <c r="T13" s="460" t="str">
        <f t="shared" ca="1" si="3"/>
        <v xml:space="preserve"> </v>
      </c>
      <c r="U13" s="460" t="str">
        <f t="shared" ca="1" si="3"/>
        <v xml:space="preserve"> </v>
      </c>
      <c r="V13" s="460" t="str">
        <f t="shared" ca="1" si="3"/>
        <v xml:space="preserve"> </v>
      </c>
      <c r="W13" s="460" t="str">
        <f t="shared" ca="1" si="3"/>
        <v>￥</v>
      </c>
      <c r="X13" s="460" t="str">
        <f t="shared" ca="1" si="3"/>
        <v>5</v>
      </c>
      <c r="Y13" s="460" t="str">
        <f t="shared" ca="1" si="3"/>
        <v>0</v>
      </c>
      <c r="Z13" s="460" t="str">
        <f t="shared" ca="1" si="3"/>
        <v>2</v>
      </c>
      <c r="AA13" s="461" t="str">
        <f t="shared" ca="1" si="3"/>
        <v>2</v>
      </c>
      <c r="AB13" s="474" t="str">
        <f t="shared" ca="1" si="3"/>
        <v>3</v>
      </c>
      <c r="AC13" s="475" t="str">
        <f t="shared" ca="1" si="3"/>
        <v>0</v>
      </c>
      <c r="AD13" s="477" t="str">
        <f t="shared" ca="1" si="4"/>
        <v/>
      </c>
      <c r="AE13" s="478">
        <f t="shared" ca="1" si="5"/>
        <v>5872.77</v>
      </c>
      <c r="AF13" s="459" t="str">
        <f t="shared" ca="1" si="1"/>
        <v xml:space="preserve"> </v>
      </c>
      <c r="AG13" s="460" t="str">
        <f t="shared" ca="1" si="1"/>
        <v xml:space="preserve"> </v>
      </c>
      <c r="AH13" s="460" t="str">
        <f t="shared" ca="1" si="1"/>
        <v xml:space="preserve"> </v>
      </c>
      <c r="AI13" s="460" t="str">
        <f t="shared" ca="1" si="1"/>
        <v xml:space="preserve"> </v>
      </c>
      <c r="AJ13" s="460" t="str">
        <f t="shared" ca="1" si="1"/>
        <v>￥</v>
      </c>
      <c r="AK13" s="460" t="str">
        <f t="shared" ca="1" si="1"/>
        <v>5</v>
      </c>
      <c r="AL13" s="460" t="str">
        <f t="shared" ca="1" si="1"/>
        <v>8</v>
      </c>
      <c r="AM13" s="460" t="str">
        <f t="shared" ca="1" si="1"/>
        <v>7</v>
      </c>
      <c r="AN13" s="461" t="str">
        <f t="shared" ca="1" si="1"/>
        <v>2</v>
      </c>
      <c r="AO13" s="474" t="str">
        <f t="shared" ca="1" si="1"/>
        <v>7</v>
      </c>
      <c r="AP13" s="475" t="str">
        <f t="shared" ca="1" si="1"/>
        <v>7</v>
      </c>
      <c r="AQ13" s="479">
        <f t="array" aca="1" ref="AQ13" ca="1">IF(ROW()-5&lt;=COUNTIF(科目编号,$AR$2),SMALL(IF(科目编号=$AR$2,ROW(科目编号),""),ROW()-5),"")</f>
        <v>36</v>
      </c>
      <c r="AR13" s="480" t="str">
        <f ca="1">IF($BG$2=0,"",IF(AR12="本月合计","本年累计",IF(OR(ROW()=$AU$3,ROW()=$AV$3,ROW()=$AW$3,ROW()=$AX$3,ROW()=$AY$3,ROW()=$AZ$3,ROW()=$BA$3,ROW()=$BB$3,ROW()=$BC$3,ROW()=$BD$3,ROW()=$BE$3,ROW()=$BF$3),"本月合计",IF(ROW()&lt;7,$AQ$6,OFFSET($AQ$6,COUNT($AR$6:AR12),0)))))</f>
        <v>本年累计</v>
      </c>
    </row>
    <row r="14" spans="1:59" ht="15" customHeight="1">
      <c r="A14" s="469">
        <f ca="1">IFERROR(INDEX(凭证录入!A:A,$AR14),"")</f>
        <v>3</v>
      </c>
      <c r="B14" s="469">
        <f ca="1">IFERROR(INDEX(凭证录入!B:B,$AR14),"")</f>
        <v>17</v>
      </c>
      <c r="C14" s="470" t="str">
        <f ca="1">IFERROR(INDEX(凭证录入!G:G,$AR14),"")</f>
        <v>银付</v>
      </c>
      <c r="D14" s="471">
        <f ca="1">IFERROR(INDEX(凭证录入!F:F,$AR14),"")</f>
        <v>1</v>
      </c>
      <c r="E14" s="472" t="str">
        <f ca="1">IFERROR(INDEX(凭证录入!H:H,$AR14),$AR14)</f>
        <v>支付3月社保</v>
      </c>
      <c r="F14" s="473">
        <f ca="1">IF(OR($BG$2=0,$AR14=""),,IF($AR14="本月合计",IF(ROW()=$BG$3,SUM($F$6:$F13),SUM(INDIRECT("$F$"&amp;OFFSET($AU$3,,MATCH(ROW(),$AU$3:$BF$3,)-2)+2&amp;":$E"&amp;ROW()-1))),IF($AR14="本年累计",SUMIF($AR$6:$AR14,"本月合计",$F$6:$F13),INDEX(凭证录入!K:K,$AR14))))</f>
        <v>0</v>
      </c>
      <c r="G14" s="459" t="str">
        <f t="shared" ca="1" si="2"/>
        <v/>
      </c>
      <c r="H14" s="460" t="str">
        <f t="shared" ca="1" si="2"/>
        <v/>
      </c>
      <c r="I14" s="460" t="str">
        <f t="shared" ca="1" si="2"/>
        <v/>
      </c>
      <c r="J14" s="460" t="str">
        <f t="shared" ca="1" si="2"/>
        <v/>
      </c>
      <c r="K14" s="460" t="str">
        <f t="shared" ca="1" si="2"/>
        <v/>
      </c>
      <c r="L14" s="460" t="str">
        <f t="shared" ca="1" si="2"/>
        <v/>
      </c>
      <c r="M14" s="460" t="str">
        <f t="shared" ca="1" si="2"/>
        <v/>
      </c>
      <c r="N14" s="460" t="str">
        <f t="shared" ca="1" si="2"/>
        <v/>
      </c>
      <c r="O14" s="461" t="str">
        <f t="shared" ca="1" si="2"/>
        <v/>
      </c>
      <c r="P14" s="474" t="str">
        <f t="shared" ca="1" si="2"/>
        <v/>
      </c>
      <c r="Q14" s="475" t="str">
        <f t="shared" ca="1" si="2"/>
        <v/>
      </c>
      <c r="R14" s="476">
        <f ca="1">IF(OR($BG$2=0,$AR14=""),,IF($AR14="本月合计",IF(ROW()=$BG$3,SUM($R$6:$R13),SUM(INDIRECT("$R$"&amp;OFFSET($AU$3,,MATCH(ROW(),$AU$3:$BF$3,)-2)+2&amp;":$R"&amp;ROW()-1))),IF($AR14="本年累计",SUMIF($AR$6:$AR14,"本月合计",$R$6:$R13),INDEX(凭证录入!L:L,$AR14))))</f>
        <v>124.34</v>
      </c>
      <c r="S14" s="459" t="str">
        <f t="shared" ca="1" si="3"/>
        <v xml:space="preserve"> </v>
      </c>
      <c r="T14" s="460" t="str">
        <f t="shared" ca="1" si="3"/>
        <v xml:space="preserve"> </v>
      </c>
      <c r="U14" s="460" t="str">
        <f t="shared" ca="1" si="3"/>
        <v xml:space="preserve"> </v>
      </c>
      <c r="V14" s="460" t="str">
        <f t="shared" ca="1" si="3"/>
        <v xml:space="preserve"> </v>
      </c>
      <c r="W14" s="460" t="str">
        <f t="shared" ca="1" si="3"/>
        <v xml:space="preserve"> </v>
      </c>
      <c r="X14" s="460" t="str">
        <f t="shared" ca="1" si="3"/>
        <v>￥</v>
      </c>
      <c r="Y14" s="460" t="str">
        <f t="shared" ca="1" si="3"/>
        <v>1</v>
      </c>
      <c r="Z14" s="460" t="str">
        <f t="shared" ca="1" si="3"/>
        <v>2</v>
      </c>
      <c r="AA14" s="461" t="str">
        <f t="shared" ca="1" si="3"/>
        <v>4</v>
      </c>
      <c r="AB14" s="474" t="str">
        <f t="shared" ca="1" si="3"/>
        <v>3</v>
      </c>
      <c r="AC14" s="475" t="str">
        <f t="shared" ca="1" si="3"/>
        <v>4</v>
      </c>
      <c r="AD14" s="477" t="str">
        <f t="shared" ca="1" si="4"/>
        <v>借</v>
      </c>
      <c r="AE14" s="478">
        <f t="shared" ca="1" si="5"/>
        <v>5748.43</v>
      </c>
      <c r="AF14" s="459" t="str">
        <f t="shared" ca="1" si="1"/>
        <v xml:space="preserve"> </v>
      </c>
      <c r="AG14" s="460" t="str">
        <f t="shared" ca="1" si="1"/>
        <v xml:space="preserve"> </v>
      </c>
      <c r="AH14" s="460" t="str">
        <f t="shared" ca="1" si="1"/>
        <v xml:space="preserve"> </v>
      </c>
      <c r="AI14" s="460" t="str">
        <f t="shared" ca="1" si="1"/>
        <v xml:space="preserve"> </v>
      </c>
      <c r="AJ14" s="460" t="str">
        <f t="shared" ca="1" si="1"/>
        <v>￥</v>
      </c>
      <c r="AK14" s="460" t="str">
        <f t="shared" ca="1" si="1"/>
        <v>5</v>
      </c>
      <c r="AL14" s="460" t="str">
        <f t="shared" ca="1" si="1"/>
        <v>7</v>
      </c>
      <c r="AM14" s="460" t="str">
        <f t="shared" ca="1" si="1"/>
        <v>4</v>
      </c>
      <c r="AN14" s="461" t="str">
        <f t="shared" ca="1" si="1"/>
        <v>8</v>
      </c>
      <c r="AO14" s="474" t="str">
        <f t="shared" ca="1" si="1"/>
        <v>4</v>
      </c>
      <c r="AP14" s="475" t="str">
        <f t="shared" ca="1" si="1"/>
        <v>3</v>
      </c>
      <c r="AQ14" s="479">
        <f t="array" aca="1" ref="AQ14" ca="1">IF(ROW()-5&lt;=COUNTIF(科目编号,$AR$2),SMALL(IF(科目编号=$AR$2,ROW(科目编号),""),ROW()-5),"")</f>
        <v>38</v>
      </c>
      <c r="AR14" s="480">
        <f ca="1">IF($BG$2=0,"",IF(AR13="本月合计","本年累计",IF(OR(ROW()=$AU$3,ROW()=$AV$3,ROW()=$AW$3,ROW()=$AX$3,ROW()=$AY$3,ROW()=$AZ$3,ROW()=$BA$3,ROW()=$BB$3,ROW()=$BC$3,ROW()=$BD$3,ROW()=$BE$3,ROW()=$BF$3),"本月合计",IF(ROW()&lt;7,$AQ$6,OFFSET($AQ$6,COUNT($AR$6:AR13),0)))))</f>
        <v>28</v>
      </c>
    </row>
    <row r="15" spans="1:59" ht="15" customHeight="1">
      <c r="A15" s="469">
        <f ca="1">IFERROR(INDEX(凭证录入!A:A,$AR15),"")</f>
        <v>3</v>
      </c>
      <c r="B15" s="469">
        <f ca="1">IFERROR(INDEX(凭证录入!B:B,$AR15),"")</f>
        <v>19</v>
      </c>
      <c r="C15" s="470" t="str">
        <f ca="1">IFERROR(INDEX(凭证录入!G:G,$AR15),"")</f>
        <v>银付</v>
      </c>
      <c r="D15" s="471">
        <f ca="1">IFERROR(INDEX(凭证录入!F:F,$AR15),"")</f>
        <v>2</v>
      </c>
      <c r="E15" s="472" t="str">
        <f ca="1">IFERROR(INDEX(凭证录入!H:H,$AR15),$AR15)</f>
        <v>企业网银费</v>
      </c>
      <c r="F15" s="473">
        <f ca="1">IF(OR($BG$2=0,$AR15=""),,IF($AR15="本月合计",IF(ROW()=$BG$3,SUM($F$6:$F14),SUM(INDIRECT("$F$"&amp;OFFSET($AU$3,,MATCH(ROW(),$AU$3:$BF$3,)-2)+2&amp;":$E"&amp;ROW()-1))),IF($AR15="本年累计",SUMIF($AR$6:$AR15,"本月合计",$F$6:$F14),INDEX(凭证录入!K:K,$AR15))))</f>
        <v>0</v>
      </c>
      <c r="G15" s="459" t="str">
        <f t="shared" ca="1" si="2"/>
        <v/>
      </c>
      <c r="H15" s="460" t="str">
        <f t="shared" ca="1" si="2"/>
        <v/>
      </c>
      <c r="I15" s="460" t="str">
        <f t="shared" ca="1" si="2"/>
        <v/>
      </c>
      <c r="J15" s="460" t="str">
        <f t="shared" ca="1" si="2"/>
        <v/>
      </c>
      <c r="K15" s="460" t="str">
        <f t="shared" ca="1" si="2"/>
        <v/>
      </c>
      <c r="L15" s="460" t="str">
        <f t="shared" ca="1" si="2"/>
        <v/>
      </c>
      <c r="M15" s="460" t="str">
        <f t="shared" ca="1" si="2"/>
        <v/>
      </c>
      <c r="N15" s="460" t="str">
        <f t="shared" ca="1" si="2"/>
        <v/>
      </c>
      <c r="O15" s="461" t="str">
        <f t="shared" ca="1" si="2"/>
        <v/>
      </c>
      <c r="P15" s="474" t="str">
        <f t="shared" ca="1" si="2"/>
        <v/>
      </c>
      <c r="Q15" s="475" t="str">
        <f t="shared" ca="1" si="2"/>
        <v/>
      </c>
      <c r="R15" s="476">
        <f ca="1">IF(OR($BG$2=0,$AR15=""),,IF($AR15="本月合计",IF(ROW()=$BG$3,SUM($R$6:$R14),SUM(INDIRECT("$R$"&amp;OFFSET($AU$3,,MATCH(ROW(),$AU$3:$BF$3,)-2)+2&amp;":$R"&amp;ROW()-1))),IF($AR15="本年累计",SUMIF($AR$6:$AR15,"本月合计",$R$6:$R14),INDEX(凭证录入!L:L,$AR15))))</f>
        <v>400</v>
      </c>
      <c r="S15" s="459" t="str">
        <f t="shared" ca="1" si="3"/>
        <v xml:space="preserve"> </v>
      </c>
      <c r="T15" s="460" t="str">
        <f t="shared" ca="1" si="3"/>
        <v xml:space="preserve"> </v>
      </c>
      <c r="U15" s="460" t="str">
        <f t="shared" ca="1" si="3"/>
        <v xml:space="preserve"> </v>
      </c>
      <c r="V15" s="460" t="str">
        <f t="shared" ca="1" si="3"/>
        <v xml:space="preserve"> </v>
      </c>
      <c r="W15" s="460" t="str">
        <f t="shared" ca="1" si="3"/>
        <v xml:space="preserve"> </v>
      </c>
      <c r="X15" s="460" t="str">
        <f t="shared" ca="1" si="3"/>
        <v>￥</v>
      </c>
      <c r="Y15" s="460" t="str">
        <f t="shared" ca="1" si="3"/>
        <v>4</v>
      </c>
      <c r="Z15" s="460" t="str">
        <f t="shared" ca="1" si="3"/>
        <v>0</v>
      </c>
      <c r="AA15" s="461" t="str">
        <f t="shared" ca="1" si="3"/>
        <v>0</v>
      </c>
      <c r="AB15" s="474" t="str">
        <f t="shared" ca="1" si="3"/>
        <v>0</v>
      </c>
      <c r="AC15" s="475" t="str">
        <f t="shared" ca="1" si="3"/>
        <v>0</v>
      </c>
      <c r="AD15" s="477" t="str">
        <f t="shared" ca="1" si="4"/>
        <v>借</v>
      </c>
      <c r="AE15" s="478">
        <f t="shared" ca="1" si="5"/>
        <v>5348.43</v>
      </c>
      <c r="AF15" s="459" t="str">
        <f t="shared" ca="1" si="1"/>
        <v xml:space="preserve"> </v>
      </c>
      <c r="AG15" s="460" t="str">
        <f t="shared" ca="1" si="1"/>
        <v xml:space="preserve"> </v>
      </c>
      <c r="AH15" s="460" t="str">
        <f t="shared" ca="1" si="1"/>
        <v xml:space="preserve"> </v>
      </c>
      <c r="AI15" s="460" t="str">
        <f t="shared" ca="1" si="1"/>
        <v xml:space="preserve"> </v>
      </c>
      <c r="AJ15" s="460" t="str">
        <f t="shared" ca="1" si="1"/>
        <v>￥</v>
      </c>
      <c r="AK15" s="460" t="str">
        <f t="shared" ca="1" si="1"/>
        <v>5</v>
      </c>
      <c r="AL15" s="460" t="str">
        <f t="shared" ca="1" si="1"/>
        <v>3</v>
      </c>
      <c r="AM15" s="460" t="str">
        <f t="shared" ca="1" si="1"/>
        <v>4</v>
      </c>
      <c r="AN15" s="461" t="str">
        <f t="shared" ca="1" si="1"/>
        <v>8</v>
      </c>
      <c r="AO15" s="474" t="str">
        <f t="shared" ca="1" si="1"/>
        <v>4</v>
      </c>
      <c r="AP15" s="475" t="str">
        <f t="shared" ca="1" si="1"/>
        <v>3</v>
      </c>
      <c r="AQ15" s="479">
        <f t="array" aca="1" ref="AQ15" ca="1">IF(ROW()-5&lt;=COUNTIF(科目编号,$AR$2),SMALL(IF(科目编号=$AR$2,ROW(科目编号),""),ROW()-5),"")</f>
        <v>48</v>
      </c>
      <c r="AR15" s="480">
        <f ca="1">IF($BG$2=0,"",IF(AR14="本月合计","本年累计",IF(OR(ROW()=$AU$3,ROW()=$AV$3,ROW()=$AW$3,ROW()=$AX$3,ROW()=$AY$3,ROW()=$AZ$3,ROW()=$BA$3,ROW()=$BB$3,ROW()=$BC$3,ROW()=$BD$3,ROW()=$BE$3,ROW()=$BF$3),"本月合计",IF(ROW()&lt;7,$AQ$6,OFFSET($AQ$6,COUNT($AR$6:AR14),0)))))</f>
        <v>30</v>
      </c>
    </row>
    <row r="16" spans="1:59" ht="15" customHeight="1">
      <c r="A16" s="469">
        <f ca="1">IFERROR(INDEX(凭证录入!A:A,$AR16),"")</f>
        <v>3</v>
      </c>
      <c r="B16" s="469">
        <f ca="1">IFERROR(INDEX(凭证录入!B:B,$AR16),"")</f>
        <v>21</v>
      </c>
      <c r="C16" s="470" t="str">
        <f ca="1">IFERROR(INDEX(凭证录入!G:G,$AR16),"")</f>
        <v>银收</v>
      </c>
      <c r="D16" s="471">
        <f ca="1">IFERROR(INDEX(凭证录入!F:F,$AR16),"")</f>
        <v>1</v>
      </c>
      <c r="E16" s="472" t="str">
        <f ca="1">IFERROR(INDEX(凭证录入!H:H,$AR16),$AR16)</f>
        <v>收一季度利息</v>
      </c>
      <c r="F16" s="473">
        <f ca="1">IF(OR($BG$2=0,$AR16=""),,IF($AR16="本月合计",IF(ROW()=$BG$3,SUM($F$6:$F15),SUM(INDIRECT("$F$"&amp;OFFSET($AU$3,,MATCH(ROW(),$AU$3:$BF$3,)-2)+2&amp;":$E"&amp;ROW()-1))),IF($AR16="本年累计",SUMIF($AR$6:$AR16,"本月合计",$F$6:$F15),INDEX(凭证录入!K:K,$AR16))))</f>
        <v>270.79000000000002</v>
      </c>
      <c r="G16" s="459" t="str">
        <f t="shared" ca="1" si="2"/>
        <v xml:space="preserve"> </v>
      </c>
      <c r="H16" s="460" t="str">
        <f t="shared" ca="1" si="2"/>
        <v xml:space="preserve"> </v>
      </c>
      <c r="I16" s="460" t="str">
        <f t="shared" ca="1" si="2"/>
        <v xml:space="preserve"> </v>
      </c>
      <c r="J16" s="460" t="str">
        <f t="shared" ca="1" si="2"/>
        <v xml:space="preserve"> </v>
      </c>
      <c r="K16" s="460" t="str">
        <f t="shared" ca="1" si="2"/>
        <v xml:space="preserve"> </v>
      </c>
      <c r="L16" s="460" t="str">
        <f t="shared" ca="1" si="2"/>
        <v>￥</v>
      </c>
      <c r="M16" s="460" t="str">
        <f t="shared" ca="1" si="2"/>
        <v>2</v>
      </c>
      <c r="N16" s="460" t="str">
        <f t="shared" ca="1" si="2"/>
        <v>7</v>
      </c>
      <c r="O16" s="461" t="str">
        <f t="shared" ca="1" si="2"/>
        <v>0</v>
      </c>
      <c r="P16" s="474" t="str">
        <f t="shared" ca="1" si="2"/>
        <v>7</v>
      </c>
      <c r="Q16" s="475" t="str">
        <f t="shared" ca="1" si="2"/>
        <v>9</v>
      </c>
      <c r="R16" s="476">
        <f ca="1">IF(OR($BG$2=0,$AR16=""),,IF($AR16="本月合计",IF(ROW()=$BG$3,SUM($R$6:$R15),SUM(INDIRECT("$R$"&amp;OFFSET($AU$3,,MATCH(ROW(),$AU$3:$BF$3,)-2)+2&amp;":$R"&amp;ROW()-1))),IF($AR16="本年累计",SUMIF($AR$6:$AR16,"本月合计",$R$6:$R15),INDEX(凭证录入!L:L,$AR16))))</f>
        <v>0</v>
      </c>
      <c r="S16" s="459" t="str">
        <f t="shared" ca="1" si="3"/>
        <v/>
      </c>
      <c r="T16" s="460" t="str">
        <f t="shared" ca="1" si="3"/>
        <v/>
      </c>
      <c r="U16" s="460" t="str">
        <f t="shared" ca="1" si="3"/>
        <v/>
      </c>
      <c r="V16" s="460" t="str">
        <f t="shared" ca="1" si="3"/>
        <v/>
      </c>
      <c r="W16" s="460" t="str">
        <f t="shared" ca="1" si="3"/>
        <v/>
      </c>
      <c r="X16" s="460" t="str">
        <f t="shared" ca="1" si="3"/>
        <v/>
      </c>
      <c r="Y16" s="460" t="str">
        <f t="shared" ca="1" si="3"/>
        <v/>
      </c>
      <c r="Z16" s="460" t="str">
        <f t="shared" ca="1" si="3"/>
        <v/>
      </c>
      <c r="AA16" s="461" t="str">
        <f t="shared" ca="1" si="3"/>
        <v/>
      </c>
      <c r="AB16" s="474" t="str">
        <f t="shared" ca="1" si="3"/>
        <v/>
      </c>
      <c r="AC16" s="475" t="str">
        <f t="shared" ca="1" si="3"/>
        <v/>
      </c>
      <c r="AD16" s="477" t="str">
        <f t="shared" ca="1" si="4"/>
        <v>借</v>
      </c>
      <c r="AE16" s="478">
        <f t="shared" ca="1" si="5"/>
        <v>5619.22</v>
      </c>
      <c r="AF16" s="459" t="str">
        <f t="shared" ca="1" si="1"/>
        <v xml:space="preserve"> </v>
      </c>
      <c r="AG16" s="460" t="str">
        <f t="shared" ca="1" si="1"/>
        <v xml:space="preserve"> </v>
      </c>
      <c r="AH16" s="460" t="str">
        <f t="shared" ca="1" si="1"/>
        <v xml:space="preserve"> </v>
      </c>
      <c r="AI16" s="460" t="str">
        <f t="shared" ca="1" si="1"/>
        <v xml:space="preserve"> </v>
      </c>
      <c r="AJ16" s="460" t="str">
        <f t="shared" ca="1" si="1"/>
        <v>￥</v>
      </c>
      <c r="AK16" s="460" t="str">
        <f t="shared" ca="1" si="1"/>
        <v>5</v>
      </c>
      <c r="AL16" s="460" t="str">
        <f t="shared" ca="1" si="1"/>
        <v>6</v>
      </c>
      <c r="AM16" s="460" t="str">
        <f t="shared" ca="1" si="1"/>
        <v>1</v>
      </c>
      <c r="AN16" s="461" t="str">
        <f t="shared" ca="1" si="1"/>
        <v>9</v>
      </c>
      <c r="AO16" s="474" t="str">
        <f t="shared" ca="1" si="1"/>
        <v>2</v>
      </c>
      <c r="AP16" s="475" t="str">
        <f t="shared" ca="1" si="1"/>
        <v>2</v>
      </c>
      <c r="AQ16" s="479">
        <f t="array" aca="1" ref="AQ16" ca="1">IF(ROW()-5&lt;=COUNTIF(科目编号,$AR$2),SMALL(IF(科目编号=$AR$2,ROW(科目编号),""),ROW()-5),"")</f>
        <v>55</v>
      </c>
      <c r="AR16" s="480">
        <f ca="1">IF($BG$2=0,"",IF(AR15="本月合计","本年累计",IF(OR(ROW()=$AU$3,ROW()=$AV$3,ROW()=$AW$3,ROW()=$AX$3,ROW()=$AY$3,ROW()=$AZ$3,ROW()=$BA$3,ROW()=$BB$3,ROW()=$BC$3,ROW()=$BD$3,ROW()=$BE$3,ROW()=$BF$3),"本月合计",IF(ROW()&lt;7,$AQ$6,OFFSET($AQ$6,COUNT($AR$6:AR15),0)))))</f>
        <v>31</v>
      </c>
    </row>
    <row r="17" spans="1:44" ht="15" customHeight="1">
      <c r="A17" s="469">
        <f ca="1">IFERROR(INDEX(凭证录入!A:A,$AR17),"")</f>
        <v>3</v>
      </c>
      <c r="B17" s="469">
        <f ca="1">IFERROR(INDEX(凭证录入!B:B,$AR17),"")</f>
        <v>26</v>
      </c>
      <c r="C17" s="470" t="str">
        <f ca="1">IFERROR(INDEX(凭证录入!G:G,$AR17),"")</f>
        <v>银付</v>
      </c>
      <c r="D17" s="471">
        <f ca="1">IFERROR(INDEX(凭证录入!F:F,$AR17),"")</f>
        <v>3</v>
      </c>
      <c r="E17" s="472" t="str">
        <f ca="1">IFERROR(INDEX(凭证录入!H:H,$AR17),$AR17)</f>
        <v>支付增值税费</v>
      </c>
      <c r="F17" s="473">
        <f ca="1">IF(OR($BG$2=0,$AR17=""),,IF($AR17="本月合计",IF(ROW()=$BG$3,SUM($F$6:$F16),SUM(INDIRECT("$F$"&amp;OFFSET($AU$3,,MATCH(ROW(),$AU$3:$BF$3,)-2)+2&amp;":$E"&amp;ROW()-1))),IF($AR17="本年累计",SUMIF($AR$6:$AR17,"本月合计",$F$6:$F16),INDEX(凭证录入!K:K,$AR17))))</f>
        <v>0</v>
      </c>
      <c r="G17" s="459" t="str">
        <f t="shared" ca="1" si="2"/>
        <v/>
      </c>
      <c r="H17" s="460" t="str">
        <f t="shared" ca="1" si="2"/>
        <v/>
      </c>
      <c r="I17" s="460" t="str">
        <f t="shared" ca="1" si="2"/>
        <v/>
      </c>
      <c r="J17" s="460" t="str">
        <f t="shared" ca="1" si="2"/>
        <v/>
      </c>
      <c r="K17" s="460" t="str">
        <f t="shared" ca="1" si="2"/>
        <v/>
      </c>
      <c r="L17" s="460" t="str">
        <f t="shared" ca="1" si="2"/>
        <v/>
      </c>
      <c r="M17" s="460" t="str">
        <f t="shared" ca="1" si="2"/>
        <v/>
      </c>
      <c r="N17" s="460" t="str">
        <f t="shared" ca="1" si="2"/>
        <v/>
      </c>
      <c r="O17" s="461" t="str">
        <f t="shared" ca="1" si="2"/>
        <v/>
      </c>
      <c r="P17" s="474" t="str">
        <f t="shared" ca="1" si="2"/>
        <v/>
      </c>
      <c r="Q17" s="475" t="str">
        <f t="shared" ca="1" si="2"/>
        <v/>
      </c>
      <c r="R17" s="476">
        <f ca="1">IF(OR($BG$2=0,$AR17=""),,IF($AR17="本月合计",IF(ROW()=$BG$3,SUM($R$6:$R16),SUM(INDIRECT("$R$"&amp;OFFSET($AU$3,,MATCH(ROW(),$AU$3:$BF$3,)-2)+2&amp;":$R"&amp;ROW()-1))),IF($AR17="本年累计",SUMIF($AR$6:$AR17,"本月合计",$R$6:$R16),INDEX(凭证录入!L:L,$AR17))))</f>
        <v>1</v>
      </c>
      <c r="S17" s="459" t="str">
        <f t="shared" ca="1" si="3"/>
        <v xml:space="preserve"> </v>
      </c>
      <c r="T17" s="460" t="str">
        <f t="shared" ca="1" si="3"/>
        <v xml:space="preserve"> </v>
      </c>
      <c r="U17" s="460" t="str">
        <f t="shared" ca="1" si="3"/>
        <v xml:space="preserve"> </v>
      </c>
      <c r="V17" s="460" t="str">
        <f t="shared" ca="1" si="3"/>
        <v xml:space="preserve"> </v>
      </c>
      <c r="W17" s="460" t="str">
        <f t="shared" ca="1" si="3"/>
        <v xml:space="preserve"> </v>
      </c>
      <c r="X17" s="460" t="str">
        <f t="shared" ca="1" si="3"/>
        <v xml:space="preserve"> </v>
      </c>
      <c r="Y17" s="460" t="str">
        <f t="shared" ca="1" si="3"/>
        <v xml:space="preserve"> </v>
      </c>
      <c r="Z17" s="460" t="str">
        <f t="shared" ca="1" si="3"/>
        <v>￥</v>
      </c>
      <c r="AA17" s="461" t="str">
        <f t="shared" ca="1" si="3"/>
        <v>1</v>
      </c>
      <c r="AB17" s="474" t="str">
        <f t="shared" ca="1" si="3"/>
        <v>0</v>
      </c>
      <c r="AC17" s="475" t="str">
        <f t="shared" ca="1" si="3"/>
        <v>0</v>
      </c>
      <c r="AD17" s="477" t="str">
        <f t="shared" ca="1" si="4"/>
        <v>借</v>
      </c>
      <c r="AE17" s="478">
        <f t="shared" ca="1" si="5"/>
        <v>5618.22</v>
      </c>
      <c r="AF17" s="459" t="str">
        <f t="shared" ca="1" si="1"/>
        <v xml:space="preserve"> </v>
      </c>
      <c r="AG17" s="460" t="str">
        <f t="shared" ca="1" si="1"/>
        <v xml:space="preserve"> </v>
      </c>
      <c r="AH17" s="460" t="str">
        <f t="shared" ca="1" si="1"/>
        <v xml:space="preserve"> </v>
      </c>
      <c r="AI17" s="460" t="str">
        <f t="shared" ca="1" si="1"/>
        <v xml:space="preserve"> </v>
      </c>
      <c r="AJ17" s="460" t="str">
        <f t="shared" ca="1" si="1"/>
        <v>￥</v>
      </c>
      <c r="AK17" s="460" t="str">
        <f t="shared" ca="1" si="1"/>
        <v>5</v>
      </c>
      <c r="AL17" s="460" t="str">
        <f t="shared" ca="1" si="1"/>
        <v>6</v>
      </c>
      <c r="AM17" s="460" t="str">
        <f t="shared" ca="1" si="1"/>
        <v>1</v>
      </c>
      <c r="AN17" s="461" t="str">
        <f t="shared" ca="1" si="1"/>
        <v>8</v>
      </c>
      <c r="AO17" s="474" t="str">
        <f t="shared" ca="1" si="1"/>
        <v>2</v>
      </c>
      <c r="AP17" s="475" t="str">
        <f t="shared" ca="1" si="1"/>
        <v>2</v>
      </c>
      <c r="AQ17" s="479">
        <f t="array" aca="1" ref="AQ17" ca="1">IF(ROW()-5&lt;=COUNTIF(科目编号,$AR$2),SMALL(IF(科目编号=$AR$2,ROW(科目编号),""),ROW()-5),"")</f>
        <v>57</v>
      </c>
      <c r="AR17" s="480">
        <f ca="1">IF($BG$2=0,"",IF(AR16="本月合计","本年累计",IF(OR(ROW()=$AU$3,ROW()=$AV$3,ROW()=$AW$3,ROW()=$AX$3,ROW()=$AY$3,ROW()=$AZ$3,ROW()=$BA$3,ROW()=$BB$3,ROW()=$BC$3,ROW()=$BD$3,ROW()=$BE$3,ROW()=$BF$3),"本月合计",IF(ROW()&lt;7,$AQ$6,OFFSET($AQ$6,COUNT($AR$6:AR16),0)))))</f>
        <v>36</v>
      </c>
    </row>
    <row r="18" spans="1:44" ht="15" customHeight="1">
      <c r="A18" s="469">
        <f ca="1">IFERROR(INDEX(凭证录入!A:A,$AR18),"")</f>
        <v>3</v>
      </c>
      <c r="B18" s="469">
        <f ca="1">IFERROR(INDEX(凭证录入!B:B,$AR18),"")</f>
        <v>26</v>
      </c>
      <c r="C18" s="470" t="str">
        <f ca="1">IFERROR(INDEX(凭证录入!G:G,$AR18),"")</f>
        <v>银付</v>
      </c>
      <c r="D18" s="471">
        <f ca="1">IFERROR(INDEX(凭证录入!F:F,$AR18),"")</f>
        <v>4</v>
      </c>
      <c r="E18" s="472" t="str">
        <f ca="1">IFERROR(INDEX(凭证录入!H:H,$AR18),$AR18)</f>
        <v>增值税滞纳金</v>
      </c>
      <c r="F18" s="473">
        <f ca="1">IF(OR($BG$2=0,$AR18=""),,IF($AR18="本月合计",IF(ROW()=$BG$3,SUM($F$6:$F17),SUM(INDIRECT("$F$"&amp;OFFSET($AU$3,,MATCH(ROW(),$AU$3:$BF$3,)-2)+2&amp;":$E"&amp;ROW()-1))),IF($AR18="本年累计",SUMIF($AR$6:$AR18,"本月合计",$F$6:$F17),INDEX(凭证录入!K:K,$AR18))))</f>
        <v>0</v>
      </c>
      <c r="G18" s="459" t="str">
        <f t="shared" ca="1" si="2"/>
        <v/>
      </c>
      <c r="H18" s="460" t="str">
        <f t="shared" ca="1" si="2"/>
        <v/>
      </c>
      <c r="I18" s="460" t="str">
        <f t="shared" ca="1" si="2"/>
        <v/>
      </c>
      <c r="J18" s="460" t="str">
        <f t="shared" ca="1" si="2"/>
        <v/>
      </c>
      <c r="K18" s="460" t="str">
        <f t="shared" ca="1" si="2"/>
        <v/>
      </c>
      <c r="L18" s="460" t="str">
        <f t="shared" ca="1" si="2"/>
        <v/>
      </c>
      <c r="M18" s="460" t="str">
        <f t="shared" ca="1" si="2"/>
        <v/>
      </c>
      <c r="N18" s="460" t="str">
        <f t="shared" ca="1" si="2"/>
        <v/>
      </c>
      <c r="O18" s="461" t="str">
        <f t="shared" ca="1" si="2"/>
        <v/>
      </c>
      <c r="P18" s="474" t="str">
        <f t="shared" ca="1" si="2"/>
        <v/>
      </c>
      <c r="Q18" s="475" t="str">
        <f t="shared" ca="1" si="2"/>
        <v/>
      </c>
      <c r="R18" s="476">
        <f ca="1">IF(OR($BG$2=0,$AR18=""),,IF($AR18="本月合计",IF(ROW()=$BG$3,SUM($R$6:$R17),SUM(INDIRECT("$R$"&amp;OFFSET($AU$3,,MATCH(ROW(),$AU$3:$BF$3,)-2)+2&amp;":$R"&amp;ROW()-1))),IF($AR18="本年累计",SUMIF($AR$6:$AR18,"本月合计",$R$6:$R17),INDEX(凭证录入!L:L,$AR18))))</f>
        <v>0.01</v>
      </c>
      <c r="S18" s="459" t="str">
        <f t="shared" ca="1" si="3"/>
        <v xml:space="preserve"> </v>
      </c>
      <c r="T18" s="460" t="str">
        <f t="shared" ca="1" si="3"/>
        <v xml:space="preserve"> </v>
      </c>
      <c r="U18" s="460" t="str">
        <f t="shared" ca="1" si="3"/>
        <v xml:space="preserve"> </v>
      </c>
      <c r="V18" s="460" t="str">
        <f t="shared" ca="1" si="3"/>
        <v xml:space="preserve"> </v>
      </c>
      <c r="W18" s="460" t="str">
        <f t="shared" ca="1" si="3"/>
        <v xml:space="preserve"> </v>
      </c>
      <c r="X18" s="460" t="str">
        <f t="shared" ca="1" si="3"/>
        <v xml:space="preserve"> </v>
      </c>
      <c r="Y18" s="460" t="str">
        <f t="shared" ca="1" si="3"/>
        <v xml:space="preserve"> </v>
      </c>
      <c r="Z18" s="460" t="str">
        <f t="shared" ca="1" si="3"/>
        <v xml:space="preserve"> </v>
      </c>
      <c r="AA18" s="461" t="str">
        <f t="shared" ca="1" si="3"/>
        <v xml:space="preserve"> </v>
      </c>
      <c r="AB18" s="474" t="str">
        <f t="shared" ca="1" si="3"/>
        <v>￥</v>
      </c>
      <c r="AC18" s="475" t="str">
        <f t="shared" ca="1" si="3"/>
        <v>1</v>
      </c>
      <c r="AD18" s="477" t="str">
        <f t="shared" ca="1" si="4"/>
        <v>借</v>
      </c>
      <c r="AE18" s="478">
        <f t="shared" ca="1" si="5"/>
        <v>5618.21</v>
      </c>
      <c r="AF18" s="459" t="str">
        <f t="shared" ca="1" si="1"/>
        <v xml:space="preserve"> </v>
      </c>
      <c r="AG18" s="460" t="str">
        <f t="shared" ca="1" si="1"/>
        <v xml:space="preserve"> </v>
      </c>
      <c r="AH18" s="460" t="str">
        <f t="shared" ca="1" si="1"/>
        <v xml:space="preserve"> </v>
      </c>
      <c r="AI18" s="460" t="str">
        <f t="shared" ca="1" si="1"/>
        <v xml:space="preserve"> </v>
      </c>
      <c r="AJ18" s="460" t="str">
        <f t="shared" ca="1" si="1"/>
        <v>￥</v>
      </c>
      <c r="AK18" s="460" t="str">
        <f t="shared" ca="1" si="1"/>
        <v>5</v>
      </c>
      <c r="AL18" s="460" t="str">
        <f t="shared" ca="1" si="1"/>
        <v>6</v>
      </c>
      <c r="AM18" s="460" t="str">
        <f t="shared" ca="1" si="1"/>
        <v>1</v>
      </c>
      <c r="AN18" s="461" t="str">
        <f t="shared" ca="1" si="1"/>
        <v>8</v>
      </c>
      <c r="AO18" s="474" t="str">
        <f t="shared" ca="1" si="1"/>
        <v>2</v>
      </c>
      <c r="AP18" s="475" t="str">
        <f t="shared" ca="1" si="1"/>
        <v>1</v>
      </c>
      <c r="AQ18" s="479">
        <f t="array" aca="1" ref="AQ18" ca="1">IF(ROW()-5&lt;=COUNTIF(科目编号,$AR$2),SMALL(IF(科目编号=$AR$2,ROW(科目编号),""),ROW()-5),"")</f>
        <v>59</v>
      </c>
      <c r="AR18" s="480">
        <f ca="1">IF($BG$2=0,"",IF(AR17="本月合计","本年累计",IF(OR(ROW()=$AU$3,ROW()=$AV$3,ROW()=$AW$3,ROW()=$AX$3,ROW()=$AY$3,ROW()=$AZ$3,ROW()=$BA$3,ROW()=$BB$3,ROW()=$BC$3,ROW()=$BD$3,ROW()=$BE$3,ROW()=$BF$3),"本月合计",IF(ROW()&lt;7,$AQ$6,OFFSET($AQ$6,COUNT($AR$6:AR17),0)))))</f>
        <v>38</v>
      </c>
    </row>
    <row r="19" spans="1:44" ht="15" customHeight="1">
      <c r="A19" s="469" t="str">
        <f ca="1">IFERROR(INDEX(凭证录入!A:A,$AR19),"")</f>
        <v/>
      </c>
      <c r="B19" s="469" t="str">
        <f ca="1">IFERROR(INDEX(凭证录入!B:B,$AR19),"")</f>
        <v/>
      </c>
      <c r="C19" s="470" t="str">
        <f ca="1">IFERROR(INDEX(凭证录入!G:G,$AR19),"")</f>
        <v/>
      </c>
      <c r="D19" s="471" t="str">
        <f ca="1">IFERROR(INDEX(凭证录入!F:F,$AR19),"")</f>
        <v/>
      </c>
      <c r="E19" s="472" t="str">
        <f ca="1">IFERROR(INDEX(凭证录入!H:H,$AR19),$AR19)</f>
        <v>本月合计</v>
      </c>
      <c r="F19" s="473">
        <f ca="1">IF(OR($BG$2=0,$AR19=""),,IF($AR19="本月合计",IF(ROW()=$BG$3,SUM($F$6:$F18),SUM(INDIRECT("$F$"&amp;OFFSET($AU$3,,MATCH(ROW(),$AU$3:$BF$3,)-2)+2&amp;":$E"&amp;ROW()-1))),IF($AR19="本年累计",SUMIF($AR$6:$AR19,"本月合计",$F$6:$F18),INDEX(凭证录入!K:K,$AR19))))</f>
        <v>270.79000000000002</v>
      </c>
      <c r="G19" s="459" t="str">
        <f t="shared" ca="1" si="2"/>
        <v xml:space="preserve"> </v>
      </c>
      <c r="H19" s="460" t="str">
        <f t="shared" ca="1" si="2"/>
        <v xml:space="preserve"> </v>
      </c>
      <c r="I19" s="460" t="str">
        <f t="shared" ca="1" si="2"/>
        <v xml:space="preserve"> </v>
      </c>
      <c r="J19" s="460" t="str">
        <f t="shared" ca="1" si="2"/>
        <v xml:space="preserve"> </v>
      </c>
      <c r="K19" s="460" t="str">
        <f t="shared" ca="1" si="2"/>
        <v xml:space="preserve"> </v>
      </c>
      <c r="L19" s="460" t="str">
        <f t="shared" ca="1" si="2"/>
        <v>￥</v>
      </c>
      <c r="M19" s="460" t="str">
        <f t="shared" ca="1" si="2"/>
        <v>2</v>
      </c>
      <c r="N19" s="460" t="str">
        <f t="shared" ca="1" si="2"/>
        <v>7</v>
      </c>
      <c r="O19" s="461" t="str">
        <f t="shared" ca="1" si="2"/>
        <v>0</v>
      </c>
      <c r="P19" s="474" t="str">
        <f t="shared" ca="1" si="2"/>
        <v>7</v>
      </c>
      <c r="Q19" s="475" t="str">
        <f t="shared" ca="1" si="2"/>
        <v>9</v>
      </c>
      <c r="R19" s="476">
        <f ca="1">IF(OR($BG$2=0,$AR19=""),,IF($AR19="本月合计",IF(ROW()=$BG$3,SUM($R$6:$R18),SUM(INDIRECT("$R$"&amp;OFFSET($AU$3,,MATCH(ROW(),$AU$3:$BF$3,)-2)+2&amp;":$R"&amp;ROW()-1))),IF($AR19="本年累计",SUMIF($AR$6:$AR19,"本月合计",$R$6:$R18),INDEX(凭证录入!L:L,$AR19))))</f>
        <v>525.35</v>
      </c>
      <c r="S19" s="459" t="str">
        <f t="shared" ca="1" si="3"/>
        <v xml:space="preserve"> </v>
      </c>
      <c r="T19" s="460" t="str">
        <f t="shared" ca="1" si="3"/>
        <v xml:space="preserve"> </v>
      </c>
      <c r="U19" s="460" t="str">
        <f t="shared" ca="1" si="3"/>
        <v xml:space="preserve"> </v>
      </c>
      <c r="V19" s="460" t="str">
        <f t="shared" ca="1" si="3"/>
        <v xml:space="preserve"> </v>
      </c>
      <c r="W19" s="460" t="str">
        <f t="shared" ca="1" si="3"/>
        <v xml:space="preserve"> </v>
      </c>
      <c r="X19" s="460" t="str">
        <f t="shared" ca="1" si="3"/>
        <v>￥</v>
      </c>
      <c r="Y19" s="460" t="str">
        <f t="shared" ca="1" si="3"/>
        <v>5</v>
      </c>
      <c r="Z19" s="460" t="str">
        <f t="shared" ca="1" si="3"/>
        <v>2</v>
      </c>
      <c r="AA19" s="461" t="str">
        <f t="shared" ca="1" si="3"/>
        <v>5</v>
      </c>
      <c r="AB19" s="474" t="str">
        <f t="shared" ca="1" si="3"/>
        <v>3</v>
      </c>
      <c r="AC19" s="475" t="str">
        <f t="shared" ca="1" si="3"/>
        <v>5</v>
      </c>
      <c r="AD19" s="477" t="str">
        <f t="shared" ca="1" si="4"/>
        <v/>
      </c>
      <c r="AE19" s="478">
        <f t="shared" ca="1" si="5"/>
        <v>5618.21</v>
      </c>
      <c r="AF19" s="459" t="str">
        <f t="shared" ca="1" si="1"/>
        <v xml:space="preserve"> </v>
      </c>
      <c r="AG19" s="460" t="str">
        <f t="shared" ca="1" si="1"/>
        <v xml:space="preserve"> </v>
      </c>
      <c r="AH19" s="460" t="str">
        <f t="shared" ca="1" si="1"/>
        <v xml:space="preserve"> </v>
      </c>
      <c r="AI19" s="460" t="str">
        <f t="shared" ca="1" si="1"/>
        <v xml:space="preserve"> </v>
      </c>
      <c r="AJ19" s="460" t="str">
        <f t="shared" ca="1" si="1"/>
        <v>￥</v>
      </c>
      <c r="AK19" s="460" t="str">
        <f t="shared" ca="1" si="1"/>
        <v>5</v>
      </c>
      <c r="AL19" s="460" t="str">
        <f t="shared" ca="1" si="1"/>
        <v>6</v>
      </c>
      <c r="AM19" s="460" t="str">
        <f t="shared" ca="1" si="1"/>
        <v>1</v>
      </c>
      <c r="AN19" s="461" t="str">
        <f t="shared" ca="1" si="1"/>
        <v>8</v>
      </c>
      <c r="AO19" s="474" t="str">
        <f t="shared" ca="1" si="1"/>
        <v>2</v>
      </c>
      <c r="AP19" s="475" t="str">
        <f t="shared" ca="1" si="1"/>
        <v>1</v>
      </c>
      <c r="AQ19" s="479">
        <f t="array" aca="1" ref="AQ19" ca="1">IF(ROW()-5&lt;=COUNTIF(科目编号,$AR$2),SMALL(IF(科目编号=$AR$2,ROW(科目编号),""),ROW()-5),"")</f>
        <v>61</v>
      </c>
      <c r="AR19" s="480" t="str">
        <f ca="1">IF($BG$2=0,"",IF(AR18="本月合计","本年累计",IF(OR(ROW()=$AU$3,ROW()=$AV$3,ROW()=$AW$3,ROW()=$AX$3,ROW()=$AY$3,ROW()=$AZ$3,ROW()=$BA$3,ROW()=$BB$3,ROW()=$BC$3,ROW()=$BD$3,ROW()=$BE$3,ROW()=$BF$3),"本月合计",IF(ROW()&lt;7,$AQ$6,OFFSET($AQ$6,COUNT($AR$6:AR18),0)))))</f>
        <v>本月合计</v>
      </c>
    </row>
    <row r="20" spans="1:44" ht="15" customHeight="1">
      <c r="A20" s="469" t="str">
        <f ca="1">IFERROR(INDEX(凭证录入!A:A,$AR20),"")</f>
        <v/>
      </c>
      <c r="B20" s="469" t="str">
        <f ca="1">IFERROR(INDEX(凭证录入!B:B,$AR20),"")</f>
        <v/>
      </c>
      <c r="C20" s="470" t="str">
        <f ca="1">IFERROR(INDEX(凭证录入!G:G,$AR20),"")</f>
        <v/>
      </c>
      <c r="D20" s="471" t="str">
        <f ca="1">IFERROR(INDEX(凭证录入!F:F,$AR20),"")</f>
        <v/>
      </c>
      <c r="E20" s="472" t="str">
        <f ca="1">IFERROR(INDEX(凭证录入!H:H,$AR20),$AR20)</f>
        <v>本年累计</v>
      </c>
      <c r="F20" s="473">
        <f ca="1">IF(OR($BG$2=0,$AR20=""),,IF($AR20="本月合计",IF(ROW()=$BG$3,SUM($F$6:$F19),SUM(INDIRECT("$F$"&amp;OFFSET($AU$3,,MATCH(ROW(),$AU$3:$BF$3,)-2)+2&amp;":$E"&amp;ROW()-1))),IF($AR20="本年累计",SUMIF($AR$6:$AR20,"本月合计",$F$6:$F19),INDEX(凭证录入!K:K,$AR20))))</f>
        <v>4270.79</v>
      </c>
      <c r="G20" s="459" t="str">
        <f t="shared" ca="1" si="2"/>
        <v xml:space="preserve"> </v>
      </c>
      <c r="H20" s="460" t="str">
        <f t="shared" ca="1" si="2"/>
        <v xml:space="preserve"> </v>
      </c>
      <c r="I20" s="460" t="str">
        <f t="shared" ca="1" si="2"/>
        <v xml:space="preserve"> </v>
      </c>
      <c r="J20" s="460" t="str">
        <f t="shared" ca="1" si="2"/>
        <v xml:space="preserve"> </v>
      </c>
      <c r="K20" s="460" t="str">
        <f t="shared" ca="1" si="2"/>
        <v>￥</v>
      </c>
      <c r="L20" s="460" t="str">
        <f t="shared" ca="1" si="2"/>
        <v>4</v>
      </c>
      <c r="M20" s="460" t="str">
        <f t="shared" ca="1" si="2"/>
        <v>2</v>
      </c>
      <c r="N20" s="460" t="str">
        <f t="shared" ca="1" si="2"/>
        <v>7</v>
      </c>
      <c r="O20" s="461" t="str">
        <f t="shared" ca="1" si="2"/>
        <v>0</v>
      </c>
      <c r="P20" s="474" t="str">
        <f t="shared" ca="1" si="2"/>
        <v>7</v>
      </c>
      <c r="Q20" s="475" t="str">
        <f t="shared" ca="1" si="2"/>
        <v>9</v>
      </c>
      <c r="R20" s="476">
        <f ca="1">IF(OR($BG$2=0,$AR20=""),,IF($AR20="本月合计",IF(ROW()=$BG$3,SUM($R$6:$R19),SUM(INDIRECT("$R$"&amp;OFFSET($AU$3,,MATCH(ROW(),$AU$3:$BF$3,)-2)+2&amp;":$R"&amp;ROW()-1))),IF($AR20="本年累计",SUMIF($AR$6:$AR20,"本月合计",$R$6:$R19),INDEX(凭证录入!L:L,$AR20))))</f>
        <v>5547.65</v>
      </c>
      <c r="S20" s="459" t="str">
        <f t="shared" ca="1" si="3"/>
        <v xml:space="preserve"> </v>
      </c>
      <c r="T20" s="460" t="str">
        <f t="shared" ca="1" si="3"/>
        <v xml:space="preserve"> </v>
      </c>
      <c r="U20" s="460" t="str">
        <f t="shared" ca="1" si="3"/>
        <v xml:space="preserve"> </v>
      </c>
      <c r="V20" s="460" t="str">
        <f t="shared" ca="1" si="3"/>
        <v xml:space="preserve"> </v>
      </c>
      <c r="W20" s="460" t="str">
        <f t="shared" ca="1" si="3"/>
        <v>￥</v>
      </c>
      <c r="X20" s="460" t="str">
        <f t="shared" ca="1" si="3"/>
        <v>5</v>
      </c>
      <c r="Y20" s="460" t="str">
        <f t="shared" ca="1" si="3"/>
        <v>5</v>
      </c>
      <c r="Z20" s="460" t="str">
        <f t="shared" ca="1" si="3"/>
        <v>4</v>
      </c>
      <c r="AA20" s="461" t="str">
        <f t="shared" ca="1" si="3"/>
        <v>7</v>
      </c>
      <c r="AB20" s="474" t="str">
        <f t="shared" ca="1" si="3"/>
        <v>6</v>
      </c>
      <c r="AC20" s="475" t="str">
        <f t="shared" ca="1" si="3"/>
        <v>5</v>
      </c>
      <c r="AD20" s="477" t="str">
        <f t="shared" ca="1" si="4"/>
        <v/>
      </c>
      <c r="AE20" s="478">
        <f t="shared" ca="1" si="5"/>
        <v>5618.21</v>
      </c>
      <c r="AF20" s="459" t="str">
        <f t="shared" ca="1" si="1"/>
        <v xml:space="preserve"> </v>
      </c>
      <c r="AG20" s="460" t="str">
        <f t="shared" ca="1" si="1"/>
        <v xml:space="preserve"> </v>
      </c>
      <c r="AH20" s="460" t="str">
        <f t="shared" ca="1" si="1"/>
        <v xml:space="preserve"> </v>
      </c>
      <c r="AI20" s="460" t="str">
        <f t="shared" ca="1" si="1"/>
        <v xml:space="preserve"> </v>
      </c>
      <c r="AJ20" s="460" t="str">
        <f t="shared" ca="1" si="1"/>
        <v>￥</v>
      </c>
      <c r="AK20" s="460" t="str">
        <f t="shared" ca="1" si="1"/>
        <v>5</v>
      </c>
      <c r="AL20" s="460" t="str">
        <f t="shared" ca="1" si="1"/>
        <v>6</v>
      </c>
      <c r="AM20" s="460" t="str">
        <f t="shared" ca="1" si="1"/>
        <v>1</v>
      </c>
      <c r="AN20" s="461" t="str">
        <f t="shared" ca="1" si="1"/>
        <v>8</v>
      </c>
      <c r="AO20" s="474" t="str">
        <f t="shared" ca="1" si="1"/>
        <v>2</v>
      </c>
      <c r="AP20" s="475" t="str">
        <f t="shared" ca="1" si="1"/>
        <v>1</v>
      </c>
      <c r="AQ20" s="479">
        <f t="array" aca="1" ref="AQ20" ca="1">IF(ROW()-5&lt;=COUNTIF(科目编号,$AR$2),SMALL(IF(科目编号=$AR$2,ROW(科目编号),""),ROW()-5),"")</f>
        <v>72</v>
      </c>
      <c r="AR20" s="480" t="str">
        <f ca="1">IF($BG$2=0,"",IF(AR19="本月合计","本年累计",IF(OR(ROW()=$AU$3,ROW()=$AV$3,ROW()=$AW$3,ROW()=$AX$3,ROW()=$AY$3,ROW()=$AZ$3,ROW()=$BA$3,ROW()=$BB$3,ROW()=$BC$3,ROW()=$BD$3,ROW()=$BE$3,ROW()=$BF$3),"本月合计",IF(ROW()&lt;7,$AQ$6,OFFSET($AQ$6,COUNT($AR$6:AR19),0)))))</f>
        <v>本年累计</v>
      </c>
    </row>
    <row r="21" spans="1:44" ht="15" customHeight="1">
      <c r="A21" s="469">
        <f ca="1">IFERROR(INDEX(凭证录入!A:A,$AR21),"")</f>
        <v>4</v>
      </c>
      <c r="B21" s="469">
        <f ca="1">IFERROR(INDEX(凭证录入!B:B,$AR21),"")</f>
        <v>12</v>
      </c>
      <c r="C21" s="470" t="str">
        <f ca="1">IFERROR(INDEX(凭证录入!G:G,$AR21),"")</f>
        <v>银付</v>
      </c>
      <c r="D21" s="471">
        <f ca="1">IFERROR(INDEX(凭证录入!F:F,$AR21),"")</f>
        <v>1</v>
      </c>
      <c r="E21" s="472" t="str">
        <f ca="1">IFERROR(INDEX(凭证录入!H:H,$AR21),$AR21)</f>
        <v>电话银行年费</v>
      </c>
      <c r="F21" s="473">
        <f ca="1">IF(OR($BG$2=0,$AR21=""),,IF($AR21="本月合计",IF(ROW()=$BG$3,SUM($F$6:$F20),SUM(INDIRECT("$F$"&amp;OFFSET($AU$3,,MATCH(ROW(),$AU$3:$BF$3,)-2)+2&amp;":$E"&amp;ROW()-1))),IF($AR21="本年累计",SUMIF($AR$6:$AR21,"本月合计",$F$6:$F20),INDEX(凭证录入!K:K,$AR21))))</f>
        <v>0</v>
      </c>
      <c r="G21" s="459" t="str">
        <f t="shared" ca="1" si="2"/>
        <v/>
      </c>
      <c r="H21" s="460" t="str">
        <f t="shared" ca="1" si="2"/>
        <v/>
      </c>
      <c r="I21" s="460" t="str">
        <f t="shared" ca="1" si="2"/>
        <v/>
      </c>
      <c r="J21" s="460" t="str">
        <f t="shared" ca="1" si="2"/>
        <v/>
      </c>
      <c r="K21" s="460" t="str">
        <f t="shared" ca="1" si="2"/>
        <v/>
      </c>
      <c r="L21" s="460" t="str">
        <f t="shared" ca="1" si="2"/>
        <v/>
      </c>
      <c r="M21" s="460" t="str">
        <f t="shared" ca="1" si="2"/>
        <v/>
      </c>
      <c r="N21" s="460" t="str">
        <f t="shared" ca="1" si="2"/>
        <v/>
      </c>
      <c r="O21" s="461" t="str">
        <f t="shared" ca="1" si="2"/>
        <v/>
      </c>
      <c r="P21" s="474" t="str">
        <f t="shared" ca="1" si="2"/>
        <v/>
      </c>
      <c r="Q21" s="475" t="str">
        <f t="shared" ca="1" si="2"/>
        <v/>
      </c>
      <c r="R21" s="476">
        <f ca="1">IF(OR($BG$2=0,$AR21=""),,IF($AR21="本月合计",IF(ROW()=$BG$3,SUM($R$6:$R20),SUM(INDIRECT("$R$"&amp;OFFSET($AU$3,,MATCH(ROW(),$AU$3:$BF$3,)-2)+2&amp;":$R"&amp;ROW()-1))),IF($AR21="本年累计",SUMIF($AR$6:$AR21,"本月合计",$R$6:$R20),INDEX(凭证录入!L:L,$AR21))))</f>
        <v>37.5</v>
      </c>
      <c r="S21" s="459" t="str">
        <f t="shared" ca="1" si="3"/>
        <v xml:space="preserve"> </v>
      </c>
      <c r="T21" s="460" t="str">
        <f t="shared" ca="1" si="3"/>
        <v xml:space="preserve"> </v>
      </c>
      <c r="U21" s="460" t="str">
        <f t="shared" ca="1" si="3"/>
        <v xml:space="preserve"> </v>
      </c>
      <c r="V21" s="460" t="str">
        <f t="shared" ca="1" si="3"/>
        <v xml:space="preserve"> </v>
      </c>
      <c r="W21" s="460" t="str">
        <f t="shared" ca="1" si="3"/>
        <v xml:space="preserve"> </v>
      </c>
      <c r="X21" s="460" t="str">
        <f t="shared" ca="1" si="3"/>
        <v xml:space="preserve"> </v>
      </c>
      <c r="Y21" s="460" t="str">
        <f t="shared" ca="1" si="3"/>
        <v>￥</v>
      </c>
      <c r="Z21" s="460" t="str">
        <f t="shared" ca="1" si="3"/>
        <v>3</v>
      </c>
      <c r="AA21" s="461" t="str">
        <f t="shared" ca="1" si="3"/>
        <v>7</v>
      </c>
      <c r="AB21" s="474" t="str">
        <f t="shared" ca="1" si="3"/>
        <v>5</v>
      </c>
      <c r="AC21" s="475" t="str">
        <f t="shared" ca="1" si="3"/>
        <v>0</v>
      </c>
      <c r="AD21" s="477" t="str">
        <f t="shared" ca="1" si="4"/>
        <v>借</v>
      </c>
      <c r="AE21" s="478">
        <f t="shared" ca="1" si="5"/>
        <v>5580.71</v>
      </c>
      <c r="AF21" s="459" t="str">
        <f t="shared" ref="AF21:AP36" ca="1" si="6">LEFT(RIGHT(TEXT($AE21/1%," ￥0; ￥-0;"),43-COLUMN()))</f>
        <v xml:space="preserve"> </v>
      </c>
      <c r="AG21" s="460" t="str">
        <f t="shared" ca="1" si="6"/>
        <v xml:space="preserve"> </v>
      </c>
      <c r="AH21" s="460" t="str">
        <f t="shared" ca="1" si="6"/>
        <v xml:space="preserve"> </v>
      </c>
      <c r="AI21" s="460" t="str">
        <f t="shared" ca="1" si="6"/>
        <v xml:space="preserve"> </v>
      </c>
      <c r="AJ21" s="460" t="str">
        <f t="shared" ca="1" si="6"/>
        <v>￥</v>
      </c>
      <c r="AK21" s="460" t="str">
        <f t="shared" ca="1" si="6"/>
        <v>5</v>
      </c>
      <c r="AL21" s="460" t="str">
        <f t="shared" ca="1" si="6"/>
        <v>5</v>
      </c>
      <c r="AM21" s="460" t="str">
        <f t="shared" ca="1" si="6"/>
        <v>8</v>
      </c>
      <c r="AN21" s="461" t="str">
        <f t="shared" ca="1" si="6"/>
        <v>0</v>
      </c>
      <c r="AO21" s="474" t="str">
        <f t="shared" ca="1" si="6"/>
        <v>7</v>
      </c>
      <c r="AP21" s="475" t="str">
        <f t="shared" ca="1" si="6"/>
        <v>1</v>
      </c>
      <c r="AQ21" s="479">
        <f t="array" aca="1" ref="AQ21" ca="1">IF(ROW()-5&lt;=COUNTIF(科目编号,$AR$2),SMALL(IF(科目编号=$AR$2,ROW(科目编号),""),ROW()-5),"")</f>
        <v>80</v>
      </c>
      <c r="AR21" s="480">
        <f ca="1">IF($BG$2=0,"",IF(AR20="本月合计","本年累计",IF(OR(ROW()=$AU$3,ROW()=$AV$3,ROW()=$AW$3,ROW()=$AX$3,ROW()=$AY$3,ROW()=$AZ$3,ROW()=$BA$3,ROW()=$BB$3,ROW()=$BC$3,ROW()=$BD$3,ROW()=$BE$3,ROW()=$BF$3),"本月合计",IF(ROW()&lt;7,$AQ$6,OFFSET($AQ$6,COUNT($AR$6:AR20),0)))))</f>
        <v>48</v>
      </c>
    </row>
    <row r="22" spans="1:44" ht="15" customHeight="1">
      <c r="A22" s="469" t="str">
        <f ca="1">IFERROR(INDEX(凭证录入!A:A,$AR22),"")</f>
        <v/>
      </c>
      <c r="B22" s="469" t="str">
        <f ca="1">IFERROR(INDEX(凭证录入!B:B,$AR22),"")</f>
        <v/>
      </c>
      <c r="C22" s="470" t="str">
        <f ca="1">IFERROR(INDEX(凭证录入!G:G,$AR22),"")</f>
        <v/>
      </c>
      <c r="D22" s="471" t="str">
        <f ca="1">IFERROR(INDEX(凭证录入!F:F,$AR22),"")</f>
        <v/>
      </c>
      <c r="E22" s="472" t="str">
        <f ca="1">IFERROR(INDEX(凭证录入!H:H,$AR22),$AR22)</f>
        <v>本月合计</v>
      </c>
      <c r="F22" s="473">
        <f ca="1">IF(OR($BG$2=0,$AR22=""),,IF($AR22="本月合计",IF(ROW()=$BG$3,SUM($F$6:$F21),SUM(INDIRECT("$F$"&amp;OFFSET($AU$3,,MATCH(ROW(),$AU$3:$BF$3,)-2)+2&amp;":$E"&amp;ROW()-1))),IF($AR22="本年累计",SUMIF($AR$6:$AR22,"本月合计",$F$6:$F21),INDEX(凭证录入!K:K,$AR22))))</f>
        <v>0</v>
      </c>
      <c r="G22" s="459" t="str">
        <f t="shared" ref="G22:Q37" ca="1" si="7">LEFT(RIGHT(TEXT($F22/1%," ￥0; ￥-0;"),18-COLUMN()))</f>
        <v/>
      </c>
      <c r="H22" s="460" t="str">
        <f t="shared" ca="1" si="7"/>
        <v/>
      </c>
      <c r="I22" s="460" t="str">
        <f t="shared" ca="1" si="7"/>
        <v/>
      </c>
      <c r="J22" s="460" t="str">
        <f t="shared" ca="1" si="7"/>
        <v/>
      </c>
      <c r="K22" s="460" t="str">
        <f t="shared" ca="1" si="7"/>
        <v/>
      </c>
      <c r="L22" s="460" t="str">
        <f t="shared" ca="1" si="7"/>
        <v/>
      </c>
      <c r="M22" s="460" t="str">
        <f t="shared" ca="1" si="7"/>
        <v/>
      </c>
      <c r="N22" s="460" t="str">
        <f t="shared" ca="1" si="7"/>
        <v/>
      </c>
      <c r="O22" s="461" t="str">
        <f t="shared" ca="1" si="7"/>
        <v/>
      </c>
      <c r="P22" s="474" t="str">
        <f t="shared" ca="1" si="7"/>
        <v/>
      </c>
      <c r="Q22" s="475" t="str">
        <f t="shared" ca="1" si="7"/>
        <v/>
      </c>
      <c r="R22" s="476">
        <f ca="1">IF(OR($BG$2=0,$AR22=""),,IF($AR22="本月合计",IF(ROW()=$BG$3,SUM($R$6:$R21),SUM(INDIRECT("$R$"&amp;OFFSET($AU$3,,MATCH(ROW(),$AU$3:$BF$3,)-2)+2&amp;":$R"&amp;ROW()-1))),IF($AR22="本年累计",SUMIF($AR$6:$AR22,"本月合计",$R$6:$R21),INDEX(凭证录入!L:L,$AR22))))</f>
        <v>37.5</v>
      </c>
      <c r="S22" s="459" t="str">
        <f t="shared" ref="S22:AC37" ca="1" si="8">LEFT(RIGHT(TEXT($R22/1%," ￥0; ￥-0;"),30-COLUMN()))</f>
        <v xml:space="preserve"> </v>
      </c>
      <c r="T22" s="460" t="str">
        <f t="shared" ca="1" si="8"/>
        <v xml:space="preserve"> </v>
      </c>
      <c r="U22" s="460" t="str">
        <f t="shared" ca="1" si="8"/>
        <v xml:space="preserve"> </v>
      </c>
      <c r="V22" s="460" t="str">
        <f t="shared" ca="1" si="8"/>
        <v xml:space="preserve"> </v>
      </c>
      <c r="W22" s="460" t="str">
        <f t="shared" ca="1" si="8"/>
        <v xml:space="preserve"> </v>
      </c>
      <c r="X22" s="460" t="str">
        <f t="shared" ca="1" si="8"/>
        <v xml:space="preserve"> </v>
      </c>
      <c r="Y22" s="460" t="str">
        <f t="shared" ca="1" si="8"/>
        <v>￥</v>
      </c>
      <c r="Z22" s="460" t="str">
        <f t="shared" ca="1" si="8"/>
        <v>3</v>
      </c>
      <c r="AA22" s="461" t="str">
        <f t="shared" ca="1" si="8"/>
        <v>7</v>
      </c>
      <c r="AB22" s="474" t="str">
        <f t="shared" ca="1" si="8"/>
        <v>5</v>
      </c>
      <c r="AC22" s="475" t="str">
        <f t="shared" ca="1" si="8"/>
        <v>0</v>
      </c>
      <c r="AD22" s="477" t="str">
        <f t="shared" ca="1" si="4"/>
        <v/>
      </c>
      <c r="AE22" s="478">
        <f t="shared" ca="1" si="5"/>
        <v>5580.71</v>
      </c>
      <c r="AF22" s="459" t="str">
        <f t="shared" ca="1" si="6"/>
        <v xml:space="preserve"> </v>
      </c>
      <c r="AG22" s="460" t="str">
        <f t="shared" ca="1" si="6"/>
        <v xml:space="preserve"> </v>
      </c>
      <c r="AH22" s="460" t="str">
        <f t="shared" ca="1" si="6"/>
        <v xml:space="preserve"> </v>
      </c>
      <c r="AI22" s="460" t="str">
        <f t="shared" ca="1" si="6"/>
        <v xml:space="preserve"> </v>
      </c>
      <c r="AJ22" s="460" t="str">
        <f t="shared" ca="1" si="6"/>
        <v>￥</v>
      </c>
      <c r="AK22" s="460" t="str">
        <f t="shared" ca="1" si="6"/>
        <v>5</v>
      </c>
      <c r="AL22" s="460" t="str">
        <f t="shared" ca="1" si="6"/>
        <v>5</v>
      </c>
      <c r="AM22" s="460" t="str">
        <f t="shared" ca="1" si="6"/>
        <v>8</v>
      </c>
      <c r="AN22" s="461" t="str">
        <f t="shared" ca="1" si="6"/>
        <v>0</v>
      </c>
      <c r="AO22" s="474" t="str">
        <f t="shared" ca="1" si="6"/>
        <v>7</v>
      </c>
      <c r="AP22" s="475" t="str">
        <f t="shared" ca="1" si="6"/>
        <v>1</v>
      </c>
      <c r="AQ22" s="479">
        <f t="array" aca="1" ref="AQ22" ca="1">IF(ROW()-5&lt;=COUNTIF(科目编号,$AR$2),SMALL(IF(科目编号=$AR$2,ROW(科目编号),""),ROW()-5),"")</f>
        <v>82</v>
      </c>
      <c r="AR22" s="480" t="str">
        <f ca="1">IF($BG$2=0,"",IF(AR21="本月合计","本年累计",IF(OR(ROW()=$AU$3,ROW()=$AV$3,ROW()=$AW$3,ROW()=$AX$3,ROW()=$AY$3,ROW()=$AZ$3,ROW()=$BA$3,ROW()=$BB$3,ROW()=$BC$3,ROW()=$BD$3,ROW()=$BE$3,ROW()=$BF$3),"本月合计",IF(ROW()&lt;7,$AQ$6,OFFSET($AQ$6,COUNT($AR$6:AR21),0)))))</f>
        <v>本月合计</v>
      </c>
    </row>
    <row r="23" spans="1:44" ht="15" customHeight="1">
      <c r="A23" s="469" t="str">
        <f ca="1">IFERROR(INDEX(凭证录入!A:A,$AR23),"")</f>
        <v/>
      </c>
      <c r="B23" s="469" t="str">
        <f ca="1">IFERROR(INDEX(凭证录入!B:B,$AR23),"")</f>
        <v/>
      </c>
      <c r="C23" s="470" t="str">
        <f ca="1">IFERROR(INDEX(凭证录入!G:G,$AR23),"")</f>
        <v/>
      </c>
      <c r="D23" s="471" t="str">
        <f ca="1">IFERROR(INDEX(凭证录入!F:F,$AR23),"")</f>
        <v/>
      </c>
      <c r="E23" s="472" t="str">
        <f ca="1">IFERROR(INDEX(凭证录入!H:H,$AR23),$AR23)</f>
        <v>本年累计</v>
      </c>
      <c r="F23" s="473">
        <f ca="1">IF(OR($BG$2=0,$AR23=""),,IF($AR23="本月合计",IF(ROW()=$BG$3,SUM($F$6:$F22),SUM(INDIRECT("$F$"&amp;OFFSET($AU$3,,MATCH(ROW(),$AU$3:$BF$3,)-2)+2&amp;":$E"&amp;ROW()-1))),IF($AR23="本年累计",SUMIF($AR$6:$AR23,"本月合计",$F$6:$F22),INDEX(凭证录入!K:K,$AR23))))</f>
        <v>4270.79</v>
      </c>
      <c r="G23" s="459" t="str">
        <f t="shared" ca="1" si="7"/>
        <v xml:space="preserve"> </v>
      </c>
      <c r="H23" s="460" t="str">
        <f t="shared" ca="1" si="7"/>
        <v xml:space="preserve"> </v>
      </c>
      <c r="I23" s="460" t="str">
        <f t="shared" ca="1" si="7"/>
        <v xml:space="preserve"> </v>
      </c>
      <c r="J23" s="460" t="str">
        <f t="shared" ca="1" si="7"/>
        <v xml:space="preserve"> </v>
      </c>
      <c r="K23" s="460" t="str">
        <f t="shared" ca="1" si="7"/>
        <v>￥</v>
      </c>
      <c r="L23" s="460" t="str">
        <f t="shared" ca="1" si="7"/>
        <v>4</v>
      </c>
      <c r="M23" s="460" t="str">
        <f t="shared" ca="1" si="7"/>
        <v>2</v>
      </c>
      <c r="N23" s="460" t="str">
        <f t="shared" ca="1" si="7"/>
        <v>7</v>
      </c>
      <c r="O23" s="461" t="str">
        <f t="shared" ca="1" si="7"/>
        <v>0</v>
      </c>
      <c r="P23" s="474" t="str">
        <f t="shared" ca="1" si="7"/>
        <v>7</v>
      </c>
      <c r="Q23" s="475" t="str">
        <f t="shared" ca="1" si="7"/>
        <v>9</v>
      </c>
      <c r="R23" s="476">
        <f ca="1">IF(OR($BG$2=0,$AR23=""),,IF($AR23="本月合计",IF(ROW()=$BG$3,SUM($R$6:$R22),SUM(INDIRECT("$R$"&amp;OFFSET($AU$3,,MATCH(ROW(),$AU$3:$BF$3,)-2)+2&amp;":$R"&amp;ROW()-1))),IF($AR23="本年累计",SUMIF($AR$6:$AR23,"本月合计",$R$6:$R22),INDEX(凭证录入!L:L,$AR23))))</f>
        <v>5585.15</v>
      </c>
      <c r="S23" s="459" t="str">
        <f t="shared" ca="1" si="8"/>
        <v xml:space="preserve"> </v>
      </c>
      <c r="T23" s="460" t="str">
        <f t="shared" ca="1" si="8"/>
        <v xml:space="preserve"> </v>
      </c>
      <c r="U23" s="460" t="str">
        <f t="shared" ca="1" si="8"/>
        <v xml:space="preserve"> </v>
      </c>
      <c r="V23" s="460" t="str">
        <f t="shared" ca="1" si="8"/>
        <v xml:space="preserve"> </v>
      </c>
      <c r="W23" s="460" t="str">
        <f t="shared" ca="1" si="8"/>
        <v>￥</v>
      </c>
      <c r="X23" s="460" t="str">
        <f t="shared" ca="1" si="8"/>
        <v>5</v>
      </c>
      <c r="Y23" s="460" t="str">
        <f t="shared" ca="1" si="8"/>
        <v>5</v>
      </c>
      <c r="Z23" s="460" t="str">
        <f t="shared" ca="1" si="8"/>
        <v>8</v>
      </c>
      <c r="AA23" s="461" t="str">
        <f t="shared" ca="1" si="8"/>
        <v>5</v>
      </c>
      <c r="AB23" s="474" t="str">
        <f t="shared" ca="1" si="8"/>
        <v>1</v>
      </c>
      <c r="AC23" s="475" t="str">
        <f t="shared" ca="1" si="8"/>
        <v>5</v>
      </c>
      <c r="AD23" s="477" t="str">
        <f t="shared" ca="1" si="4"/>
        <v/>
      </c>
      <c r="AE23" s="478">
        <f t="shared" ca="1" si="5"/>
        <v>5580.71</v>
      </c>
      <c r="AF23" s="459" t="str">
        <f t="shared" ca="1" si="6"/>
        <v xml:space="preserve"> </v>
      </c>
      <c r="AG23" s="460" t="str">
        <f t="shared" ca="1" si="6"/>
        <v xml:space="preserve"> </v>
      </c>
      <c r="AH23" s="460" t="str">
        <f t="shared" ca="1" si="6"/>
        <v xml:space="preserve"> </v>
      </c>
      <c r="AI23" s="460" t="str">
        <f t="shared" ca="1" si="6"/>
        <v xml:space="preserve"> </v>
      </c>
      <c r="AJ23" s="460" t="str">
        <f t="shared" ca="1" si="6"/>
        <v>￥</v>
      </c>
      <c r="AK23" s="460" t="str">
        <f t="shared" ca="1" si="6"/>
        <v>5</v>
      </c>
      <c r="AL23" s="460" t="str">
        <f t="shared" ca="1" si="6"/>
        <v>5</v>
      </c>
      <c r="AM23" s="460" t="str">
        <f t="shared" ca="1" si="6"/>
        <v>8</v>
      </c>
      <c r="AN23" s="461" t="str">
        <f t="shared" ca="1" si="6"/>
        <v>0</v>
      </c>
      <c r="AO23" s="474" t="str">
        <f t="shared" ca="1" si="6"/>
        <v>7</v>
      </c>
      <c r="AP23" s="475" t="str">
        <f t="shared" ca="1" si="6"/>
        <v>1</v>
      </c>
      <c r="AQ23" s="479">
        <f t="array" aca="1" ref="AQ23" ca="1">IF(ROW()-5&lt;=COUNTIF(科目编号,$AR$2),SMALL(IF(科目编号=$AR$2,ROW(科目编号),""),ROW()-5),"")</f>
        <v>83</v>
      </c>
      <c r="AR23" s="480" t="str">
        <f ca="1">IF($BG$2=0,"",IF(AR22="本月合计","本年累计",IF(OR(ROW()=$AU$3,ROW()=$AV$3,ROW()=$AW$3,ROW()=$AX$3,ROW()=$AY$3,ROW()=$AZ$3,ROW()=$BA$3,ROW()=$BB$3,ROW()=$BC$3,ROW()=$BD$3,ROW()=$BE$3,ROW()=$BF$3),"本月合计",IF(ROW()&lt;7,$AQ$6,OFFSET($AQ$6,COUNT($AR$6:AR22),0)))))</f>
        <v>本年累计</v>
      </c>
    </row>
    <row r="24" spans="1:44" ht="15" customHeight="1">
      <c r="A24" s="469">
        <f ca="1">IFERROR(INDEX(凭证录入!A:A,$AR24),"")</f>
        <v>5</v>
      </c>
      <c r="B24" s="469">
        <f ca="1">IFERROR(INDEX(凭证录入!B:B,$AR24),"")</f>
        <v>12</v>
      </c>
      <c r="C24" s="470" t="str">
        <f ca="1">IFERROR(INDEX(凭证录入!G:G,$AR24),"")</f>
        <v>银付</v>
      </c>
      <c r="D24" s="471">
        <f ca="1">IFERROR(INDEX(凭证录入!F:F,$AR24),"")</f>
        <v>1</v>
      </c>
      <c r="E24" s="472" t="str">
        <f ca="1">IFERROR(INDEX(凭证录入!H:H,$AR24),$AR24)</f>
        <v>支付增值税费</v>
      </c>
      <c r="F24" s="473">
        <f ca="1">IF(OR($BG$2=0,$AR24=""),,IF($AR24="本月合计",IF(ROW()=$BG$3,SUM($F$6:$F23),SUM(INDIRECT("$F$"&amp;OFFSET($AU$3,,MATCH(ROW(),$AU$3:$BF$3,)-2)+2&amp;":$E"&amp;ROW()-1))),IF($AR24="本年累计",SUMIF($AR$6:$AR24,"本月合计",$F$6:$F23),INDEX(凭证录入!K:K,$AR24))))</f>
        <v>0</v>
      </c>
      <c r="G24" s="459" t="str">
        <f t="shared" ca="1" si="7"/>
        <v/>
      </c>
      <c r="H24" s="460" t="str">
        <f t="shared" ca="1" si="7"/>
        <v/>
      </c>
      <c r="I24" s="460" t="str">
        <f t="shared" ca="1" si="7"/>
        <v/>
      </c>
      <c r="J24" s="460" t="str">
        <f t="shared" ca="1" si="7"/>
        <v/>
      </c>
      <c r="K24" s="460" t="str">
        <f t="shared" ca="1" si="7"/>
        <v/>
      </c>
      <c r="L24" s="460" t="str">
        <f t="shared" ca="1" si="7"/>
        <v/>
      </c>
      <c r="M24" s="460" t="str">
        <f t="shared" ca="1" si="7"/>
        <v/>
      </c>
      <c r="N24" s="460" t="str">
        <f t="shared" ca="1" si="7"/>
        <v/>
      </c>
      <c r="O24" s="461" t="str">
        <f t="shared" ca="1" si="7"/>
        <v/>
      </c>
      <c r="P24" s="474" t="str">
        <f t="shared" ca="1" si="7"/>
        <v/>
      </c>
      <c r="Q24" s="475" t="str">
        <f t="shared" ca="1" si="7"/>
        <v/>
      </c>
      <c r="R24" s="476">
        <f ca="1">IF(OR($BG$2=0,$AR24=""),,IF($AR24="本月合计",IF(ROW()=$BG$3,SUM($R$6:$R23),SUM(INDIRECT("$R$"&amp;OFFSET($AU$3,,MATCH(ROW(),$AU$3:$BF$3,)-2)+2&amp;":$R"&amp;ROW()-1))),IF($AR24="本年累计",SUMIF($AR$6:$AR24,"本月合计",$R$6:$R23),INDEX(凭证录入!L:L,$AR24))))</f>
        <v>150</v>
      </c>
      <c r="S24" s="459" t="str">
        <f t="shared" ca="1" si="8"/>
        <v xml:space="preserve"> </v>
      </c>
      <c r="T24" s="460" t="str">
        <f t="shared" ca="1" si="8"/>
        <v xml:space="preserve"> </v>
      </c>
      <c r="U24" s="460" t="str">
        <f t="shared" ca="1" si="8"/>
        <v xml:space="preserve"> </v>
      </c>
      <c r="V24" s="460" t="str">
        <f t="shared" ca="1" si="8"/>
        <v xml:space="preserve"> </v>
      </c>
      <c r="W24" s="460" t="str">
        <f t="shared" ca="1" si="8"/>
        <v xml:space="preserve"> </v>
      </c>
      <c r="X24" s="460" t="str">
        <f t="shared" ca="1" si="8"/>
        <v>￥</v>
      </c>
      <c r="Y24" s="460" t="str">
        <f t="shared" ca="1" si="8"/>
        <v>1</v>
      </c>
      <c r="Z24" s="460" t="str">
        <f t="shared" ca="1" si="8"/>
        <v>5</v>
      </c>
      <c r="AA24" s="461" t="str">
        <f t="shared" ca="1" si="8"/>
        <v>0</v>
      </c>
      <c r="AB24" s="474" t="str">
        <f t="shared" ca="1" si="8"/>
        <v>0</v>
      </c>
      <c r="AC24" s="475" t="str">
        <f t="shared" ca="1" si="8"/>
        <v>0</v>
      </c>
      <c r="AD24" s="477" t="str">
        <f t="shared" ca="1" si="4"/>
        <v>借</v>
      </c>
      <c r="AE24" s="478">
        <f t="shared" ca="1" si="5"/>
        <v>5430.71</v>
      </c>
      <c r="AF24" s="459" t="str">
        <f t="shared" ca="1" si="6"/>
        <v xml:space="preserve"> </v>
      </c>
      <c r="AG24" s="460" t="str">
        <f t="shared" ca="1" si="6"/>
        <v xml:space="preserve"> </v>
      </c>
      <c r="AH24" s="460" t="str">
        <f t="shared" ca="1" si="6"/>
        <v xml:space="preserve"> </v>
      </c>
      <c r="AI24" s="460" t="str">
        <f t="shared" ca="1" si="6"/>
        <v xml:space="preserve"> </v>
      </c>
      <c r="AJ24" s="460" t="str">
        <f t="shared" ca="1" si="6"/>
        <v>￥</v>
      </c>
      <c r="AK24" s="460" t="str">
        <f t="shared" ca="1" si="6"/>
        <v>5</v>
      </c>
      <c r="AL24" s="460" t="str">
        <f t="shared" ca="1" si="6"/>
        <v>4</v>
      </c>
      <c r="AM24" s="460" t="str">
        <f t="shared" ca="1" si="6"/>
        <v>3</v>
      </c>
      <c r="AN24" s="461" t="str">
        <f t="shared" ca="1" si="6"/>
        <v>0</v>
      </c>
      <c r="AO24" s="474" t="str">
        <f t="shared" ca="1" si="6"/>
        <v>7</v>
      </c>
      <c r="AP24" s="475" t="str">
        <f t="shared" ca="1" si="6"/>
        <v>1</v>
      </c>
      <c r="AQ24" s="479">
        <f t="array" aca="1" ref="AQ24" ca="1">IF(ROW()-5&lt;=COUNTIF(科目编号,$AR$2),SMALL(IF(科目编号=$AR$2,ROW(科目编号),""),ROW()-5),"")</f>
        <v>98</v>
      </c>
      <c r="AR24" s="480">
        <f ca="1">IF($BG$2=0,"",IF(AR23="本月合计","本年累计",IF(OR(ROW()=$AU$3,ROW()=$AV$3,ROW()=$AW$3,ROW()=$AX$3,ROW()=$AY$3,ROW()=$AZ$3,ROW()=$BA$3,ROW()=$BB$3,ROW()=$BC$3,ROW()=$BD$3,ROW()=$BE$3,ROW()=$BF$3),"本月合计",IF(ROW()&lt;7,$AQ$6,OFFSET($AQ$6,COUNT($AR$6:AR23),0)))))</f>
        <v>55</v>
      </c>
    </row>
    <row r="25" spans="1:44" ht="15" customHeight="1">
      <c r="A25" s="469">
        <f ca="1">IFERROR(INDEX(凭证录入!A:A,$AR25),"")</f>
        <v>5</v>
      </c>
      <c r="B25" s="469">
        <f ca="1">IFERROR(INDEX(凭证录入!B:B,$AR25),"")</f>
        <v>12</v>
      </c>
      <c r="C25" s="470" t="str">
        <f ca="1">IFERROR(INDEX(凭证录入!G:G,$AR25),"")</f>
        <v>银付</v>
      </c>
      <c r="D25" s="471">
        <f ca="1">IFERROR(INDEX(凭证录入!F:F,$AR25),"")</f>
        <v>2</v>
      </c>
      <c r="E25" s="472" t="str">
        <f ca="1">IFERROR(INDEX(凭证录入!H:H,$AR25),$AR25)</f>
        <v>增值税滞纳金</v>
      </c>
      <c r="F25" s="473">
        <f ca="1">IF(OR($BG$2=0,$AR25=""),,IF($AR25="本月合计",IF(ROW()=$BG$3,SUM($F$6:$F24),SUM(INDIRECT("$F$"&amp;OFFSET($AU$3,,MATCH(ROW(),$AU$3:$BF$3,)-2)+2&amp;":$E"&amp;ROW()-1))),IF($AR25="本年累计",SUMIF($AR$6:$AR25,"本月合计",$F$6:$F24),INDEX(凭证录入!K:K,$AR25))))</f>
        <v>0</v>
      </c>
      <c r="G25" s="459" t="str">
        <f t="shared" ca="1" si="7"/>
        <v/>
      </c>
      <c r="H25" s="460" t="str">
        <f t="shared" ca="1" si="7"/>
        <v/>
      </c>
      <c r="I25" s="460" t="str">
        <f t="shared" ca="1" si="7"/>
        <v/>
      </c>
      <c r="J25" s="460" t="str">
        <f t="shared" ca="1" si="7"/>
        <v/>
      </c>
      <c r="K25" s="460" t="str">
        <f t="shared" ca="1" si="7"/>
        <v/>
      </c>
      <c r="L25" s="460" t="str">
        <f t="shared" ca="1" si="7"/>
        <v/>
      </c>
      <c r="M25" s="460" t="str">
        <f t="shared" ca="1" si="7"/>
        <v/>
      </c>
      <c r="N25" s="460" t="str">
        <f t="shared" ca="1" si="7"/>
        <v/>
      </c>
      <c r="O25" s="461" t="str">
        <f t="shared" ca="1" si="7"/>
        <v/>
      </c>
      <c r="P25" s="474" t="str">
        <f t="shared" ca="1" si="7"/>
        <v/>
      </c>
      <c r="Q25" s="475" t="str">
        <f t="shared" ca="1" si="7"/>
        <v/>
      </c>
      <c r="R25" s="476">
        <f ca="1">IF(OR($BG$2=0,$AR25=""),,IF($AR25="本月合计",IF(ROW()=$BG$3,SUM($R$6:$R24),SUM(INDIRECT("$R$"&amp;OFFSET($AU$3,,MATCH(ROW(),$AU$3:$BF$3,)-2)+2&amp;":$R"&amp;ROW()-1))),IF($AR25="本年累计",SUMIF($AR$6:$AR25,"本月合计",$R$6:$R24),INDEX(凭证录入!L:L,$AR25))))</f>
        <v>0.15</v>
      </c>
      <c r="S25" s="459" t="str">
        <f t="shared" ca="1" si="8"/>
        <v xml:space="preserve"> </v>
      </c>
      <c r="T25" s="460" t="str">
        <f t="shared" ca="1" si="8"/>
        <v xml:space="preserve"> </v>
      </c>
      <c r="U25" s="460" t="str">
        <f t="shared" ca="1" si="8"/>
        <v xml:space="preserve"> </v>
      </c>
      <c r="V25" s="460" t="str">
        <f t="shared" ca="1" si="8"/>
        <v xml:space="preserve"> </v>
      </c>
      <c r="W25" s="460" t="str">
        <f t="shared" ca="1" si="8"/>
        <v xml:space="preserve"> </v>
      </c>
      <c r="X25" s="460" t="str">
        <f t="shared" ca="1" si="8"/>
        <v xml:space="preserve"> </v>
      </c>
      <c r="Y25" s="460" t="str">
        <f t="shared" ca="1" si="8"/>
        <v xml:space="preserve"> </v>
      </c>
      <c r="Z25" s="460" t="str">
        <f t="shared" ca="1" si="8"/>
        <v xml:space="preserve"> </v>
      </c>
      <c r="AA25" s="461" t="str">
        <f t="shared" ca="1" si="8"/>
        <v>￥</v>
      </c>
      <c r="AB25" s="474" t="str">
        <f t="shared" ca="1" si="8"/>
        <v>1</v>
      </c>
      <c r="AC25" s="475" t="str">
        <f t="shared" ca="1" si="8"/>
        <v>5</v>
      </c>
      <c r="AD25" s="477" t="str">
        <f t="shared" ca="1" si="4"/>
        <v>借</v>
      </c>
      <c r="AE25" s="478">
        <f t="shared" ca="1" si="5"/>
        <v>5430.56</v>
      </c>
      <c r="AF25" s="459" t="str">
        <f t="shared" ca="1" si="6"/>
        <v xml:space="preserve"> </v>
      </c>
      <c r="AG25" s="460" t="str">
        <f t="shared" ca="1" si="6"/>
        <v xml:space="preserve"> </v>
      </c>
      <c r="AH25" s="460" t="str">
        <f t="shared" ca="1" si="6"/>
        <v xml:space="preserve"> </v>
      </c>
      <c r="AI25" s="460" t="str">
        <f t="shared" ca="1" si="6"/>
        <v xml:space="preserve"> </v>
      </c>
      <c r="AJ25" s="460" t="str">
        <f t="shared" ca="1" si="6"/>
        <v>￥</v>
      </c>
      <c r="AK25" s="460" t="str">
        <f t="shared" ca="1" si="6"/>
        <v>5</v>
      </c>
      <c r="AL25" s="460" t="str">
        <f t="shared" ca="1" si="6"/>
        <v>4</v>
      </c>
      <c r="AM25" s="460" t="str">
        <f t="shared" ca="1" si="6"/>
        <v>3</v>
      </c>
      <c r="AN25" s="461" t="str">
        <f t="shared" ca="1" si="6"/>
        <v>0</v>
      </c>
      <c r="AO25" s="474" t="str">
        <f t="shared" ca="1" si="6"/>
        <v>5</v>
      </c>
      <c r="AP25" s="475" t="str">
        <f t="shared" ca="1" si="6"/>
        <v>6</v>
      </c>
      <c r="AQ25" s="479">
        <f t="array" aca="1" ref="AQ25" ca="1">IF(ROW()-5&lt;=COUNTIF(科目编号,$AR$2),SMALL(IF(科目编号=$AR$2,ROW(科目编号),""),ROW()-5),"")</f>
        <v>102</v>
      </c>
      <c r="AR25" s="480">
        <f ca="1">IF($BG$2=0,"",IF(AR24="本月合计","本年累计",IF(OR(ROW()=$AU$3,ROW()=$AV$3,ROW()=$AW$3,ROW()=$AX$3,ROW()=$AY$3,ROW()=$AZ$3,ROW()=$BA$3,ROW()=$BB$3,ROW()=$BC$3,ROW()=$BD$3,ROW()=$BE$3,ROW()=$BF$3),"本月合计",IF(ROW()&lt;7,$AQ$6,OFFSET($AQ$6,COUNT($AR$6:AR24),0)))))</f>
        <v>57</v>
      </c>
    </row>
    <row r="26" spans="1:44" ht="15" customHeight="1">
      <c r="A26" s="469">
        <f ca="1">IFERROR(INDEX(凭证录入!A:A,$AR26),"")</f>
        <v>5</v>
      </c>
      <c r="B26" s="469">
        <f ca="1">IFERROR(INDEX(凭证录入!B:B,$AR26),"")</f>
        <v>20</v>
      </c>
      <c r="C26" s="470" t="str">
        <f ca="1">IFERROR(INDEX(凭证录入!G:G,$AR26),"")</f>
        <v>银付</v>
      </c>
      <c r="D26" s="471">
        <f ca="1">IFERROR(INDEX(凭证录入!F:F,$AR26),"")</f>
        <v>3</v>
      </c>
      <c r="E26" s="472" t="str">
        <f ca="1">IFERROR(INDEX(凭证录入!H:H,$AR26),$AR26)</f>
        <v>票据交换费</v>
      </c>
      <c r="F26" s="473">
        <f ca="1">IF(OR($BG$2=0,$AR26=""),,IF($AR26="本月合计",IF(ROW()=$BG$3,SUM($F$6:$F25),SUM(INDIRECT("$F$"&amp;OFFSET($AU$3,,MATCH(ROW(),$AU$3:$BF$3,)-2)+2&amp;":$E"&amp;ROW()-1))),IF($AR26="本年累计",SUMIF($AR$6:$AR26,"本月合计",$F$6:$F25),INDEX(凭证录入!K:K,$AR26))))</f>
        <v>0</v>
      </c>
      <c r="G26" s="459" t="str">
        <f t="shared" ca="1" si="7"/>
        <v/>
      </c>
      <c r="H26" s="460" t="str">
        <f t="shared" ca="1" si="7"/>
        <v/>
      </c>
      <c r="I26" s="460" t="str">
        <f t="shared" ca="1" si="7"/>
        <v/>
      </c>
      <c r="J26" s="460" t="str">
        <f t="shared" ca="1" si="7"/>
        <v/>
      </c>
      <c r="K26" s="460" t="str">
        <f t="shared" ca="1" si="7"/>
        <v/>
      </c>
      <c r="L26" s="460" t="str">
        <f t="shared" ca="1" si="7"/>
        <v/>
      </c>
      <c r="M26" s="460" t="str">
        <f t="shared" ca="1" si="7"/>
        <v/>
      </c>
      <c r="N26" s="460" t="str">
        <f t="shared" ca="1" si="7"/>
        <v/>
      </c>
      <c r="O26" s="461" t="str">
        <f t="shared" ca="1" si="7"/>
        <v/>
      </c>
      <c r="P26" s="474" t="str">
        <f t="shared" ca="1" si="7"/>
        <v/>
      </c>
      <c r="Q26" s="475" t="str">
        <f t="shared" ca="1" si="7"/>
        <v/>
      </c>
      <c r="R26" s="476">
        <f ca="1">IF(OR($BG$2=0,$AR26=""),,IF($AR26="本月合计",IF(ROW()=$BG$3,SUM($R$6:$R25),SUM(INDIRECT("$R$"&amp;OFFSET($AU$3,,MATCH(ROW(),$AU$3:$BF$3,)-2)+2&amp;":$R"&amp;ROW()-1))),IF($AR26="本年累计",SUMIF($AR$6:$AR26,"本月合计",$R$6:$R25),INDEX(凭证录入!L:L,$AR26))))</f>
        <v>2</v>
      </c>
      <c r="S26" s="459" t="str">
        <f t="shared" ca="1" si="8"/>
        <v xml:space="preserve"> </v>
      </c>
      <c r="T26" s="460" t="str">
        <f t="shared" ca="1" si="8"/>
        <v xml:space="preserve"> </v>
      </c>
      <c r="U26" s="460" t="str">
        <f t="shared" ca="1" si="8"/>
        <v xml:space="preserve"> </v>
      </c>
      <c r="V26" s="460" t="str">
        <f t="shared" ca="1" si="8"/>
        <v xml:space="preserve"> </v>
      </c>
      <c r="W26" s="460" t="str">
        <f t="shared" ca="1" si="8"/>
        <v xml:space="preserve"> </v>
      </c>
      <c r="X26" s="460" t="str">
        <f t="shared" ca="1" si="8"/>
        <v xml:space="preserve"> </v>
      </c>
      <c r="Y26" s="460" t="str">
        <f t="shared" ca="1" si="8"/>
        <v xml:space="preserve"> </v>
      </c>
      <c r="Z26" s="460" t="str">
        <f t="shared" ca="1" si="8"/>
        <v>￥</v>
      </c>
      <c r="AA26" s="461" t="str">
        <f t="shared" ca="1" si="8"/>
        <v>2</v>
      </c>
      <c r="AB26" s="474" t="str">
        <f t="shared" ca="1" si="8"/>
        <v>0</v>
      </c>
      <c r="AC26" s="475" t="str">
        <f t="shared" ca="1" si="8"/>
        <v>0</v>
      </c>
      <c r="AD26" s="477" t="str">
        <f t="shared" ca="1" si="4"/>
        <v>借</v>
      </c>
      <c r="AE26" s="478">
        <f t="shared" ca="1" si="5"/>
        <v>5428.56</v>
      </c>
      <c r="AF26" s="459" t="str">
        <f t="shared" ca="1" si="6"/>
        <v xml:space="preserve"> </v>
      </c>
      <c r="AG26" s="460" t="str">
        <f t="shared" ca="1" si="6"/>
        <v xml:space="preserve"> </v>
      </c>
      <c r="AH26" s="460" t="str">
        <f t="shared" ca="1" si="6"/>
        <v xml:space="preserve"> </v>
      </c>
      <c r="AI26" s="460" t="str">
        <f t="shared" ca="1" si="6"/>
        <v xml:space="preserve"> </v>
      </c>
      <c r="AJ26" s="460" t="str">
        <f t="shared" ca="1" si="6"/>
        <v>￥</v>
      </c>
      <c r="AK26" s="460" t="str">
        <f t="shared" ca="1" si="6"/>
        <v>5</v>
      </c>
      <c r="AL26" s="460" t="str">
        <f t="shared" ca="1" si="6"/>
        <v>4</v>
      </c>
      <c r="AM26" s="460" t="str">
        <f t="shared" ca="1" si="6"/>
        <v>2</v>
      </c>
      <c r="AN26" s="461" t="str">
        <f t="shared" ca="1" si="6"/>
        <v>8</v>
      </c>
      <c r="AO26" s="474" t="str">
        <f t="shared" ca="1" si="6"/>
        <v>5</v>
      </c>
      <c r="AP26" s="475" t="str">
        <f t="shared" ca="1" si="6"/>
        <v>6</v>
      </c>
      <c r="AQ26" s="479">
        <f t="array" aca="1" ref="AQ26" ca="1">IF(ROW()-5&lt;=COUNTIF(科目编号,$AR$2),SMALL(IF(科目编号=$AR$2,ROW(科目编号),""),ROW()-5),"")</f>
        <v>104</v>
      </c>
      <c r="AR26" s="480">
        <f ca="1">IF($BG$2=0,"",IF(AR25="本月合计","本年累计",IF(OR(ROW()=$AU$3,ROW()=$AV$3,ROW()=$AW$3,ROW()=$AX$3,ROW()=$AY$3,ROW()=$AZ$3,ROW()=$BA$3,ROW()=$BB$3,ROW()=$BC$3,ROW()=$BD$3,ROW()=$BE$3,ROW()=$BF$3),"本月合计",IF(ROW()&lt;7,$AQ$6,OFFSET($AQ$6,COUNT($AR$6:AR25),0)))))</f>
        <v>59</v>
      </c>
    </row>
    <row r="27" spans="1:44" ht="15" customHeight="1">
      <c r="A27" s="469">
        <f ca="1">IFERROR(INDEX(凭证录入!A:A,$AR27),"")</f>
        <v>5</v>
      </c>
      <c r="B27" s="469">
        <f ca="1">IFERROR(INDEX(凭证录入!B:B,$AR27),"")</f>
        <v>27</v>
      </c>
      <c r="C27" s="470" t="str">
        <f ca="1">IFERROR(INDEX(凭证录入!G:G,$AR27),"")</f>
        <v>银付</v>
      </c>
      <c r="D27" s="471">
        <f ca="1">IFERROR(INDEX(凭证录入!F:F,$AR27),"")</f>
        <v>4</v>
      </c>
      <c r="E27" s="472" t="str">
        <f ca="1">IFERROR(INDEX(凭证录入!H:H,$AR27),$AR27)</f>
        <v>企业网银费</v>
      </c>
      <c r="F27" s="473">
        <f ca="1">IF(OR($BG$2=0,$AR27=""),,IF($AR27="本月合计",IF(ROW()=$BG$3,SUM($F$6:$F26),SUM(INDIRECT("$F$"&amp;OFFSET($AU$3,,MATCH(ROW(),$AU$3:$BF$3,)-2)+2&amp;":$E"&amp;ROW()-1))),IF($AR27="本年累计",SUMIF($AR$6:$AR27,"本月合计",$F$6:$F26),INDEX(凭证录入!K:K,$AR27))))</f>
        <v>0</v>
      </c>
      <c r="G27" s="459" t="str">
        <f t="shared" ca="1" si="7"/>
        <v/>
      </c>
      <c r="H27" s="460" t="str">
        <f t="shared" ca="1" si="7"/>
        <v/>
      </c>
      <c r="I27" s="460" t="str">
        <f t="shared" ca="1" si="7"/>
        <v/>
      </c>
      <c r="J27" s="460" t="str">
        <f t="shared" ca="1" si="7"/>
        <v/>
      </c>
      <c r="K27" s="460" t="str">
        <f t="shared" ca="1" si="7"/>
        <v/>
      </c>
      <c r="L27" s="460" t="str">
        <f t="shared" ca="1" si="7"/>
        <v/>
      </c>
      <c r="M27" s="460" t="str">
        <f t="shared" ca="1" si="7"/>
        <v/>
      </c>
      <c r="N27" s="460" t="str">
        <f t="shared" ca="1" si="7"/>
        <v/>
      </c>
      <c r="O27" s="461" t="str">
        <f t="shared" ca="1" si="7"/>
        <v/>
      </c>
      <c r="P27" s="474" t="str">
        <f t="shared" ca="1" si="7"/>
        <v/>
      </c>
      <c r="Q27" s="475" t="str">
        <f t="shared" ca="1" si="7"/>
        <v/>
      </c>
      <c r="R27" s="476">
        <f ca="1">IF(OR($BG$2=0,$AR27=""),,IF($AR27="本月合计",IF(ROW()=$BG$3,SUM($R$6:$R26),SUM(INDIRECT("$R$"&amp;OFFSET($AU$3,,MATCH(ROW(),$AU$3:$BF$3,)-2)+2&amp;":$R"&amp;ROW()-1))),IF($AR27="本年累计",SUMIF($AR$6:$AR27,"本月合计",$R$6:$R26),INDEX(凭证录入!L:L,$AR27))))</f>
        <v>60</v>
      </c>
      <c r="S27" s="459" t="str">
        <f t="shared" ca="1" si="8"/>
        <v xml:space="preserve"> </v>
      </c>
      <c r="T27" s="460" t="str">
        <f t="shared" ca="1" si="8"/>
        <v xml:space="preserve"> </v>
      </c>
      <c r="U27" s="460" t="str">
        <f t="shared" ca="1" si="8"/>
        <v xml:space="preserve"> </v>
      </c>
      <c r="V27" s="460" t="str">
        <f t="shared" ca="1" si="8"/>
        <v xml:space="preserve"> </v>
      </c>
      <c r="W27" s="460" t="str">
        <f t="shared" ca="1" si="8"/>
        <v xml:space="preserve"> </v>
      </c>
      <c r="X27" s="460" t="str">
        <f t="shared" ca="1" si="8"/>
        <v xml:space="preserve"> </v>
      </c>
      <c r="Y27" s="460" t="str">
        <f t="shared" ca="1" si="8"/>
        <v>￥</v>
      </c>
      <c r="Z27" s="460" t="str">
        <f t="shared" ca="1" si="8"/>
        <v>6</v>
      </c>
      <c r="AA27" s="461" t="str">
        <f t="shared" ca="1" si="8"/>
        <v>0</v>
      </c>
      <c r="AB27" s="474" t="str">
        <f t="shared" ca="1" si="8"/>
        <v>0</v>
      </c>
      <c r="AC27" s="475" t="str">
        <f t="shared" ca="1" si="8"/>
        <v>0</v>
      </c>
      <c r="AD27" s="477" t="str">
        <f t="shared" ca="1" si="4"/>
        <v>借</v>
      </c>
      <c r="AE27" s="478">
        <f t="shared" ca="1" si="5"/>
        <v>5368.56</v>
      </c>
      <c r="AF27" s="459" t="str">
        <f t="shared" ca="1" si="6"/>
        <v xml:space="preserve"> </v>
      </c>
      <c r="AG27" s="460" t="str">
        <f t="shared" ca="1" si="6"/>
        <v xml:space="preserve"> </v>
      </c>
      <c r="AH27" s="460" t="str">
        <f t="shared" ca="1" si="6"/>
        <v xml:space="preserve"> </v>
      </c>
      <c r="AI27" s="460" t="str">
        <f t="shared" ca="1" si="6"/>
        <v xml:space="preserve"> </v>
      </c>
      <c r="AJ27" s="460" t="str">
        <f t="shared" ca="1" si="6"/>
        <v>￥</v>
      </c>
      <c r="AK27" s="460" t="str">
        <f t="shared" ca="1" si="6"/>
        <v>5</v>
      </c>
      <c r="AL27" s="460" t="str">
        <f t="shared" ca="1" si="6"/>
        <v>3</v>
      </c>
      <c r="AM27" s="460" t="str">
        <f t="shared" ca="1" si="6"/>
        <v>6</v>
      </c>
      <c r="AN27" s="461" t="str">
        <f t="shared" ca="1" si="6"/>
        <v>8</v>
      </c>
      <c r="AO27" s="474" t="str">
        <f t="shared" ca="1" si="6"/>
        <v>5</v>
      </c>
      <c r="AP27" s="475" t="str">
        <f t="shared" ca="1" si="6"/>
        <v>6</v>
      </c>
      <c r="AQ27" s="479">
        <f t="array" aca="1" ref="AQ27" ca="1">IF(ROW()-5&lt;=COUNTIF(科目编号,$AR$2),SMALL(IF(科目编号=$AR$2,ROW(科目编号),""),ROW()-5),"")</f>
        <v>113</v>
      </c>
      <c r="AR27" s="480">
        <f ca="1">IF($BG$2=0,"",IF(AR26="本月合计","本年累计",IF(OR(ROW()=$AU$3,ROW()=$AV$3,ROW()=$AW$3,ROW()=$AX$3,ROW()=$AY$3,ROW()=$AZ$3,ROW()=$BA$3,ROW()=$BB$3,ROW()=$BC$3,ROW()=$BD$3,ROW()=$BE$3,ROW()=$BF$3),"本月合计",IF(ROW()&lt;7,$AQ$6,OFFSET($AQ$6,COUNT($AR$6:AR26),0)))))</f>
        <v>61</v>
      </c>
    </row>
    <row r="28" spans="1:44" ht="15" customHeight="1">
      <c r="A28" s="469" t="str">
        <f ca="1">IFERROR(INDEX(凭证录入!A:A,$AR28),"")</f>
        <v/>
      </c>
      <c r="B28" s="469" t="str">
        <f ca="1">IFERROR(INDEX(凭证录入!B:B,$AR28),"")</f>
        <v/>
      </c>
      <c r="C28" s="470" t="str">
        <f ca="1">IFERROR(INDEX(凭证录入!G:G,$AR28),"")</f>
        <v/>
      </c>
      <c r="D28" s="471" t="str">
        <f ca="1">IFERROR(INDEX(凭证录入!F:F,$AR28),"")</f>
        <v/>
      </c>
      <c r="E28" s="472" t="str">
        <f ca="1">IFERROR(INDEX(凭证录入!H:H,$AR28),$AR28)</f>
        <v>本月合计</v>
      </c>
      <c r="F28" s="473">
        <f ca="1">IF(OR($BG$2=0,$AR28=""),,IF($AR28="本月合计",IF(ROW()=$BG$3,SUM($F$6:$F27),SUM(INDIRECT("$F$"&amp;OFFSET($AU$3,,MATCH(ROW(),$AU$3:$BF$3,)-2)+2&amp;":$E"&amp;ROW()-1))),IF($AR28="本年累计",SUMIF($AR$6:$AR28,"本月合计",$F$6:$F27),INDEX(凭证录入!K:K,$AR28))))</f>
        <v>0</v>
      </c>
      <c r="G28" s="459" t="str">
        <f t="shared" ca="1" si="7"/>
        <v/>
      </c>
      <c r="H28" s="460" t="str">
        <f t="shared" ca="1" si="7"/>
        <v/>
      </c>
      <c r="I28" s="460" t="str">
        <f t="shared" ca="1" si="7"/>
        <v/>
      </c>
      <c r="J28" s="460" t="str">
        <f t="shared" ca="1" si="7"/>
        <v/>
      </c>
      <c r="K28" s="460" t="str">
        <f t="shared" ca="1" si="7"/>
        <v/>
      </c>
      <c r="L28" s="460" t="str">
        <f t="shared" ca="1" si="7"/>
        <v/>
      </c>
      <c r="M28" s="460" t="str">
        <f t="shared" ca="1" si="7"/>
        <v/>
      </c>
      <c r="N28" s="460" t="str">
        <f t="shared" ca="1" si="7"/>
        <v/>
      </c>
      <c r="O28" s="461" t="str">
        <f t="shared" ca="1" si="7"/>
        <v/>
      </c>
      <c r="P28" s="474" t="str">
        <f t="shared" ca="1" si="7"/>
        <v/>
      </c>
      <c r="Q28" s="475" t="str">
        <f t="shared" ca="1" si="7"/>
        <v/>
      </c>
      <c r="R28" s="476">
        <f ca="1">IF(OR($BG$2=0,$AR28=""),,IF($AR28="本月合计",IF(ROW()=$BG$3,SUM($R$6:$R27),SUM(INDIRECT("$R$"&amp;OFFSET($AU$3,,MATCH(ROW(),$AU$3:$BF$3,)-2)+2&amp;":$R"&amp;ROW()-1))),IF($AR28="本年累计",SUMIF($AR$6:$AR28,"本月合计",$R$6:$R27),INDEX(凭证录入!L:L,$AR28))))</f>
        <v>212.15</v>
      </c>
      <c r="S28" s="459" t="str">
        <f t="shared" ca="1" si="8"/>
        <v xml:space="preserve"> </v>
      </c>
      <c r="T28" s="460" t="str">
        <f t="shared" ca="1" si="8"/>
        <v xml:space="preserve"> </v>
      </c>
      <c r="U28" s="460" t="str">
        <f t="shared" ca="1" si="8"/>
        <v xml:space="preserve"> </v>
      </c>
      <c r="V28" s="460" t="str">
        <f t="shared" ca="1" si="8"/>
        <v xml:space="preserve"> </v>
      </c>
      <c r="W28" s="460" t="str">
        <f t="shared" ca="1" si="8"/>
        <v xml:space="preserve"> </v>
      </c>
      <c r="X28" s="460" t="str">
        <f t="shared" ca="1" si="8"/>
        <v>￥</v>
      </c>
      <c r="Y28" s="460" t="str">
        <f t="shared" ca="1" si="8"/>
        <v>2</v>
      </c>
      <c r="Z28" s="460" t="str">
        <f t="shared" ca="1" si="8"/>
        <v>1</v>
      </c>
      <c r="AA28" s="461" t="str">
        <f t="shared" ca="1" si="8"/>
        <v>2</v>
      </c>
      <c r="AB28" s="474" t="str">
        <f t="shared" ca="1" si="8"/>
        <v>1</v>
      </c>
      <c r="AC28" s="475" t="str">
        <f t="shared" ca="1" si="8"/>
        <v>5</v>
      </c>
      <c r="AD28" s="477" t="str">
        <f t="shared" ca="1" si="4"/>
        <v/>
      </c>
      <c r="AE28" s="478">
        <f t="shared" ca="1" si="5"/>
        <v>5368.56</v>
      </c>
      <c r="AF28" s="459" t="str">
        <f t="shared" ca="1" si="6"/>
        <v xml:space="preserve"> </v>
      </c>
      <c r="AG28" s="460" t="str">
        <f t="shared" ca="1" si="6"/>
        <v xml:space="preserve"> </v>
      </c>
      <c r="AH28" s="460" t="str">
        <f t="shared" ca="1" si="6"/>
        <v xml:space="preserve"> </v>
      </c>
      <c r="AI28" s="460" t="str">
        <f t="shared" ca="1" si="6"/>
        <v xml:space="preserve"> </v>
      </c>
      <c r="AJ28" s="460" t="str">
        <f t="shared" ca="1" si="6"/>
        <v>￥</v>
      </c>
      <c r="AK28" s="460" t="str">
        <f t="shared" ca="1" si="6"/>
        <v>5</v>
      </c>
      <c r="AL28" s="460" t="str">
        <f t="shared" ca="1" si="6"/>
        <v>3</v>
      </c>
      <c r="AM28" s="460" t="str">
        <f t="shared" ca="1" si="6"/>
        <v>6</v>
      </c>
      <c r="AN28" s="461" t="str">
        <f t="shared" ca="1" si="6"/>
        <v>8</v>
      </c>
      <c r="AO28" s="474" t="str">
        <f t="shared" ca="1" si="6"/>
        <v>5</v>
      </c>
      <c r="AP28" s="475" t="str">
        <f t="shared" ca="1" si="6"/>
        <v>6</v>
      </c>
      <c r="AQ28" s="479">
        <f t="array" aca="1" ref="AQ28" ca="1">IF(ROW()-5&lt;=COUNTIF(科目编号,$AR$2),SMALL(IF(科目编号=$AR$2,ROW(科目编号),""),ROW()-5),"")</f>
        <v>121</v>
      </c>
      <c r="AR28" s="480" t="str">
        <f ca="1">IF($BG$2=0,"",IF(AR27="本月合计","本年累计",IF(OR(ROW()=$AU$3,ROW()=$AV$3,ROW()=$AW$3,ROW()=$AX$3,ROW()=$AY$3,ROW()=$AZ$3,ROW()=$BA$3,ROW()=$BB$3,ROW()=$BC$3,ROW()=$BD$3,ROW()=$BE$3,ROW()=$BF$3),"本月合计",IF(ROW()&lt;7,$AQ$6,OFFSET($AQ$6,COUNT($AR$6:AR27),0)))))</f>
        <v>本月合计</v>
      </c>
    </row>
    <row r="29" spans="1:44" ht="15" customHeight="1">
      <c r="A29" s="469" t="str">
        <f ca="1">IFERROR(INDEX(凭证录入!A:A,$AR29),"")</f>
        <v/>
      </c>
      <c r="B29" s="469" t="str">
        <f ca="1">IFERROR(INDEX(凭证录入!B:B,$AR29),"")</f>
        <v/>
      </c>
      <c r="C29" s="470" t="str">
        <f ca="1">IFERROR(INDEX(凭证录入!G:G,$AR29),"")</f>
        <v/>
      </c>
      <c r="D29" s="471" t="str">
        <f ca="1">IFERROR(INDEX(凭证录入!F:F,$AR29),"")</f>
        <v/>
      </c>
      <c r="E29" s="472" t="str">
        <f ca="1">IFERROR(INDEX(凭证录入!H:H,$AR29),$AR29)</f>
        <v>本年累计</v>
      </c>
      <c r="F29" s="473">
        <f ca="1">IF(OR($BG$2=0,$AR29=""),,IF($AR29="本月合计",IF(ROW()=$BG$3,SUM($F$6:$F28),SUM(INDIRECT("$F$"&amp;OFFSET($AU$3,,MATCH(ROW(),$AU$3:$BF$3,)-2)+2&amp;":$E"&amp;ROW()-1))),IF($AR29="本年累计",SUMIF($AR$6:$AR29,"本月合计",$F$6:$F28),INDEX(凭证录入!K:K,$AR29))))</f>
        <v>4270.79</v>
      </c>
      <c r="G29" s="459" t="str">
        <f t="shared" ca="1" si="7"/>
        <v xml:space="preserve"> </v>
      </c>
      <c r="H29" s="460" t="str">
        <f t="shared" ca="1" si="7"/>
        <v xml:space="preserve"> </v>
      </c>
      <c r="I29" s="460" t="str">
        <f t="shared" ca="1" si="7"/>
        <v xml:space="preserve"> </v>
      </c>
      <c r="J29" s="460" t="str">
        <f t="shared" ca="1" si="7"/>
        <v xml:space="preserve"> </v>
      </c>
      <c r="K29" s="460" t="str">
        <f t="shared" ca="1" si="7"/>
        <v>￥</v>
      </c>
      <c r="L29" s="460" t="str">
        <f t="shared" ca="1" si="7"/>
        <v>4</v>
      </c>
      <c r="M29" s="460" t="str">
        <f t="shared" ca="1" si="7"/>
        <v>2</v>
      </c>
      <c r="N29" s="460" t="str">
        <f t="shared" ca="1" si="7"/>
        <v>7</v>
      </c>
      <c r="O29" s="461" t="str">
        <f t="shared" ca="1" si="7"/>
        <v>0</v>
      </c>
      <c r="P29" s="474" t="str">
        <f t="shared" ca="1" si="7"/>
        <v>7</v>
      </c>
      <c r="Q29" s="475" t="str">
        <f t="shared" ca="1" si="7"/>
        <v>9</v>
      </c>
      <c r="R29" s="476">
        <f ca="1">IF(OR($BG$2=0,$AR29=""),,IF($AR29="本月合计",IF(ROW()=$BG$3,SUM($R$6:$R28),SUM(INDIRECT("$R$"&amp;OFFSET($AU$3,,MATCH(ROW(),$AU$3:$BF$3,)-2)+2&amp;":$R"&amp;ROW()-1))),IF($AR29="本年累计",SUMIF($AR$6:$AR29,"本月合计",$R$6:$R28),INDEX(凭证录入!L:L,$AR29))))</f>
        <v>5797.3</v>
      </c>
      <c r="S29" s="459" t="str">
        <f t="shared" ca="1" si="8"/>
        <v xml:space="preserve"> </v>
      </c>
      <c r="T29" s="460" t="str">
        <f t="shared" ca="1" si="8"/>
        <v xml:space="preserve"> </v>
      </c>
      <c r="U29" s="460" t="str">
        <f t="shared" ca="1" si="8"/>
        <v xml:space="preserve"> </v>
      </c>
      <c r="V29" s="460" t="str">
        <f t="shared" ca="1" si="8"/>
        <v xml:space="preserve"> </v>
      </c>
      <c r="W29" s="460" t="str">
        <f t="shared" ca="1" si="8"/>
        <v>￥</v>
      </c>
      <c r="X29" s="460" t="str">
        <f t="shared" ca="1" si="8"/>
        <v>5</v>
      </c>
      <c r="Y29" s="460" t="str">
        <f t="shared" ca="1" si="8"/>
        <v>7</v>
      </c>
      <c r="Z29" s="460" t="str">
        <f t="shared" ca="1" si="8"/>
        <v>9</v>
      </c>
      <c r="AA29" s="461" t="str">
        <f t="shared" ca="1" si="8"/>
        <v>7</v>
      </c>
      <c r="AB29" s="474" t="str">
        <f t="shared" ca="1" si="8"/>
        <v>3</v>
      </c>
      <c r="AC29" s="475" t="str">
        <f t="shared" ca="1" si="8"/>
        <v>0</v>
      </c>
      <c r="AD29" s="477" t="str">
        <f t="shared" ca="1" si="4"/>
        <v/>
      </c>
      <c r="AE29" s="478">
        <f t="shared" ca="1" si="5"/>
        <v>5368.56</v>
      </c>
      <c r="AF29" s="459" t="str">
        <f t="shared" ca="1" si="6"/>
        <v xml:space="preserve"> </v>
      </c>
      <c r="AG29" s="460" t="str">
        <f t="shared" ca="1" si="6"/>
        <v xml:space="preserve"> </v>
      </c>
      <c r="AH29" s="460" t="str">
        <f t="shared" ca="1" si="6"/>
        <v xml:space="preserve"> </v>
      </c>
      <c r="AI29" s="460" t="str">
        <f t="shared" ca="1" si="6"/>
        <v xml:space="preserve"> </v>
      </c>
      <c r="AJ29" s="460" t="str">
        <f t="shared" ca="1" si="6"/>
        <v>￥</v>
      </c>
      <c r="AK29" s="460" t="str">
        <f t="shared" ca="1" si="6"/>
        <v>5</v>
      </c>
      <c r="AL29" s="460" t="str">
        <f t="shared" ca="1" si="6"/>
        <v>3</v>
      </c>
      <c r="AM29" s="460" t="str">
        <f t="shared" ca="1" si="6"/>
        <v>6</v>
      </c>
      <c r="AN29" s="461" t="str">
        <f t="shared" ca="1" si="6"/>
        <v>8</v>
      </c>
      <c r="AO29" s="474" t="str">
        <f t="shared" ca="1" si="6"/>
        <v>5</v>
      </c>
      <c r="AP29" s="475" t="str">
        <f t="shared" ca="1" si="6"/>
        <v>6</v>
      </c>
      <c r="AQ29" s="479">
        <f t="array" aca="1" ref="AQ29" ca="1">IF(ROW()-5&lt;=COUNTIF(科目编号,$AR$2),SMALL(IF(科目编号=$AR$2,ROW(科目编号),""),ROW()-5),"")</f>
        <v>123</v>
      </c>
      <c r="AR29" s="480" t="str">
        <f ca="1">IF($BG$2=0,"",IF(AR28="本月合计","本年累计",IF(OR(ROW()=$AU$3,ROW()=$AV$3,ROW()=$AW$3,ROW()=$AX$3,ROW()=$AY$3,ROW()=$AZ$3,ROW()=$BA$3,ROW()=$BB$3,ROW()=$BC$3,ROW()=$BD$3,ROW()=$BE$3,ROW()=$BF$3),"本月合计",IF(ROW()&lt;7,$AQ$6,OFFSET($AQ$6,COUNT($AR$6:AR28),0)))))</f>
        <v>本年累计</v>
      </c>
    </row>
    <row r="30" spans="1:44" ht="15" customHeight="1">
      <c r="A30" s="469">
        <f ca="1">IFERROR(INDEX(凭证录入!A:A,$AR30),"")</f>
        <v>6</v>
      </c>
      <c r="B30" s="469">
        <f ca="1">IFERROR(INDEX(凭证录入!B:B,$AR30),"")</f>
        <v>8</v>
      </c>
      <c r="C30" s="470" t="str">
        <f ca="1">IFERROR(INDEX(凭证录入!G:G,$AR30),"")</f>
        <v>银付</v>
      </c>
      <c r="D30" s="471">
        <f ca="1">IFERROR(INDEX(凭证录入!F:F,$AR30),"")</f>
        <v>1</v>
      </c>
      <c r="E30" s="472" t="str">
        <f ca="1">IFERROR(INDEX(凭证录入!H:H,$AR30),$AR30)</f>
        <v>支付增值税费</v>
      </c>
      <c r="F30" s="473">
        <f ca="1">IF(OR($BG$2=0,$AR30=""),,IF($AR30="本月合计",IF(ROW()=$BG$3,SUM($F$6:$F29),SUM(INDIRECT("$F$"&amp;OFFSET($AU$3,,MATCH(ROW(),$AU$3:$BF$3,)-2)+2&amp;":$E"&amp;ROW()-1))),IF($AR30="本年累计",SUMIF($AR$6:$AR30,"本月合计",$F$6:$F29),INDEX(凭证录入!K:K,$AR30))))</f>
        <v>0</v>
      </c>
      <c r="G30" s="459" t="str">
        <f t="shared" ca="1" si="7"/>
        <v/>
      </c>
      <c r="H30" s="460" t="str">
        <f t="shared" ca="1" si="7"/>
        <v/>
      </c>
      <c r="I30" s="460" t="str">
        <f t="shared" ca="1" si="7"/>
        <v/>
      </c>
      <c r="J30" s="460" t="str">
        <f t="shared" ca="1" si="7"/>
        <v/>
      </c>
      <c r="K30" s="460" t="str">
        <f t="shared" ca="1" si="7"/>
        <v/>
      </c>
      <c r="L30" s="460" t="str">
        <f t="shared" ca="1" si="7"/>
        <v/>
      </c>
      <c r="M30" s="460" t="str">
        <f t="shared" ca="1" si="7"/>
        <v/>
      </c>
      <c r="N30" s="460" t="str">
        <f t="shared" ca="1" si="7"/>
        <v/>
      </c>
      <c r="O30" s="461" t="str">
        <f t="shared" ca="1" si="7"/>
        <v/>
      </c>
      <c r="P30" s="474" t="str">
        <f t="shared" ca="1" si="7"/>
        <v/>
      </c>
      <c r="Q30" s="475" t="str">
        <f t="shared" ca="1" si="7"/>
        <v/>
      </c>
      <c r="R30" s="476">
        <f ca="1">IF(OR($BG$2=0,$AR30=""),,IF($AR30="本月合计",IF(ROW()=$BG$3,SUM($R$6:$R29),SUM(INDIRECT("$R$"&amp;OFFSET($AU$3,,MATCH(ROW(),$AU$3:$BF$3,)-2)+2&amp;":$R"&amp;ROW()-1))),IF($AR30="本年累计",SUMIF($AR$6:$AR30,"本月合计",$R$6:$R29),INDEX(凭证录入!L:L,$AR30))))</f>
        <v>150</v>
      </c>
      <c r="S30" s="459" t="str">
        <f t="shared" ca="1" si="8"/>
        <v xml:space="preserve"> </v>
      </c>
      <c r="T30" s="460" t="str">
        <f t="shared" ca="1" si="8"/>
        <v xml:space="preserve"> </v>
      </c>
      <c r="U30" s="460" t="str">
        <f t="shared" ca="1" si="8"/>
        <v xml:space="preserve"> </v>
      </c>
      <c r="V30" s="460" t="str">
        <f t="shared" ca="1" si="8"/>
        <v xml:space="preserve"> </v>
      </c>
      <c r="W30" s="460" t="str">
        <f t="shared" ca="1" si="8"/>
        <v xml:space="preserve"> </v>
      </c>
      <c r="X30" s="460" t="str">
        <f t="shared" ca="1" si="8"/>
        <v>￥</v>
      </c>
      <c r="Y30" s="460" t="str">
        <f t="shared" ca="1" si="8"/>
        <v>1</v>
      </c>
      <c r="Z30" s="460" t="str">
        <f t="shared" ca="1" si="8"/>
        <v>5</v>
      </c>
      <c r="AA30" s="461" t="str">
        <f t="shared" ca="1" si="8"/>
        <v>0</v>
      </c>
      <c r="AB30" s="474" t="str">
        <f t="shared" ca="1" si="8"/>
        <v>0</v>
      </c>
      <c r="AC30" s="475" t="str">
        <f t="shared" ca="1" si="8"/>
        <v>0</v>
      </c>
      <c r="AD30" s="477" t="str">
        <f t="shared" ca="1" si="4"/>
        <v>借</v>
      </c>
      <c r="AE30" s="478">
        <f t="shared" ca="1" si="5"/>
        <v>5218.5600000000004</v>
      </c>
      <c r="AF30" s="459" t="str">
        <f t="shared" ca="1" si="6"/>
        <v xml:space="preserve"> </v>
      </c>
      <c r="AG30" s="460" t="str">
        <f t="shared" ca="1" si="6"/>
        <v xml:space="preserve"> </v>
      </c>
      <c r="AH30" s="460" t="str">
        <f t="shared" ca="1" si="6"/>
        <v xml:space="preserve"> </v>
      </c>
      <c r="AI30" s="460" t="str">
        <f t="shared" ca="1" si="6"/>
        <v xml:space="preserve"> </v>
      </c>
      <c r="AJ30" s="460" t="str">
        <f t="shared" ca="1" si="6"/>
        <v>￥</v>
      </c>
      <c r="AK30" s="460" t="str">
        <f t="shared" ca="1" si="6"/>
        <v>5</v>
      </c>
      <c r="AL30" s="460" t="str">
        <f t="shared" ca="1" si="6"/>
        <v>2</v>
      </c>
      <c r="AM30" s="460" t="str">
        <f t="shared" ca="1" si="6"/>
        <v>1</v>
      </c>
      <c r="AN30" s="461" t="str">
        <f t="shared" ca="1" si="6"/>
        <v>8</v>
      </c>
      <c r="AO30" s="474" t="str">
        <f t="shared" ca="1" si="6"/>
        <v>5</v>
      </c>
      <c r="AP30" s="475" t="str">
        <f t="shared" ca="1" si="6"/>
        <v>6</v>
      </c>
      <c r="AQ30" s="479">
        <f t="array" aca="1" ref="AQ30" ca="1">IF(ROW()-5&lt;=COUNTIF(科目编号,$AR$2),SMALL(IF(科目编号=$AR$2,ROW(科目编号),""),ROW()-5),"")</f>
        <v>132</v>
      </c>
      <c r="AR30" s="480">
        <f ca="1">IF($BG$2=0,"",IF(AR29="本月合计","本年累计",IF(OR(ROW()=$AU$3,ROW()=$AV$3,ROW()=$AW$3,ROW()=$AX$3,ROW()=$AY$3,ROW()=$AZ$3,ROW()=$BA$3,ROW()=$BB$3,ROW()=$BC$3,ROW()=$BD$3,ROW()=$BE$3,ROW()=$BF$3),"本月合计",IF(ROW()&lt;7,$AQ$6,OFFSET($AQ$6,COUNT($AR$6:AR29),0)))))</f>
        <v>72</v>
      </c>
    </row>
    <row r="31" spans="1:44" ht="15" customHeight="1">
      <c r="A31" s="469">
        <f ca="1">IFERROR(INDEX(凭证录入!A:A,$AR31),"")</f>
        <v>6</v>
      </c>
      <c r="B31" s="469">
        <f ca="1">IFERROR(INDEX(凭证录入!B:B,$AR31),"")</f>
        <v>9</v>
      </c>
      <c r="C31" s="470" t="str">
        <f ca="1">IFERROR(INDEX(凭证录入!G:G,$AR31),"")</f>
        <v>银付</v>
      </c>
      <c r="D31" s="471">
        <f ca="1">IFERROR(INDEX(凭证录入!F:F,$AR31),"")</f>
        <v>2</v>
      </c>
      <c r="E31" s="472" t="str">
        <f ca="1">IFERROR(INDEX(凭证录入!H:H,$AR31),$AR31)</f>
        <v>支付5月税费</v>
      </c>
      <c r="F31" s="473">
        <f ca="1">IF(OR($BG$2=0,$AR31=""),,IF($AR31="本月合计",IF(ROW()=$BG$3,SUM($F$6:$F30),SUM(INDIRECT("$F$"&amp;OFFSET($AU$3,,MATCH(ROW(),$AU$3:$BF$3,)-2)+2&amp;":$E"&amp;ROW()-1))),IF($AR31="本年累计",SUMIF($AR$6:$AR31,"本月合计",$F$6:$F30),INDEX(凭证录入!K:K,$AR31))))</f>
        <v>0</v>
      </c>
      <c r="G31" s="459" t="str">
        <f t="shared" ca="1" si="7"/>
        <v/>
      </c>
      <c r="H31" s="460" t="str">
        <f t="shared" ca="1" si="7"/>
        <v/>
      </c>
      <c r="I31" s="460" t="str">
        <f t="shared" ca="1" si="7"/>
        <v/>
      </c>
      <c r="J31" s="460" t="str">
        <f t="shared" ca="1" si="7"/>
        <v/>
      </c>
      <c r="K31" s="460" t="str">
        <f t="shared" ca="1" si="7"/>
        <v/>
      </c>
      <c r="L31" s="460" t="str">
        <f t="shared" ca="1" si="7"/>
        <v/>
      </c>
      <c r="M31" s="460" t="str">
        <f t="shared" ca="1" si="7"/>
        <v/>
      </c>
      <c r="N31" s="460" t="str">
        <f t="shared" ca="1" si="7"/>
        <v/>
      </c>
      <c r="O31" s="461" t="str">
        <f t="shared" ca="1" si="7"/>
        <v/>
      </c>
      <c r="P31" s="474" t="str">
        <f t="shared" ca="1" si="7"/>
        <v/>
      </c>
      <c r="Q31" s="475" t="str">
        <f t="shared" ca="1" si="7"/>
        <v/>
      </c>
      <c r="R31" s="476">
        <f ca="1">IF(OR($BG$2=0,$AR31=""),,IF($AR31="本月合计",IF(ROW()=$BG$3,SUM($R$6:$R30),SUM(INDIRECT("$R$"&amp;OFFSET($AU$3,,MATCH(ROW(),$AU$3:$BF$3,)-2)+2&amp;":$R"&amp;ROW()-1))),IF($AR31="本年累计",SUMIF($AR$6:$AR31,"本月合计",$R$6:$R30),INDEX(凭证录入!L:L,$AR31))))</f>
        <v>16.5</v>
      </c>
      <c r="S31" s="459" t="str">
        <f t="shared" ca="1" si="8"/>
        <v xml:space="preserve"> </v>
      </c>
      <c r="T31" s="460" t="str">
        <f t="shared" ca="1" si="8"/>
        <v xml:space="preserve"> </v>
      </c>
      <c r="U31" s="460" t="str">
        <f t="shared" ca="1" si="8"/>
        <v xml:space="preserve"> </v>
      </c>
      <c r="V31" s="460" t="str">
        <f t="shared" ca="1" si="8"/>
        <v xml:space="preserve"> </v>
      </c>
      <c r="W31" s="460" t="str">
        <f t="shared" ca="1" si="8"/>
        <v xml:space="preserve"> </v>
      </c>
      <c r="X31" s="460" t="str">
        <f t="shared" ca="1" si="8"/>
        <v xml:space="preserve"> </v>
      </c>
      <c r="Y31" s="460" t="str">
        <f t="shared" ca="1" si="8"/>
        <v>￥</v>
      </c>
      <c r="Z31" s="460" t="str">
        <f t="shared" ca="1" si="8"/>
        <v>1</v>
      </c>
      <c r="AA31" s="461" t="str">
        <f t="shared" ca="1" si="8"/>
        <v>6</v>
      </c>
      <c r="AB31" s="474" t="str">
        <f t="shared" ca="1" si="8"/>
        <v>5</v>
      </c>
      <c r="AC31" s="475" t="str">
        <f t="shared" ca="1" si="8"/>
        <v>0</v>
      </c>
      <c r="AD31" s="477" t="str">
        <f t="shared" ca="1" si="4"/>
        <v>借</v>
      </c>
      <c r="AE31" s="478">
        <f t="shared" ca="1" si="5"/>
        <v>5202.0600000000004</v>
      </c>
      <c r="AF31" s="459" t="str">
        <f t="shared" ca="1" si="6"/>
        <v xml:space="preserve"> </v>
      </c>
      <c r="AG31" s="460" t="str">
        <f t="shared" ca="1" si="6"/>
        <v xml:space="preserve"> </v>
      </c>
      <c r="AH31" s="460" t="str">
        <f t="shared" ca="1" si="6"/>
        <v xml:space="preserve"> </v>
      </c>
      <c r="AI31" s="460" t="str">
        <f t="shared" ca="1" si="6"/>
        <v xml:space="preserve"> </v>
      </c>
      <c r="AJ31" s="460" t="str">
        <f t="shared" ca="1" si="6"/>
        <v>￥</v>
      </c>
      <c r="AK31" s="460" t="str">
        <f t="shared" ca="1" si="6"/>
        <v>5</v>
      </c>
      <c r="AL31" s="460" t="str">
        <f t="shared" ca="1" si="6"/>
        <v>2</v>
      </c>
      <c r="AM31" s="460" t="str">
        <f t="shared" ca="1" si="6"/>
        <v>0</v>
      </c>
      <c r="AN31" s="461" t="str">
        <f t="shared" ca="1" si="6"/>
        <v>2</v>
      </c>
      <c r="AO31" s="474" t="str">
        <f t="shared" ca="1" si="6"/>
        <v>0</v>
      </c>
      <c r="AP31" s="475" t="str">
        <f t="shared" ca="1" si="6"/>
        <v>6</v>
      </c>
      <c r="AQ31" s="479">
        <f t="array" aca="1" ref="AQ31" ca="1">IF(ROW()-5&lt;=COUNTIF(科目编号,$AR$2),SMALL(IF(科目编号=$AR$2,ROW(科目编号),""),ROW()-5),"")</f>
        <v>140</v>
      </c>
      <c r="AR31" s="480">
        <f ca="1">IF($BG$2=0,"",IF(AR30="本月合计","本年累计",IF(OR(ROW()=$AU$3,ROW()=$AV$3,ROW()=$AW$3,ROW()=$AX$3,ROW()=$AY$3,ROW()=$AZ$3,ROW()=$BA$3,ROW()=$BB$3,ROW()=$BC$3,ROW()=$BD$3,ROW()=$BE$3,ROW()=$BF$3),"本月合计",IF(ROW()&lt;7,$AQ$6,OFFSET($AQ$6,COUNT($AR$6:AR30),0)))))</f>
        <v>80</v>
      </c>
    </row>
    <row r="32" spans="1:44" ht="15" customHeight="1">
      <c r="A32" s="469">
        <f ca="1">IFERROR(INDEX(凭证录入!A:A,$AR32),"")</f>
        <v>6</v>
      </c>
      <c r="B32" s="469">
        <f ca="1">IFERROR(INDEX(凭证录入!B:B,$AR32),"")</f>
        <v>11</v>
      </c>
      <c r="C32" s="470" t="str">
        <f ca="1">IFERROR(INDEX(凭证录入!G:G,$AR32),"")</f>
        <v>银付</v>
      </c>
      <c r="D32" s="471">
        <f ca="1">IFERROR(INDEX(凭证录入!F:F,$AR32),"")</f>
        <v>3</v>
      </c>
      <c r="E32" s="472" t="str">
        <f ca="1">IFERROR(INDEX(凭证录入!H:H,$AR32),$AR32)</f>
        <v>票据交换费</v>
      </c>
      <c r="F32" s="473">
        <f ca="1">IF(OR($BG$2=0,$AR32=""),,IF($AR32="本月合计",IF(ROW()=$BG$3,SUM($F$6:$F31),SUM(INDIRECT("$F$"&amp;OFFSET($AU$3,,MATCH(ROW(),$AU$3:$BF$3,)-2)+2&amp;":$E"&amp;ROW()-1))),IF($AR32="本年累计",SUMIF($AR$6:$AR32,"本月合计",$F$6:$F31),INDEX(凭证录入!K:K,$AR32))))</f>
        <v>0</v>
      </c>
      <c r="G32" s="459" t="str">
        <f t="shared" ca="1" si="7"/>
        <v/>
      </c>
      <c r="H32" s="460" t="str">
        <f t="shared" ca="1" si="7"/>
        <v/>
      </c>
      <c r="I32" s="460" t="str">
        <f t="shared" ca="1" si="7"/>
        <v/>
      </c>
      <c r="J32" s="460" t="str">
        <f t="shared" ca="1" si="7"/>
        <v/>
      </c>
      <c r="K32" s="460" t="str">
        <f t="shared" ca="1" si="7"/>
        <v/>
      </c>
      <c r="L32" s="460" t="str">
        <f t="shared" ca="1" si="7"/>
        <v/>
      </c>
      <c r="M32" s="460" t="str">
        <f t="shared" ca="1" si="7"/>
        <v/>
      </c>
      <c r="N32" s="460" t="str">
        <f t="shared" ca="1" si="7"/>
        <v/>
      </c>
      <c r="O32" s="461" t="str">
        <f t="shared" ca="1" si="7"/>
        <v/>
      </c>
      <c r="P32" s="474" t="str">
        <f t="shared" ca="1" si="7"/>
        <v/>
      </c>
      <c r="Q32" s="475" t="str">
        <f t="shared" ca="1" si="7"/>
        <v/>
      </c>
      <c r="R32" s="476">
        <f ca="1">IF(OR($BG$2=0,$AR32=""),,IF($AR32="本月合计",IF(ROW()=$BG$3,SUM($R$6:$R31),SUM(INDIRECT("$R$"&amp;OFFSET($AU$3,,MATCH(ROW(),$AU$3:$BF$3,)-2)+2&amp;":$R"&amp;ROW()-1))),IF($AR32="本年累计",SUMIF($AR$6:$AR32,"本月合计",$R$6:$R31),INDEX(凭证录入!L:L,$AR32))))</f>
        <v>1</v>
      </c>
      <c r="S32" s="459" t="str">
        <f t="shared" ca="1" si="8"/>
        <v xml:space="preserve"> </v>
      </c>
      <c r="T32" s="460" t="str">
        <f t="shared" ca="1" si="8"/>
        <v xml:space="preserve"> </v>
      </c>
      <c r="U32" s="460" t="str">
        <f t="shared" ca="1" si="8"/>
        <v xml:space="preserve"> </v>
      </c>
      <c r="V32" s="460" t="str">
        <f t="shared" ca="1" si="8"/>
        <v xml:space="preserve"> </v>
      </c>
      <c r="W32" s="460" t="str">
        <f t="shared" ca="1" si="8"/>
        <v xml:space="preserve"> </v>
      </c>
      <c r="X32" s="460" t="str">
        <f t="shared" ca="1" si="8"/>
        <v xml:space="preserve"> </v>
      </c>
      <c r="Y32" s="460" t="str">
        <f t="shared" ca="1" si="8"/>
        <v xml:space="preserve"> </v>
      </c>
      <c r="Z32" s="460" t="str">
        <f t="shared" ca="1" si="8"/>
        <v>￥</v>
      </c>
      <c r="AA32" s="461" t="str">
        <f t="shared" ca="1" si="8"/>
        <v>1</v>
      </c>
      <c r="AB32" s="474" t="str">
        <f t="shared" ca="1" si="8"/>
        <v>0</v>
      </c>
      <c r="AC32" s="475" t="str">
        <f t="shared" ca="1" si="8"/>
        <v>0</v>
      </c>
      <c r="AD32" s="477" t="str">
        <f t="shared" ca="1" si="4"/>
        <v>借</v>
      </c>
      <c r="AE32" s="478">
        <f t="shared" ca="1" si="5"/>
        <v>5201.0600000000004</v>
      </c>
      <c r="AF32" s="459" t="str">
        <f t="shared" ca="1" si="6"/>
        <v xml:space="preserve"> </v>
      </c>
      <c r="AG32" s="460" t="str">
        <f t="shared" ca="1" si="6"/>
        <v xml:space="preserve"> </v>
      </c>
      <c r="AH32" s="460" t="str">
        <f t="shared" ca="1" si="6"/>
        <v xml:space="preserve"> </v>
      </c>
      <c r="AI32" s="460" t="str">
        <f t="shared" ca="1" si="6"/>
        <v xml:space="preserve"> </v>
      </c>
      <c r="AJ32" s="460" t="str">
        <f t="shared" ca="1" si="6"/>
        <v>￥</v>
      </c>
      <c r="AK32" s="460" t="str">
        <f t="shared" ca="1" si="6"/>
        <v>5</v>
      </c>
      <c r="AL32" s="460" t="str">
        <f t="shared" ca="1" si="6"/>
        <v>2</v>
      </c>
      <c r="AM32" s="460" t="str">
        <f t="shared" ca="1" si="6"/>
        <v>0</v>
      </c>
      <c r="AN32" s="461" t="str">
        <f t="shared" ca="1" si="6"/>
        <v>1</v>
      </c>
      <c r="AO32" s="474" t="str">
        <f t="shared" ca="1" si="6"/>
        <v>0</v>
      </c>
      <c r="AP32" s="475" t="str">
        <f t="shared" ca="1" si="6"/>
        <v>6</v>
      </c>
      <c r="AQ32" s="479">
        <f t="array" aca="1" ref="AQ32" ca="1">IF(ROW()-5&lt;=COUNTIF(科目编号,$AR$2),SMALL(IF(科目编号=$AR$2,ROW(科目编号),""),ROW()-5),"")</f>
        <v>141</v>
      </c>
      <c r="AR32" s="480">
        <f ca="1">IF($BG$2=0,"",IF(AR31="本月合计","本年累计",IF(OR(ROW()=$AU$3,ROW()=$AV$3,ROW()=$AW$3,ROW()=$AX$3,ROW()=$AY$3,ROW()=$AZ$3,ROW()=$BA$3,ROW()=$BB$3,ROW()=$BC$3,ROW()=$BD$3,ROW()=$BE$3,ROW()=$BF$3),"本月合计",IF(ROW()&lt;7,$AQ$6,OFFSET($AQ$6,COUNT($AR$6:AR31),0)))))</f>
        <v>82</v>
      </c>
    </row>
    <row r="33" spans="1:44" ht="15" customHeight="1">
      <c r="A33" s="469">
        <f ca="1">IFERROR(INDEX(凭证录入!A:A,$AR33),"")</f>
        <v>6</v>
      </c>
      <c r="B33" s="469">
        <f ca="1">IFERROR(INDEX(凭证录入!B:B,$AR33),"")</f>
        <v>21</v>
      </c>
      <c r="C33" s="470" t="str">
        <f ca="1">IFERROR(INDEX(凭证录入!G:G,$AR33),"")</f>
        <v>银收</v>
      </c>
      <c r="D33" s="471">
        <f ca="1">IFERROR(INDEX(凭证录入!F:F,$AR33),"")</f>
        <v>1</v>
      </c>
      <c r="E33" s="472" t="str">
        <f ca="1">IFERROR(INDEX(凭证录入!H:H,$AR33),$AR33)</f>
        <v>收二季度利息</v>
      </c>
      <c r="F33" s="473">
        <f ca="1">IF(OR($BG$2=0,$AR33=""),,IF($AR33="本月合计",IF(ROW()=$BG$3,SUM($F$6:$F32),SUM(INDIRECT("$F$"&amp;OFFSET($AU$3,,MATCH(ROW(),$AU$3:$BF$3,)-2)+2&amp;":$E"&amp;ROW()-1))),IF($AR33="本年累计",SUMIF($AR$6:$AR33,"本月合计",$F$6:$F32),INDEX(凭证录入!K:K,$AR33))))</f>
        <v>27.33</v>
      </c>
      <c r="G33" s="459" t="str">
        <f t="shared" ca="1" si="7"/>
        <v xml:space="preserve"> </v>
      </c>
      <c r="H33" s="460" t="str">
        <f t="shared" ca="1" si="7"/>
        <v xml:space="preserve"> </v>
      </c>
      <c r="I33" s="460" t="str">
        <f t="shared" ca="1" si="7"/>
        <v xml:space="preserve"> </v>
      </c>
      <c r="J33" s="460" t="str">
        <f t="shared" ca="1" si="7"/>
        <v xml:space="preserve"> </v>
      </c>
      <c r="K33" s="460" t="str">
        <f t="shared" ca="1" si="7"/>
        <v xml:space="preserve"> </v>
      </c>
      <c r="L33" s="460" t="str">
        <f t="shared" ca="1" si="7"/>
        <v xml:space="preserve"> </v>
      </c>
      <c r="M33" s="460" t="str">
        <f t="shared" ca="1" si="7"/>
        <v>￥</v>
      </c>
      <c r="N33" s="460" t="str">
        <f t="shared" ca="1" si="7"/>
        <v>2</v>
      </c>
      <c r="O33" s="461" t="str">
        <f t="shared" ca="1" si="7"/>
        <v>7</v>
      </c>
      <c r="P33" s="474" t="str">
        <f t="shared" ca="1" si="7"/>
        <v>3</v>
      </c>
      <c r="Q33" s="475" t="str">
        <f t="shared" ca="1" si="7"/>
        <v>3</v>
      </c>
      <c r="R33" s="476">
        <f ca="1">IF(OR($BG$2=0,$AR33=""),,IF($AR33="本月合计",IF(ROW()=$BG$3,SUM($R$6:$R32),SUM(INDIRECT("$R$"&amp;OFFSET($AU$3,,MATCH(ROW(),$AU$3:$BF$3,)-2)+2&amp;":$R"&amp;ROW()-1))),IF($AR33="本年累计",SUMIF($AR$6:$AR33,"本月合计",$R$6:$R32),INDEX(凭证录入!L:L,$AR33))))</f>
        <v>0</v>
      </c>
      <c r="S33" s="459" t="str">
        <f t="shared" ca="1" si="8"/>
        <v/>
      </c>
      <c r="T33" s="460" t="str">
        <f t="shared" ca="1" si="8"/>
        <v/>
      </c>
      <c r="U33" s="460" t="str">
        <f t="shared" ca="1" si="8"/>
        <v/>
      </c>
      <c r="V33" s="460" t="str">
        <f t="shared" ca="1" si="8"/>
        <v/>
      </c>
      <c r="W33" s="460" t="str">
        <f t="shared" ca="1" si="8"/>
        <v/>
      </c>
      <c r="X33" s="460" t="str">
        <f t="shared" ca="1" si="8"/>
        <v/>
      </c>
      <c r="Y33" s="460" t="str">
        <f t="shared" ca="1" si="8"/>
        <v/>
      </c>
      <c r="Z33" s="460" t="str">
        <f t="shared" ca="1" si="8"/>
        <v/>
      </c>
      <c r="AA33" s="461" t="str">
        <f t="shared" ca="1" si="8"/>
        <v/>
      </c>
      <c r="AB33" s="474" t="str">
        <f t="shared" ca="1" si="8"/>
        <v/>
      </c>
      <c r="AC33" s="475" t="str">
        <f t="shared" ca="1" si="8"/>
        <v/>
      </c>
      <c r="AD33" s="477" t="str">
        <f t="shared" ca="1" si="4"/>
        <v>借</v>
      </c>
      <c r="AE33" s="478">
        <f t="shared" ca="1" si="5"/>
        <v>5228.3900000000003</v>
      </c>
      <c r="AF33" s="459" t="str">
        <f t="shared" ca="1" si="6"/>
        <v xml:space="preserve"> </v>
      </c>
      <c r="AG33" s="460" t="str">
        <f t="shared" ca="1" si="6"/>
        <v xml:space="preserve"> </v>
      </c>
      <c r="AH33" s="460" t="str">
        <f t="shared" ca="1" si="6"/>
        <v xml:space="preserve"> </v>
      </c>
      <c r="AI33" s="460" t="str">
        <f t="shared" ca="1" si="6"/>
        <v xml:space="preserve"> </v>
      </c>
      <c r="AJ33" s="460" t="str">
        <f t="shared" ca="1" si="6"/>
        <v>￥</v>
      </c>
      <c r="AK33" s="460" t="str">
        <f t="shared" ca="1" si="6"/>
        <v>5</v>
      </c>
      <c r="AL33" s="460" t="str">
        <f t="shared" ca="1" si="6"/>
        <v>2</v>
      </c>
      <c r="AM33" s="460" t="str">
        <f t="shared" ca="1" si="6"/>
        <v>2</v>
      </c>
      <c r="AN33" s="461" t="str">
        <f t="shared" ca="1" si="6"/>
        <v>8</v>
      </c>
      <c r="AO33" s="474" t="str">
        <f t="shared" ca="1" si="6"/>
        <v>3</v>
      </c>
      <c r="AP33" s="475" t="str">
        <f t="shared" ca="1" si="6"/>
        <v>9</v>
      </c>
      <c r="AQ33" s="479">
        <f t="array" aca="1" ref="AQ33" ca="1">IF(ROW()-5&lt;=COUNTIF(科目编号,$AR$2),SMALL(IF(科目编号=$AR$2,ROW(科目编号),""),ROW()-5),"")</f>
        <v>149</v>
      </c>
      <c r="AR33" s="480">
        <f ca="1">IF($BG$2=0,"",IF(AR32="本月合计","本年累计",IF(OR(ROW()=$AU$3,ROW()=$AV$3,ROW()=$AW$3,ROW()=$AX$3,ROW()=$AY$3,ROW()=$AZ$3,ROW()=$BA$3,ROW()=$BB$3,ROW()=$BC$3,ROW()=$BD$3,ROW()=$BE$3,ROW()=$BF$3),"本月合计",IF(ROW()&lt;7,$AQ$6,OFFSET($AQ$6,COUNT($AR$6:AR32),0)))))</f>
        <v>83</v>
      </c>
    </row>
    <row r="34" spans="1:44" ht="15" customHeight="1">
      <c r="A34" s="469" t="str">
        <f ca="1">IFERROR(INDEX(凭证录入!A:A,$AR34),"")</f>
        <v/>
      </c>
      <c r="B34" s="469" t="str">
        <f ca="1">IFERROR(INDEX(凭证录入!B:B,$AR34),"")</f>
        <v/>
      </c>
      <c r="C34" s="470" t="str">
        <f ca="1">IFERROR(INDEX(凭证录入!G:G,$AR34),"")</f>
        <v/>
      </c>
      <c r="D34" s="471" t="str">
        <f ca="1">IFERROR(INDEX(凭证录入!F:F,$AR34),"")</f>
        <v/>
      </c>
      <c r="E34" s="472" t="str">
        <f ca="1">IFERROR(INDEX(凭证录入!H:H,$AR34),$AR34)</f>
        <v>本月合计</v>
      </c>
      <c r="F34" s="473">
        <f ca="1">IF(OR($BG$2=0,$AR34=""),,IF($AR34="本月合计",IF(ROW()=$BG$3,SUM($F$6:$F33),SUM(INDIRECT("$F$"&amp;OFFSET($AU$3,,MATCH(ROW(),$AU$3:$BF$3,)-2)+2&amp;":$E"&amp;ROW()-1))),IF($AR34="本年累计",SUMIF($AR$6:$AR34,"本月合计",$F$6:$F33),INDEX(凭证录入!K:K,$AR34))))</f>
        <v>27.33</v>
      </c>
      <c r="G34" s="459" t="str">
        <f t="shared" ca="1" si="7"/>
        <v xml:space="preserve"> </v>
      </c>
      <c r="H34" s="460" t="str">
        <f t="shared" ca="1" si="7"/>
        <v xml:space="preserve"> </v>
      </c>
      <c r="I34" s="460" t="str">
        <f t="shared" ca="1" si="7"/>
        <v xml:space="preserve"> </v>
      </c>
      <c r="J34" s="460" t="str">
        <f t="shared" ca="1" si="7"/>
        <v xml:space="preserve"> </v>
      </c>
      <c r="K34" s="460" t="str">
        <f t="shared" ca="1" si="7"/>
        <v xml:space="preserve"> </v>
      </c>
      <c r="L34" s="460" t="str">
        <f t="shared" ca="1" si="7"/>
        <v xml:space="preserve"> </v>
      </c>
      <c r="M34" s="460" t="str">
        <f t="shared" ca="1" si="7"/>
        <v>￥</v>
      </c>
      <c r="N34" s="460" t="str">
        <f t="shared" ca="1" si="7"/>
        <v>2</v>
      </c>
      <c r="O34" s="461" t="str">
        <f t="shared" ca="1" si="7"/>
        <v>7</v>
      </c>
      <c r="P34" s="474" t="str">
        <f t="shared" ca="1" si="7"/>
        <v>3</v>
      </c>
      <c r="Q34" s="475" t="str">
        <f t="shared" ca="1" si="7"/>
        <v>3</v>
      </c>
      <c r="R34" s="476">
        <f ca="1">IF(OR($BG$2=0,$AR34=""),,IF($AR34="本月合计",IF(ROW()=$BG$3,SUM($R$6:$R33),SUM(INDIRECT("$R$"&amp;OFFSET($AU$3,,MATCH(ROW(),$AU$3:$BF$3,)-2)+2&amp;":$R"&amp;ROW()-1))),IF($AR34="本年累计",SUMIF($AR$6:$AR34,"本月合计",$R$6:$R33),INDEX(凭证录入!L:L,$AR34))))</f>
        <v>167.5</v>
      </c>
      <c r="S34" s="459" t="str">
        <f t="shared" ca="1" si="8"/>
        <v xml:space="preserve"> </v>
      </c>
      <c r="T34" s="460" t="str">
        <f t="shared" ca="1" si="8"/>
        <v xml:space="preserve"> </v>
      </c>
      <c r="U34" s="460" t="str">
        <f t="shared" ca="1" si="8"/>
        <v xml:space="preserve"> </v>
      </c>
      <c r="V34" s="460" t="str">
        <f t="shared" ca="1" si="8"/>
        <v xml:space="preserve"> </v>
      </c>
      <c r="W34" s="460" t="str">
        <f t="shared" ca="1" si="8"/>
        <v xml:space="preserve"> </v>
      </c>
      <c r="X34" s="460" t="str">
        <f t="shared" ca="1" si="8"/>
        <v>￥</v>
      </c>
      <c r="Y34" s="460" t="str">
        <f t="shared" ca="1" si="8"/>
        <v>1</v>
      </c>
      <c r="Z34" s="460" t="str">
        <f t="shared" ca="1" si="8"/>
        <v>6</v>
      </c>
      <c r="AA34" s="461" t="str">
        <f t="shared" ca="1" si="8"/>
        <v>7</v>
      </c>
      <c r="AB34" s="474" t="str">
        <f t="shared" ca="1" si="8"/>
        <v>5</v>
      </c>
      <c r="AC34" s="475" t="str">
        <f t="shared" ca="1" si="8"/>
        <v>0</v>
      </c>
      <c r="AD34" s="477" t="str">
        <f t="shared" ca="1" si="4"/>
        <v/>
      </c>
      <c r="AE34" s="478">
        <f t="shared" ca="1" si="5"/>
        <v>5228.3900000000003</v>
      </c>
      <c r="AF34" s="459" t="str">
        <f t="shared" ca="1" si="6"/>
        <v xml:space="preserve"> </v>
      </c>
      <c r="AG34" s="460" t="str">
        <f t="shared" ca="1" si="6"/>
        <v xml:space="preserve"> </v>
      </c>
      <c r="AH34" s="460" t="str">
        <f t="shared" ca="1" si="6"/>
        <v xml:space="preserve"> </v>
      </c>
      <c r="AI34" s="460" t="str">
        <f t="shared" ca="1" si="6"/>
        <v xml:space="preserve"> </v>
      </c>
      <c r="AJ34" s="460" t="str">
        <f t="shared" ca="1" si="6"/>
        <v>￥</v>
      </c>
      <c r="AK34" s="460" t="str">
        <f t="shared" ca="1" si="6"/>
        <v>5</v>
      </c>
      <c r="AL34" s="460" t="str">
        <f t="shared" ca="1" si="6"/>
        <v>2</v>
      </c>
      <c r="AM34" s="460" t="str">
        <f t="shared" ca="1" si="6"/>
        <v>2</v>
      </c>
      <c r="AN34" s="461" t="str">
        <f t="shared" ca="1" si="6"/>
        <v>8</v>
      </c>
      <c r="AO34" s="474" t="str">
        <f t="shared" ca="1" si="6"/>
        <v>3</v>
      </c>
      <c r="AP34" s="475" t="str">
        <f t="shared" ca="1" si="6"/>
        <v>9</v>
      </c>
      <c r="AQ34" s="479" t="str">
        <f t="array" aca="1" ref="AQ34" ca="1">IF(ROW()-5&lt;=COUNTIF(科目编号,$AR$2),SMALL(IF(科目编号=$AR$2,ROW(科目编号),""),ROW()-5),"")</f>
        <v/>
      </c>
      <c r="AR34" s="480" t="str">
        <f ca="1">IF($BG$2=0,"",IF(AR33="本月合计","本年累计",IF(OR(ROW()=$AU$3,ROW()=$AV$3,ROW()=$AW$3,ROW()=$AX$3,ROW()=$AY$3,ROW()=$AZ$3,ROW()=$BA$3,ROW()=$BB$3,ROW()=$BC$3,ROW()=$BD$3,ROW()=$BE$3,ROW()=$BF$3),"本月合计",IF(ROW()&lt;7,$AQ$6,OFFSET($AQ$6,COUNT($AR$6:AR33),0)))))</f>
        <v>本月合计</v>
      </c>
    </row>
    <row r="35" spans="1:44" ht="15" customHeight="1">
      <c r="A35" s="469" t="str">
        <f ca="1">IFERROR(INDEX(凭证录入!A:A,$AR35),"")</f>
        <v/>
      </c>
      <c r="B35" s="469" t="str">
        <f ca="1">IFERROR(INDEX(凭证录入!B:B,$AR35),"")</f>
        <v/>
      </c>
      <c r="C35" s="470" t="str">
        <f ca="1">IFERROR(INDEX(凭证录入!G:G,$AR35),"")</f>
        <v/>
      </c>
      <c r="D35" s="471" t="str">
        <f ca="1">IFERROR(INDEX(凭证录入!F:F,$AR35),"")</f>
        <v/>
      </c>
      <c r="E35" s="472" t="str">
        <f ca="1">IFERROR(INDEX(凭证录入!H:H,$AR35),$AR35)</f>
        <v>本年累计</v>
      </c>
      <c r="F35" s="473">
        <f ca="1">IF(OR($BG$2=0,$AR35=""),,IF($AR35="本月合计",IF(ROW()=$BG$3,SUM($F$6:$F34),SUM(INDIRECT("$F$"&amp;OFFSET($AU$3,,MATCH(ROW(),$AU$3:$BF$3,)-2)+2&amp;":$E"&amp;ROW()-1))),IF($AR35="本年累计",SUMIF($AR$6:$AR35,"本月合计",$F$6:$F34),INDEX(凭证录入!K:K,$AR35))))</f>
        <v>4298.12</v>
      </c>
      <c r="G35" s="459" t="str">
        <f t="shared" ca="1" si="7"/>
        <v xml:space="preserve"> </v>
      </c>
      <c r="H35" s="460" t="str">
        <f t="shared" ca="1" si="7"/>
        <v xml:space="preserve"> </v>
      </c>
      <c r="I35" s="460" t="str">
        <f t="shared" ca="1" si="7"/>
        <v xml:space="preserve"> </v>
      </c>
      <c r="J35" s="460" t="str">
        <f t="shared" ca="1" si="7"/>
        <v xml:space="preserve"> </v>
      </c>
      <c r="K35" s="460" t="str">
        <f t="shared" ca="1" si="7"/>
        <v>￥</v>
      </c>
      <c r="L35" s="460" t="str">
        <f t="shared" ca="1" si="7"/>
        <v>4</v>
      </c>
      <c r="M35" s="460" t="str">
        <f t="shared" ca="1" si="7"/>
        <v>2</v>
      </c>
      <c r="N35" s="460" t="str">
        <f t="shared" ca="1" si="7"/>
        <v>9</v>
      </c>
      <c r="O35" s="461" t="str">
        <f t="shared" ca="1" si="7"/>
        <v>8</v>
      </c>
      <c r="P35" s="474" t="str">
        <f t="shared" ca="1" si="7"/>
        <v>1</v>
      </c>
      <c r="Q35" s="475" t="str">
        <f t="shared" ca="1" si="7"/>
        <v>2</v>
      </c>
      <c r="R35" s="476">
        <f ca="1">IF(OR($BG$2=0,$AR35=""),,IF($AR35="本月合计",IF(ROW()=$BG$3,SUM($R$6:$R34),SUM(INDIRECT("$R$"&amp;OFFSET($AU$3,,MATCH(ROW(),$AU$3:$BF$3,)-2)+2&amp;":$R"&amp;ROW()-1))),IF($AR35="本年累计",SUMIF($AR$6:$AR35,"本月合计",$R$6:$R34),INDEX(凭证录入!L:L,$AR35))))</f>
        <v>5964.8</v>
      </c>
      <c r="S35" s="459" t="str">
        <f t="shared" ca="1" si="8"/>
        <v xml:space="preserve"> </v>
      </c>
      <c r="T35" s="460" t="str">
        <f t="shared" ca="1" si="8"/>
        <v xml:space="preserve"> </v>
      </c>
      <c r="U35" s="460" t="str">
        <f t="shared" ca="1" si="8"/>
        <v xml:space="preserve"> </v>
      </c>
      <c r="V35" s="460" t="str">
        <f t="shared" ca="1" si="8"/>
        <v xml:space="preserve"> </v>
      </c>
      <c r="W35" s="460" t="str">
        <f t="shared" ca="1" si="8"/>
        <v>￥</v>
      </c>
      <c r="X35" s="460" t="str">
        <f t="shared" ca="1" si="8"/>
        <v>5</v>
      </c>
      <c r="Y35" s="460" t="str">
        <f t="shared" ca="1" si="8"/>
        <v>9</v>
      </c>
      <c r="Z35" s="460" t="str">
        <f t="shared" ca="1" si="8"/>
        <v>6</v>
      </c>
      <c r="AA35" s="461" t="str">
        <f t="shared" ca="1" si="8"/>
        <v>4</v>
      </c>
      <c r="AB35" s="474" t="str">
        <f t="shared" ca="1" si="8"/>
        <v>8</v>
      </c>
      <c r="AC35" s="475" t="str">
        <f t="shared" ca="1" si="8"/>
        <v>0</v>
      </c>
      <c r="AD35" s="477" t="str">
        <f t="shared" ca="1" si="4"/>
        <v/>
      </c>
      <c r="AE35" s="478">
        <f t="shared" ca="1" si="5"/>
        <v>5228.3900000000003</v>
      </c>
      <c r="AF35" s="459" t="str">
        <f t="shared" ca="1" si="6"/>
        <v xml:space="preserve"> </v>
      </c>
      <c r="AG35" s="460" t="str">
        <f t="shared" ca="1" si="6"/>
        <v xml:space="preserve"> </v>
      </c>
      <c r="AH35" s="460" t="str">
        <f t="shared" ca="1" si="6"/>
        <v xml:space="preserve"> </v>
      </c>
      <c r="AI35" s="460" t="str">
        <f t="shared" ca="1" si="6"/>
        <v xml:space="preserve"> </v>
      </c>
      <c r="AJ35" s="460" t="str">
        <f t="shared" ca="1" si="6"/>
        <v>￥</v>
      </c>
      <c r="AK35" s="460" t="str">
        <f t="shared" ca="1" si="6"/>
        <v>5</v>
      </c>
      <c r="AL35" s="460" t="str">
        <f t="shared" ca="1" si="6"/>
        <v>2</v>
      </c>
      <c r="AM35" s="460" t="str">
        <f t="shared" ca="1" si="6"/>
        <v>2</v>
      </c>
      <c r="AN35" s="461" t="str">
        <f t="shared" ca="1" si="6"/>
        <v>8</v>
      </c>
      <c r="AO35" s="474" t="str">
        <f t="shared" ca="1" si="6"/>
        <v>3</v>
      </c>
      <c r="AP35" s="475" t="str">
        <f t="shared" ca="1" si="6"/>
        <v>9</v>
      </c>
      <c r="AQ35" s="479" t="str">
        <f t="array" aca="1" ref="AQ35" ca="1">IF(ROW()-5&lt;=COUNTIF(科目编号,$AR$2),SMALL(IF(科目编号=$AR$2,ROW(科目编号),""),ROW()-5),"")</f>
        <v/>
      </c>
      <c r="AR35" s="480" t="str">
        <f ca="1">IF($BG$2=0,"",IF(AR34="本月合计","本年累计",IF(OR(ROW()=$AU$3,ROW()=$AV$3,ROW()=$AW$3,ROW()=$AX$3,ROW()=$AY$3,ROW()=$AZ$3,ROW()=$BA$3,ROW()=$BB$3,ROW()=$BC$3,ROW()=$BD$3,ROW()=$BE$3,ROW()=$BF$3),"本月合计",IF(ROW()&lt;7,$AQ$6,OFFSET($AQ$6,COUNT($AR$6:AR34),0)))))</f>
        <v>本年累计</v>
      </c>
    </row>
    <row r="36" spans="1:44" ht="15" customHeight="1">
      <c r="A36" s="469">
        <f ca="1">IFERROR(INDEX(凭证录入!A:A,$AR36),"")</f>
        <v>7</v>
      </c>
      <c r="B36" s="469">
        <f ca="1">IFERROR(INDEX(凭证录入!B:B,$AR36),"")</f>
        <v>8</v>
      </c>
      <c r="C36" s="470" t="str">
        <f ca="1">IFERROR(INDEX(凭证录入!G:G,$AR36),"")</f>
        <v>银付</v>
      </c>
      <c r="D36" s="471">
        <f ca="1">IFERROR(INDEX(凭证录入!F:F,$AR36),"")</f>
        <v>1</v>
      </c>
      <c r="E36" s="472" t="str">
        <f ca="1">IFERROR(INDEX(凭证录入!H:H,$AR36),$AR36)</f>
        <v>支付6月税费</v>
      </c>
      <c r="F36" s="473">
        <f ca="1">IF(OR($BG$2=0,$AR36=""),,IF($AR36="本月合计",IF(ROW()=$BG$3,SUM($F$6:$F35),SUM(INDIRECT("$F$"&amp;OFFSET($AU$3,,MATCH(ROW(),$AU$3:$BF$3,)-2)+2&amp;":$E"&amp;ROW()-1))),IF($AR36="本年累计",SUMIF($AR$6:$AR36,"本月合计",$F$6:$F35),INDEX(凭证录入!K:K,$AR36))))</f>
        <v>0</v>
      </c>
      <c r="G36" s="459" t="str">
        <f t="shared" ca="1" si="7"/>
        <v/>
      </c>
      <c r="H36" s="460" t="str">
        <f t="shared" ca="1" si="7"/>
        <v/>
      </c>
      <c r="I36" s="460" t="str">
        <f t="shared" ca="1" si="7"/>
        <v/>
      </c>
      <c r="J36" s="460" t="str">
        <f t="shared" ca="1" si="7"/>
        <v/>
      </c>
      <c r="K36" s="460" t="str">
        <f t="shared" ca="1" si="7"/>
        <v/>
      </c>
      <c r="L36" s="460" t="str">
        <f t="shared" ca="1" si="7"/>
        <v/>
      </c>
      <c r="M36" s="460" t="str">
        <f t="shared" ca="1" si="7"/>
        <v/>
      </c>
      <c r="N36" s="460" t="str">
        <f t="shared" ca="1" si="7"/>
        <v/>
      </c>
      <c r="O36" s="461" t="str">
        <f t="shared" ca="1" si="7"/>
        <v/>
      </c>
      <c r="P36" s="474" t="str">
        <f t="shared" ca="1" si="7"/>
        <v/>
      </c>
      <c r="Q36" s="475" t="str">
        <f t="shared" ca="1" si="7"/>
        <v/>
      </c>
      <c r="R36" s="476">
        <f ca="1">IF(OR($BG$2=0,$AR36=""),,IF($AR36="本月合计",IF(ROW()=$BG$3,SUM($R$6:$R35),SUM(INDIRECT("$R$"&amp;OFFSET($AU$3,,MATCH(ROW(),$AU$3:$BF$3,)-2)+2&amp;":$R"&amp;ROW()-1))),IF($AR36="本年累计",SUMIF($AR$6:$AR36,"本月合计",$R$6:$R35),INDEX(凭证录入!L:L,$AR36))))</f>
        <v>16.5</v>
      </c>
      <c r="S36" s="459" t="str">
        <f t="shared" ca="1" si="8"/>
        <v xml:space="preserve"> </v>
      </c>
      <c r="T36" s="460" t="str">
        <f t="shared" ca="1" si="8"/>
        <v xml:space="preserve"> </v>
      </c>
      <c r="U36" s="460" t="str">
        <f t="shared" ca="1" si="8"/>
        <v xml:space="preserve"> </v>
      </c>
      <c r="V36" s="460" t="str">
        <f t="shared" ca="1" si="8"/>
        <v xml:space="preserve"> </v>
      </c>
      <c r="W36" s="460" t="str">
        <f t="shared" ca="1" si="8"/>
        <v xml:space="preserve"> </v>
      </c>
      <c r="X36" s="460" t="str">
        <f t="shared" ca="1" si="8"/>
        <v xml:space="preserve"> </v>
      </c>
      <c r="Y36" s="460" t="str">
        <f t="shared" ca="1" si="8"/>
        <v>￥</v>
      </c>
      <c r="Z36" s="460" t="str">
        <f t="shared" ca="1" si="8"/>
        <v>1</v>
      </c>
      <c r="AA36" s="461" t="str">
        <f t="shared" ca="1" si="8"/>
        <v>6</v>
      </c>
      <c r="AB36" s="474" t="str">
        <f t="shared" ca="1" si="8"/>
        <v>5</v>
      </c>
      <c r="AC36" s="475" t="str">
        <f t="shared" ca="1" si="8"/>
        <v>0</v>
      </c>
      <c r="AD36" s="477" t="str">
        <f t="shared" ca="1" si="4"/>
        <v>借</v>
      </c>
      <c r="AE36" s="478">
        <f t="shared" ca="1" si="5"/>
        <v>5211.8900000000003</v>
      </c>
      <c r="AF36" s="459" t="str">
        <f t="shared" ca="1" si="6"/>
        <v xml:space="preserve"> </v>
      </c>
      <c r="AG36" s="460" t="str">
        <f t="shared" ca="1" si="6"/>
        <v xml:space="preserve"> </v>
      </c>
      <c r="AH36" s="460" t="str">
        <f t="shared" ca="1" si="6"/>
        <v xml:space="preserve"> </v>
      </c>
      <c r="AI36" s="460" t="str">
        <f t="shared" ca="1" si="6"/>
        <v xml:space="preserve"> </v>
      </c>
      <c r="AJ36" s="460" t="str">
        <f t="shared" ca="1" si="6"/>
        <v>￥</v>
      </c>
      <c r="AK36" s="460" t="str">
        <f t="shared" ca="1" si="6"/>
        <v>5</v>
      </c>
      <c r="AL36" s="460" t="str">
        <f t="shared" ca="1" si="6"/>
        <v>2</v>
      </c>
      <c r="AM36" s="460" t="str">
        <f t="shared" ca="1" si="6"/>
        <v>1</v>
      </c>
      <c r="AN36" s="461" t="str">
        <f t="shared" ca="1" si="6"/>
        <v>1</v>
      </c>
      <c r="AO36" s="474" t="str">
        <f t="shared" ca="1" si="6"/>
        <v>8</v>
      </c>
      <c r="AP36" s="475" t="str">
        <f t="shared" ca="1" si="6"/>
        <v>9</v>
      </c>
      <c r="AQ36" s="479" t="str">
        <f t="array" aca="1" ref="AQ36" ca="1">IF(ROW()-5&lt;=COUNTIF(科目编号,$AR$2),SMALL(IF(科目编号=$AR$2,ROW(科目编号),""),ROW()-5),"")</f>
        <v/>
      </c>
      <c r="AR36" s="480">
        <f ca="1">IF($BG$2=0,"",IF(AR35="本月合计","本年累计",IF(OR(ROW()=$AU$3,ROW()=$AV$3,ROW()=$AW$3,ROW()=$AX$3,ROW()=$AY$3,ROW()=$AZ$3,ROW()=$BA$3,ROW()=$BB$3,ROW()=$BC$3,ROW()=$BD$3,ROW()=$BE$3,ROW()=$BF$3),"本月合计",IF(ROW()&lt;7,$AQ$6,OFFSET($AQ$6,COUNT($AR$6:AR35),0)))))</f>
        <v>98</v>
      </c>
    </row>
    <row r="37" spans="1:44" ht="15" customHeight="1">
      <c r="A37" s="469">
        <f ca="1">IFERROR(INDEX(凭证录入!A:A,$AR37),"")</f>
        <v>7</v>
      </c>
      <c r="B37" s="469">
        <f ca="1">IFERROR(INDEX(凭证录入!B:B,$AR37),"")</f>
        <v>13</v>
      </c>
      <c r="C37" s="470" t="str">
        <f ca="1">IFERROR(INDEX(凭证录入!G:G,$AR37),"")</f>
        <v>银付</v>
      </c>
      <c r="D37" s="471">
        <f ca="1">IFERROR(INDEX(凭证录入!F:F,$AR37),"")</f>
        <v>2</v>
      </c>
      <c r="E37" s="472" t="str">
        <f ca="1">IFERROR(INDEX(凭证录入!H:H,$AR37),$AR37)</f>
        <v>支付增值税费</v>
      </c>
      <c r="F37" s="473">
        <f ca="1">IF(OR($BG$2=0,$AR37=""),,IF($AR37="本月合计",IF(ROW()=$BG$3,SUM($F$6:$F36),SUM(INDIRECT("$F$"&amp;OFFSET($AU$3,,MATCH(ROW(),$AU$3:$BF$3,)-2)+2&amp;":$E"&amp;ROW()-1))),IF($AR37="本年累计",SUMIF($AR$6:$AR37,"本月合计",$F$6:$F36),INDEX(凭证录入!K:K,$AR37))))</f>
        <v>0</v>
      </c>
      <c r="G37" s="459" t="str">
        <f t="shared" ca="1" si="7"/>
        <v/>
      </c>
      <c r="H37" s="460" t="str">
        <f t="shared" ca="1" si="7"/>
        <v/>
      </c>
      <c r="I37" s="460" t="str">
        <f t="shared" ca="1" si="7"/>
        <v/>
      </c>
      <c r="J37" s="460" t="str">
        <f t="shared" ca="1" si="7"/>
        <v/>
      </c>
      <c r="K37" s="460" t="str">
        <f t="shared" ca="1" si="7"/>
        <v/>
      </c>
      <c r="L37" s="460" t="str">
        <f t="shared" ca="1" si="7"/>
        <v/>
      </c>
      <c r="M37" s="460" t="str">
        <f t="shared" ca="1" si="7"/>
        <v/>
      </c>
      <c r="N37" s="460" t="str">
        <f t="shared" ca="1" si="7"/>
        <v/>
      </c>
      <c r="O37" s="461" t="str">
        <f t="shared" ca="1" si="7"/>
        <v/>
      </c>
      <c r="P37" s="474" t="str">
        <f t="shared" ca="1" si="7"/>
        <v/>
      </c>
      <c r="Q37" s="475" t="str">
        <f t="shared" ca="1" si="7"/>
        <v/>
      </c>
      <c r="R37" s="476">
        <f ca="1">IF(OR($BG$2=0,$AR37=""),,IF($AR37="本月合计",IF(ROW()=$BG$3,SUM($R$6:$R36),SUM(INDIRECT("$R$"&amp;OFFSET($AU$3,,MATCH(ROW(),$AU$3:$BF$3,)-2)+2&amp;":$R"&amp;ROW()-1))),IF($AR37="本年累计",SUMIF($AR$6:$AR37,"本月合计",$R$6:$R36),INDEX(凭证录入!L:L,$AR37))))</f>
        <v>150</v>
      </c>
      <c r="S37" s="459" t="str">
        <f t="shared" ca="1" si="8"/>
        <v xml:space="preserve"> </v>
      </c>
      <c r="T37" s="460" t="str">
        <f t="shared" ca="1" si="8"/>
        <v xml:space="preserve"> </v>
      </c>
      <c r="U37" s="460" t="str">
        <f t="shared" ca="1" si="8"/>
        <v xml:space="preserve"> </v>
      </c>
      <c r="V37" s="460" t="str">
        <f t="shared" ca="1" si="8"/>
        <v xml:space="preserve"> </v>
      </c>
      <c r="W37" s="460" t="str">
        <f t="shared" ca="1" si="8"/>
        <v xml:space="preserve"> </v>
      </c>
      <c r="X37" s="460" t="str">
        <f t="shared" ca="1" si="8"/>
        <v>￥</v>
      </c>
      <c r="Y37" s="460" t="str">
        <f t="shared" ca="1" si="8"/>
        <v>1</v>
      </c>
      <c r="Z37" s="460" t="str">
        <f t="shared" ca="1" si="8"/>
        <v>5</v>
      </c>
      <c r="AA37" s="461" t="str">
        <f t="shared" ca="1" si="8"/>
        <v>0</v>
      </c>
      <c r="AB37" s="474" t="str">
        <f t="shared" ca="1" si="8"/>
        <v>0</v>
      </c>
      <c r="AC37" s="475" t="str">
        <f t="shared" ca="1" si="8"/>
        <v>0</v>
      </c>
      <c r="AD37" s="477" t="str">
        <f t="shared" ca="1" si="4"/>
        <v>借</v>
      </c>
      <c r="AE37" s="478">
        <f t="shared" ca="1" si="5"/>
        <v>5061.8900000000003</v>
      </c>
      <c r="AF37" s="459" t="str">
        <f t="shared" ref="AF37:AP52" ca="1" si="9">LEFT(RIGHT(TEXT($AE37/1%," ￥0; ￥-0;"),43-COLUMN()))</f>
        <v xml:space="preserve"> </v>
      </c>
      <c r="AG37" s="460" t="str">
        <f t="shared" ca="1" si="9"/>
        <v xml:space="preserve"> </v>
      </c>
      <c r="AH37" s="460" t="str">
        <f t="shared" ca="1" si="9"/>
        <v xml:space="preserve"> </v>
      </c>
      <c r="AI37" s="460" t="str">
        <f t="shared" ca="1" si="9"/>
        <v xml:space="preserve"> </v>
      </c>
      <c r="AJ37" s="460" t="str">
        <f t="shared" ca="1" si="9"/>
        <v>￥</v>
      </c>
      <c r="AK37" s="460" t="str">
        <f t="shared" ca="1" si="9"/>
        <v>5</v>
      </c>
      <c r="AL37" s="460" t="str">
        <f t="shared" ca="1" si="9"/>
        <v>0</v>
      </c>
      <c r="AM37" s="460" t="str">
        <f t="shared" ca="1" si="9"/>
        <v>6</v>
      </c>
      <c r="AN37" s="461" t="str">
        <f t="shared" ca="1" si="9"/>
        <v>1</v>
      </c>
      <c r="AO37" s="474" t="str">
        <f t="shared" ca="1" si="9"/>
        <v>8</v>
      </c>
      <c r="AP37" s="475" t="str">
        <f t="shared" ca="1" si="9"/>
        <v>9</v>
      </c>
      <c r="AQ37" s="479" t="str">
        <f t="array" aca="1" ref="AQ37" ca="1">IF(ROW()-5&lt;=COUNTIF(科目编号,$AR$2),SMALL(IF(科目编号=$AR$2,ROW(科目编号),""),ROW()-5),"")</f>
        <v/>
      </c>
      <c r="AR37" s="480">
        <f ca="1">IF($BG$2=0,"",IF(AR36="本月合计","本年累计",IF(OR(ROW()=$AU$3,ROW()=$AV$3,ROW()=$AW$3,ROW()=$AX$3,ROW()=$AY$3,ROW()=$AZ$3,ROW()=$BA$3,ROW()=$BB$3,ROW()=$BC$3,ROW()=$BD$3,ROW()=$BE$3,ROW()=$BF$3),"本月合计",IF(ROW()&lt;7,$AQ$6,OFFSET($AQ$6,COUNT($AR$6:AR36),0)))))</f>
        <v>102</v>
      </c>
    </row>
    <row r="38" spans="1:44" ht="15" customHeight="1">
      <c r="A38" s="469">
        <f ca="1">IFERROR(INDEX(凭证录入!A:A,$AR38),"")</f>
        <v>7</v>
      </c>
      <c r="B38" s="469">
        <f ca="1">IFERROR(INDEX(凭证录入!B:B,$AR38),"")</f>
        <v>13</v>
      </c>
      <c r="C38" s="470" t="str">
        <f ca="1">IFERROR(INDEX(凭证录入!G:G,$AR38),"")</f>
        <v>银付</v>
      </c>
      <c r="D38" s="471">
        <f ca="1">IFERROR(INDEX(凭证录入!F:F,$AR38),"")</f>
        <v>3</v>
      </c>
      <c r="E38" s="472" t="str">
        <f ca="1">IFERROR(INDEX(凭证录入!H:H,$AR38),$AR38)</f>
        <v>电话银行年费</v>
      </c>
      <c r="F38" s="473">
        <f ca="1">IF(OR($BG$2=0,$AR38=""),,IF($AR38="本月合计",IF(ROW()=$BG$3,SUM($F$6:$F37),SUM(INDIRECT("$F$"&amp;OFFSET($AU$3,,MATCH(ROW(),$AU$3:$BF$3,)-2)+2&amp;":$E"&amp;ROW()-1))),IF($AR38="本年累计",SUMIF($AR$6:$AR38,"本月合计",$F$6:$F37),INDEX(凭证录入!K:K,$AR38))))</f>
        <v>0</v>
      </c>
      <c r="G38" s="459" t="str">
        <f t="shared" ref="G38:Q53" ca="1" si="10">LEFT(RIGHT(TEXT($F38/1%," ￥0; ￥-0;"),18-COLUMN()))</f>
        <v/>
      </c>
      <c r="H38" s="460" t="str">
        <f t="shared" ca="1" si="10"/>
        <v/>
      </c>
      <c r="I38" s="460" t="str">
        <f t="shared" ca="1" si="10"/>
        <v/>
      </c>
      <c r="J38" s="460" t="str">
        <f t="shared" ca="1" si="10"/>
        <v/>
      </c>
      <c r="K38" s="460" t="str">
        <f t="shared" ca="1" si="10"/>
        <v/>
      </c>
      <c r="L38" s="460" t="str">
        <f t="shared" ca="1" si="10"/>
        <v/>
      </c>
      <c r="M38" s="460" t="str">
        <f t="shared" ca="1" si="10"/>
        <v/>
      </c>
      <c r="N38" s="460" t="str">
        <f t="shared" ca="1" si="10"/>
        <v/>
      </c>
      <c r="O38" s="461" t="str">
        <f t="shared" ca="1" si="10"/>
        <v/>
      </c>
      <c r="P38" s="474" t="str">
        <f t="shared" ca="1" si="10"/>
        <v/>
      </c>
      <c r="Q38" s="475" t="str">
        <f t="shared" ca="1" si="10"/>
        <v/>
      </c>
      <c r="R38" s="476">
        <f ca="1">IF(OR($BG$2=0,$AR38=""),,IF($AR38="本月合计",IF(ROW()=$BG$3,SUM($R$6:$R37),SUM(INDIRECT("$R$"&amp;OFFSET($AU$3,,MATCH(ROW(),$AU$3:$BF$3,)-2)+2&amp;":$R"&amp;ROW()-1))),IF($AR38="本年累计",SUMIF($AR$6:$AR38,"本月合计",$R$6:$R37),INDEX(凭证录入!L:L,$AR38))))</f>
        <v>37.5</v>
      </c>
      <c r="S38" s="459" t="str">
        <f t="shared" ref="S38:AC53" ca="1" si="11">LEFT(RIGHT(TEXT($R38/1%," ￥0; ￥-0;"),30-COLUMN()))</f>
        <v xml:space="preserve"> </v>
      </c>
      <c r="T38" s="460" t="str">
        <f t="shared" ca="1" si="11"/>
        <v xml:space="preserve"> </v>
      </c>
      <c r="U38" s="460" t="str">
        <f t="shared" ca="1" si="11"/>
        <v xml:space="preserve"> </v>
      </c>
      <c r="V38" s="460" t="str">
        <f t="shared" ca="1" si="11"/>
        <v xml:space="preserve"> </v>
      </c>
      <c r="W38" s="460" t="str">
        <f t="shared" ca="1" si="11"/>
        <v xml:space="preserve"> </v>
      </c>
      <c r="X38" s="460" t="str">
        <f t="shared" ca="1" si="11"/>
        <v xml:space="preserve"> </v>
      </c>
      <c r="Y38" s="460" t="str">
        <f t="shared" ca="1" si="11"/>
        <v>￥</v>
      </c>
      <c r="Z38" s="460" t="str">
        <f t="shared" ca="1" si="11"/>
        <v>3</v>
      </c>
      <c r="AA38" s="461" t="str">
        <f t="shared" ca="1" si="11"/>
        <v>7</v>
      </c>
      <c r="AB38" s="474" t="str">
        <f t="shared" ca="1" si="11"/>
        <v>5</v>
      </c>
      <c r="AC38" s="475" t="str">
        <f t="shared" ca="1" si="11"/>
        <v>0</v>
      </c>
      <c r="AD38" s="477" t="str">
        <f t="shared" ca="1" si="4"/>
        <v>借</v>
      </c>
      <c r="AE38" s="478">
        <f t="shared" ca="1" si="5"/>
        <v>5024.3900000000003</v>
      </c>
      <c r="AF38" s="459" t="str">
        <f t="shared" ca="1" si="9"/>
        <v xml:space="preserve"> </v>
      </c>
      <c r="AG38" s="460" t="str">
        <f t="shared" ca="1" si="9"/>
        <v xml:space="preserve"> </v>
      </c>
      <c r="AH38" s="460" t="str">
        <f t="shared" ca="1" si="9"/>
        <v xml:space="preserve"> </v>
      </c>
      <c r="AI38" s="460" t="str">
        <f t="shared" ca="1" si="9"/>
        <v xml:space="preserve"> </v>
      </c>
      <c r="AJ38" s="460" t="str">
        <f t="shared" ca="1" si="9"/>
        <v>￥</v>
      </c>
      <c r="AK38" s="460" t="str">
        <f t="shared" ca="1" si="9"/>
        <v>5</v>
      </c>
      <c r="AL38" s="460" t="str">
        <f t="shared" ca="1" si="9"/>
        <v>0</v>
      </c>
      <c r="AM38" s="460" t="str">
        <f t="shared" ca="1" si="9"/>
        <v>2</v>
      </c>
      <c r="AN38" s="461" t="str">
        <f t="shared" ca="1" si="9"/>
        <v>4</v>
      </c>
      <c r="AO38" s="474" t="str">
        <f t="shared" ca="1" si="9"/>
        <v>3</v>
      </c>
      <c r="AP38" s="475" t="str">
        <f t="shared" ca="1" si="9"/>
        <v>9</v>
      </c>
      <c r="AQ38" s="479" t="str">
        <f t="array" aca="1" ref="AQ38" ca="1">IF(ROW()-5&lt;=COUNTIF(科目编号,$AR$2),SMALL(IF(科目编号=$AR$2,ROW(科目编号),""),ROW()-5),"")</f>
        <v/>
      </c>
      <c r="AR38" s="480">
        <f ca="1">IF($BG$2=0,"",IF(AR37="本月合计","本年累计",IF(OR(ROW()=$AU$3,ROW()=$AV$3,ROW()=$AW$3,ROW()=$AX$3,ROW()=$AY$3,ROW()=$AZ$3,ROW()=$BA$3,ROW()=$BB$3,ROW()=$BC$3,ROW()=$BD$3,ROW()=$BE$3,ROW()=$BF$3),"本月合计",IF(ROW()&lt;7,$AQ$6,OFFSET($AQ$6,COUNT($AR$6:AR37),0)))))</f>
        <v>104</v>
      </c>
    </row>
    <row r="39" spans="1:44" ht="15" customHeight="1">
      <c r="A39" s="469" t="str">
        <f ca="1">IFERROR(INDEX(凭证录入!A:A,$AR39),"")</f>
        <v/>
      </c>
      <c r="B39" s="469" t="str">
        <f ca="1">IFERROR(INDEX(凭证录入!B:B,$AR39),"")</f>
        <v/>
      </c>
      <c r="C39" s="470" t="str">
        <f ca="1">IFERROR(INDEX(凭证录入!G:G,$AR39),"")</f>
        <v/>
      </c>
      <c r="D39" s="471" t="str">
        <f ca="1">IFERROR(INDEX(凭证录入!F:F,$AR39),"")</f>
        <v/>
      </c>
      <c r="E39" s="472" t="str">
        <f ca="1">IFERROR(INDEX(凭证录入!H:H,$AR39),$AR39)</f>
        <v>本月合计</v>
      </c>
      <c r="F39" s="473">
        <f ca="1">IF(OR($BG$2=0,$AR39=""),,IF($AR39="本月合计",IF(ROW()=$BG$3,SUM($F$6:$F38),SUM(INDIRECT("$F$"&amp;OFFSET($AU$3,,MATCH(ROW(),$AU$3:$BF$3,)-2)+2&amp;":$E"&amp;ROW()-1))),IF($AR39="本年累计",SUMIF($AR$6:$AR39,"本月合计",$F$6:$F38),INDEX(凭证录入!K:K,$AR39))))</f>
        <v>0</v>
      </c>
      <c r="G39" s="459" t="str">
        <f t="shared" ca="1" si="10"/>
        <v/>
      </c>
      <c r="H39" s="460" t="str">
        <f t="shared" ca="1" si="10"/>
        <v/>
      </c>
      <c r="I39" s="460" t="str">
        <f t="shared" ca="1" si="10"/>
        <v/>
      </c>
      <c r="J39" s="460" t="str">
        <f t="shared" ca="1" si="10"/>
        <v/>
      </c>
      <c r="K39" s="460" t="str">
        <f t="shared" ca="1" si="10"/>
        <v/>
      </c>
      <c r="L39" s="460" t="str">
        <f t="shared" ca="1" si="10"/>
        <v/>
      </c>
      <c r="M39" s="460" t="str">
        <f t="shared" ca="1" si="10"/>
        <v/>
      </c>
      <c r="N39" s="460" t="str">
        <f t="shared" ca="1" si="10"/>
        <v/>
      </c>
      <c r="O39" s="461" t="str">
        <f t="shared" ca="1" si="10"/>
        <v/>
      </c>
      <c r="P39" s="474" t="str">
        <f t="shared" ca="1" si="10"/>
        <v/>
      </c>
      <c r="Q39" s="475" t="str">
        <f t="shared" ca="1" si="10"/>
        <v/>
      </c>
      <c r="R39" s="476">
        <f ca="1">IF(OR($BG$2=0,$AR39=""),,IF($AR39="本月合计",IF(ROW()=$BG$3,SUM($R$6:$R38),SUM(INDIRECT("$R$"&amp;OFFSET($AU$3,,MATCH(ROW(),$AU$3:$BF$3,)-2)+2&amp;":$R"&amp;ROW()-1))),IF($AR39="本年累计",SUMIF($AR$6:$AR39,"本月合计",$R$6:$R38),INDEX(凭证录入!L:L,$AR39))))</f>
        <v>204</v>
      </c>
      <c r="S39" s="459" t="str">
        <f t="shared" ca="1" si="11"/>
        <v xml:space="preserve"> </v>
      </c>
      <c r="T39" s="460" t="str">
        <f t="shared" ca="1" si="11"/>
        <v xml:space="preserve"> </v>
      </c>
      <c r="U39" s="460" t="str">
        <f t="shared" ca="1" si="11"/>
        <v xml:space="preserve"> </v>
      </c>
      <c r="V39" s="460" t="str">
        <f t="shared" ca="1" si="11"/>
        <v xml:space="preserve"> </v>
      </c>
      <c r="W39" s="460" t="str">
        <f t="shared" ca="1" si="11"/>
        <v xml:space="preserve"> </v>
      </c>
      <c r="X39" s="460" t="str">
        <f t="shared" ca="1" si="11"/>
        <v>￥</v>
      </c>
      <c r="Y39" s="460" t="str">
        <f t="shared" ca="1" si="11"/>
        <v>2</v>
      </c>
      <c r="Z39" s="460" t="str">
        <f t="shared" ca="1" si="11"/>
        <v>0</v>
      </c>
      <c r="AA39" s="461" t="str">
        <f t="shared" ca="1" si="11"/>
        <v>4</v>
      </c>
      <c r="AB39" s="474" t="str">
        <f t="shared" ca="1" si="11"/>
        <v>0</v>
      </c>
      <c r="AC39" s="475" t="str">
        <f t="shared" ca="1" si="11"/>
        <v>0</v>
      </c>
      <c r="AD39" s="477" t="str">
        <f t="shared" ca="1" si="4"/>
        <v/>
      </c>
      <c r="AE39" s="478">
        <f t="shared" ca="1" si="5"/>
        <v>5024.3900000000003</v>
      </c>
      <c r="AF39" s="459" t="str">
        <f t="shared" ca="1" si="9"/>
        <v xml:space="preserve"> </v>
      </c>
      <c r="AG39" s="460" t="str">
        <f t="shared" ca="1" si="9"/>
        <v xml:space="preserve"> </v>
      </c>
      <c r="AH39" s="460" t="str">
        <f t="shared" ca="1" si="9"/>
        <v xml:space="preserve"> </v>
      </c>
      <c r="AI39" s="460" t="str">
        <f t="shared" ca="1" si="9"/>
        <v xml:space="preserve"> </v>
      </c>
      <c r="AJ39" s="460" t="str">
        <f t="shared" ca="1" si="9"/>
        <v>￥</v>
      </c>
      <c r="AK39" s="460" t="str">
        <f t="shared" ca="1" si="9"/>
        <v>5</v>
      </c>
      <c r="AL39" s="460" t="str">
        <f t="shared" ca="1" si="9"/>
        <v>0</v>
      </c>
      <c r="AM39" s="460" t="str">
        <f t="shared" ca="1" si="9"/>
        <v>2</v>
      </c>
      <c r="AN39" s="461" t="str">
        <f t="shared" ca="1" si="9"/>
        <v>4</v>
      </c>
      <c r="AO39" s="474" t="str">
        <f t="shared" ca="1" si="9"/>
        <v>3</v>
      </c>
      <c r="AP39" s="475" t="str">
        <f t="shared" ca="1" si="9"/>
        <v>9</v>
      </c>
      <c r="AQ39" s="479" t="str">
        <f t="array" aca="1" ref="AQ39" ca="1">IF(ROW()-5&lt;=COUNTIF(科目编号,$AR$2),SMALL(IF(科目编号=$AR$2,ROW(科目编号),""),ROW()-5),"")</f>
        <v/>
      </c>
      <c r="AR39" s="480" t="str">
        <f ca="1">IF($BG$2=0,"",IF(AR38="本月合计","本年累计",IF(OR(ROW()=$AU$3,ROW()=$AV$3,ROW()=$AW$3,ROW()=$AX$3,ROW()=$AY$3,ROW()=$AZ$3,ROW()=$BA$3,ROW()=$BB$3,ROW()=$BC$3,ROW()=$BD$3,ROW()=$BE$3,ROW()=$BF$3),"本月合计",IF(ROW()&lt;7,$AQ$6,OFFSET($AQ$6,COUNT($AR$6:AR38),0)))))</f>
        <v>本月合计</v>
      </c>
    </row>
    <row r="40" spans="1:44" ht="15" customHeight="1">
      <c r="A40" s="469" t="str">
        <f ca="1">IFERROR(INDEX(凭证录入!A:A,$AR40),"")</f>
        <v/>
      </c>
      <c r="B40" s="469" t="str">
        <f ca="1">IFERROR(INDEX(凭证录入!B:B,$AR40),"")</f>
        <v/>
      </c>
      <c r="C40" s="470" t="str">
        <f ca="1">IFERROR(INDEX(凭证录入!G:G,$AR40),"")</f>
        <v/>
      </c>
      <c r="D40" s="471" t="str">
        <f ca="1">IFERROR(INDEX(凭证录入!F:F,$AR40),"")</f>
        <v/>
      </c>
      <c r="E40" s="472" t="str">
        <f ca="1">IFERROR(INDEX(凭证录入!H:H,$AR40),$AR40)</f>
        <v>本年累计</v>
      </c>
      <c r="F40" s="473">
        <f ca="1">IF(OR($BG$2=0,$AR40=""),,IF($AR40="本月合计",IF(ROW()=$BG$3,SUM($F$6:$F39),SUM(INDIRECT("$F$"&amp;OFFSET($AU$3,,MATCH(ROW(),$AU$3:$BF$3,)-2)+2&amp;":$E"&amp;ROW()-1))),IF($AR40="本年累计",SUMIF($AR$6:$AR40,"本月合计",$F$6:$F39),INDEX(凭证录入!K:K,$AR40))))</f>
        <v>4298.12</v>
      </c>
      <c r="G40" s="459" t="str">
        <f t="shared" ca="1" si="10"/>
        <v xml:space="preserve"> </v>
      </c>
      <c r="H40" s="460" t="str">
        <f t="shared" ca="1" si="10"/>
        <v xml:space="preserve"> </v>
      </c>
      <c r="I40" s="460" t="str">
        <f t="shared" ca="1" si="10"/>
        <v xml:space="preserve"> </v>
      </c>
      <c r="J40" s="460" t="str">
        <f t="shared" ca="1" si="10"/>
        <v xml:space="preserve"> </v>
      </c>
      <c r="K40" s="460" t="str">
        <f t="shared" ca="1" si="10"/>
        <v>￥</v>
      </c>
      <c r="L40" s="460" t="str">
        <f t="shared" ca="1" si="10"/>
        <v>4</v>
      </c>
      <c r="M40" s="460" t="str">
        <f t="shared" ca="1" si="10"/>
        <v>2</v>
      </c>
      <c r="N40" s="460" t="str">
        <f t="shared" ca="1" si="10"/>
        <v>9</v>
      </c>
      <c r="O40" s="461" t="str">
        <f t="shared" ca="1" si="10"/>
        <v>8</v>
      </c>
      <c r="P40" s="474" t="str">
        <f t="shared" ca="1" si="10"/>
        <v>1</v>
      </c>
      <c r="Q40" s="475" t="str">
        <f t="shared" ca="1" si="10"/>
        <v>2</v>
      </c>
      <c r="R40" s="476">
        <f ca="1">IF(OR($BG$2=0,$AR40=""),,IF($AR40="本月合计",IF(ROW()=$BG$3,SUM($R$6:$R39),SUM(INDIRECT("$R$"&amp;OFFSET($AU$3,,MATCH(ROW(),$AU$3:$BF$3,)-2)+2&amp;":$R"&amp;ROW()-1))),IF($AR40="本年累计",SUMIF($AR$6:$AR40,"本月合计",$R$6:$R39),INDEX(凭证录入!L:L,$AR40))))</f>
        <v>6168.8</v>
      </c>
      <c r="S40" s="459" t="str">
        <f t="shared" ca="1" si="11"/>
        <v xml:space="preserve"> </v>
      </c>
      <c r="T40" s="460" t="str">
        <f t="shared" ca="1" si="11"/>
        <v xml:space="preserve"> </v>
      </c>
      <c r="U40" s="460" t="str">
        <f t="shared" ca="1" si="11"/>
        <v xml:space="preserve"> </v>
      </c>
      <c r="V40" s="460" t="str">
        <f t="shared" ca="1" si="11"/>
        <v xml:space="preserve"> </v>
      </c>
      <c r="W40" s="460" t="str">
        <f t="shared" ca="1" si="11"/>
        <v>￥</v>
      </c>
      <c r="X40" s="460" t="str">
        <f t="shared" ca="1" si="11"/>
        <v>6</v>
      </c>
      <c r="Y40" s="460" t="str">
        <f t="shared" ca="1" si="11"/>
        <v>1</v>
      </c>
      <c r="Z40" s="460" t="str">
        <f t="shared" ca="1" si="11"/>
        <v>6</v>
      </c>
      <c r="AA40" s="461" t="str">
        <f t="shared" ca="1" si="11"/>
        <v>8</v>
      </c>
      <c r="AB40" s="474" t="str">
        <f t="shared" ca="1" si="11"/>
        <v>8</v>
      </c>
      <c r="AC40" s="475" t="str">
        <f t="shared" ca="1" si="11"/>
        <v>0</v>
      </c>
      <c r="AD40" s="477" t="str">
        <f t="shared" ca="1" si="4"/>
        <v/>
      </c>
      <c r="AE40" s="478">
        <f t="shared" ca="1" si="5"/>
        <v>5024.3900000000003</v>
      </c>
      <c r="AF40" s="459" t="str">
        <f t="shared" ca="1" si="9"/>
        <v xml:space="preserve"> </v>
      </c>
      <c r="AG40" s="460" t="str">
        <f t="shared" ca="1" si="9"/>
        <v xml:space="preserve"> </v>
      </c>
      <c r="AH40" s="460" t="str">
        <f t="shared" ca="1" si="9"/>
        <v xml:space="preserve"> </v>
      </c>
      <c r="AI40" s="460" t="str">
        <f t="shared" ca="1" si="9"/>
        <v xml:space="preserve"> </v>
      </c>
      <c r="AJ40" s="460" t="str">
        <f t="shared" ca="1" si="9"/>
        <v>￥</v>
      </c>
      <c r="AK40" s="460" t="str">
        <f t="shared" ca="1" si="9"/>
        <v>5</v>
      </c>
      <c r="AL40" s="460" t="str">
        <f t="shared" ca="1" si="9"/>
        <v>0</v>
      </c>
      <c r="AM40" s="460" t="str">
        <f t="shared" ca="1" si="9"/>
        <v>2</v>
      </c>
      <c r="AN40" s="461" t="str">
        <f t="shared" ca="1" si="9"/>
        <v>4</v>
      </c>
      <c r="AO40" s="474" t="str">
        <f t="shared" ca="1" si="9"/>
        <v>3</v>
      </c>
      <c r="AP40" s="475" t="str">
        <f t="shared" ca="1" si="9"/>
        <v>9</v>
      </c>
      <c r="AQ40" s="479" t="str">
        <f t="array" aca="1" ref="AQ40" ca="1">IF(ROW()-5&lt;=COUNTIF(科目编号,$AR$2),SMALL(IF(科目编号=$AR$2,ROW(科目编号),""),ROW()-5),"")</f>
        <v/>
      </c>
      <c r="AR40" s="480" t="str">
        <f ca="1">IF($BG$2=0,"",IF(AR39="本月合计","本年累计",IF(OR(ROW()=$AU$3,ROW()=$AV$3,ROW()=$AW$3,ROW()=$AX$3,ROW()=$AY$3,ROW()=$AZ$3,ROW()=$BA$3,ROW()=$BB$3,ROW()=$BC$3,ROW()=$BD$3,ROW()=$BE$3,ROW()=$BF$3),"本月合计",IF(ROW()&lt;7,$AQ$6,OFFSET($AQ$6,COUNT($AR$6:AR39),0)))))</f>
        <v>本年累计</v>
      </c>
    </row>
    <row r="41" spans="1:44" ht="15" customHeight="1">
      <c r="A41" s="469">
        <f ca="1">IFERROR(INDEX(凭证录入!A:A,$AR41),"")</f>
        <v>8</v>
      </c>
      <c r="B41" s="469">
        <f ca="1">IFERROR(INDEX(凭证录入!B:B,$AR41),"")</f>
        <v>3</v>
      </c>
      <c r="C41" s="470" t="str">
        <f ca="1">IFERROR(INDEX(凭证录入!G:G,$AR41),"")</f>
        <v>银付</v>
      </c>
      <c r="D41" s="471">
        <f ca="1">IFERROR(INDEX(凭证录入!F:F,$AR41),"")</f>
        <v>1</v>
      </c>
      <c r="E41" s="472" t="str">
        <f ca="1">IFERROR(INDEX(凭证录入!H:H,$AR41),$AR41)</f>
        <v>支付增值税费</v>
      </c>
      <c r="F41" s="473">
        <f ca="1">IF(OR($BG$2=0,$AR41=""),,IF($AR41="本月合计",IF(ROW()=$BG$3,SUM($F$6:$F40),SUM(INDIRECT("$F$"&amp;OFFSET($AU$3,,MATCH(ROW(),$AU$3:$BF$3,)-2)+2&amp;":$E"&amp;ROW()-1))),IF($AR41="本年累计",SUMIF($AR$6:$AR41,"本月合计",$F$6:$F40),INDEX(凭证录入!K:K,$AR41))))</f>
        <v>0</v>
      </c>
      <c r="G41" s="459" t="str">
        <f t="shared" ca="1" si="10"/>
        <v/>
      </c>
      <c r="H41" s="460" t="str">
        <f t="shared" ca="1" si="10"/>
        <v/>
      </c>
      <c r="I41" s="460" t="str">
        <f t="shared" ca="1" si="10"/>
        <v/>
      </c>
      <c r="J41" s="460" t="str">
        <f t="shared" ca="1" si="10"/>
        <v/>
      </c>
      <c r="K41" s="460" t="str">
        <f t="shared" ca="1" si="10"/>
        <v/>
      </c>
      <c r="L41" s="460" t="str">
        <f t="shared" ca="1" si="10"/>
        <v/>
      </c>
      <c r="M41" s="460" t="str">
        <f t="shared" ca="1" si="10"/>
        <v/>
      </c>
      <c r="N41" s="460" t="str">
        <f t="shared" ca="1" si="10"/>
        <v/>
      </c>
      <c r="O41" s="461" t="str">
        <f t="shared" ca="1" si="10"/>
        <v/>
      </c>
      <c r="P41" s="474" t="str">
        <f t="shared" ca="1" si="10"/>
        <v/>
      </c>
      <c r="Q41" s="475" t="str">
        <f t="shared" ca="1" si="10"/>
        <v/>
      </c>
      <c r="R41" s="476">
        <f ca="1">IF(OR($BG$2=0,$AR41=""),,IF($AR41="本月合计",IF(ROW()=$BG$3,SUM($R$6:$R40),SUM(INDIRECT("$R$"&amp;OFFSET($AU$3,,MATCH(ROW(),$AU$3:$BF$3,)-2)+2&amp;":$R"&amp;ROW()-1))),IF($AR41="本年累计",SUMIF($AR$6:$AR41,"本月合计",$R$6:$R40),INDEX(凭证录入!L:L,$AR41))))</f>
        <v>150</v>
      </c>
      <c r="S41" s="459" t="str">
        <f t="shared" ca="1" si="11"/>
        <v xml:space="preserve"> </v>
      </c>
      <c r="T41" s="460" t="str">
        <f t="shared" ca="1" si="11"/>
        <v xml:space="preserve"> </v>
      </c>
      <c r="U41" s="460" t="str">
        <f t="shared" ca="1" si="11"/>
        <v xml:space="preserve"> </v>
      </c>
      <c r="V41" s="460" t="str">
        <f t="shared" ca="1" si="11"/>
        <v xml:space="preserve"> </v>
      </c>
      <c r="W41" s="460" t="str">
        <f t="shared" ca="1" si="11"/>
        <v xml:space="preserve"> </v>
      </c>
      <c r="X41" s="460" t="str">
        <f t="shared" ca="1" si="11"/>
        <v>￥</v>
      </c>
      <c r="Y41" s="460" t="str">
        <f t="shared" ca="1" si="11"/>
        <v>1</v>
      </c>
      <c r="Z41" s="460" t="str">
        <f t="shared" ca="1" si="11"/>
        <v>5</v>
      </c>
      <c r="AA41" s="461" t="str">
        <f t="shared" ca="1" si="11"/>
        <v>0</v>
      </c>
      <c r="AB41" s="474" t="str">
        <f t="shared" ca="1" si="11"/>
        <v>0</v>
      </c>
      <c r="AC41" s="475" t="str">
        <f t="shared" ca="1" si="11"/>
        <v>0</v>
      </c>
      <c r="AD41" s="477" t="str">
        <f t="shared" ca="1" si="4"/>
        <v>借</v>
      </c>
      <c r="AE41" s="478">
        <f t="shared" ca="1" si="5"/>
        <v>4874.3900000000003</v>
      </c>
      <c r="AF41" s="459" t="str">
        <f t="shared" ca="1" si="9"/>
        <v xml:space="preserve"> </v>
      </c>
      <c r="AG41" s="460" t="str">
        <f t="shared" ca="1" si="9"/>
        <v xml:space="preserve"> </v>
      </c>
      <c r="AH41" s="460" t="str">
        <f t="shared" ca="1" si="9"/>
        <v xml:space="preserve"> </v>
      </c>
      <c r="AI41" s="460" t="str">
        <f t="shared" ca="1" si="9"/>
        <v xml:space="preserve"> </v>
      </c>
      <c r="AJ41" s="460" t="str">
        <f t="shared" ca="1" si="9"/>
        <v>￥</v>
      </c>
      <c r="AK41" s="460" t="str">
        <f t="shared" ca="1" si="9"/>
        <v>4</v>
      </c>
      <c r="AL41" s="460" t="str">
        <f t="shared" ca="1" si="9"/>
        <v>8</v>
      </c>
      <c r="AM41" s="460" t="str">
        <f t="shared" ca="1" si="9"/>
        <v>7</v>
      </c>
      <c r="AN41" s="461" t="str">
        <f t="shared" ca="1" si="9"/>
        <v>4</v>
      </c>
      <c r="AO41" s="474" t="str">
        <f t="shared" ca="1" si="9"/>
        <v>3</v>
      </c>
      <c r="AP41" s="475" t="str">
        <f t="shared" ca="1" si="9"/>
        <v>9</v>
      </c>
      <c r="AQ41" s="479" t="str">
        <f t="array" aca="1" ref="AQ41" ca="1">IF(ROW()-5&lt;=COUNTIF(科目编号,$AR$2),SMALL(IF(科目编号=$AR$2,ROW(科目编号),""),ROW()-5),"")</f>
        <v/>
      </c>
      <c r="AR41" s="480">
        <f ca="1">IF($BG$2=0,"",IF(AR40="本月合计","本年累计",IF(OR(ROW()=$AU$3,ROW()=$AV$3,ROW()=$AW$3,ROW()=$AX$3,ROW()=$AY$3,ROW()=$AZ$3,ROW()=$BA$3,ROW()=$BB$3,ROW()=$BC$3,ROW()=$BD$3,ROW()=$BE$3,ROW()=$BF$3),"本月合计",IF(ROW()&lt;7,$AQ$6,OFFSET($AQ$6,COUNT($AR$6:AR40),0)))))</f>
        <v>113</v>
      </c>
    </row>
    <row r="42" spans="1:44" ht="15" customHeight="1">
      <c r="A42" s="469">
        <f ca="1">IFERROR(INDEX(凭证录入!A:A,$AR42),"")</f>
        <v>8</v>
      </c>
      <c r="B42" s="469">
        <f ca="1">IFERROR(INDEX(凭证录入!B:B,$AR42),"")</f>
        <v>9</v>
      </c>
      <c r="C42" s="470" t="str">
        <f ca="1">IFERROR(INDEX(凭证录入!G:G,$AR42),"")</f>
        <v>银付</v>
      </c>
      <c r="D42" s="471">
        <f ca="1">IFERROR(INDEX(凭证录入!F:F,$AR42),"")</f>
        <v>2</v>
      </c>
      <c r="E42" s="472" t="str">
        <f ca="1">IFERROR(INDEX(凭证录入!H:H,$AR42),$AR42)</f>
        <v>支付7月税费</v>
      </c>
      <c r="F42" s="473">
        <f ca="1">IF(OR($BG$2=0,$AR42=""),,IF($AR42="本月合计",IF(ROW()=$BG$3,SUM($F$6:$F41),SUM(INDIRECT("$F$"&amp;OFFSET($AU$3,,MATCH(ROW(),$AU$3:$BF$3,)-2)+2&amp;":$E"&amp;ROW()-1))),IF($AR42="本年累计",SUMIF($AR$6:$AR42,"本月合计",$F$6:$F41),INDEX(凭证录入!K:K,$AR42))))</f>
        <v>0</v>
      </c>
      <c r="G42" s="459" t="str">
        <f t="shared" ca="1" si="10"/>
        <v/>
      </c>
      <c r="H42" s="460" t="str">
        <f t="shared" ca="1" si="10"/>
        <v/>
      </c>
      <c r="I42" s="460" t="str">
        <f t="shared" ca="1" si="10"/>
        <v/>
      </c>
      <c r="J42" s="460" t="str">
        <f t="shared" ca="1" si="10"/>
        <v/>
      </c>
      <c r="K42" s="460" t="str">
        <f t="shared" ca="1" si="10"/>
        <v/>
      </c>
      <c r="L42" s="460" t="str">
        <f t="shared" ca="1" si="10"/>
        <v/>
      </c>
      <c r="M42" s="460" t="str">
        <f t="shared" ca="1" si="10"/>
        <v/>
      </c>
      <c r="N42" s="460" t="str">
        <f t="shared" ca="1" si="10"/>
        <v/>
      </c>
      <c r="O42" s="461" t="str">
        <f t="shared" ca="1" si="10"/>
        <v/>
      </c>
      <c r="P42" s="474" t="str">
        <f t="shared" ca="1" si="10"/>
        <v/>
      </c>
      <c r="Q42" s="475" t="str">
        <f t="shared" ca="1" si="10"/>
        <v/>
      </c>
      <c r="R42" s="476">
        <f ca="1">IF(OR($BG$2=0,$AR42=""),,IF($AR42="本月合计",IF(ROW()=$BG$3,SUM($R$6:$R41),SUM(INDIRECT("$R$"&amp;OFFSET($AU$3,,MATCH(ROW(),$AU$3:$BF$3,)-2)+2&amp;":$R"&amp;ROW()-1))),IF($AR42="本年累计",SUMIF($AR$6:$AR42,"本月合计",$R$6:$R41),INDEX(凭证录入!L:L,$AR42))))</f>
        <v>16.5</v>
      </c>
      <c r="S42" s="459" t="str">
        <f t="shared" ca="1" si="11"/>
        <v xml:space="preserve"> </v>
      </c>
      <c r="T42" s="460" t="str">
        <f t="shared" ca="1" si="11"/>
        <v xml:space="preserve"> </v>
      </c>
      <c r="U42" s="460" t="str">
        <f t="shared" ca="1" si="11"/>
        <v xml:space="preserve"> </v>
      </c>
      <c r="V42" s="460" t="str">
        <f t="shared" ca="1" si="11"/>
        <v xml:space="preserve"> </v>
      </c>
      <c r="W42" s="460" t="str">
        <f t="shared" ca="1" si="11"/>
        <v xml:space="preserve"> </v>
      </c>
      <c r="X42" s="460" t="str">
        <f t="shared" ca="1" si="11"/>
        <v xml:space="preserve"> </v>
      </c>
      <c r="Y42" s="460" t="str">
        <f t="shared" ca="1" si="11"/>
        <v>￥</v>
      </c>
      <c r="Z42" s="460" t="str">
        <f t="shared" ca="1" si="11"/>
        <v>1</v>
      </c>
      <c r="AA42" s="461" t="str">
        <f t="shared" ca="1" si="11"/>
        <v>6</v>
      </c>
      <c r="AB42" s="474" t="str">
        <f t="shared" ca="1" si="11"/>
        <v>5</v>
      </c>
      <c r="AC42" s="475" t="str">
        <f t="shared" ca="1" si="11"/>
        <v>0</v>
      </c>
      <c r="AD42" s="477" t="str">
        <f t="shared" ca="1" si="4"/>
        <v>借</v>
      </c>
      <c r="AE42" s="478">
        <f t="shared" ca="1" si="5"/>
        <v>4857.8900000000003</v>
      </c>
      <c r="AF42" s="459" t="str">
        <f t="shared" ca="1" si="9"/>
        <v xml:space="preserve"> </v>
      </c>
      <c r="AG42" s="460" t="str">
        <f t="shared" ca="1" si="9"/>
        <v xml:space="preserve"> </v>
      </c>
      <c r="AH42" s="460" t="str">
        <f t="shared" ca="1" si="9"/>
        <v xml:space="preserve"> </v>
      </c>
      <c r="AI42" s="460" t="str">
        <f t="shared" ca="1" si="9"/>
        <v xml:space="preserve"> </v>
      </c>
      <c r="AJ42" s="460" t="str">
        <f t="shared" ca="1" si="9"/>
        <v>￥</v>
      </c>
      <c r="AK42" s="460" t="str">
        <f t="shared" ca="1" si="9"/>
        <v>4</v>
      </c>
      <c r="AL42" s="460" t="str">
        <f t="shared" ca="1" si="9"/>
        <v>8</v>
      </c>
      <c r="AM42" s="460" t="str">
        <f t="shared" ca="1" si="9"/>
        <v>5</v>
      </c>
      <c r="AN42" s="461" t="str">
        <f t="shared" ca="1" si="9"/>
        <v>7</v>
      </c>
      <c r="AO42" s="474" t="str">
        <f t="shared" ca="1" si="9"/>
        <v>8</v>
      </c>
      <c r="AP42" s="475" t="str">
        <f t="shared" ca="1" si="9"/>
        <v>9</v>
      </c>
      <c r="AQ42" s="479" t="str">
        <f t="array" aca="1" ref="AQ42" ca="1">IF(ROW()-5&lt;=COUNTIF(科目编号,$AR$2),SMALL(IF(科目编号=$AR$2,ROW(科目编号),""),ROW()-5),"")</f>
        <v/>
      </c>
      <c r="AR42" s="480">
        <f ca="1">IF($BG$2=0,"",IF(AR41="本月合计","本年累计",IF(OR(ROW()=$AU$3,ROW()=$AV$3,ROW()=$AW$3,ROW()=$AX$3,ROW()=$AY$3,ROW()=$AZ$3,ROW()=$BA$3,ROW()=$BB$3,ROW()=$BC$3,ROW()=$BD$3,ROW()=$BE$3,ROW()=$BF$3),"本月合计",IF(ROW()&lt;7,$AQ$6,OFFSET($AQ$6,COUNT($AR$6:AR41),0)))))</f>
        <v>121</v>
      </c>
    </row>
    <row r="43" spans="1:44" ht="15" customHeight="1">
      <c r="A43" s="469">
        <f ca="1">IFERROR(INDEX(凭证录入!A:A,$AR43),"")</f>
        <v>8</v>
      </c>
      <c r="B43" s="469">
        <f ca="1">IFERROR(INDEX(凭证录入!B:B,$AR43),"")</f>
        <v>31</v>
      </c>
      <c r="C43" s="470" t="str">
        <f ca="1">IFERROR(INDEX(凭证录入!G:G,$AR43),"")</f>
        <v>银付</v>
      </c>
      <c r="D43" s="471">
        <f ca="1">IFERROR(INDEX(凭证录入!F:F,$AR43),"")</f>
        <v>3</v>
      </c>
      <c r="E43" s="472" t="str">
        <f ca="1">IFERROR(INDEX(凭证录入!H:H,$AR43),$AR43)</f>
        <v>企业网银费</v>
      </c>
      <c r="F43" s="473">
        <f ca="1">IF(OR($BG$2=0,$AR43=""),,IF($AR43="本月合计",IF(ROW()=$BG$3,SUM($F$6:$F42),SUM(INDIRECT("$F$"&amp;OFFSET($AU$3,,MATCH(ROW(),$AU$3:$BF$3,)-2)+2&amp;":$E"&amp;ROW()-1))),IF($AR43="本年累计",SUMIF($AR$6:$AR43,"本月合计",$F$6:$F42),INDEX(凭证录入!K:K,$AR43))))</f>
        <v>0</v>
      </c>
      <c r="G43" s="459" t="str">
        <f t="shared" ca="1" si="10"/>
        <v/>
      </c>
      <c r="H43" s="460" t="str">
        <f t="shared" ca="1" si="10"/>
        <v/>
      </c>
      <c r="I43" s="460" t="str">
        <f t="shared" ca="1" si="10"/>
        <v/>
      </c>
      <c r="J43" s="460" t="str">
        <f t="shared" ca="1" si="10"/>
        <v/>
      </c>
      <c r="K43" s="460" t="str">
        <f t="shared" ca="1" si="10"/>
        <v/>
      </c>
      <c r="L43" s="460" t="str">
        <f t="shared" ca="1" si="10"/>
        <v/>
      </c>
      <c r="M43" s="460" t="str">
        <f t="shared" ca="1" si="10"/>
        <v/>
      </c>
      <c r="N43" s="460" t="str">
        <f t="shared" ca="1" si="10"/>
        <v/>
      </c>
      <c r="O43" s="461" t="str">
        <f t="shared" ca="1" si="10"/>
        <v/>
      </c>
      <c r="P43" s="474" t="str">
        <f t="shared" ca="1" si="10"/>
        <v/>
      </c>
      <c r="Q43" s="475" t="str">
        <f t="shared" ca="1" si="10"/>
        <v/>
      </c>
      <c r="R43" s="476">
        <f ca="1">IF(OR($BG$2=0,$AR43=""),,IF($AR43="本月合计",IF(ROW()=$BG$3,SUM($R$6:$R42),SUM(INDIRECT("$R$"&amp;OFFSET($AU$3,,MATCH(ROW(),$AU$3:$BF$3,)-2)+2&amp;":$R"&amp;ROW()-1))),IF($AR43="本年累计",SUMIF($AR$6:$AR43,"本月合计",$R$6:$R42),INDEX(凭证录入!L:L,$AR43))))</f>
        <v>60</v>
      </c>
      <c r="S43" s="459" t="str">
        <f t="shared" ca="1" si="11"/>
        <v xml:space="preserve"> </v>
      </c>
      <c r="T43" s="460" t="str">
        <f t="shared" ca="1" si="11"/>
        <v xml:space="preserve"> </v>
      </c>
      <c r="U43" s="460" t="str">
        <f t="shared" ca="1" si="11"/>
        <v xml:space="preserve"> </v>
      </c>
      <c r="V43" s="460" t="str">
        <f t="shared" ca="1" si="11"/>
        <v xml:space="preserve"> </v>
      </c>
      <c r="W43" s="460" t="str">
        <f t="shared" ca="1" si="11"/>
        <v xml:space="preserve"> </v>
      </c>
      <c r="X43" s="460" t="str">
        <f t="shared" ca="1" si="11"/>
        <v xml:space="preserve"> </v>
      </c>
      <c r="Y43" s="460" t="str">
        <f t="shared" ca="1" si="11"/>
        <v>￥</v>
      </c>
      <c r="Z43" s="460" t="str">
        <f t="shared" ca="1" si="11"/>
        <v>6</v>
      </c>
      <c r="AA43" s="461" t="str">
        <f t="shared" ca="1" si="11"/>
        <v>0</v>
      </c>
      <c r="AB43" s="474" t="str">
        <f t="shared" ca="1" si="11"/>
        <v>0</v>
      </c>
      <c r="AC43" s="475" t="str">
        <f t="shared" ca="1" si="11"/>
        <v>0</v>
      </c>
      <c r="AD43" s="477" t="str">
        <f t="shared" ca="1" si="4"/>
        <v>借</v>
      </c>
      <c r="AE43" s="478">
        <f t="shared" ca="1" si="5"/>
        <v>4797.8900000000003</v>
      </c>
      <c r="AF43" s="459" t="str">
        <f t="shared" ca="1" si="9"/>
        <v xml:space="preserve"> </v>
      </c>
      <c r="AG43" s="460" t="str">
        <f t="shared" ca="1" si="9"/>
        <v xml:space="preserve"> </v>
      </c>
      <c r="AH43" s="460" t="str">
        <f t="shared" ca="1" si="9"/>
        <v xml:space="preserve"> </v>
      </c>
      <c r="AI43" s="460" t="str">
        <f t="shared" ca="1" si="9"/>
        <v xml:space="preserve"> </v>
      </c>
      <c r="AJ43" s="460" t="str">
        <f t="shared" ca="1" si="9"/>
        <v>￥</v>
      </c>
      <c r="AK43" s="460" t="str">
        <f t="shared" ca="1" si="9"/>
        <v>4</v>
      </c>
      <c r="AL43" s="460" t="str">
        <f t="shared" ca="1" si="9"/>
        <v>7</v>
      </c>
      <c r="AM43" s="460" t="str">
        <f t="shared" ca="1" si="9"/>
        <v>9</v>
      </c>
      <c r="AN43" s="461" t="str">
        <f t="shared" ca="1" si="9"/>
        <v>7</v>
      </c>
      <c r="AO43" s="474" t="str">
        <f t="shared" ca="1" si="9"/>
        <v>8</v>
      </c>
      <c r="AP43" s="475" t="str">
        <f t="shared" ca="1" si="9"/>
        <v>9</v>
      </c>
      <c r="AQ43" s="479" t="str">
        <f t="array" aca="1" ref="AQ43" ca="1">IF(ROW()-5&lt;=COUNTIF(科目编号,$AR$2),SMALL(IF(科目编号=$AR$2,ROW(科目编号),""),ROW()-5),"")</f>
        <v/>
      </c>
      <c r="AR43" s="480">
        <f ca="1">IF($BG$2=0,"",IF(AR42="本月合计","本年累计",IF(OR(ROW()=$AU$3,ROW()=$AV$3,ROW()=$AW$3,ROW()=$AX$3,ROW()=$AY$3,ROW()=$AZ$3,ROW()=$BA$3,ROW()=$BB$3,ROW()=$BC$3,ROW()=$BD$3,ROW()=$BE$3,ROW()=$BF$3),"本月合计",IF(ROW()&lt;7,$AQ$6,OFFSET($AQ$6,COUNT($AR$6:AR42),0)))))</f>
        <v>123</v>
      </c>
    </row>
    <row r="44" spans="1:44">
      <c r="A44" s="469" t="str">
        <f ca="1">IFERROR(INDEX(凭证录入!A:A,$AR44),"")</f>
        <v/>
      </c>
      <c r="B44" s="469" t="str">
        <f ca="1">IFERROR(INDEX(凭证录入!B:B,$AR44),"")</f>
        <v/>
      </c>
      <c r="C44" s="470" t="str">
        <f ca="1">IFERROR(INDEX(凭证录入!G:G,$AR44),"")</f>
        <v/>
      </c>
      <c r="D44" s="471" t="str">
        <f ca="1">IFERROR(INDEX(凭证录入!F:F,$AR44),"")</f>
        <v/>
      </c>
      <c r="E44" s="472" t="str">
        <f ca="1">IFERROR(INDEX(凭证录入!H:H,$AR44),$AR44)</f>
        <v>本月合计</v>
      </c>
      <c r="F44" s="473">
        <f ca="1">IF(OR($BG$2=0,$AR44=""),,IF($AR44="本月合计",IF(ROW()=$BG$3,SUM($F$6:$F43),SUM(INDIRECT("$F$"&amp;OFFSET($AU$3,,MATCH(ROW(),$AU$3:$BF$3,)-2)+2&amp;":$E"&amp;ROW()-1))),IF($AR44="本年累计",SUMIF($AR$6:$AR44,"本月合计",$F$6:$F43),INDEX(凭证录入!K:K,$AR44))))</f>
        <v>0</v>
      </c>
      <c r="G44" s="459" t="str">
        <f t="shared" ca="1" si="10"/>
        <v/>
      </c>
      <c r="H44" s="460" t="str">
        <f t="shared" ca="1" si="10"/>
        <v/>
      </c>
      <c r="I44" s="460" t="str">
        <f t="shared" ca="1" si="10"/>
        <v/>
      </c>
      <c r="J44" s="460" t="str">
        <f t="shared" ca="1" si="10"/>
        <v/>
      </c>
      <c r="K44" s="460" t="str">
        <f t="shared" ca="1" si="10"/>
        <v/>
      </c>
      <c r="L44" s="460" t="str">
        <f t="shared" ca="1" si="10"/>
        <v/>
      </c>
      <c r="M44" s="460" t="str">
        <f t="shared" ca="1" si="10"/>
        <v/>
      </c>
      <c r="N44" s="460" t="str">
        <f t="shared" ca="1" si="10"/>
        <v/>
      </c>
      <c r="O44" s="461" t="str">
        <f t="shared" ca="1" si="10"/>
        <v/>
      </c>
      <c r="P44" s="474" t="str">
        <f t="shared" ca="1" si="10"/>
        <v/>
      </c>
      <c r="Q44" s="475" t="str">
        <f t="shared" ca="1" si="10"/>
        <v/>
      </c>
      <c r="R44" s="476">
        <f ca="1">IF(OR($BG$2=0,$AR44=""),,IF($AR44="本月合计",IF(ROW()=$BG$3,SUM($R$6:$R43),SUM(INDIRECT("$R$"&amp;OFFSET($AU$3,,MATCH(ROW(),$AU$3:$BF$3,)-2)+2&amp;":$R"&amp;ROW()-1))),IF($AR44="本年累计",SUMIF($AR$6:$AR44,"本月合计",$R$6:$R43),INDEX(凭证录入!L:L,$AR44))))</f>
        <v>226.5</v>
      </c>
      <c r="S44" s="459" t="str">
        <f t="shared" ca="1" si="11"/>
        <v xml:space="preserve"> </v>
      </c>
      <c r="T44" s="460" t="str">
        <f t="shared" ca="1" si="11"/>
        <v xml:space="preserve"> </v>
      </c>
      <c r="U44" s="460" t="str">
        <f t="shared" ca="1" si="11"/>
        <v xml:space="preserve"> </v>
      </c>
      <c r="V44" s="460" t="str">
        <f t="shared" ca="1" si="11"/>
        <v xml:space="preserve"> </v>
      </c>
      <c r="W44" s="460" t="str">
        <f t="shared" ca="1" si="11"/>
        <v xml:space="preserve"> </v>
      </c>
      <c r="X44" s="460" t="str">
        <f t="shared" ca="1" si="11"/>
        <v>￥</v>
      </c>
      <c r="Y44" s="460" t="str">
        <f t="shared" ca="1" si="11"/>
        <v>2</v>
      </c>
      <c r="Z44" s="460" t="str">
        <f t="shared" ca="1" si="11"/>
        <v>2</v>
      </c>
      <c r="AA44" s="461" t="str">
        <f t="shared" ca="1" si="11"/>
        <v>6</v>
      </c>
      <c r="AB44" s="474" t="str">
        <f t="shared" ca="1" si="11"/>
        <v>5</v>
      </c>
      <c r="AC44" s="475" t="str">
        <f t="shared" ca="1" si="11"/>
        <v>0</v>
      </c>
      <c r="AD44" s="477" t="str">
        <f t="shared" ca="1" si="4"/>
        <v/>
      </c>
      <c r="AE44" s="478">
        <f t="shared" ca="1" si="5"/>
        <v>4797.8900000000003</v>
      </c>
      <c r="AF44" s="459" t="str">
        <f t="shared" ca="1" si="9"/>
        <v xml:space="preserve"> </v>
      </c>
      <c r="AG44" s="460" t="str">
        <f t="shared" ca="1" si="9"/>
        <v xml:space="preserve"> </v>
      </c>
      <c r="AH44" s="460" t="str">
        <f t="shared" ca="1" si="9"/>
        <v xml:space="preserve"> </v>
      </c>
      <c r="AI44" s="460" t="str">
        <f t="shared" ca="1" si="9"/>
        <v xml:space="preserve"> </v>
      </c>
      <c r="AJ44" s="460" t="str">
        <f t="shared" ca="1" si="9"/>
        <v>￥</v>
      </c>
      <c r="AK44" s="460" t="str">
        <f t="shared" ca="1" si="9"/>
        <v>4</v>
      </c>
      <c r="AL44" s="460" t="str">
        <f t="shared" ca="1" si="9"/>
        <v>7</v>
      </c>
      <c r="AM44" s="460" t="str">
        <f t="shared" ca="1" si="9"/>
        <v>9</v>
      </c>
      <c r="AN44" s="461" t="str">
        <f t="shared" ca="1" si="9"/>
        <v>7</v>
      </c>
      <c r="AO44" s="474" t="str">
        <f t="shared" ca="1" si="9"/>
        <v>8</v>
      </c>
      <c r="AP44" s="475" t="str">
        <f t="shared" ca="1" si="9"/>
        <v>9</v>
      </c>
      <c r="AQ44" s="479" t="str">
        <f t="array" aca="1" ref="AQ44" ca="1">IF(ROW()-5&lt;=COUNTIF(科目编号,$AR$2),SMALL(IF(科目编号=$AR$2,ROW(科目编号),""),ROW()-5),"")</f>
        <v/>
      </c>
      <c r="AR44" s="480" t="str">
        <f ca="1">IF($BG$2=0,"",IF(AR43="本月合计","本年累计",IF(OR(ROW()=$AU$3,ROW()=$AV$3,ROW()=$AW$3,ROW()=$AX$3,ROW()=$AY$3,ROW()=$AZ$3,ROW()=$BA$3,ROW()=$BB$3,ROW()=$BC$3,ROW()=$BD$3,ROW()=$BE$3,ROW()=$BF$3),"本月合计",IF(ROW()&lt;7,$AQ$6,OFFSET($AQ$6,COUNT($AR$6:AR43),0)))))</f>
        <v>本月合计</v>
      </c>
    </row>
    <row r="45" spans="1:44">
      <c r="A45" s="469" t="str">
        <f ca="1">IFERROR(INDEX(凭证录入!A:A,$AR45),"")</f>
        <v/>
      </c>
      <c r="B45" s="469" t="str">
        <f ca="1">IFERROR(INDEX(凭证录入!B:B,$AR45),"")</f>
        <v/>
      </c>
      <c r="C45" s="470" t="str">
        <f ca="1">IFERROR(INDEX(凭证录入!G:G,$AR45),"")</f>
        <v/>
      </c>
      <c r="D45" s="471" t="str">
        <f ca="1">IFERROR(INDEX(凭证录入!F:F,$AR45),"")</f>
        <v/>
      </c>
      <c r="E45" s="472" t="str">
        <f ca="1">IFERROR(INDEX(凭证录入!H:H,$AR45),$AR45)</f>
        <v>本年累计</v>
      </c>
      <c r="F45" s="473">
        <f ca="1">IF(OR($BG$2=0,$AR45=""),,IF($AR45="本月合计",IF(ROW()=$BG$3,SUM($F$6:$F44),SUM(INDIRECT("$F$"&amp;OFFSET($AU$3,,MATCH(ROW(),$AU$3:$BF$3,)-2)+2&amp;":$E"&amp;ROW()-1))),IF($AR45="本年累计",SUMIF($AR$6:$AR45,"本月合计",$F$6:$F44),INDEX(凭证录入!K:K,$AR45))))</f>
        <v>4298.12</v>
      </c>
      <c r="G45" s="459" t="str">
        <f t="shared" ca="1" si="10"/>
        <v xml:space="preserve"> </v>
      </c>
      <c r="H45" s="460" t="str">
        <f t="shared" ca="1" si="10"/>
        <v xml:space="preserve"> </v>
      </c>
      <c r="I45" s="460" t="str">
        <f t="shared" ca="1" si="10"/>
        <v xml:space="preserve"> </v>
      </c>
      <c r="J45" s="460" t="str">
        <f t="shared" ca="1" si="10"/>
        <v xml:space="preserve"> </v>
      </c>
      <c r="K45" s="460" t="str">
        <f t="shared" ca="1" si="10"/>
        <v>￥</v>
      </c>
      <c r="L45" s="460" t="str">
        <f t="shared" ca="1" si="10"/>
        <v>4</v>
      </c>
      <c r="M45" s="460" t="str">
        <f t="shared" ca="1" si="10"/>
        <v>2</v>
      </c>
      <c r="N45" s="460" t="str">
        <f t="shared" ca="1" si="10"/>
        <v>9</v>
      </c>
      <c r="O45" s="461" t="str">
        <f t="shared" ca="1" si="10"/>
        <v>8</v>
      </c>
      <c r="P45" s="474" t="str">
        <f t="shared" ca="1" si="10"/>
        <v>1</v>
      </c>
      <c r="Q45" s="475" t="str">
        <f t="shared" ca="1" si="10"/>
        <v>2</v>
      </c>
      <c r="R45" s="476">
        <f ca="1">IF(OR($BG$2=0,$AR45=""),,IF($AR45="本月合计",IF(ROW()=$BG$3,SUM($R$6:$R44),SUM(INDIRECT("$R$"&amp;OFFSET($AU$3,,MATCH(ROW(),$AU$3:$BF$3,)-2)+2&amp;":$R"&amp;ROW()-1))),IF($AR45="本年累计",SUMIF($AR$6:$AR45,"本月合计",$R$6:$R44),INDEX(凭证录入!L:L,$AR45))))</f>
        <v>6395.3</v>
      </c>
      <c r="S45" s="459" t="str">
        <f t="shared" ca="1" si="11"/>
        <v xml:space="preserve"> </v>
      </c>
      <c r="T45" s="460" t="str">
        <f t="shared" ca="1" si="11"/>
        <v xml:space="preserve"> </v>
      </c>
      <c r="U45" s="460" t="str">
        <f t="shared" ca="1" si="11"/>
        <v xml:space="preserve"> </v>
      </c>
      <c r="V45" s="460" t="str">
        <f t="shared" ca="1" si="11"/>
        <v xml:space="preserve"> </v>
      </c>
      <c r="W45" s="460" t="str">
        <f t="shared" ca="1" si="11"/>
        <v>￥</v>
      </c>
      <c r="X45" s="460" t="str">
        <f t="shared" ca="1" si="11"/>
        <v>6</v>
      </c>
      <c r="Y45" s="460" t="str">
        <f t="shared" ca="1" si="11"/>
        <v>3</v>
      </c>
      <c r="Z45" s="460" t="str">
        <f t="shared" ca="1" si="11"/>
        <v>9</v>
      </c>
      <c r="AA45" s="461" t="str">
        <f t="shared" ca="1" si="11"/>
        <v>5</v>
      </c>
      <c r="AB45" s="474" t="str">
        <f t="shared" ca="1" si="11"/>
        <v>3</v>
      </c>
      <c r="AC45" s="475" t="str">
        <f t="shared" ca="1" si="11"/>
        <v>0</v>
      </c>
      <c r="AD45" s="477" t="str">
        <f t="shared" ca="1" si="4"/>
        <v/>
      </c>
      <c r="AE45" s="478">
        <f t="shared" ca="1" si="5"/>
        <v>4797.8900000000003</v>
      </c>
      <c r="AF45" s="459" t="str">
        <f t="shared" ca="1" si="9"/>
        <v xml:space="preserve"> </v>
      </c>
      <c r="AG45" s="460" t="str">
        <f t="shared" ca="1" si="9"/>
        <v xml:space="preserve"> </v>
      </c>
      <c r="AH45" s="460" t="str">
        <f t="shared" ca="1" si="9"/>
        <v xml:space="preserve"> </v>
      </c>
      <c r="AI45" s="460" t="str">
        <f t="shared" ca="1" si="9"/>
        <v xml:space="preserve"> </v>
      </c>
      <c r="AJ45" s="460" t="str">
        <f t="shared" ca="1" si="9"/>
        <v>￥</v>
      </c>
      <c r="AK45" s="460" t="str">
        <f t="shared" ca="1" si="9"/>
        <v>4</v>
      </c>
      <c r="AL45" s="460" t="str">
        <f t="shared" ca="1" si="9"/>
        <v>7</v>
      </c>
      <c r="AM45" s="460" t="str">
        <f t="shared" ca="1" si="9"/>
        <v>9</v>
      </c>
      <c r="AN45" s="461" t="str">
        <f t="shared" ca="1" si="9"/>
        <v>7</v>
      </c>
      <c r="AO45" s="474" t="str">
        <f t="shared" ca="1" si="9"/>
        <v>8</v>
      </c>
      <c r="AP45" s="475" t="str">
        <f t="shared" ca="1" si="9"/>
        <v>9</v>
      </c>
      <c r="AQ45" s="479" t="str">
        <f t="array" aca="1" ref="AQ45" ca="1">IF(ROW()-5&lt;=COUNTIF(科目编号,$AR$2),SMALL(IF(科目编号=$AR$2,ROW(科目编号),""),ROW()-5),"")</f>
        <v/>
      </c>
      <c r="AR45" s="480" t="str">
        <f ca="1">IF($BG$2=0,"",IF(AR44="本月合计","本年累计",IF(OR(ROW()=$AU$3,ROW()=$AV$3,ROW()=$AW$3,ROW()=$AX$3,ROW()=$AY$3,ROW()=$AZ$3,ROW()=$BA$3,ROW()=$BB$3,ROW()=$BC$3,ROW()=$BD$3,ROW()=$BE$3,ROW()=$BF$3),"本月合计",IF(ROW()&lt;7,$AQ$6,OFFSET($AQ$6,COUNT($AR$6:AR44),0)))))</f>
        <v>本年累计</v>
      </c>
    </row>
    <row r="46" spans="1:44">
      <c r="A46" s="469">
        <f ca="1">IFERROR(INDEX(凭证录入!A:A,$AR46),"")</f>
        <v>9</v>
      </c>
      <c r="B46" s="469">
        <f ca="1">IFERROR(INDEX(凭证录入!B:B,$AR46),"")</f>
        <v>8</v>
      </c>
      <c r="C46" s="470" t="str">
        <f ca="1">IFERROR(INDEX(凭证录入!G:G,$AR46),"")</f>
        <v>银付</v>
      </c>
      <c r="D46" s="471">
        <f ca="1">IFERROR(INDEX(凭证录入!F:F,$AR46),"")</f>
        <v>1</v>
      </c>
      <c r="E46" s="472" t="str">
        <f ca="1">IFERROR(INDEX(凭证录入!H:H,$AR46),$AR46)</f>
        <v>支付增值税费</v>
      </c>
      <c r="F46" s="473">
        <f ca="1">IF(OR($BG$2=0,$AR46=""),,IF($AR46="本月合计",IF(ROW()=$BG$3,SUM($F$6:$F45),SUM(INDIRECT("$F$"&amp;OFFSET($AU$3,,MATCH(ROW(),$AU$3:$BF$3,)-2)+2&amp;":$E"&amp;ROW()-1))),IF($AR46="本年累计",SUMIF($AR$6:$AR46,"本月合计",$F$6:$F45),INDEX(凭证录入!K:K,$AR46))))</f>
        <v>0</v>
      </c>
      <c r="G46" s="459" t="str">
        <f t="shared" ca="1" si="10"/>
        <v/>
      </c>
      <c r="H46" s="460" t="str">
        <f t="shared" ca="1" si="10"/>
        <v/>
      </c>
      <c r="I46" s="460" t="str">
        <f t="shared" ca="1" si="10"/>
        <v/>
      </c>
      <c r="J46" s="460" t="str">
        <f t="shared" ca="1" si="10"/>
        <v/>
      </c>
      <c r="K46" s="460" t="str">
        <f t="shared" ca="1" si="10"/>
        <v/>
      </c>
      <c r="L46" s="460" t="str">
        <f t="shared" ca="1" si="10"/>
        <v/>
      </c>
      <c r="M46" s="460" t="str">
        <f t="shared" ca="1" si="10"/>
        <v/>
      </c>
      <c r="N46" s="460" t="str">
        <f t="shared" ca="1" si="10"/>
        <v/>
      </c>
      <c r="O46" s="461" t="str">
        <f t="shared" ca="1" si="10"/>
        <v/>
      </c>
      <c r="P46" s="474" t="str">
        <f t="shared" ca="1" si="10"/>
        <v/>
      </c>
      <c r="Q46" s="475" t="str">
        <f t="shared" ca="1" si="10"/>
        <v/>
      </c>
      <c r="R46" s="476">
        <f ca="1">IF(OR($BG$2=0,$AR46=""),,IF($AR46="本月合计",IF(ROW()=$BG$3,SUM($R$6:$R45),SUM(INDIRECT("$R$"&amp;OFFSET($AU$3,,MATCH(ROW(),$AU$3:$BF$3,)-2)+2&amp;":$R"&amp;ROW()-1))),IF($AR46="本年累计",SUMIF($AR$6:$AR46,"本月合计",$R$6:$R45),INDEX(凭证录入!L:L,$AR46))))</f>
        <v>150</v>
      </c>
      <c r="S46" s="459" t="str">
        <f t="shared" ca="1" si="11"/>
        <v xml:space="preserve"> </v>
      </c>
      <c r="T46" s="460" t="str">
        <f t="shared" ca="1" si="11"/>
        <v xml:space="preserve"> </v>
      </c>
      <c r="U46" s="460" t="str">
        <f t="shared" ca="1" si="11"/>
        <v xml:space="preserve"> </v>
      </c>
      <c r="V46" s="460" t="str">
        <f t="shared" ca="1" si="11"/>
        <v xml:space="preserve"> </v>
      </c>
      <c r="W46" s="460" t="str">
        <f t="shared" ca="1" si="11"/>
        <v xml:space="preserve"> </v>
      </c>
      <c r="X46" s="460" t="str">
        <f t="shared" ca="1" si="11"/>
        <v>￥</v>
      </c>
      <c r="Y46" s="460" t="str">
        <f t="shared" ca="1" si="11"/>
        <v>1</v>
      </c>
      <c r="Z46" s="460" t="str">
        <f t="shared" ca="1" si="11"/>
        <v>5</v>
      </c>
      <c r="AA46" s="461" t="str">
        <f t="shared" ca="1" si="11"/>
        <v>0</v>
      </c>
      <c r="AB46" s="474" t="str">
        <f t="shared" ca="1" si="11"/>
        <v>0</v>
      </c>
      <c r="AC46" s="475" t="str">
        <f t="shared" ca="1" si="11"/>
        <v>0</v>
      </c>
      <c r="AD46" s="477" t="str">
        <f t="shared" ca="1" si="4"/>
        <v>借</v>
      </c>
      <c r="AE46" s="478">
        <f t="shared" ca="1" si="5"/>
        <v>4647.8900000000003</v>
      </c>
      <c r="AF46" s="459" t="str">
        <f t="shared" ca="1" si="9"/>
        <v xml:space="preserve"> </v>
      </c>
      <c r="AG46" s="460" t="str">
        <f t="shared" ca="1" si="9"/>
        <v xml:space="preserve"> </v>
      </c>
      <c r="AH46" s="460" t="str">
        <f t="shared" ca="1" si="9"/>
        <v xml:space="preserve"> </v>
      </c>
      <c r="AI46" s="460" t="str">
        <f t="shared" ca="1" si="9"/>
        <v xml:space="preserve"> </v>
      </c>
      <c r="AJ46" s="460" t="str">
        <f t="shared" ca="1" si="9"/>
        <v>￥</v>
      </c>
      <c r="AK46" s="460" t="str">
        <f t="shared" ca="1" si="9"/>
        <v>4</v>
      </c>
      <c r="AL46" s="460" t="str">
        <f t="shared" ca="1" si="9"/>
        <v>6</v>
      </c>
      <c r="AM46" s="460" t="str">
        <f t="shared" ca="1" si="9"/>
        <v>4</v>
      </c>
      <c r="AN46" s="461" t="str">
        <f t="shared" ca="1" si="9"/>
        <v>7</v>
      </c>
      <c r="AO46" s="474" t="str">
        <f t="shared" ca="1" si="9"/>
        <v>8</v>
      </c>
      <c r="AP46" s="475" t="str">
        <f t="shared" ca="1" si="9"/>
        <v>9</v>
      </c>
      <c r="AQ46" s="479" t="str">
        <f t="array" aca="1" ref="AQ46" ca="1">IF(ROW()-5&lt;=COUNTIF(科目编号,$AR$2),SMALL(IF(科目编号=$AR$2,ROW(科目编号),""),ROW()-5),"")</f>
        <v/>
      </c>
      <c r="AR46" s="480">
        <f ca="1">IF($BG$2=0,"",IF(AR45="本月合计","本年累计",IF(OR(ROW()=$AU$3,ROW()=$AV$3,ROW()=$AW$3,ROW()=$AX$3,ROW()=$AY$3,ROW()=$AZ$3,ROW()=$BA$3,ROW()=$BB$3,ROW()=$BC$3,ROW()=$BD$3,ROW()=$BE$3,ROW()=$BF$3),"本月合计",IF(ROW()&lt;7,$AQ$6,OFFSET($AQ$6,COUNT($AR$6:AR45),0)))))</f>
        <v>132</v>
      </c>
    </row>
    <row r="47" spans="1:44">
      <c r="A47" s="469">
        <f ca="1">IFERROR(INDEX(凭证录入!A:A,$AR47),"")</f>
        <v>9</v>
      </c>
      <c r="B47" s="469">
        <f ca="1">IFERROR(INDEX(凭证录入!B:B,$AR47),"")</f>
        <v>14</v>
      </c>
      <c r="C47" s="470" t="str">
        <f ca="1">IFERROR(INDEX(凭证录入!G:G,$AR47),"")</f>
        <v>银付</v>
      </c>
      <c r="D47" s="471">
        <f ca="1">IFERROR(INDEX(凭证录入!F:F,$AR47),"")</f>
        <v>2</v>
      </c>
      <c r="E47" s="472" t="str">
        <f ca="1">IFERROR(INDEX(凭证录入!H:H,$AR47),$AR47)</f>
        <v>支付8月税费</v>
      </c>
      <c r="F47" s="473">
        <f ca="1">IF(OR($BG$2=0,$AR47=""),,IF($AR47="本月合计",IF(ROW()=$BG$3,SUM($F$6:$F46),SUM(INDIRECT("$F$"&amp;OFFSET($AU$3,,MATCH(ROW(),$AU$3:$BF$3,)-2)+2&amp;":$E"&amp;ROW()-1))),IF($AR47="本年累计",SUMIF($AR$6:$AR47,"本月合计",$F$6:$F46),INDEX(凭证录入!K:K,$AR47))))</f>
        <v>0</v>
      </c>
      <c r="G47" s="459" t="str">
        <f t="shared" ca="1" si="10"/>
        <v/>
      </c>
      <c r="H47" s="460" t="str">
        <f t="shared" ca="1" si="10"/>
        <v/>
      </c>
      <c r="I47" s="460" t="str">
        <f t="shared" ca="1" si="10"/>
        <v/>
      </c>
      <c r="J47" s="460" t="str">
        <f t="shared" ca="1" si="10"/>
        <v/>
      </c>
      <c r="K47" s="460" t="str">
        <f t="shared" ca="1" si="10"/>
        <v/>
      </c>
      <c r="L47" s="460" t="str">
        <f t="shared" ca="1" si="10"/>
        <v/>
      </c>
      <c r="M47" s="460" t="str">
        <f t="shared" ca="1" si="10"/>
        <v/>
      </c>
      <c r="N47" s="460" t="str">
        <f t="shared" ca="1" si="10"/>
        <v/>
      </c>
      <c r="O47" s="461" t="str">
        <f t="shared" ca="1" si="10"/>
        <v/>
      </c>
      <c r="P47" s="474" t="str">
        <f t="shared" ca="1" si="10"/>
        <v/>
      </c>
      <c r="Q47" s="475" t="str">
        <f t="shared" ca="1" si="10"/>
        <v/>
      </c>
      <c r="R47" s="476">
        <f ca="1">IF(OR($BG$2=0,$AR47=""),,IF($AR47="本月合计",IF(ROW()=$BG$3,SUM($R$6:$R46),SUM(INDIRECT("$R$"&amp;OFFSET($AU$3,,MATCH(ROW(),$AU$3:$BF$3,)-2)+2&amp;":$R"&amp;ROW()-1))),IF($AR47="本年累计",SUMIF($AR$6:$AR47,"本月合计",$R$6:$R46),INDEX(凭证录入!L:L,$AR47))))</f>
        <v>16.5</v>
      </c>
      <c r="S47" s="459" t="str">
        <f t="shared" ca="1" si="11"/>
        <v xml:space="preserve"> </v>
      </c>
      <c r="T47" s="460" t="str">
        <f t="shared" ca="1" si="11"/>
        <v xml:space="preserve"> </v>
      </c>
      <c r="U47" s="460" t="str">
        <f t="shared" ca="1" si="11"/>
        <v xml:space="preserve"> </v>
      </c>
      <c r="V47" s="460" t="str">
        <f t="shared" ca="1" si="11"/>
        <v xml:space="preserve"> </v>
      </c>
      <c r="W47" s="460" t="str">
        <f t="shared" ca="1" si="11"/>
        <v xml:space="preserve"> </v>
      </c>
      <c r="X47" s="460" t="str">
        <f t="shared" ca="1" si="11"/>
        <v xml:space="preserve"> </v>
      </c>
      <c r="Y47" s="460" t="str">
        <f t="shared" ca="1" si="11"/>
        <v>￥</v>
      </c>
      <c r="Z47" s="460" t="str">
        <f t="shared" ca="1" si="11"/>
        <v>1</v>
      </c>
      <c r="AA47" s="461" t="str">
        <f t="shared" ca="1" si="11"/>
        <v>6</v>
      </c>
      <c r="AB47" s="474" t="str">
        <f t="shared" ca="1" si="11"/>
        <v>5</v>
      </c>
      <c r="AC47" s="475" t="str">
        <f t="shared" ca="1" si="11"/>
        <v>0</v>
      </c>
      <c r="AD47" s="477" t="str">
        <f t="shared" ca="1" si="4"/>
        <v>借</v>
      </c>
      <c r="AE47" s="478">
        <f t="shared" ca="1" si="5"/>
        <v>4631.3900000000003</v>
      </c>
      <c r="AF47" s="459" t="str">
        <f t="shared" ca="1" si="9"/>
        <v xml:space="preserve"> </v>
      </c>
      <c r="AG47" s="460" t="str">
        <f t="shared" ca="1" si="9"/>
        <v xml:space="preserve"> </v>
      </c>
      <c r="AH47" s="460" t="str">
        <f t="shared" ca="1" si="9"/>
        <v xml:space="preserve"> </v>
      </c>
      <c r="AI47" s="460" t="str">
        <f t="shared" ca="1" si="9"/>
        <v xml:space="preserve"> </v>
      </c>
      <c r="AJ47" s="460" t="str">
        <f t="shared" ca="1" si="9"/>
        <v>￥</v>
      </c>
      <c r="AK47" s="460" t="str">
        <f t="shared" ca="1" si="9"/>
        <v>4</v>
      </c>
      <c r="AL47" s="460" t="str">
        <f t="shared" ca="1" si="9"/>
        <v>6</v>
      </c>
      <c r="AM47" s="460" t="str">
        <f t="shared" ca="1" si="9"/>
        <v>3</v>
      </c>
      <c r="AN47" s="461" t="str">
        <f t="shared" ca="1" si="9"/>
        <v>1</v>
      </c>
      <c r="AO47" s="474" t="str">
        <f t="shared" ca="1" si="9"/>
        <v>3</v>
      </c>
      <c r="AP47" s="475" t="str">
        <f t="shared" ca="1" si="9"/>
        <v>9</v>
      </c>
      <c r="AQ47" s="479" t="str">
        <f t="array" aca="1" ref="AQ47" ca="1">IF(ROW()-5&lt;=COUNTIF(科目编号,$AR$2),SMALL(IF(科目编号=$AR$2,ROW(科目编号),""),ROW()-5),"")</f>
        <v/>
      </c>
      <c r="AR47" s="480">
        <f ca="1">IF($BG$2=0,"",IF(AR46="本月合计","本年累计",IF(OR(ROW()=$AU$3,ROW()=$AV$3,ROW()=$AW$3,ROW()=$AX$3,ROW()=$AY$3,ROW()=$AZ$3,ROW()=$BA$3,ROW()=$BB$3,ROW()=$BC$3,ROW()=$BD$3,ROW()=$BE$3,ROW()=$BF$3),"本月合计",IF(ROW()&lt;7,$AQ$6,OFFSET($AQ$6,COUNT($AR$6:AR46),0)))))</f>
        <v>140</v>
      </c>
    </row>
    <row r="48" spans="1:44">
      <c r="A48" s="469">
        <f ca="1">IFERROR(INDEX(凭证录入!A:A,$AR48),"")</f>
        <v>9</v>
      </c>
      <c r="B48" s="469">
        <f ca="1">IFERROR(INDEX(凭证录入!B:B,$AR48),"")</f>
        <v>21</v>
      </c>
      <c r="C48" s="470" t="str">
        <f ca="1">IFERROR(INDEX(凭证录入!G:G,$AR48),"")</f>
        <v>银收</v>
      </c>
      <c r="D48" s="471">
        <f ca="1">IFERROR(INDEX(凭证录入!F:F,$AR48),"")</f>
        <v>1</v>
      </c>
      <c r="E48" s="472" t="str">
        <f ca="1">IFERROR(INDEX(凭证录入!H:H,$AR48),$AR48)</f>
        <v>收三季度利息</v>
      </c>
      <c r="F48" s="473">
        <f ca="1">IF(OR($BG$2=0,$AR48=""),,IF($AR48="本月合计",IF(ROW()=$BG$3,SUM($F$6:$F47),SUM(INDIRECT("$F$"&amp;OFFSET($AU$3,,MATCH(ROW(),$AU$3:$BF$3,)-2)+2&amp;":$E"&amp;ROW()-1))),IF($AR48="本年累计",SUMIF($AR$6:$AR48,"本月合计",$F$6:$F47),INDEX(凭证录入!K:K,$AR48))))</f>
        <v>1.6</v>
      </c>
      <c r="G48" s="459" t="str">
        <f t="shared" ca="1" si="10"/>
        <v xml:space="preserve"> </v>
      </c>
      <c r="H48" s="460" t="str">
        <f t="shared" ca="1" si="10"/>
        <v xml:space="preserve"> </v>
      </c>
      <c r="I48" s="460" t="str">
        <f t="shared" ca="1" si="10"/>
        <v xml:space="preserve"> </v>
      </c>
      <c r="J48" s="460" t="str">
        <f t="shared" ca="1" si="10"/>
        <v xml:space="preserve"> </v>
      </c>
      <c r="K48" s="460" t="str">
        <f t="shared" ca="1" si="10"/>
        <v xml:space="preserve"> </v>
      </c>
      <c r="L48" s="460" t="str">
        <f t="shared" ca="1" si="10"/>
        <v xml:space="preserve"> </v>
      </c>
      <c r="M48" s="460" t="str">
        <f t="shared" ca="1" si="10"/>
        <v xml:space="preserve"> </v>
      </c>
      <c r="N48" s="460" t="str">
        <f t="shared" ca="1" si="10"/>
        <v>￥</v>
      </c>
      <c r="O48" s="461" t="str">
        <f t="shared" ca="1" si="10"/>
        <v>1</v>
      </c>
      <c r="P48" s="474" t="str">
        <f t="shared" ca="1" si="10"/>
        <v>6</v>
      </c>
      <c r="Q48" s="475" t="str">
        <f t="shared" ca="1" si="10"/>
        <v>0</v>
      </c>
      <c r="R48" s="476">
        <f ca="1">IF(OR($BG$2=0,$AR48=""),,IF($AR48="本月合计",IF(ROW()=$BG$3,SUM($R$6:$R47),SUM(INDIRECT("$R$"&amp;OFFSET($AU$3,,MATCH(ROW(),$AU$3:$BF$3,)-2)+2&amp;":$R"&amp;ROW()-1))),IF($AR48="本年累计",SUMIF($AR$6:$AR48,"本月合计",$R$6:$R47),INDEX(凭证录入!L:L,$AR48))))</f>
        <v>0</v>
      </c>
      <c r="S48" s="459" t="str">
        <f t="shared" ca="1" si="11"/>
        <v/>
      </c>
      <c r="T48" s="460" t="str">
        <f t="shared" ca="1" si="11"/>
        <v/>
      </c>
      <c r="U48" s="460" t="str">
        <f t="shared" ca="1" si="11"/>
        <v/>
      </c>
      <c r="V48" s="460" t="str">
        <f t="shared" ca="1" si="11"/>
        <v/>
      </c>
      <c r="W48" s="460" t="str">
        <f t="shared" ca="1" si="11"/>
        <v/>
      </c>
      <c r="X48" s="460" t="str">
        <f t="shared" ca="1" si="11"/>
        <v/>
      </c>
      <c r="Y48" s="460" t="str">
        <f t="shared" ca="1" si="11"/>
        <v/>
      </c>
      <c r="Z48" s="460" t="str">
        <f t="shared" ca="1" si="11"/>
        <v/>
      </c>
      <c r="AA48" s="461" t="str">
        <f t="shared" ca="1" si="11"/>
        <v/>
      </c>
      <c r="AB48" s="474" t="str">
        <f t="shared" ca="1" si="11"/>
        <v/>
      </c>
      <c r="AC48" s="475" t="str">
        <f t="shared" ca="1" si="11"/>
        <v/>
      </c>
      <c r="AD48" s="477" t="str">
        <f t="shared" ca="1" si="4"/>
        <v>借</v>
      </c>
      <c r="AE48" s="478">
        <f t="shared" ca="1" si="5"/>
        <v>4632.99</v>
      </c>
      <c r="AF48" s="459" t="str">
        <f t="shared" ca="1" si="9"/>
        <v xml:space="preserve"> </v>
      </c>
      <c r="AG48" s="460" t="str">
        <f t="shared" ca="1" si="9"/>
        <v xml:space="preserve"> </v>
      </c>
      <c r="AH48" s="460" t="str">
        <f t="shared" ca="1" si="9"/>
        <v xml:space="preserve"> </v>
      </c>
      <c r="AI48" s="460" t="str">
        <f t="shared" ca="1" si="9"/>
        <v xml:space="preserve"> </v>
      </c>
      <c r="AJ48" s="460" t="str">
        <f t="shared" ca="1" si="9"/>
        <v>￥</v>
      </c>
      <c r="AK48" s="460" t="str">
        <f t="shared" ca="1" si="9"/>
        <v>4</v>
      </c>
      <c r="AL48" s="460" t="str">
        <f t="shared" ca="1" si="9"/>
        <v>6</v>
      </c>
      <c r="AM48" s="460" t="str">
        <f t="shared" ca="1" si="9"/>
        <v>3</v>
      </c>
      <c r="AN48" s="461" t="str">
        <f t="shared" ca="1" si="9"/>
        <v>2</v>
      </c>
      <c r="AO48" s="474" t="str">
        <f t="shared" ca="1" si="9"/>
        <v>9</v>
      </c>
      <c r="AP48" s="475" t="str">
        <f t="shared" ca="1" si="9"/>
        <v>9</v>
      </c>
      <c r="AQ48" s="479" t="str">
        <f t="array" aca="1" ref="AQ48" ca="1">IF(ROW()-5&lt;=COUNTIF(科目编号,$AR$2),SMALL(IF(科目编号=$AR$2,ROW(科目编号),""),ROW()-5),"")</f>
        <v/>
      </c>
      <c r="AR48" s="480">
        <f ca="1">IF($BG$2=0,"",IF(AR47="本月合计","本年累计",IF(OR(ROW()=$AU$3,ROW()=$AV$3,ROW()=$AW$3,ROW()=$AX$3,ROW()=$AY$3,ROW()=$AZ$3,ROW()=$BA$3,ROW()=$BB$3,ROW()=$BC$3,ROW()=$BD$3,ROW()=$BE$3,ROW()=$BF$3),"本月合计",IF(ROW()&lt;7,$AQ$6,OFFSET($AQ$6,COUNT($AR$6:AR47),0)))))</f>
        <v>141</v>
      </c>
    </row>
    <row r="49" spans="1:44">
      <c r="A49" s="469" t="str">
        <f ca="1">IFERROR(INDEX(凭证录入!A:A,$AR49),"")</f>
        <v/>
      </c>
      <c r="B49" s="469" t="str">
        <f ca="1">IFERROR(INDEX(凭证录入!B:B,$AR49),"")</f>
        <v/>
      </c>
      <c r="C49" s="470" t="str">
        <f ca="1">IFERROR(INDEX(凭证录入!G:G,$AR49),"")</f>
        <v/>
      </c>
      <c r="D49" s="471" t="str">
        <f ca="1">IFERROR(INDEX(凭证录入!F:F,$AR49),"")</f>
        <v/>
      </c>
      <c r="E49" s="472" t="str">
        <f ca="1">IFERROR(INDEX(凭证录入!H:H,$AR49),$AR49)</f>
        <v>本月合计</v>
      </c>
      <c r="F49" s="473">
        <f ca="1">IF(OR($BG$2=0,$AR49=""),,IF($AR49="本月合计",IF(ROW()=$BG$3,SUM($F$6:$F48),SUM(INDIRECT("$F$"&amp;OFFSET($AU$3,,MATCH(ROW(),$AU$3:$BF$3,)-2)+2&amp;":$E"&amp;ROW()-1))),IF($AR49="本年累计",SUMIF($AR$6:$AR49,"本月合计",$F$6:$F48),INDEX(凭证录入!K:K,$AR49))))</f>
        <v>1.6</v>
      </c>
      <c r="G49" s="459" t="str">
        <f t="shared" ca="1" si="10"/>
        <v xml:space="preserve"> </v>
      </c>
      <c r="H49" s="460" t="str">
        <f t="shared" ca="1" si="10"/>
        <v xml:space="preserve"> </v>
      </c>
      <c r="I49" s="460" t="str">
        <f t="shared" ca="1" si="10"/>
        <v xml:space="preserve"> </v>
      </c>
      <c r="J49" s="460" t="str">
        <f t="shared" ca="1" si="10"/>
        <v xml:space="preserve"> </v>
      </c>
      <c r="K49" s="460" t="str">
        <f t="shared" ca="1" si="10"/>
        <v xml:space="preserve"> </v>
      </c>
      <c r="L49" s="460" t="str">
        <f t="shared" ca="1" si="10"/>
        <v xml:space="preserve"> </v>
      </c>
      <c r="M49" s="460" t="str">
        <f t="shared" ca="1" si="10"/>
        <v xml:space="preserve"> </v>
      </c>
      <c r="N49" s="460" t="str">
        <f t="shared" ca="1" si="10"/>
        <v>￥</v>
      </c>
      <c r="O49" s="461" t="str">
        <f t="shared" ca="1" si="10"/>
        <v>1</v>
      </c>
      <c r="P49" s="474" t="str">
        <f t="shared" ca="1" si="10"/>
        <v>6</v>
      </c>
      <c r="Q49" s="475" t="str">
        <f t="shared" ca="1" si="10"/>
        <v>0</v>
      </c>
      <c r="R49" s="476">
        <f ca="1">IF(OR($BG$2=0,$AR49=""),,IF($AR49="本月合计",IF(ROW()=$BG$3,SUM($R$6:$R48),SUM(INDIRECT("$R$"&amp;OFFSET($AU$3,,MATCH(ROW(),$AU$3:$BF$3,)-2)+2&amp;":$R"&amp;ROW()-1))),IF($AR49="本年累计",SUMIF($AR$6:$AR49,"本月合计",$R$6:$R48),INDEX(凭证录入!L:L,$AR49))))</f>
        <v>166.5</v>
      </c>
      <c r="S49" s="459" t="str">
        <f t="shared" ca="1" si="11"/>
        <v xml:space="preserve"> </v>
      </c>
      <c r="T49" s="460" t="str">
        <f t="shared" ca="1" si="11"/>
        <v xml:space="preserve"> </v>
      </c>
      <c r="U49" s="460" t="str">
        <f t="shared" ca="1" si="11"/>
        <v xml:space="preserve"> </v>
      </c>
      <c r="V49" s="460" t="str">
        <f t="shared" ca="1" si="11"/>
        <v xml:space="preserve"> </v>
      </c>
      <c r="W49" s="460" t="str">
        <f t="shared" ca="1" si="11"/>
        <v xml:space="preserve"> </v>
      </c>
      <c r="X49" s="460" t="str">
        <f t="shared" ca="1" si="11"/>
        <v>￥</v>
      </c>
      <c r="Y49" s="460" t="str">
        <f t="shared" ca="1" si="11"/>
        <v>1</v>
      </c>
      <c r="Z49" s="460" t="str">
        <f t="shared" ca="1" si="11"/>
        <v>6</v>
      </c>
      <c r="AA49" s="461" t="str">
        <f t="shared" ca="1" si="11"/>
        <v>6</v>
      </c>
      <c r="AB49" s="474" t="str">
        <f t="shared" ca="1" si="11"/>
        <v>5</v>
      </c>
      <c r="AC49" s="475" t="str">
        <f t="shared" ca="1" si="11"/>
        <v>0</v>
      </c>
      <c r="AD49" s="477" t="str">
        <f t="shared" ca="1" si="4"/>
        <v/>
      </c>
      <c r="AE49" s="478">
        <f t="shared" ca="1" si="5"/>
        <v>4632.99</v>
      </c>
      <c r="AF49" s="459" t="str">
        <f t="shared" ca="1" si="9"/>
        <v xml:space="preserve"> </v>
      </c>
      <c r="AG49" s="460" t="str">
        <f t="shared" ca="1" si="9"/>
        <v xml:space="preserve"> </v>
      </c>
      <c r="AH49" s="460" t="str">
        <f t="shared" ca="1" si="9"/>
        <v xml:space="preserve"> </v>
      </c>
      <c r="AI49" s="460" t="str">
        <f t="shared" ca="1" si="9"/>
        <v xml:space="preserve"> </v>
      </c>
      <c r="AJ49" s="460" t="str">
        <f t="shared" ca="1" si="9"/>
        <v>￥</v>
      </c>
      <c r="AK49" s="460" t="str">
        <f t="shared" ca="1" si="9"/>
        <v>4</v>
      </c>
      <c r="AL49" s="460" t="str">
        <f t="shared" ca="1" si="9"/>
        <v>6</v>
      </c>
      <c r="AM49" s="460" t="str">
        <f t="shared" ca="1" si="9"/>
        <v>3</v>
      </c>
      <c r="AN49" s="461" t="str">
        <f t="shared" ca="1" si="9"/>
        <v>2</v>
      </c>
      <c r="AO49" s="474" t="str">
        <f t="shared" ca="1" si="9"/>
        <v>9</v>
      </c>
      <c r="AP49" s="475" t="str">
        <f t="shared" ca="1" si="9"/>
        <v>9</v>
      </c>
      <c r="AQ49" s="479" t="str">
        <f t="array" aca="1" ref="AQ49" ca="1">IF(ROW()-5&lt;=COUNTIF(科目编号,$AR$2),SMALL(IF(科目编号=$AR$2,ROW(科目编号),""),ROW()-5),"")</f>
        <v/>
      </c>
      <c r="AR49" s="480" t="str">
        <f ca="1">IF($BG$2=0,"",IF(AR48="本月合计","本年累计",IF(OR(ROW()=$AU$3,ROW()=$AV$3,ROW()=$AW$3,ROW()=$AX$3,ROW()=$AY$3,ROW()=$AZ$3,ROW()=$BA$3,ROW()=$BB$3,ROW()=$BC$3,ROW()=$BD$3,ROW()=$BE$3,ROW()=$BF$3),"本月合计",IF(ROW()&lt;7,$AQ$6,OFFSET($AQ$6,COUNT($AR$6:AR48),0)))))</f>
        <v>本月合计</v>
      </c>
    </row>
    <row r="50" spans="1:44">
      <c r="A50" s="469" t="str">
        <f ca="1">IFERROR(INDEX(凭证录入!A:A,$AR50),"")</f>
        <v/>
      </c>
      <c r="B50" s="469" t="str">
        <f ca="1">IFERROR(INDEX(凭证录入!B:B,$AR50),"")</f>
        <v/>
      </c>
      <c r="C50" s="470" t="str">
        <f ca="1">IFERROR(INDEX(凭证录入!G:G,$AR50),"")</f>
        <v/>
      </c>
      <c r="D50" s="471" t="str">
        <f ca="1">IFERROR(INDEX(凭证录入!F:F,$AR50),"")</f>
        <v/>
      </c>
      <c r="E50" s="472" t="str">
        <f ca="1">IFERROR(INDEX(凭证录入!H:H,$AR50),$AR50)</f>
        <v>本年累计</v>
      </c>
      <c r="F50" s="473">
        <f ca="1">IF(OR($BG$2=0,$AR50=""),,IF($AR50="本月合计",IF(ROW()=$BG$3,SUM($F$6:$F49),SUM(INDIRECT("$F$"&amp;OFFSET($AU$3,,MATCH(ROW(),$AU$3:$BF$3,)-2)+2&amp;":$E"&amp;ROW()-1))),IF($AR50="本年累计",SUMIF($AR$6:$AR50,"本月合计",$F$6:$F49),INDEX(凭证录入!K:K,$AR50))))</f>
        <v>4299.72</v>
      </c>
      <c r="G50" s="459" t="str">
        <f t="shared" ca="1" si="10"/>
        <v xml:space="preserve"> </v>
      </c>
      <c r="H50" s="460" t="str">
        <f t="shared" ca="1" si="10"/>
        <v xml:space="preserve"> </v>
      </c>
      <c r="I50" s="460" t="str">
        <f t="shared" ca="1" si="10"/>
        <v xml:space="preserve"> </v>
      </c>
      <c r="J50" s="460" t="str">
        <f t="shared" ca="1" si="10"/>
        <v xml:space="preserve"> </v>
      </c>
      <c r="K50" s="460" t="str">
        <f t="shared" ca="1" si="10"/>
        <v>￥</v>
      </c>
      <c r="L50" s="460" t="str">
        <f t="shared" ca="1" si="10"/>
        <v>4</v>
      </c>
      <c r="M50" s="460" t="str">
        <f t="shared" ca="1" si="10"/>
        <v>2</v>
      </c>
      <c r="N50" s="460" t="str">
        <f t="shared" ca="1" si="10"/>
        <v>9</v>
      </c>
      <c r="O50" s="461" t="str">
        <f t="shared" ca="1" si="10"/>
        <v>9</v>
      </c>
      <c r="P50" s="474" t="str">
        <f t="shared" ca="1" si="10"/>
        <v>7</v>
      </c>
      <c r="Q50" s="475" t="str">
        <f t="shared" ca="1" si="10"/>
        <v>2</v>
      </c>
      <c r="R50" s="476">
        <f ca="1">IF(OR($BG$2=0,$AR50=""),,IF($AR50="本月合计",IF(ROW()=$BG$3,SUM($R$6:$R49),SUM(INDIRECT("$R$"&amp;OFFSET($AU$3,,MATCH(ROW(),$AU$3:$BF$3,)-2)+2&amp;":$R"&amp;ROW()-1))),IF($AR50="本年累计",SUMIF($AR$6:$AR50,"本月合计",$R$6:$R49),INDEX(凭证录入!L:L,$AR50))))</f>
        <v>6561.8</v>
      </c>
      <c r="S50" s="459" t="str">
        <f t="shared" ca="1" si="11"/>
        <v xml:space="preserve"> </v>
      </c>
      <c r="T50" s="460" t="str">
        <f t="shared" ca="1" si="11"/>
        <v xml:space="preserve"> </v>
      </c>
      <c r="U50" s="460" t="str">
        <f t="shared" ca="1" si="11"/>
        <v xml:space="preserve"> </v>
      </c>
      <c r="V50" s="460" t="str">
        <f t="shared" ca="1" si="11"/>
        <v xml:space="preserve"> </v>
      </c>
      <c r="W50" s="460" t="str">
        <f t="shared" ca="1" si="11"/>
        <v>￥</v>
      </c>
      <c r="X50" s="460" t="str">
        <f t="shared" ca="1" si="11"/>
        <v>6</v>
      </c>
      <c r="Y50" s="460" t="str">
        <f t="shared" ca="1" si="11"/>
        <v>5</v>
      </c>
      <c r="Z50" s="460" t="str">
        <f t="shared" ca="1" si="11"/>
        <v>6</v>
      </c>
      <c r="AA50" s="461" t="str">
        <f t="shared" ca="1" si="11"/>
        <v>1</v>
      </c>
      <c r="AB50" s="474" t="str">
        <f t="shared" ca="1" si="11"/>
        <v>8</v>
      </c>
      <c r="AC50" s="475" t="str">
        <f t="shared" ca="1" si="11"/>
        <v>0</v>
      </c>
      <c r="AD50" s="477" t="str">
        <f t="shared" ca="1" si="4"/>
        <v/>
      </c>
      <c r="AE50" s="478">
        <f t="shared" ca="1" si="5"/>
        <v>4632.99</v>
      </c>
      <c r="AF50" s="459" t="str">
        <f t="shared" ca="1" si="9"/>
        <v xml:space="preserve"> </v>
      </c>
      <c r="AG50" s="460" t="str">
        <f t="shared" ca="1" si="9"/>
        <v xml:space="preserve"> </v>
      </c>
      <c r="AH50" s="460" t="str">
        <f t="shared" ca="1" si="9"/>
        <v xml:space="preserve"> </v>
      </c>
      <c r="AI50" s="460" t="str">
        <f t="shared" ca="1" si="9"/>
        <v xml:space="preserve"> </v>
      </c>
      <c r="AJ50" s="460" t="str">
        <f t="shared" ca="1" si="9"/>
        <v>￥</v>
      </c>
      <c r="AK50" s="460" t="str">
        <f t="shared" ca="1" si="9"/>
        <v>4</v>
      </c>
      <c r="AL50" s="460" t="str">
        <f t="shared" ca="1" si="9"/>
        <v>6</v>
      </c>
      <c r="AM50" s="460" t="str">
        <f t="shared" ca="1" si="9"/>
        <v>3</v>
      </c>
      <c r="AN50" s="461" t="str">
        <f t="shared" ca="1" si="9"/>
        <v>2</v>
      </c>
      <c r="AO50" s="474" t="str">
        <f t="shared" ca="1" si="9"/>
        <v>9</v>
      </c>
      <c r="AP50" s="475" t="str">
        <f t="shared" ca="1" si="9"/>
        <v>9</v>
      </c>
      <c r="AQ50" s="479" t="str">
        <f t="array" aca="1" ref="AQ50" ca="1">IF(ROW()-5&lt;=COUNTIF(科目编号,$AR$2),SMALL(IF(科目编号=$AR$2,ROW(科目编号),""),ROW()-5),"")</f>
        <v/>
      </c>
      <c r="AR50" s="480" t="str">
        <f ca="1">IF($BG$2=0,"",IF(AR49="本月合计","本年累计",IF(OR(ROW()=$AU$3,ROW()=$AV$3,ROW()=$AW$3,ROW()=$AX$3,ROW()=$AY$3,ROW()=$AZ$3,ROW()=$BA$3,ROW()=$BB$3,ROW()=$BC$3,ROW()=$BD$3,ROW()=$BE$3,ROW()=$BF$3),"本月合计",IF(ROW()&lt;7,$AQ$6,OFFSET($AQ$6,COUNT($AR$6:AR49),0)))))</f>
        <v>本年累计</v>
      </c>
    </row>
    <row r="51" spans="1:44">
      <c r="A51" s="469">
        <f ca="1">IFERROR(INDEX(凭证录入!A:A,$AR51),"")</f>
        <v>10</v>
      </c>
      <c r="B51" s="469">
        <f ca="1">IFERROR(INDEX(凭证录入!B:B,$AR51),"")</f>
        <v>12</v>
      </c>
      <c r="C51" s="470" t="str">
        <f ca="1">IFERROR(INDEX(凭证录入!G:G,$AR51),"")</f>
        <v>银付</v>
      </c>
      <c r="D51" s="471">
        <f ca="1">IFERROR(INDEX(凭证录入!F:F,$AR51),"")</f>
        <v>1</v>
      </c>
      <c r="E51" s="472" t="str">
        <f ca="1">IFERROR(INDEX(凭证录入!H:H,$AR51),$AR51)</f>
        <v>电话银行年费</v>
      </c>
      <c r="F51" s="473">
        <f ca="1">IF(OR($BG$2=0,$AR51=""),,IF($AR51="本月合计",IF(ROW()=$BG$3,SUM($F$6:$F50),SUM(INDIRECT("$F$"&amp;OFFSET($AU$3,,MATCH(ROW(),$AU$3:$BF$3,)-2)+2&amp;":$E"&amp;ROW()-1))),IF($AR51="本年累计",SUMIF($AR$6:$AR51,"本月合计",$F$6:$F50),INDEX(凭证录入!K:K,$AR51))))</f>
        <v>0</v>
      </c>
      <c r="G51" s="459" t="str">
        <f t="shared" ca="1" si="10"/>
        <v/>
      </c>
      <c r="H51" s="460" t="str">
        <f t="shared" ca="1" si="10"/>
        <v/>
      </c>
      <c r="I51" s="460" t="str">
        <f t="shared" ca="1" si="10"/>
        <v/>
      </c>
      <c r="J51" s="460" t="str">
        <f t="shared" ca="1" si="10"/>
        <v/>
      </c>
      <c r="K51" s="460" t="str">
        <f t="shared" ca="1" si="10"/>
        <v/>
      </c>
      <c r="L51" s="460" t="str">
        <f t="shared" ca="1" si="10"/>
        <v/>
      </c>
      <c r="M51" s="460" t="str">
        <f t="shared" ca="1" si="10"/>
        <v/>
      </c>
      <c r="N51" s="460" t="str">
        <f t="shared" ca="1" si="10"/>
        <v/>
      </c>
      <c r="O51" s="461" t="str">
        <f t="shared" ca="1" si="10"/>
        <v/>
      </c>
      <c r="P51" s="474" t="str">
        <f t="shared" ca="1" si="10"/>
        <v/>
      </c>
      <c r="Q51" s="475" t="str">
        <f t="shared" ca="1" si="10"/>
        <v/>
      </c>
      <c r="R51" s="476">
        <f ca="1">IF(OR($BG$2=0,$AR51=""),,IF($AR51="本月合计",IF(ROW()=$BG$3,SUM($R$6:$R50),SUM(INDIRECT("$R$"&amp;OFFSET($AU$3,,MATCH(ROW(),$AU$3:$BF$3,)-2)+2&amp;":$R"&amp;ROW()-1))),IF($AR51="本年累计",SUMIF($AR$6:$AR51,"本月合计",$R$6:$R50),INDEX(凭证录入!L:L,$AR51))))</f>
        <v>37.5</v>
      </c>
      <c r="S51" s="459" t="str">
        <f t="shared" ca="1" si="11"/>
        <v xml:space="preserve"> </v>
      </c>
      <c r="T51" s="460" t="str">
        <f t="shared" ca="1" si="11"/>
        <v xml:space="preserve"> </v>
      </c>
      <c r="U51" s="460" t="str">
        <f t="shared" ca="1" si="11"/>
        <v xml:space="preserve"> </v>
      </c>
      <c r="V51" s="460" t="str">
        <f t="shared" ca="1" si="11"/>
        <v xml:space="preserve"> </v>
      </c>
      <c r="W51" s="460" t="str">
        <f t="shared" ca="1" si="11"/>
        <v xml:space="preserve"> </v>
      </c>
      <c r="X51" s="460" t="str">
        <f t="shared" ca="1" si="11"/>
        <v xml:space="preserve"> </v>
      </c>
      <c r="Y51" s="460" t="str">
        <f t="shared" ca="1" si="11"/>
        <v>￥</v>
      </c>
      <c r="Z51" s="460" t="str">
        <f t="shared" ca="1" si="11"/>
        <v>3</v>
      </c>
      <c r="AA51" s="461" t="str">
        <f t="shared" ca="1" si="11"/>
        <v>7</v>
      </c>
      <c r="AB51" s="474" t="str">
        <f t="shared" ca="1" si="11"/>
        <v>5</v>
      </c>
      <c r="AC51" s="475" t="str">
        <f t="shared" ca="1" si="11"/>
        <v>0</v>
      </c>
      <c r="AD51" s="477" t="str">
        <f t="shared" ca="1" si="4"/>
        <v>借</v>
      </c>
      <c r="AE51" s="478">
        <f t="shared" ca="1" si="5"/>
        <v>4595.49</v>
      </c>
      <c r="AF51" s="459" t="str">
        <f t="shared" ca="1" si="9"/>
        <v xml:space="preserve"> </v>
      </c>
      <c r="AG51" s="460" t="str">
        <f t="shared" ca="1" si="9"/>
        <v xml:space="preserve"> </v>
      </c>
      <c r="AH51" s="460" t="str">
        <f t="shared" ca="1" si="9"/>
        <v xml:space="preserve"> </v>
      </c>
      <c r="AI51" s="460" t="str">
        <f t="shared" ca="1" si="9"/>
        <v xml:space="preserve"> </v>
      </c>
      <c r="AJ51" s="460" t="str">
        <f t="shared" ca="1" si="9"/>
        <v>￥</v>
      </c>
      <c r="AK51" s="460" t="str">
        <f t="shared" ca="1" si="9"/>
        <v>4</v>
      </c>
      <c r="AL51" s="460" t="str">
        <f t="shared" ca="1" si="9"/>
        <v>5</v>
      </c>
      <c r="AM51" s="460" t="str">
        <f t="shared" ca="1" si="9"/>
        <v>9</v>
      </c>
      <c r="AN51" s="461" t="str">
        <f t="shared" ca="1" si="9"/>
        <v>5</v>
      </c>
      <c r="AO51" s="474" t="str">
        <f t="shared" ca="1" si="9"/>
        <v>4</v>
      </c>
      <c r="AP51" s="475" t="str">
        <f t="shared" ca="1" si="9"/>
        <v>9</v>
      </c>
      <c r="AQ51" s="479" t="str">
        <f t="array" aca="1" ref="AQ51" ca="1">IF(ROW()-5&lt;=COUNTIF(科目编号,$AR$2),SMALL(IF(科目编号=$AR$2,ROW(科目编号),""),ROW()-5),"")</f>
        <v/>
      </c>
      <c r="AR51" s="480">
        <f ca="1">IF($BG$2=0,"",IF(AR50="本月合计","本年累计",IF(OR(ROW()=$AU$3,ROW()=$AV$3,ROW()=$AW$3,ROW()=$AX$3,ROW()=$AY$3,ROW()=$AZ$3,ROW()=$BA$3,ROW()=$BB$3,ROW()=$BC$3,ROW()=$BD$3,ROW()=$BE$3,ROW()=$BF$3),"本月合计",IF(ROW()&lt;7,$AQ$6,OFFSET($AQ$6,COUNT($AR$6:AR50),0)))))</f>
        <v>149</v>
      </c>
    </row>
    <row r="52" spans="1:44">
      <c r="A52" s="469" t="str">
        <f ca="1">IFERROR(INDEX(凭证录入!A:A,$AR52),"")</f>
        <v/>
      </c>
      <c r="B52" s="469" t="str">
        <f ca="1">IFERROR(INDEX(凭证录入!B:B,$AR52),"")</f>
        <v/>
      </c>
      <c r="C52" s="470" t="str">
        <f ca="1">IFERROR(INDEX(凭证录入!G:G,$AR52),"")</f>
        <v/>
      </c>
      <c r="D52" s="471" t="str">
        <f ca="1">IFERROR(INDEX(凭证录入!F:F,$AR52),"")</f>
        <v/>
      </c>
      <c r="E52" s="472" t="str">
        <f ca="1">IFERROR(INDEX(凭证录入!H:H,$AR52),$AR52)</f>
        <v>本月合计</v>
      </c>
      <c r="F52" s="473">
        <f ca="1">IF(OR($BG$2=0,$AR52=""),,IF($AR52="本月合计",IF(ROW()=$BG$3,SUM($F$6:$F51),SUM(INDIRECT("$F$"&amp;OFFSET($AU$3,,MATCH(ROW(),$AU$3:$BF$3,)-2)+2&amp;":$E"&amp;ROW()-1))),IF($AR52="本年累计",SUMIF($AR$6:$AR52,"本月合计",$F$6:$F51),INDEX(凭证录入!K:K,$AR52))))</f>
        <v>0</v>
      </c>
      <c r="G52" s="459" t="str">
        <f t="shared" ca="1" si="10"/>
        <v/>
      </c>
      <c r="H52" s="460" t="str">
        <f t="shared" ca="1" si="10"/>
        <v/>
      </c>
      <c r="I52" s="460" t="str">
        <f t="shared" ca="1" si="10"/>
        <v/>
      </c>
      <c r="J52" s="460" t="str">
        <f t="shared" ca="1" si="10"/>
        <v/>
      </c>
      <c r="K52" s="460" t="str">
        <f t="shared" ca="1" si="10"/>
        <v/>
      </c>
      <c r="L52" s="460" t="str">
        <f t="shared" ca="1" si="10"/>
        <v/>
      </c>
      <c r="M52" s="460" t="str">
        <f t="shared" ca="1" si="10"/>
        <v/>
      </c>
      <c r="N52" s="460" t="str">
        <f t="shared" ca="1" si="10"/>
        <v/>
      </c>
      <c r="O52" s="461" t="str">
        <f t="shared" ca="1" si="10"/>
        <v/>
      </c>
      <c r="P52" s="474" t="str">
        <f t="shared" ca="1" si="10"/>
        <v/>
      </c>
      <c r="Q52" s="475" t="str">
        <f t="shared" ca="1" si="10"/>
        <v/>
      </c>
      <c r="R52" s="476">
        <f ca="1">IF(OR($BG$2=0,$AR52=""),,IF($AR52="本月合计",IF(ROW()=$BG$3,SUM($R$6:$R51),SUM(INDIRECT("$R$"&amp;OFFSET($AU$3,,MATCH(ROW(),$AU$3:$BF$3,)-2)+2&amp;":$R"&amp;ROW()-1))),IF($AR52="本年累计",SUMIF($AR$6:$AR52,"本月合计",$R$6:$R51),INDEX(凭证录入!L:L,$AR52))))</f>
        <v>37.5</v>
      </c>
      <c r="S52" s="459" t="str">
        <f t="shared" ca="1" si="11"/>
        <v xml:space="preserve"> </v>
      </c>
      <c r="T52" s="460" t="str">
        <f t="shared" ca="1" si="11"/>
        <v xml:space="preserve"> </v>
      </c>
      <c r="U52" s="460" t="str">
        <f t="shared" ca="1" si="11"/>
        <v xml:space="preserve"> </v>
      </c>
      <c r="V52" s="460" t="str">
        <f t="shared" ca="1" si="11"/>
        <v xml:space="preserve"> </v>
      </c>
      <c r="W52" s="460" t="str">
        <f t="shared" ca="1" si="11"/>
        <v xml:space="preserve"> </v>
      </c>
      <c r="X52" s="460" t="str">
        <f t="shared" ca="1" si="11"/>
        <v xml:space="preserve"> </v>
      </c>
      <c r="Y52" s="460" t="str">
        <f t="shared" ca="1" si="11"/>
        <v>￥</v>
      </c>
      <c r="Z52" s="460" t="str">
        <f t="shared" ca="1" si="11"/>
        <v>3</v>
      </c>
      <c r="AA52" s="461" t="str">
        <f t="shared" ca="1" si="11"/>
        <v>7</v>
      </c>
      <c r="AB52" s="474" t="str">
        <f t="shared" ca="1" si="11"/>
        <v>5</v>
      </c>
      <c r="AC52" s="475" t="str">
        <f t="shared" ca="1" si="11"/>
        <v>0</v>
      </c>
      <c r="AD52" s="477" t="str">
        <f t="shared" ca="1" si="4"/>
        <v/>
      </c>
      <c r="AE52" s="478">
        <f t="shared" ca="1" si="5"/>
        <v>4595.49</v>
      </c>
      <c r="AF52" s="459" t="str">
        <f t="shared" ca="1" si="9"/>
        <v xml:space="preserve"> </v>
      </c>
      <c r="AG52" s="460" t="str">
        <f t="shared" ca="1" si="9"/>
        <v xml:space="preserve"> </v>
      </c>
      <c r="AH52" s="460" t="str">
        <f t="shared" ca="1" si="9"/>
        <v xml:space="preserve"> </v>
      </c>
      <c r="AI52" s="460" t="str">
        <f t="shared" ca="1" si="9"/>
        <v xml:space="preserve"> </v>
      </c>
      <c r="AJ52" s="460" t="str">
        <f t="shared" ca="1" si="9"/>
        <v>￥</v>
      </c>
      <c r="AK52" s="460" t="str">
        <f t="shared" ca="1" si="9"/>
        <v>4</v>
      </c>
      <c r="AL52" s="460" t="str">
        <f t="shared" ca="1" si="9"/>
        <v>5</v>
      </c>
      <c r="AM52" s="460" t="str">
        <f t="shared" ca="1" si="9"/>
        <v>9</v>
      </c>
      <c r="AN52" s="461" t="str">
        <f t="shared" ca="1" si="9"/>
        <v>5</v>
      </c>
      <c r="AO52" s="474" t="str">
        <f t="shared" ca="1" si="9"/>
        <v>4</v>
      </c>
      <c r="AP52" s="475" t="str">
        <f t="shared" ca="1" si="9"/>
        <v>9</v>
      </c>
      <c r="AQ52" s="479" t="str">
        <f t="array" aca="1" ref="AQ52" ca="1">IF(ROW()-5&lt;=COUNTIF(科目编号,$AR$2),SMALL(IF(科目编号=$AR$2,ROW(科目编号),""),ROW()-5),"")</f>
        <v/>
      </c>
      <c r="AR52" s="480" t="str">
        <f ca="1">IF($BG$2=0,"",IF(AR51="本月合计","本年累计",IF(OR(ROW()=$AU$3,ROW()=$AV$3,ROW()=$AW$3,ROW()=$AX$3,ROW()=$AY$3,ROW()=$AZ$3,ROW()=$BA$3,ROW()=$BB$3,ROW()=$BC$3,ROW()=$BD$3,ROW()=$BE$3,ROW()=$BF$3),"本月合计",IF(ROW()&lt;7,$AQ$6,OFFSET($AQ$6,COUNT($AR$6:AR51),0)))))</f>
        <v>本月合计</v>
      </c>
    </row>
    <row r="53" spans="1:44">
      <c r="A53" s="469" t="str">
        <f ca="1">IFERROR(INDEX(凭证录入!A:A,$AR53),"")</f>
        <v/>
      </c>
      <c r="B53" s="469" t="str">
        <f ca="1">IFERROR(INDEX(凭证录入!B:B,$AR53),"")</f>
        <v/>
      </c>
      <c r="C53" s="470" t="str">
        <f ca="1">IFERROR(INDEX(凭证录入!G:G,$AR53),"")</f>
        <v/>
      </c>
      <c r="D53" s="471" t="str">
        <f ca="1">IFERROR(INDEX(凭证录入!F:F,$AR53),"")</f>
        <v/>
      </c>
      <c r="E53" s="472" t="str">
        <f ca="1">IFERROR(INDEX(凭证录入!H:H,$AR53),$AR53)</f>
        <v>本年累计</v>
      </c>
      <c r="F53" s="473">
        <f ca="1">IF(OR($BG$2=0,$AR53=""),,IF($AR53="本月合计",IF(ROW()=$BG$3,SUM($F$6:$F52),SUM(INDIRECT("$F$"&amp;OFFSET($AU$3,,MATCH(ROW(),$AU$3:$BF$3,)-2)+2&amp;":$E"&amp;ROW()-1))),IF($AR53="本年累计",SUMIF($AR$6:$AR53,"本月合计",$F$6:$F52),INDEX(凭证录入!K:K,$AR53))))</f>
        <v>4299.72</v>
      </c>
      <c r="G53" s="459" t="str">
        <f t="shared" ca="1" si="10"/>
        <v xml:space="preserve"> </v>
      </c>
      <c r="H53" s="460" t="str">
        <f t="shared" ca="1" si="10"/>
        <v xml:space="preserve"> </v>
      </c>
      <c r="I53" s="460" t="str">
        <f t="shared" ca="1" si="10"/>
        <v xml:space="preserve"> </v>
      </c>
      <c r="J53" s="460" t="str">
        <f t="shared" ca="1" si="10"/>
        <v xml:space="preserve"> </v>
      </c>
      <c r="K53" s="460" t="str">
        <f t="shared" ca="1" si="10"/>
        <v>￥</v>
      </c>
      <c r="L53" s="460" t="str">
        <f t="shared" ca="1" si="10"/>
        <v>4</v>
      </c>
      <c r="M53" s="460" t="str">
        <f t="shared" ca="1" si="10"/>
        <v>2</v>
      </c>
      <c r="N53" s="460" t="str">
        <f t="shared" ca="1" si="10"/>
        <v>9</v>
      </c>
      <c r="O53" s="461" t="str">
        <f t="shared" ca="1" si="10"/>
        <v>9</v>
      </c>
      <c r="P53" s="474" t="str">
        <f t="shared" ca="1" si="10"/>
        <v>7</v>
      </c>
      <c r="Q53" s="475" t="str">
        <f t="shared" ca="1" si="10"/>
        <v>2</v>
      </c>
      <c r="R53" s="476">
        <f ca="1">IF(OR($BG$2=0,$AR53=""),,IF($AR53="本月合计",IF(ROW()=$BG$3,SUM($R$6:$R52),SUM(INDIRECT("$R$"&amp;OFFSET($AU$3,,MATCH(ROW(),$AU$3:$BF$3,)-2)+2&amp;":$R"&amp;ROW()-1))),IF($AR53="本年累计",SUMIF($AR$6:$AR53,"本月合计",$R$6:$R52),INDEX(凭证录入!L:L,$AR53))))</f>
        <v>6599.3</v>
      </c>
      <c r="S53" s="459" t="str">
        <f t="shared" ca="1" si="11"/>
        <v xml:space="preserve"> </v>
      </c>
      <c r="T53" s="460" t="str">
        <f t="shared" ca="1" si="11"/>
        <v xml:space="preserve"> </v>
      </c>
      <c r="U53" s="460" t="str">
        <f t="shared" ca="1" si="11"/>
        <v xml:space="preserve"> </v>
      </c>
      <c r="V53" s="460" t="str">
        <f t="shared" ca="1" si="11"/>
        <v xml:space="preserve"> </v>
      </c>
      <c r="W53" s="460" t="str">
        <f t="shared" ca="1" si="11"/>
        <v>￥</v>
      </c>
      <c r="X53" s="460" t="str">
        <f t="shared" ca="1" si="11"/>
        <v>6</v>
      </c>
      <c r="Y53" s="460" t="str">
        <f t="shared" ca="1" si="11"/>
        <v>5</v>
      </c>
      <c r="Z53" s="460" t="str">
        <f t="shared" ca="1" si="11"/>
        <v>9</v>
      </c>
      <c r="AA53" s="461" t="str">
        <f t="shared" ca="1" si="11"/>
        <v>9</v>
      </c>
      <c r="AB53" s="474" t="str">
        <f t="shared" ca="1" si="11"/>
        <v>3</v>
      </c>
      <c r="AC53" s="475" t="str">
        <f t="shared" ca="1" si="11"/>
        <v>0</v>
      </c>
      <c r="AD53" s="477" t="str">
        <f t="shared" ca="1" si="4"/>
        <v/>
      </c>
      <c r="AE53" s="478">
        <f t="shared" ca="1" si="5"/>
        <v>4595.49</v>
      </c>
      <c r="AF53" s="459" t="str">
        <f t="shared" ref="AF53:AP68" ca="1" si="12">LEFT(RIGHT(TEXT($AE53/1%," ￥0; ￥-0;"),43-COLUMN()))</f>
        <v xml:space="preserve"> </v>
      </c>
      <c r="AG53" s="460" t="str">
        <f t="shared" ca="1" si="12"/>
        <v xml:space="preserve"> </v>
      </c>
      <c r="AH53" s="460" t="str">
        <f t="shared" ca="1" si="12"/>
        <v xml:space="preserve"> </v>
      </c>
      <c r="AI53" s="460" t="str">
        <f t="shared" ca="1" si="12"/>
        <v xml:space="preserve"> </v>
      </c>
      <c r="AJ53" s="460" t="str">
        <f t="shared" ca="1" si="12"/>
        <v>￥</v>
      </c>
      <c r="AK53" s="460" t="str">
        <f t="shared" ca="1" si="12"/>
        <v>4</v>
      </c>
      <c r="AL53" s="460" t="str">
        <f t="shared" ca="1" si="12"/>
        <v>5</v>
      </c>
      <c r="AM53" s="460" t="str">
        <f t="shared" ca="1" si="12"/>
        <v>9</v>
      </c>
      <c r="AN53" s="461" t="str">
        <f t="shared" ca="1" si="12"/>
        <v>5</v>
      </c>
      <c r="AO53" s="474" t="str">
        <f t="shared" ca="1" si="12"/>
        <v>4</v>
      </c>
      <c r="AP53" s="475" t="str">
        <f t="shared" ca="1" si="12"/>
        <v>9</v>
      </c>
      <c r="AQ53" s="479" t="str">
        <f t="array" aca="1" ref="AQ53" ca="1">IF(ROW()-5&lt;=COUNTIF(科目编号,$AR$2),SMALL(IF(科目编号=$AR$2,ROW(科目编号),""),ROW()-5),"")</f>
        <v/>
      </c>
      <c r="AR53" s="480" t="str">
        <f ca="1">IF($BG$2=0,"",IF(AR52="本月合计","本年累计",IF(OR(ROW()=$AU$3,ROW()=$AV$3,ROW()=$AW$3,ROW()=$AX$3,ROW()=$AY$3,ROW()=$AZ$3,ROW()=$BA$3,ROW()=$BB$3,ROW()=$BC$3,ROW()=$BD$3,ROW()=$BE$3,ROW()=$BF$3),"本月合计",IF(ROW()&lt;7,$AQ$6,OFFSET($AQ$6,COUNT($AR$6:AR52),0)))))</f>
        <v>本年累计</v>
      </c>
    </row>
    <row r="54" spans="1:44">
      <c r="A54" s="469" t="str">
        <f ca="1">IFERROR(INDEX(凭证录入!A:A,$AR54),"")</f>
        <v/>
      </c>
      <c r="B54" s="469" t="str">
        <f ca="1">IFERROR(INDEX(凭证录入!B:B,$AR54),"")</f>
        <v/>
      </c>
      <c r="C54" s="470" t="str">
        <f ca="1">IFERROR(INDEX(凭证录入!G:G,$AR54),"")</f>
        <v/>
      </c>
      <c r="D54" s="471" t="str">
        <f ca="1">IFERROR(INDEX(凭证录入!F:F,$AR54),"")</f>
        <v/>
      </c>
      <c r="E54" s="472" t="str">
        <f ca="1">IFERROR(INDEX(凭证录入!H:H,$AR54),$AR54)</f>
        <v/>
      </c>
      <c r="F54" s="473">
        <f ca="1">IF(OR($BG$2=0,$AR54=""),,IF($AR54="本月合计",IF(ROW()=$BG$3,SUM($F$6:$F53),SUM(INDIRECT("$F$"&amp;OFFSET($AU$3,,MATCH(ROW(),$AU$3:$BF$3,)-2)+2&amp;":$E"&amp;ROW()-1))),IF($AR54="本年累计",SUMIF($AR$6:$AR54,"本月合计",$F$6:$F53),INDEX(凭证录入!K:K,$AR54))))</f>
        <v>0</v>
      </c>
      <c r="G54" s="459" t="str">
        <f t="shared" ref="G54:Q69" ca="1" si="13">LEFT(RIGHT(TEXT($F54/1%," ￥0; ￥-0;"),18-COLUMN()))</f>
        <v/>
      </c>
      <c r="H54" s="460" t="str">
        <f t="shared" ca="1" si="13"/>
        <v/>
      </c>
      <c r="I54" s="460" t="str">
        <f t="shared" ca="1" si="13"/>
        <v/>
      </c>
      <c r="J54" s="460" t="str">
        <f t="shared" ca="1" si="13"/>
        <v/>
      </c>
      <c r="K54" s="460" t="str">
        <f t="shared" ca="1" si="13"/>
        <v/>
      </c>
      <c r="L54" s="460" t="str">
        <f t="shared" ca="1" si="13"/>
        <v/>
      </c>
      <c r="M54" s="460" t="str">
        <f t="shared" ca="1" si="13"/>
        <v/>
      </c>
      <c r="N54" s="460" t="str">
        <f t="shared" ca="1" si="13"/>
        <v/>
      </c>
      <c r="O54" s="461" t="str">
        <f t="shared" ca="1" si="13"/>
        <v/>
      </c>
      <c r="P54" s="474" t="str">
        <f t="shared" ca="1" si="13"/>
        <v/>
      </c>
      <c r="Q54" s="475" t="str">
        <f t="shared" ca="1" si="13"/>
        <v/>
      </c>
      <c r="R54" s="476">
        <f ca="1">IF(OR($BG$2=0,$AR54=""),,IF($AR54="本月合计",IF(ROW()=$BG$3,SUM($R$6:$R53),SUM(INDIRECT("$R$"&amp;OFFSET($AU$3,,MATCH(ROW(),$AU$3:$BF$3,)-2)+2&amp;":$R"&amp;ROW()-1))),IF($AR54="本年累计",SUMIF($AR$6:$AR54,"本月合计",$R$6:$R53),INDEX(凭证录入!L:L,$AR54))))</f>
        <v>0</v>
      </c>
      <c r="S54" s="459" t="str">
        <f t="shared" ref="S54:AC69" ca="1" si="14">LEFT(RIGHT(TEXT($R54/1%," ￥0; ￥-0;"),30-COLUMN()))</f>
        <v/>
      </c>
      <c r="T54" s="460" t="str">
        <f t="shared" ca="1" si="14"/>
        <v/>
      </c>
      <c r="U54" s="460" t="str">
        <f t="shared" ca="1" si="14"/>
        <v/>
      </c>
      <c r="V54" s="460" t="str">
        <f t="shared" ca="1" si="14"/>
        <v/>
      </c>
      <c r="W54" s="460" t="str">
        <f t="shared" ca="1" si="14"/>
        <v/>
      </c>
      <c r="X54" s="460" t="str">
        <f t="shared" ca="1" si="14"/>
        <v/>
      </c>
      <c r="Y54" s="460" t="str">
        <f t="shared" ca="1" si="14"/>
        <v/>
      </c>
      <c r="Z54" s="460" t="str">
        <f t="shared" ca="1" si="14"/>
        <v/>
      </c>
      <c r="AA54" s="461" t="str">
        <f t="shared" ca="1" si="14"/>
        <v/>
      </c>
      <c r="AB54" s="474" t="str">
        <f t="shared" ca="1" si="14"/>
        <v/>
      </c>
      <c r="AC54" s="475" t="str">
        <f t="shared" ca="1" si="14"/>
        <v/>
      </c>
      <c r="AD54" s="477" t="str">
        <f t="shared" ca="1" si="4"/>
        <v/>
      </c>
      <c r="AE54" s="478">
        <f t="shared" ca="1" si="5"/>
        <v>0</v>
      </c>
      <c r="AF54" s="459" t="str">
        <f t="shared" ca="1" si="12"/>
        <v/>
      </c>
      <c r="AG54" s="460" t="str">
        <f t="shared" ca="1" si="12"/>
        <v/>
      </c>
      <c r="AH54" s="460" t="str">
        <f t="shared" ca="1" si="12"/>
        <v/>
      </c>
      <c r="AI54" s="460" t="str">
        <f t="shared" ca="1" si="12"/>
        <v/>
      </c>
      <c r="AJ54" s="460" t="str">
        <f t="shared" ca="1" si="12"/>
        <v/>
      </c>
      <c r="AK54" s="460" t="str">
        <f t="shared" ca="1" si="12"/>
        <v/>
      </c>
      <c r="AL54" s="460" t="str">
        <f t="shared" ca="1" si="12"/>
        <v/>
      </c>
      <c r="AM54" s="460" t="str">
        <f t="shared" ca="1" si="12"/>
        <v/>
      </c>
      <c r="AN54" s="461" t="str">
        <f t="shared" ca="1" si="12"/>
        <v/>
      </c>
      <c r="AO54" s="474" t="str">
        <f t="shared" ca="1" si="12"/>
        <v/>
      </c>
      <c r="AP54" s="475" t="str">
        <f t="shared" ca="1" si="12"/>
        <v/>
      </c>
      <c r="AQ54" s="479" t="str">
        <f t="array" aca="1" ref="AQ54" ca="1">IF(ROW()-5&lt;=COUNTIF(科目编号,$AR$2),SMALL(IF(科目编号=$AR$2,ROW(科目编号),""),ROW()-5),"")</f>
        <v/>
      </c>
      <c r="AR54" s="480" t="str">
        <f ca="1">IF($BG$2=0,"",IF(AR53="本月合计","本年累计",IF(OR(ROW()=$AU$3,ROW()=$AV$3,ROW()=$AW$3,ROW()=$AX$3,ROW()=$AY$3,ROW()=$AZ$3,ROW()=$BA$3,ROW()=$BB$3,ROW()=$BC$3,ROW()=$BD$3,ROW()=$BE$3,ROW()=$BF$3),"本月合计",IF(ROW()&lt;7,$AQ$6,OFFSET($AQ$6,COUNT($AR$6:AR53),0)))))</f>
        <v/>
      </c>
    </row>
    <row r="55" spans="1:44">
      <c r="A55" s="469" t="str">
        <f ca="1">IFERROR(INDEX(凭证录入!A:A,$AR55),"")</f>
        <v/>
      </c>
      <c r="B55" s="469" t="str">
        <f ca="1">IFERROR(INDEX(凭证录入!B:B,$AR55),"")</f>
        <v/>
      </c>
      <c r="C55" s="470" t="str">
        <f ca="1">IFERROR(INDEX(凭证录入!G:G,$AR55),"")</f>
        <v/>
      </c>
      <c r="D55" s="471" t="str">
        <f ca="1">IFERROR(INDEX(凭证录入!F:F,$AR55),"")</f>
        <v/>
      </c>
      <c r="E55" s="472" t="str">
        <f ca="1">IFERROR(INDEX(凭证录入!H:H,$AR55),$AR55)</f>
        <v/>
      </c>
      <c r="F55" s="473">
        <f ca="1">IF(OR($BG$2=0,$AR55=""),,IF($AR55="本月合计",IF(ROW()=$BG$3,SUM($F$6:$F54),SUM(INDIRECT("$F$"&amp;OFFSET($AU$3,,MATCH(ROW(),$AU$3:$BF$3,)-2)+2&amp;":$E"&amp;ROW()-1))),IF($AR55="本年累计",SUMIF($AR$6:$AR55,"本月合计",$F$6:$F54),INDEX(凭证录入!K:K,$AR55))))</f>
        <v>0</v>
      </c>
      <c r="G55" s="459" t="str">
        <f t="shared" ca="1" si="13"/>
        <v/>
      </c>
      <c r="H55" s="460" t="str">
        <f t="shared" ca="1" si="13"/>
        <v/>
      </c>
      <c r="I55" s="460" t="str">
        <f t="shared" ca="1" si="13"/>
        <v/>
      </c>
      <c r="J55" s="460" t="str">
        <f t="shared" ca="1" si="13"/>
        <v/>
      </c>
      <c r="K55" s="460" t="str">
        <f t="shared" ca="1" si="13"/>
        <v/>
      </c>
      <c r="L55" s="460" t="str">
        <f t="shared" ca="1" si="13"/>
        <v/>
      </c>
      <c r="M55" s="460" t="str">
        <f t="shared" ca="1" si="13"/>
        <v/>
      </c>
      <c r="N55" s="460" t="str">
        <f t="shared" ca="1" si="13"/>
        <v/>
      </c>
      <c r="O55" s="461" t="str">
        <f t="shared" ca="1" si="13"/>
        <v/>
      </c>
      <c r="P55" s="474" t="str">
        <f t="shared" ca="1" si="13"/>
        <v/>
      </c>
      <c r="Q55" s="475" t="str">
        <f t="shared" ca="1" si="13"/>
        <v/>
      </c>
      <c r="R55" s="476">
        <f ca="1">IF(OR($BG$2=0,$AR55=""),,IF($AR55="本月合计",IF(ROW()=$BG$3,SUM($R$6:$R54),SUM(INDIRECT("$R$"&amp;OFFSET($AU$3,,MATCH(ROW(),$AU$3:$BF$3,)-2)+2&amp;":$R"&amp;ROW()-1))),IF($AR55="本年累计",SUMIF($AR$6:$AR55,"本月合计",$R$6:$R54),INDEX(凭证录入!L:L,$AR55))))</f>
        <v>0</v>
      </c>
      <c r="S55" s="459" t="str">
        <f t="shared" ca="1" si="14"/>
        <v/>
      </c>
      <c r="T55" s="460" t="str">
        <f t="shared" ca="1" si="14"/>
        <v/>
      </c>
      <c r="U55" s="460" t="str">
        <f t="shared" ca="1" si="14"/>
        <v/>
      </c>
      <c r="V55" s="460" t="str">
        <f t="shared" ca="1" si="14"/>
        <v/>
      </c>
      <c r="W55" s="460" t="str">
        <f t="shared" ca="1" si="14"/>
        <v/>
      </c>
      <c r="X55" s="460" t="str">
        <f t="shared" ca="1" si="14"/>
        <v/>
      </c>
      <c r="Y55" s="460" t="str">
        <f t="shared" ca="1" si="14"/>
        <v/>
      </c>
      <c r="Z55" s="460" t="str">
        <f t="shared" ca="1" si="14"/>
        <v/>
      </c>
      <c r="AA55" s="461" t="str">
        <f t="shared" ca="1" si="14"/>
        <v/>
      </c>
      <c r="AB55" s="474" t="str">
        <f t="shared" ca="1" si="14"/>
        <v/>
      </c>
      <c r="AC55" s="475" t="str">
        <f t="shared" ca="1" si="14"/>
        <v/>
      </c>
      <c r="AD55" s="477" t="str">
        <f t="shared" ca="1" si="4"/>
        <v/>
      </c>
      <c r="AE55" s="478">
        <f t="shared" ca="1" si="5"/>
        <v>0</v>
      </c>
      <c r="AF55" s="459" t="str">
        <f t="shared" ca="1" si="12"/>
        <v/>
      </c>
      <c r="AG55" s="460" t="str">
        <f t="shared" ca="1" si="12"/>
        <v/>
      </c>
      <c r="AH55" s="460" t="str">
        <f t="shared" ca="1" si="12"/>
        <v/>
      </c>
      <c r="AI55" s="460" t="str">
        <f t="shared" ca="1" si="12"/>
        <v/>
      </c>
      <c r="AJ55" s="460" t="str">
        <f t="shared" ca="1" si="12"/>
        <v/>
      </c>
      <c r="AK55" s="460" t="str">
        <f t="shared" ca="1" si="12"/>
        <v/>
      </c>
      <c r="AL55" s="460" t="str">
        <f t="shared" ca="1" si="12"/>
        <v/>
      </c>
      <c r="AM55" s="460" t="str">
        <f t="shared" ca="1" si="12"/>
        <v/>
      </c>
      <c r="AN55" s="461" t="str">
        <f t="shared" ca="1" si="12"/>
        <v/>
      </c>
      <c r="AO55" s="474" t="str">
        <f t="shared" ca="1" si="12"/>
        <v/>
      </c>
      <c r="AP55" s="475" t="str">
        <f t="shared" ca="1" si="12"/>
        <v/>
      </c>
      <c r="AQ55" s="479" t="str">
        <f t="array" aca="1" ref="AQ55" ca="1">IF(ROW()-5&lt;=COUNTIF(科目编号,$AR$2),SMALL(IF(科目编号=$AR$2,ROW(科目编号),""),ROW()-5),"")</f>
        <v/>
      </c>
      <c r="AR55" s="480" t="str">
        <f ca="1">IF($BG$2=0,"",IF(AR54="本月合计","本年累计",IF(OR(ROW()=$AU$3,ROW()=$AV$3,ROW()=$AW$3,ROW()=$AX$3,ROW()=$AY$3,ROW()=$AZ$3,ROW()=$BA$3,ROW()=$BB$3,ROW()=$BC$3,ROW()=$BD$3,ROW()=$BE$3,ROW()=$BF$3),"本月合计",IF(ROW()&lt;7,$AQ$6,OFFSET($AQ$6,COUNT($AR$6:AR54),0)))))</f>
        <v/>
      </c>
    </row>
    <row r="56" spans="1:44">
      <c r="A56" s="469" t="str">
        <f ca="1">IFERROR(INDEX(凭证录入!A:A,$AR56),"")</f>
        <v/>
      </c>
      <c r="B56" s="469" t="str">
        <f ca="1">IFERROR(INDEX(凭证录入!B:B,$AR56),"")</f>
        <v/>
      </c>
      <c r="C56" s="470" t="str">
        <f ca="1">IFERROR(INDEX(凭证录入!G:G,$AR56),"")</f>
        <v/>
      </c>
      <c r="D56" s="471" t="str">
        <f ca="1">IFERROR(INDEX(凭证录入!F:F,$AR56),"")</f>
        <v/>
      </c>
      <c r="E56" s="472" t="str">
        <f ca="1">IFERROR(INDEX(凭证录入!H:H,$AR56),$AR56)</f>
        <v/>
      </c>
      <c r="F56" s="473">
        <f ca="1">IF(OR($BG$2=0,$AR56=""),,IF($AR56="本月合计",IF(ROW()=$BG$3,SUM($F$6:$F55),SUM(INDIRECT("$F$"&amp;OFFSET($AU$3,,MATCH(ROW(),$AU$3:$BF$3,)-2)+2&amp;":$E"&amp;ROW()-1))),IF($AR56="本年累计",SUMIF($AR$6:$AR56,"本月合计",$F$6:$F55),INDEX(凭证录入!K:K,$AR56))))</f>
        <v>0</v>
      </c>
      <c r="G56" s="459" t="str">
        <f t="shared" ca="1" si="13"/>
        <v/>
      </c>
      <c r="H56" s="460" t="str">
        <f t="shared" ca="1" si="13"/>
        <v/>
      </c>
      <c r="I56" s="460" t="str">
        <f t="shared" ca="1" si="13"/>
        <v/>
      </c>
      <c r="J56" s="460" t="str">
        <f t="shared" ca="1" si="13"/>
        <v/>
      </c>
      <c r="K56" s="460" t="str">
        <f t="shared" ca="1" si="13"/>
        <v/>
      </c>
      <c r="L56" s="460" t="str">
        <f t="shared" ca="1" si="13"/>
        <v/>
      </c>
      <c r="M56" s="460" t="str">
        <f t="shared" ca="1" si="13"/>
        <v/>
      </c>
      <c r="N56" s="460" t="str">
        <f t="shared" ca="1" si="13"/>
        <v/>
      </c>
      <c r="O56" s="461" t="str">
        <f t="shared" ca="1" si="13"/>
        <v/>
      </c>
      <c r="P56" s="474" t="str">
        <f t="shared" ca="1" si="13"/>
        <v/>
      </c>
      <c r="Q56" s="475" t="str">
        <f t="shared" ca="1" si="13"/>
        <v/>
      </c>
      <c r="R56" s="476">
        <f ca="1">IF(OR($BG$2=0,$AR56=""),,IF($AR56="本月合计",IF(ROW()=$BG$3,SUM($R$6:$R55),SUM(INDIRECT("$R$"&amp;OFFSET($AU$3,,MATCH(ROW(),$AU$3:$BF$3,)-2)+2&amp;":$R"&amp;ROW()-1))),IF($AR56="本年累计",SUMIF($AR$6:$AR56,"本月合计",$R$6:$R55),INDEX(凭证录入!L:L,$AR56))))</f>
        <v>0</v>
      </c>
      <c r="S56" s="459" t="str">
        <f t="shared" ca="1" si="14"/>
        <v/>
      </c>
      <c r="T56" s="460" t="str">
        <f t="shared" ca="1" si="14"/>
        <v/>
      </c>
      <c r="U56" s="460" t="str">
        <f t="shared" ca="1" si="14"/>
        <v/>
      </c>
      <c r="V56" s="460" t="str">
        <f t="shared" ca="1" si="14"/>
        <v/>
      </c>
      <c r="W56" s="460" t="str">
        <f t="shared" ca="1" si="14"/>
        <v/>
      </c>
      <c r="X56" s="460" t="str">
        <f t="shared" ca="1" si="14"/>
        <v/>
      </c>
      <c r="Y56" s="460" t="str">
        <f t="shared" ca="1" si="14"/>
        <v/>
      </c>
      <c r="Z56" s="460" t="str">
        <f t="shared" ca="1" si="14"/>
        <v/>
      </c>
      <c r="AA56" s="461" t="str">
        <f t="shared" ca="1" si="14"/>
        <v/>
      </c>
      <c r="AB56" s="474" t="str">
        <f t="shared" ca="1" si="14"/>
        <v/>
      </c>
      <c r="AC56" s="475" t="str">
        <f t="shared" ca="1" si="14"/>
        <v/>
      </c>
      <c r="AD56" s="477" t="str">
        <f t="shared" ca="1" si="4"/>
        <v/>
      </c>
      <c r="AE56" s="478">
        <f t="shared" ca="1" si="5"/>
        <v>0</v>
      </c>
      <c r="AF56" s="459" t="str">
        <f t="shared" ca="1" si="12"/>
        <v/>
      </c>
      <c r="AG56" s="460" t="str">
        <f t="shared" ca="1" si="12"/>
        <v/>
      </c>
      <c r="AH56" s="460" t="str">
        <f t="shared" ca="1" si="12"/>
        <v/>
      </c>
      <c r="AI56" s="460" t="str">
        <f t="shared" ca="1" si="12"/>
        <v/>
      </c>
      <c r="AJ56" s="460" t="str">
        <f t="shared" ca="1" si="12"/>
        <v/>
      </c>
      <c r="AK56" s="460" t="str">
        <f t="shared" ca="1" si="12"/>
        <v/>
      </c>
      <c r="AL56" s="460" t="str">
        <f t="shared" ca="1" si="12"/>
        <v/>
      </c>
      <c r="AM56" s="460" t="str">
        <f t="shared" ca="1" si="12"/>
        <v/>
      </c>
      <c r="AN56" s="461" t="str">
        <f t="shared" ca="1" si="12"/>
        <v/>
      </c>
      <c r="AO56" s="474" t="str">
        <f t="shared" ca="1" si="12"/>
        <v/>
      </c>
      <c r="AP56" s="475" t="str">
        <f t="shared" ca="1" si="12"/>
        <v/>
      </c>
      <c r="AQ56" s="479" t="str">
        <f t="array" aca="1" ref="AQ56" ca="1">IF(ROW()-5&lt;=COUNTIF(科目编号,$AR$2),SMALL(IF(科目编号=$AR$2,ROW(科目编号),""),ROW()-5),"")</f>
        <v/>
      </c>
      <c r="AR56" s="480" t="str">
        <f ca="1">IF($BG$2=0,"",IF(AR55="本月合计","本年累计",IF(OR(ROW()=$AU$3,ROW()=$AV$3,ROW()=$AW$3,ROW()=$AX$3,ROW()=$AY$3,ROW()=$AZ$3,ROW()=$BA$3,ROW()=$BB$3,ROW()=$BC$3,ROW()=$BD$3,ROW()=$BE$3,ROW()=$BF$3),"本月合计",IF(ROW()&lt;7,$AQ$6,OFFSET($AQ$6,COUNT($AR$6:AR55),0)))))</f>
        <v/>
      </c>
    </row>
    <row r="57" spans="1:44">
      <c r="A57" s="469" t="str">
        <f ca="1">IFERROR(INDEX(凭证录入!A:A,$AR57),"")</f>
        <v/>
      </c>
      <c r="B57" s="469" t="str">
        <f ca="1">IFERROR(INDEX(凭证录入!B:B,$AR57),"")</f>
        <v/>
      </c>
      <c r="C57" s="470" t="str">
        <f ca="1">IFERROR(INDEX(凭证录入!G:G,$AR57),"")</f>
        <v/>
      </c>
      <c r="D57" s="471" t="str">
        <f ca="1">IFERROR(INDEX(凭证录入!F:F,$AR57),"")</f>
        <v/>
      </c>
      <c r="E57" s="472" t="str">
        <f ca="1">IFERROR(INDEX(凭证录入!H:H,$AR57),$AR57)</f>
        <v/>
      </c>
      <c r="F57" s="473">
        <f ca="1">IF(OR($BG$2=0,$AR57=""),,IF($AR57="本月合计",IF(ROW()=$BG$3,SUM($F$6:$F56),SUM(INDIRECT("$F$"&amp;OFFSET($AU$3,,MATCH(ROW(),$AU$3:$BF$3,)-2)+2&amp;":$E"&amp;ROW()-1))),IF($AR57="本年累计",SUMIF($AR$6:$AR57,"本月合计",$F$6:$F56),INDEX(凭证录入!K:K,$AR57))))</f>
        <v>0</v>
      </c>
      <c r="G57" s="459" t="str">
        <f t="shared" ca="1" si="13"/>
        <v/>
      </c>
      <c r="H57" s="460" t="str">
        <f t="shared" ca="1" si="13"/>
        <v/>
      </c>
      <c r="I57" s="460" t="str">
        <f t="shared" ca="1" si="13"/>
        <v/>
      </c>
      <c r="J57" s="460" t="str">
        <f t="shared" ca="1" si="13"/>
        <v/>
      </c>
      <c r="K57" s="460" t="str">
        <f t="shared" ca="1" si="13"/>
        <v/>
      </c>
      <c r="L57" s="460" t="str">
        <f t="shared" ca="1" si="13"/>
        <v/>
      </c>
      <c r="M57" s="460" t="str">
        <f t="shared" ca="1" si="13"/>
        <v/>
      </c>
      <c r="N57" s="460" t="str">
        <f t="shared" ca="1" si="13"/>
        <v/>
      </c>
      <c r="O57" s="461" t="str">
        <f t="shared" ca="1" si="13"/>
        <v/>
      </c>
      <c r="P57" s="474" t="str">
        <f t="shared" ca="1" si="13"/>
        <v/>
      </c>
      <c r="Q57" s="475" t="str">
        <f t="shared" ca="1" si="13"/>
        <v/>
      </c>
      <c r="R57" s="476">
        <f ca="1">IF(OR($BG$2=0,$AR57=""),,IF($AR57="本月合计",IF(ROW()=$BG$3,SUM($R$6:$R56),SUM(INDIRECT("$R$"&amp;OFFSET($AU$3,,MATCH(ROW(),$AU$3:$BF$3,)-2)+2&amp;":$R"&amp;ROW()-1))),IF($AR57="本年累计",SUMIF($AR$6:$AR57,"本月合计",$R$6:$R56),INDEX(凭证录入!L:L,$AR57))))</f>
        <v>0</v>
      </c>
      <c r="S57" s="459" t="str">
        <f t="shared" ca="1" si="14"/>
        <v/>
      </c>
      <c r="T57" s="460" t="str">
        <f t="shared" ca="1" si="14"/>
        <v/>
      </c>
      <c r="U57" s="460" t="str">
        <f t="shared" ca="1" si="14"/>
        <v/>
      </c>
      <c r="V57" s="460" t="str">
        <f t="shared" ca="1" si="14"/>
        <v/>
      </c>
      <c r="W57" s="460" t="str">
        <f t="shared" ca="1" si="14"/>
        <v/>
      </c>
      <c r="X57" s="460" t="str">
        <f t="shared" ca="1" si="14"/>
        <v/>
      </c>
      <c r="Y57" s="460" t="str">
        <f t="shared" ca="1" si="14"/>
        <v/>
      </c>
      <c r="Z57" s="460" t="str">
        <f t="shared" ca="1" si="14"/>
        <v/>
      </c>
      <c r="AA57" s="461" t="str">
        <f t="shared" ca="1" si="14"/>
        <v/>
      </c>
      <c r="AB57" s="474" t="str">
        <f t="shared" ca="1" si="14"/>
        <v/>
      </c>
      <c r="AC57" s="475" t="str">
        <f t="shared" ca="1" si="14"/>
        <v/>
      </c>
      <c r="AD57" s="477" t="str">
        <f t="shared" ca="1" si="4"/>
        <v/>
      </c>
      <c r="AE57" s="478">
        <f t="shared" ca="1" si="5"/>
        <v>0</v>
      </c>
      <c r="AF57" s="459" t="str">
        <f t="shared" ca="1" si="12"/>
        <v/>
      </c>
      <c r="AG57" s="460" t="str">
        <f t="shared" ca="1" si="12"/>
        <v/>
      </c>
      <c r="AH57" s="460" t="str">
        <f t="shared" ca="1" si="12"/>
        <v/>
      </c>
      <c r="AI57" s="460" t="str">
        <f t="shared" ca="1" si="12"/>
        <v/>
      </c>
      <c r="AJ57" s="460" t="str">
        <f t="shared" ca="1" si="12"/>
        <v/>
      </c>
      <c r="AK57" s="460" t="str">
        <f t="shared" ca="1" si="12"/>
        <v/>
      </c>
      <c r="AL57" s="460" t="str">
        <f t="shared" ca="1" si="12"/>
        <v/>
      </c>
      <c r="AM57" s="460" t="str">
        <f t="shared" ca="1" si="12"/>
        <v/>
      </c>
      <c r="AN57" s="461" t="str">
        <f t="shared" ca="1" si="12"/>
        <v/>
      </c>
      <c r="AO57" s="474" t="str">
        <f t="shared" ca="1" si="12"/>
        <v/>
      </c>
      <c r="AP57" s="475" t="str">
        <f t="shared" ca="1" si="12"/>
        <v/>
      </c>
      <c r="AQ57" s="479" t="str">
        <f t="array" aca="1" ref="AQ57" ca="1">IF(ROW()-5&lt;=COUNTIF(科目编号,$AR$2),SMALL(IF(科目编号=$AR$2,ROW(科目编号),""),ROW()-5),"")</f>
        <v/>
      </c>
      <c r="AR57" s="480" t="str">
        <f ca="1">IF($BG$2=0,"",IF(AR56="本月合计","本年累计",IF(OR(ROW()=$AU$3,ROW()=$AV$3,ROW()=$AW$3,ROW()=$AX$3,ROW()=$AY$3,ROW()=$AZ$3,ROW()=$BA$3,ROW()=$BB$3,ROW()=$BC$3,ROW()=$BD$3,ROW()=$BE$3,ROW()=$BF$3),"本月合计",IF(ROW()&lt;7,$AQ$6,OFFSET($AQ$6,COUNT($AR$6:AR56),0)))))</f>
        <v/>
      </c>
    </row>
    <row r="58" spans="1:44">
      <c r="A58" s="469" t="str">
        <f ca="1">IFERROR(INDEX(凭证录入!A:A,$AR58),"")</f>
        <v/>
      </c>
      <c r="B58" s="469" t="str">
        <f ca="1">IFERROR(INDEX(凭证录入!B:B,$AR58),"")</f>
        <v/>
      </c>
      <c r="C58" s="470" t="str">
        <f ca="1">IFERROR(INDEX(凭证录入!G:G,$AR58),"")</f>
        <v/>
      </c>
      <c r="D58" s="471" t="str">
        <f ca="1">IFERROR(INDEX(凭证录入!F:F,$AR58),"")</f>
        <v/>
      </c>
      <c r="E58" s="472" t="str">
        <f ca="1">IFERROR(INDEX(凭证录入!H:H,$AR58),$AR58)</f>
        <v/>
      </c>
      <c r="F58" s="473">
        <f ca="1">IF(OR($BG$2=0,$AR58=""),,IF($AR58="本月合计",IF(ROW()=$BG$3,SUM($F$6:$F57),SUM(INDIRECT("$F$"&amp;OFFSET($AU$3,,MATCH(ROW(),$AU$3:$BF$3,)-2)+2&amp;":$E"&amp;ROW()-1))),IF($AR58="本年累计",SUMIF($AR$6:$AR58,"本月合计",$F$6:$F57),INDEX(凭证录入!K:K,$AR58))))</f>
        <v>0</v>
      </c>
      <c r="G58" s="459" t="str">
        <f t="shared" ca="1" si="13"/>
        <v/>
      </c>
      <c r="H58" s="460" t="str">
        <f t="shared" ca="1" si="13"/>
        <v/>
      </c>
      <c r="I58" s="460" t="str">
        <f t="shared" ca="1" si="13"/>
        <v/>
      </c>
      <c r="J58" s="460" t="str">
        <f t="shared" ca="1" si="13"/>
        <v/>
      </c>
      <c r="K58" s="460" t="str">
        <f t="shared" ca="1" si="13"/>
        <v/>
      </c>
      <c r="L58" s="460" t="str">
        <f t="shared" ca="1" si="13"/>
        <v/>
      </c>
      <c r="M58" s="460" t="str">
        <f t="shared" ca="1" si="13"/>
        <v/>
      </c>
      <c r="N58" s="460" t="str">
        <f t="shared" ca="1" si="13"/>
        <v/>
      </c>
      <c r="O58" s="461" t="str">
        <f t="shared" ca="1" si="13"/>
        <v/>
      </c>
      <c r="P58" s="474" t="str">
        <f t="shared" ca="1" si="13"/>
        <v/>
      </c>
      <c r="Q58" s="475" t="str">
        <f t="shared" ca="1" si="13"/>
        <v/>
      </c>
      <c r="R58" s="476">
        <f ca="1">IF(OR($BG$2=0,$AR58=""),,IF($AR58="本月合计",IF(ROW()=$BG$3,SUM($R$6:$R57),SUM(INDIRECT("$R$"&amp;OFFSET($AU$3,,MATCH(ROW(),$AU$3:$BF$3,)-2)+2&amp;":$R"&amp;ROW()-1))),IF($AR58="本年累计",SUMIF($AR$6:$AR58,"本月合计",$R$6:$R57),INDEX(凭证录入!L:L,$AR58))))</f>
        <v>0</v>
      </c>
      <c r="S58" s="459" t="str">
        <f t="shared" ca="1" si="14"/>
        <v/>
      </c>
      <c r="T58" s="460" t="str">
        <f t="shared" ca="1" si="14"/>
        <v/>
      </c>
      <c r="U58" s="460" t="str">
        <f t="shared" ca="1" si="14"/>
        <v/>
      </c>
      <c r="V58" s="460" t="str">
        <f t="shared" ca="1" si="14"/>
        <v/>
      </c>
      <c r="W58" s="460" t="str">
        <f t="shared" ca="1" si="14"/>
        <v/>
      </c>
      <c r="X58" s="460" t="str">
        <f t="shared" ca="1" si="14"/>
        <v/>
      </c>
      <c r="Y58" s="460" t="str">
        <f t="shared" ca="1" si="14"/>
        <v/>
      </c>
      <c r="Z58" s="460" t="str">
        <f t="shared" ca="1" si="14"/>
        <v/>
      </c>
      <c r="AA58" s="461" t="str">
        <f t="shared" ca="1" si="14"/>
        <v/>
      </c>
      <c r="AB58" s="474" t="str">
        <f t="shared" ca="1" si="14"/>
        <v/>
      </c>
      <c r="AC58" s="475" t="str">
        <f t="shared" ca="1" si="14"/>
        <v/>
      </c>
      <c r="AD58" s="477" t="str">
        <f t="shared" ca="1" si="4"/>
        <v/>
      </c>
      <c r="AE58" s="478">
        <f t="shared" ca="1" si="5"/>
        <v>0</v>
      </c>
      <c r="AF58" s="459" t="str">
        <f t="shared" ca="1" si="12"/>
        <v/>
      </c>
      <c r="AG58" s="460" t="str">
        <f t="shared" ca="1" si="12"/>
        <v/>
      </c>
      <c r="AH58" s="460" t="str">
        <f t="shared" ca="1" si="12"/>
        <v/>
      </c>
      <c r="AI58" s="460" t="str">
        <f t="shared" ca="1" si="12"/>
        <v/>
      </c>
      <c r="AJ58" s="460" t="str">
        <f t="shared" ca="1" si="12"/>
        <v/>
      </c>
      <c r="AK58" s="460" t="str">
        <f t="shared" ca="1" si="12"/>
        <v/>
      </c>
      <c r="AL58" s="460" t="str">
        <f t="shared" ca="1" si="12"/>
        <v/>
      </c>
      <c r="AM58" s="460" t="str">
        <f t="shared" ca="1" si="12"/>
        <v/>
      </c>
      <c r="AN58" s="461" t="str">
        <f t="shared" ca="1" si="12"/>
        <v/>
      </c>
      <c r="AO58" s="474" t="str">
        <f t="shared" ca="1" si="12"/>
        <v/>
      </c>
      <c r="AP58" s="475" t="str">
        <f t="shared" ca="1" si="12"/>
        <v/>
      </c>
      <c r="AQ58" s="479" t="str">
        <f t="array" aca="1" ref="AQ58" ca="1">IF(ROW()-5&lt;=COUNTIF(科目编号,$AR$2),SMALL(IF(科目编号=$AR$2,ROW(科目编号),""),ROW()-5),"")</f>
        <v/>
      </c>
      <c r="AR58" s="480" t="str">
        <f ca="1">IF($BG$2=0,"",IF(AR57="本月合计","本年累计",IF(OR(ROW()=$AU$3,ROW()=$AV$3,ROW()=$AW$3,ROW()=$AX$3,ROW()=$AY$3,ROW()=$AZ$3,ROW()=$BA$3,ROW()=$BB$3,ROW()=$BC$3,ROW()=$BD$3,ROW()=$BE$3,ROW()=$BF$3),"本月合计",IF(ROW()&lt;7,$AQ$6,OFFSET($AQ$6,COUNT($AR$6:AR57),0)))))</f>
        <v/>
      </c>
    </row>
    <row r="59" spans="1:44">
      <c r="A59" s="469" t="str">
        <f ca="1">IFERROR(INDEX(凭证录入!A:A,$AR59),"")</f>
        <v/>
      </c>
      <c r="B59" s="469" t="str">
        <f ca="1">IFERROR(INDEX(凭证录入!B:B,$AR59),"")</f>
        <v/>
      </c>
      <c r="C59" s="470" t="str">
        <f ca="1">IFERROR(INDEX(凭证录入!G:G,$AR59),"")</f>
        <v/>
      </c>
      <c r="D59" s="471" t="str">
        <f ca="1">IFERROR(INDEX(凭证录入!F:F,$AR59),"")</f>
        <v/>
      </c>
      <c r="E59" s="472" t="str">
        <f ca="1">IFERROR(INDEX(凭证录入!H:H,$AR59),$AR59)</f>
        <v/>
      </c>
      <c r="F59" s="473">
        <f ca="1">IF(OR($BG$2=0,$AR59=""),,IF($AR59="本月合计",IF(ROW()=$BG$3,SUM($F$6:$F58),SUM(INDIRECT("$F$"&amp;OFFSET($AU$3,,MATCH(ROW(),$AU$3:$BF$3,)-2)+2&amp;":$E"&amp;ROW()-1))),IF($AR59="本年累计",SUMIF($AR$6:$AR59,"本月合计",$F$6:$F58),INDEX(凭证录入!K:K,$AR59))))</f>
        <v>0</v>
      </c>
      <c r="G59" s="459" t="str">
        <f t="shared" ca="1" si="13"/>
        <v/>
      </c>
      <c r="H59" s="460" t="str">
        <f t="shared" ca="1" si="13"/>
        <v/>
      </c>
      <c r="I59" s="460" t="str">
        <f t="shared" ca="1" si="13"/>
        <v/>
      </c>
      <c r="J59" s="460" t="str">
        <f t="shared" ca="1" si="13"/>
        <v/>
      </c>
      <c r="K59" s="460" t="str">
        <f t="shared" ca="1" si="13"/>
        <v/>
      </c>
      <c r="L59" s="460" t="str">
        <f t="shared" ca="1" si="13"/>
        <v/>
      </c>
      <c r="M59" s="460" t="str">
        <f t="shared" ca="1" si="13"/>
        <v/>
      </c>
      <c r="N59" s="460" t="str">
        <f t="shared" ca="1" si="13"/>
        <v/>
      </c>
      <c r="O59" s="461" t="str">
        <f t="shared" ca="1" si="13"/>
        <v/>
      </c>
      <c r="P59" s="474" t="str">
        <f t="shared" ca="1" si="13"/>
        <v/>
      </c>
      <c r="Q59" s="475" t="str">
        <f t="shared" ca="1" si="13"/>
        <v/>
      </c>
      <c r="R59" s="476">
        <f ca="1">IF(OR($BG$2=0,$AR59=""),,IF($AR59="本月合计",IF(ROW()=$BG$3,SUM($R$6:$R58),SUM(INDIRECT("$R$"&amp;OFFSET($AU$3,,MATCH(ROW(),$AU$3:$BF$3,)-2)+2&amp;":$R"&amp;ROW()-1))),IF($AR59="本年累计",SUMIF($AR$6:$AR59,"本月合计",$R$6:$R58),INDEX(凭证录入!L:L,$AR59))))</f>
        <v>0</v>
      </c>
      <c r="S59" s="459" t="str">
        <f t="shared" ca="1" si="14"/>
        <v/>
      </c>
      <c r="T59" s="460" t="str">
        <f t="shared" ca="1" si="14"/>
        <v/>
      </c>
      <c r="U59" s="460" t="str">
        <f t="shared" ca="1" si="14"/>
        <v/>
      </c>
      <c r="V59" s="460" t="str">
        <f t="shared" ca="1" si="14"/>
        <v/>
      </c>
      <c r="W59" s="460" t="str">
        <f t="shared" ca="1" si="14"/>
        <v/>
      </c>
      <c r="X59" s="460" t="str">
        <f t="shared" ca="1" si="14"/>
        <v/>
      </c>
      <c r="Y59" s="460" t="str">
        <f t="shared" ca="1" si="14"/>
        <v/>
      </c>
      <c r="Z59" s="460" t="str">
        <f t="shared" ca="1" si="14"/>
        <v/>
      </c>
      <c r="AA59" s="461" t="str">
        <f t="shared" ca="1" si="14"/>
        <v/>
      </c>
      <c r="AB59" s="474" t="str">
        <f t="shared" ca="1" si="14"/>
        <v/>
      </c>
      <c r="AC59" s="475" t="str">
        <f t="shared" ca="1" si="14"/>
        <v/>
      </c>
      <c r="AD59" s="477" t="str">
        <f t="shared" ca="1" si="4"/>
        <v/>
      </c>
      <c r="AE59" s="478">
        <f t="shared" ca="1" si="5"/>
        <v>0</v>
      </c>
      <c r="AF59" s="459" t="str">
        <f t="shared" ca="1" si="12"/>
        <v/>
      </c>
      <c r="AG59" s="460" t="str">
        <f t="shared" ca="1" si="12"/>
        <v/>
      </c>
      <c r="AH59" s="460" t="str">
        <f t="shared" ca="1" si="12"/>
        <v/>
      </c>
      <c r="AI59" s="460" t="str">
        <f t="shared" ca="1" si="12"/>
        <v/>
      </c>
      <c r="AJ59" s="460" t="str">
        <f t="shared" ca="1" si="12"/>
        <v/>
      </c>
      <c r="AK59" s="460" t="str">
        <f t="shared" ca="1" si="12"/>
        <v/>
      </c>
      <c r="AL59" s="460" t="str">
        <f t="shared" ca="1" si="12"/>
        <v/>
      </c>
      <c r="AM59" s="460" t="str">
        <f t="shared" ca="1" si="12"/>
        <v/>
      </c>
      <c r="AN59" s="461" t="str">
        <f t="shared" ca="1" si="12"/>
        <v/>
      </c>
      <c r="AO59" s="474" t="str">
        <f t="shared" ca="1" si="12"/>
        <v/>
      </c>
      <c r="AP59" s="475" t="str">
        <f t="shared" ca="1" si="12"/>
        <v/>
      </c>
      <c r="AQ59" s="479" t="str">
        <f t="array" aca="1" ref="AQ59" ca="1">IF(ROW()-5&lt;=COUNTIF(科目编号,$AR$2),SMALL(IF(科目编号=$AR$2,ROW(科目编号),""),ROW()-5),"")</f>
        <v/>
      </c>
      <c r="AR59" s="480" t="str">
        <f ca="1">IF($BG$2=0,"",IF(AR58="本月合计","本年累计",IF(OR(ROW()=$AU$3,ROW()=$AV$3,ROW()=$AW$3,ROW()=$AX$3,ROW()=$AY$3,ROW()=$AZ$3,ROW()=$BA$3,ROW()=$BB$3,ROW()=$BC$3,ROW()=$BD$3,ROW()=$BE$3,ROW()=$BF$3),"本月合计",IF(ROW()&lt;7,$AQ$6,OFFSET($AQ$6,COUNT($AR$6:AR58),0)))))</f>
        <v/>
      </c>
    </row>
    <row r="60" spans="1:44">
      <c r="A60" s="469" t="str">
        <f ca="1">IFERROR(INDEX(凭证录入!A:A,$AR60),"")</f>
        <v/>
      </c>
      <c r="B60" s="469" t="str">
        <f ca="1">IFERROR(INDEX(凭证录入!B:B,$AR60),"")</f>
        <v/>
      </c>
      <c r="C60" s="470" t="str">
        <f ca="1">IFERROR(INDEX(凭证录入!G:G,$AR60),"")</f>
        <v/>
      </c>
      <c r="D60" s="471" t="str">
        <f ca="1">IFERROR(INDEX(凭证录入!F:F,$AR60),"")</f>
        <v/>
      </c>
      <c r="E60" s="472" t="str">
        <f ca="1">IFERROR(INDEX(凭证录入!H:H,$AR60),$AR60)</f>
        <v/>
      </c>
      <c r="F60" s="473">
        <f ca="1">IF(OR($BG$2=0,$AR60=""),,IF($AR60="本月合计",IF(ROW()=$BG$3,SUM($F$6:$F59),SUM(INDIRECT("$F$"&amp;OFFSET($AU$3,,MATCH(ROW(),$AU$3:$BF$3,)-2)+2&amp;":$E"&amp;ROW()-1))),IF($AR60="本年累计",SUMIF($AR$6:$AR60,"本月合计",$F$6:$F59),INDEX(凭证录入!K:K,$AR60))))</f>
        <v>0</v>
      </c>
      <c r="G60" s="459" t="str">
        <f t="shared" ca="1" si="13"/>
        <v/>
      </c>
      <c r="H60" s="460" t="str">
        <f t="shared" ca="1" si="13"/>
        <v/>
      </c>
      <c r="I60" s="460" t="str">
        <f t="shared" ca="1" si="13"/>
        <v/>
      </c>
      <c r="J60" s="460" t="str">
        <f t="shared" ca="1" si="13"/>
        <v/>
      </c>
      <c r="K60" s="460" t="str">
        <f t="shared" ca="1" si="13"/>
        <v/>
      </c>
      <c r="L60" s="460" t="str">
        <f t="shared" ca="1" si="13"/>
        <v/>
      </c>
      <c r="M60" s="460" t="str">
        <f t="shared" ca="1" si="13"/>
        <v/>
      </c>
      <c r="N60" s="460" t="str">
        <f t="shared" ca="1" si="13"/>
        <v/>
      </c>
      <c r="O60" s="461" t="str">
        <f t="shared" ca="1" si="13"/>
        <v/>
      </c>
      <c r="P60" s="474" t="str">
        <f t="shared" ca="1" si="13"/>
        <v/>
      </c>
      <c r="Q60" s="475" t="str">
        <f t="shared" ca="1" si="13"/>
        <v/>
      </c>
      <c r="R60" s="476">
        <f ca="1">IF(OR($BG$2=0,$AR60=""),,IF($AR60="本月合计",IF(ROW()=$BG$3,SUM($R$6:$R59),SUM(INDIRECT("$R$"&amp;OFFSET($AU$3,,MATCH(ROW(),$AU$3:$BF$3,)-2)+2&amp;":$R"&amp;ROW()-1))),IF($AR60="本年累计",SUMIF($AR$6:$AR60,"本月合计",$R$6:$R59),INDEX(凭证录入!L:L,$AR60))))</f>
        <v>0</v>
      </c>
      <c r="S60" s="459" t="str">
        <f t="shared" ca="1" si="14"/>
        <v/>
      </c>
      <c r="T60" s="460" t="str">
        <f t="shared" ca="1" si="14"/>
        <v/>
      </c>
      <c r="U60" s="460" t="str">
        <f t="shared" ca="1" si="14"/>
        <v/>
      </c>
      <c r="V60" s="460" t="str">
        <f t="shared" ca="1" si="14"/>
        <v/>
      </c>
      <c r="W60" s="460" t="str">
        <f t="shared" ca="1" si="14"/>
        <v/>
      </c>
      <c r="X60" s="460" t="str">
        <f t="shared" ca="1" si="14"/>
        <v/>
      </c>
      <c r="Y60" s="460" t="str">
        <f t="shared" ca="1" si="14"/>
        <v/>
      </c>
      <c r="Z60" s="460" t="str">
        <f t="shared" ca="1" si="14"/>
        <v/>
      </c>
      <c r="AA60" s="461" t="str">
        <f t="shared" ca="1" si="14"/>
        <v/>
      </c>
      <c r="AB60" s="474" t="str">
        <f t="shared" ca="1" si="14"/>
        <v/>
      </c>
      <c r="AC60" s="475" t="str">
        <f t="shared" ca="1" si="14"/>
        <v/>
      </c>
      <c r="AD60" s="477" t="str">
        <f t="shared" ca="1" si="4"/>
        <v/>
      </c>
      <c r="AE60" s="478">
        <f t="shared" ca="1" si="5"/>
        <v>0</v>
      </c>
      <c r="AF60" s="459" t="str">
        <f t="shared" ca="1" si="12"/>
        <v/>
      </c>
      <c r="AG60" s="460" t="str">
        <f t="shared" ca="1" si="12"/>
        <v/>
      </c>
      <c r="AH60" s="460" t="str">
        <f t="shared" ca="1" si="12"/>
        <v/>
      </c>
      <c r="AI60" s="460" t="str">
        <f t="shared" ca="1" si="12"/>
        <v/>
      </c>
      <c r="AJ60" s="460" t="str">
        <f t="shared" ca="1" si="12"/>
        <v/>
      </c>
      <c r="AK60" s="460" t="str">
        <f t="shared" ca="1" si="12"/>
        <v/>
      </c>
      <c r="AL60" s="460" t="str">
        <f t="shared" ca="1" si="12"/>
        <v/>
      </c>
      <c r="AM60" s="460" t="str">
        <f t="shared" ca="1" si="12"/>
        <v/>
      </c>
      <c r="AN60" s="461" t="str">
        <f t="shared" ca="1" si="12"/>
        <v/>
      </c>
      <c r="AO60" s="474" t="str">
        <f t="shared" ca="1" si="12"/>
        <v/>
      </c>
      <c r="AP60" s="475" t="str">
        <f t="shared" ca="1" si="12"/>
        <v/>
      </c>
      <c r="AQ60" s="479" t="str">
        <f t="array" aca="1" ref="AQ60" ca="1">IF(ROW()-5&lt;=COUNTIF(科目编号,$AR$2),SMALL(IF(科目编号=$AR$2,ROW(科目编号),""),ROW()-5),"")</f>
        <v/>
      </c>
      <c r="AR60" s="480" t="str">
        <f ca="1">IF($BG$2=0,"",IF(AR59="本月合计","本年累计",IF(OR(ROW()=$AU$3,ROW()=$AV$3,ROW()=$AW$3,ROW()=$AX$3,ROW()=$AY$3,ROW()=$AZ$3,ROW()=$BA$3,ROW()=$BB$3,ROW()=$BC$3,ROW()=$BD$3,ROW()=$BE$3,ROW()=$BF$3),"本月合计",IF(ROW()&lt;7,$AQ$6,OFFSET($AQ$6,COUNT($AR$6:AR59),0)))))</f>
        <v/>
      </c>
    </row>
    <row r="61" spans="1:44">
      <c r="A61" s="469" t="str">
        <f ca="1">IFERROR(INDEX(凭证录入!A:A,$AR61),"")</f>
        <v/>
      </c>
      <c r="B61" s="469" t="str">
        <f ca="1">IFERROR(INDEX(凭证录入!B:B,$AR61),"")</f>
        <v/>
      </c>
      <c r="C61" s="470" t="str">
        <f ca="1">IFERROR(INDEX(凭证录入!G:G,$AR61),"")</f>
        <v/>
      </c>
      <c r="D61" s="471" t="str">
        <f ca="1">IFERROR(INDEX(凭证录入!F:F,$AR61),"")</f>
        <v/>
      </c>
      <c r="E61" s="472" t="str">
        <f ca="1">IFERROR(INDEX(凭证录入!H:H,$AR61),$AR61)</f>
        <v/>
      </c>
      <c r="F61" s="473">
        <f ca="1">IF(OR($BG$2=0,$AR61=""),,IF($AR61="本月合计",IF(ROW()=$BG$3,SUM($F$6:$F60),SUM(INDIRECT("$F$"&amp;OFFSET($AU$3,,MATCH(ROW(),$AU$3:$BF$3,)-2)+2&amp;":$E"&amp;ROW()-1))),IF($AR61="本年累计",SUMIF($AR$6:$AR61,"本月合计",$F$6:$F60),INDEX(凭证录入!K:K,$AR61))))</f>
        <v>0</v>
      </c>
      <c r="G61" s="459" t="str">
        <f t="shared" ca="1" si="13"/>
        <v/>
      </c>
      <c r="H61" s="460" t="str">
        <f t="shared" ca="1" si="13"/>
        <v/>
      </c>
      <c r="I61" s="460" t="str">
        <f t="shared" ca="1" si="13"/>
        <v/>
      </c>
      <c r="J61" s="460" t="str">
        <f t="shared" ca="1" si="13"/>
        <v/>
      </c>
      <c r="K61" s="460" t="str">
        <f t="shared" ca="1" si="13"/>
        <v/>
      </c>
      <c r="L61" s="460" t="str">
        <f t="shared" ca="1" si="13"/>
        <v/>
      </c>
      <c r="M61" s="460" t="str">
        <f t="shared" ca="1" si="13"/>
        <v/>
      </c>
      <c r="N61" s="460" t="str">
        <f t="shared" ca="1" si="13"/>
        <v/>
      </c>
      <c r="O61" s="461" t="str">
        <f t="shared" ca="1" si="13"/>
        <v/>
      </c>
      <c r="P61" s="474" t="str">
        <f t="shared" ca="1" si="13"/>
        <v/>
      </c>
      <c r="Q61" s="475" t="str">
        <f t="shared" ca="1" si="13"/>
        <v/>
      </c>
      <c r="R61" s="476">
        <f ca="1">IF(OR($BG$2=0,$AR61=""),,IF($AR61="本月合计",IF(ROW()=$BG$3,SUM($R$6:$R60),SUM(INDIRECT("$R$"&amp;OFFSET($AU$3,,MATCH(ROW(),$AU$3:$BF$3,)-2)+2&amp;":$R"&amp;ROW()-1))),IF($AR61="本年累计",SUMIF($AR$6:$AR61,"本月合计",$R$6:$R60),INDEX(凭证录入!L:L,$AR61))))</f>
        <v>0</v>
      </c>
      <c r="S61" s="459" t="str">
        <f t="shared" ca="1" si="14"/>
        <v/>
      </c>
      <c r="T61" s="460" t="str">
        <f t="shared" ca="1" si="14"/>
        <v/>
      </c>
      <c r="U61" s="460" t="str">
        <f t="shared" ca="1" si="14"/>
        <v/>
      </c>
      <c r="V61" s="460" t="str">
        <f t="shared" ca="1" si="14"/>
        <v/>
      </c>
      <c r="W61" s="460" t="str">
        <f t="shared" ca="1" si="14"/>
        <v/>
      </c>
      <c r="X61" s="460" t="str">
        <f t="shared" ca="1" si="14"/>
        <v/>
      </c>
      <c r="Y61" s="460" t="str">
        <f t="shared" ca="1" si="14"/>
        <v/>
      </c>
      <c r="Z61" s="460" t="str">
        <f t="shared" ca="1" si="14"/>
        <v/>
      </c>
      <c r="AA61" s="461" t="str">
        <f t="shared" ca="1" si="14"/>
        <v/>
      </c>
      <c r="AB61" s="474" t="str">
        <f t="shared" ca="1" si="14"/>
        <v/>
      </c>
      <c r="AC61" s="475" t="str">
        <f t="shared" ca="1" si="14"/>
        <v/>
      </c>
      <c r="AD61" s="477" t="str">
        <f t="shared" ca="1" si="4"/>
        <v/>
      </c>
      <c r="AE61" s="478">
        <f t="shared" ca="1" si="5"/>
        <v>0</v>
      </c>
      <c r="AF61" s="459" t="str">
        <f t="shared" ca="1" si="12"/>
        <v/>
      </c>
      <c r="AG61" s="460" t="str">
        <f t="shared" ca="1" si="12"/>
        <v/>
      </c>
      <c r="AH61" s="460" t="str">
        <f t="shared" ca="1" si="12"/>
        <v/>
      </c>
      <c r="AI61" s="460" t="str">
        <f t="shared" ca="1" si="12"/>
        <v/>
      </c>
      <c r="AJ61" s="460" t="str">
        <f t="shared" ca="1" si="12"/>
        <v/>
      </c>
      <c r="AK61" s="460" t="str">
        <f t="shared" ca="1" si="12"/>
        <v/>
      </c>
      <c r="AL61" s="460" t="str">
        <f t="shared" ca="1" si="12"/>
        <v/>
      </c>
      <c r="AM61" s="460" t="str">
        <f t="shared" ca="1" si="12"/>
        <v/>
      </c>
      <c r="AN61" s="461" t="str">
        <f t="shared" ca="1" si="12"/>
        <v/>
      </c>
      <c r="AO61" s="474" t="str">
        <f t="shared" ca="1" si="12"/>
        <v/>
      </c>
      <c r="AP61" s="475" t="str">
        <f t="shared" ca="1" si="12"/>
        <v/>
      </c>
      <c r="AQ61" s="479" t="str">
        <f t="array" aca="1" ref="AQ61" ca="1">IF(ROW()-5&lt;=COUNTIF(科目编号,$AR$2),SMALL(IF(科目编号=$AR$2,ROW(科目编号),""),ROW()-5),"")</f>
        <v/>
      </c>
      <c r="AR61" s="480" t="str">
        <f ca="1">IF($BG$2=0,"",IF(AR60="本月合计","本年累计",IF(OR(ROW()=$AU$3,ROW()=$AV$3,ROW()=$AW$3,ROW()=$AX$3,ROW()=$AY$3,ROW()=$AZ$3,ROW()=$BA$3,ROW()=$BB$3,ROW()=$BC$3,ROW()=$BD$3,ROW()=$BE$3,ROW()=$BF$3),"本月合计",IF(ROW()&lt;7,$AQ$6,OFFSET($AQ$6,COUNT($AR$6:AR60),0)))))</f>
        <v/>
      </c>
    </row>
    <row r="62" spans="1:44">
      <c r="A62" s="469" t="str">
        <f ca="1">IFERROR(INDEX(凭证录入!A:A,$AR62),"")</f>
        <v/>
      </c>
      <c r="B62" s="469" t="str">
        <f ca="1">IFERROR(INDEX(凭证录入!B:B,$AR62),"")</f>
        <v/>
      </c>
      <c r="C62" s="470" t="str">
        <f ca="1">IFERROR(INDEX(凭证录入!G:G,$AR62),"")</f>
        <v/>
      </c>
      <c r="D62" s="471" t="str">
        <f ca="1">IFERROR(INDEX(凭证录入!F:F,$AR62),"")</f>
        <v/>
      </c>
      <c r="E62" s="472" t="str">
        <f ca="1">IFERROR(INDEX(凭证录入!H:H,$AR62),$AR62)</f>
        <v/>
      </c>
      <c r="F62" s="473">
        <f ca="1">IF(OR($BG$2=0,$AR62=""),,IF($AR62="本月合计",IF(ROW()=$BG$3,SUM($F$6:$F61),SUM(INDIRECT("$F$"&amp;OFFSET($AU$3,,MATCH(ROW(),$AU$3:$BF$3,)-2)+2&amp;":$E"&amp;ROW()-1))),IF($AR62="本年累计",SUMIF($AR$6:$AR62,"本月合计",$F$6:$F61),INDEX(凭证录入!K:K,$AR62))))</f>
        <v>0</v>
      </c>
      <c r="G62" s="459" t="str">
        <f t="shared" ca="1" si="13"/>
        <v/>
      </c>
      <c r="H62" s="460" t="str">
        <f t="shared" ca="1" si="13"/>
        <v/>
      </c>
      <c r="I62" s="460" t="str">
        <f t="shared" ca="1" si="13"/>
        <v/>
      </c>
      <c r="J62" s="460" t="str">
        <f t="shared" ca="1" si="13"/>
        <v/>
      </c>
      <c r="K62" s="460" t="str">
        <f t="shared" ca="1" si="13"/>
        <v/>
      </c>
      <c r="L62" s="460" t="str">
        <f t="shared" ca="1" si="13"/>
        <v/>
      </c>
      <c r="M62" s="460" t="str">
        <f t="shared" ca="1" si="13"/>
        <v/>
      </c>
      <c r="N62" s="460" t="str">
        <f t="shared" ca="1" si="13"/>
        <v/>
      </c>
      <c r="O62" s="461" t="str">
        <f t="shared" ca="1" si="13"/>
        <v/>
      </c>
      <c r="P62" s="474" t="str">
        <f t="shared" ca="1" si="13"/>
        <v/>
      </c>
      <c r="Q62" s="475" t="str">
        <f t="shared" ca="1" si="13"/>
        <v/>
      </c>
      <c r="R62" s="476">
        <f ca="1">IF(OR($BG$2=0,$AR62=""),,IF($AR62="本月合计",IF(ROW()=$BG$3,SUM($R$6:$R61),SUM(INDIRECT("$R$"&amp;OFFSET($AU$3,,MATCH(ROW(),$AU$3:$BF$3,)-2)+2&amp;":$R"&amp;ROW()-1))),IF($AR62="本年累计",SUMIF($AR$6:$AR62,"本月合计",$R$6:$R61),INDEX(凭证录入!L:L,$AR62))))</f>
        <v>0</v>
      </c>
      <c r="S62" s="459" t="str">
        <f t="shared" ca="1" si="14"/>
        <v/>
      </c>
      <c r="T62" s="460" t="str">
        <f t="shared" ca="1" si="14"/>
        <v/>
      </c>
      <c r="U62" s="460" t="str">
        <f t="shared" ca="1" si="14"/>
        <v/>
      </c>
      <c r="V62" s="460" t="str">
        <f t="shared" ca="1" si="14"/>
        <v/>
      </c>
      <c r="W62" s="460" t="str">
        <f t="shared" ca="1" si="14"/>
        <v/>
      </c>
      <c r="X62" s="460" t="str">
        <f t="shared" ca="1" si="14"/>
        <v/>
      </c>
      <c r="Y62" s="460" t="str">
        <f t="shared" ca="1" si="14"/>
        <v/>
      </c>
      <c r="Z62" s="460" t="str">
        <f t="shared" ca="1" si="14"/>
        <v/>
      </c>
      <c r="AA62" s="461" t="str">
        <f t="shared" ca="1" si="14"/>
        <v/>
      </c>
      <c r="AB62" s="474" t="str">
        <f t="shared" ca="1" si="14"/>
        <v/>
      </c>
      <c r="AC62" s="475" t="str">
        <f t="shared" ca="1" si="14"/>
        <v/>
      </c>
      <c r="AD62" s="477" t="str">
        <f t="shared" ca="1" si="4"/>
        <v/>
      </c>
      <c r="AE62" s="478">
        <f t="shared" ca="1" si="5"/>
        <v>0</v>
      </c>
      <c r="AF62" s="459" t="str">
        <f t="shared" ca="1" si="12"/>
        <v/>
      </c>
      <c r="AG62" s="460" t="str">
        <f t="shared" ca="1" si="12"/>
        <v/>
      </c>
      <c r="AH62" s="460" t="str">
        <f t="shared" ca="1" si="12"/>
        <v/>
      </c>
      <c r="AI62" s="460" t="str">
        <f t="shared" ca="1" si="12"/>
        <v/>
      </c>
      <c r="AJ62" s="460" t="str">
        <f t="shared" ca="1" si="12"/>
        <v/>
      </c>
      <c r="AK62" s="460" t="str">
        <f t="shared" ca="1" si="12"/>
        <v/>
      </c>
      <c r="AL62" s="460" t="str">
        <f t="shared" ca="1" si="12"/>
        <v/>
      </c>
      <c r="AM62" s="460" t="str">
        <f t="shared" ca="1" si="12"/>
        <v/>
      </c>
      <c r="AN62" s="461" t="str">
        <f t="shared" ca="1" si="12"/>
        <v/>
      </c>
      <c r="AO62" s="474" t="str">
        <f t="shared" ca="1" si="12"/>
        <v/>
      </c>
      <c r="AP62" s="475" t="str">
        <f t="shared" ca="1" si="12"/>
        <v/>
      </c>
      <c r="AQ62" s="479" t="str">
        <f t="array" aca="1" ref="AQ62" ca="1">IF(ROW()-5&lt;=COUNTIF(科目编号,$AR$2),SMALL(IF(科目编号=$AR$2,ROW(科目编号),""),ROW()-5),"")</f>
        <v/>
      </c>
      <c r="AR62" s="480" t="str">
        <f ca="1">IF($BG$2=0,"",IF(AR61="本月合计","本年累计",IF(OR(ROW()=$AU$3,ROW()=$AV$3,ROW()=$AW$3,ROW()=$AX$3,ROW()=$AY$3,ROW()=$AZ$3,ROW()=$BA$3,ROW()=$BB$3,ROW()=$BC$3,ROW()=$BD$3,ROW()=$BE$3,ROW()=$BF$3),"本月合计",IF(ROW()&lt;7,$AQ$6,OFFSET($AQ$6,COUNT($AR$6:AR61),0)))))</f>
        <v/>
      </c>
    </row>
    <row r="63" spans="1:44">
      <c r="A63" s="469" t="str">
        <f ca="1">IFERROR(INDEX(凭证录入!A:A,$AR63),"")</f>
        <v/>
      </c>
      <c r="B63" s="469" t="str">
        <f ca="1">IFERROR(INDEX(凭证录入!B:B,$AR63),"")</f>
        <v/>
      </c>
      <c r="C63" s="470" t="str">
        <f ca="1">IFERROR(INDEX(凭证录入!G:G,$AR63),"")</f>
        <v/>
      </c>
      <c r="D63" s="471" t="str">
        <f ca="1">IFERROR(INDEX(凭证录入!F:F,$AR63),"")</f>
        <v/>
      </c>
      <c r="E63" s="472" t="str">
        <f ca="1">IFERROR(INDEX(凭证录入!H:H,$AR63),$AR63)</f>
        <v/>
      </c>
      <c r="F63" s="473">
        <f ca="1">IF(OR($BG$2=0,$AR63=""),,IF($AR63="本月合计",IF(ROW()=$BG$3,SUM($F$6:$F62),SUM(INDIRECT("$F$"&amp;OFFSET($AU$3,,MATCH(ROW(),$AU$3:$BF$3,)-2)+2&amp;":$E"&amp;ROW()-1))),IF($AR63="本年累计",SUMIF($AR$6:$AR63,"本月合计",$F$6:$F62),INDEX(凭证录入!K:K,$AR63))))</f>
        <v>0</v>
      </c>
      <c r="G63" s="459" t="str">
        <f t="shared" ca="1" si="13"/>
        <v/>
      </c>
      <c r="H63" s="460" t="str">
        <f t="shared" ca="1" si="13"/>
        <v/>
      </c>
      <c r="I63" s="460" t="str">
        <f t="shared" ca="1" si="13"/>
        <v/>
      </c>
      <c r="J63" s="460" t="str">
        <f t="shared" ca="1" si="13"/>
        <v/>
      </c>
      <c r="K63" s="460" t="str">
        <f t="shared" ca="1" si="13"/>
        <v/>
      </c>
      <c r="L63" s="460" t="str">
        <f t="shared" ca="1" si="13"/>
        <v/>
      </c>
      <c r="M63" s="460" t="str">
        <f t="shared" ca="1" si="13"/>
        <v/>
      </c>
      <c r="N63" s="460" t="str">
        <f t="shared" ca="1" si="13"/>
        <v/>
      </c>
      <c r="O63" s="461" t="str">
        <f t="shared" ca="1" si="13"/>
        <v/>
      </c>
      <c r="P63" s="474" t="str">
        <f t="shared" ca="1" si="13"/>
        <v/>
      </c>
      <c r="Q63" s="475" t="str">
        <f t="shared" ca="1" si="13"/>
        <v/>
      </c>
      <c r="R63" s="476">
        <f ca="1">IF(OR($BG$2=0,$AR63=""),,IF($AR63="本月合计",IF(ROW()=$BG$3,SUM($R$6:$R62),SUM(INDIRECT("$R$"&amp;OFFSET($AU$3,,MATCH(ROW(),$AU$3:$BF$3,)-2)+2&amp;":$R"&amp;ROW()-1))),IF($AR63="本年累计",SUMIF($AR$6:$AR63,"本月合计",$R$6:$R62),INDEX(凭证录入!L:L,$AR63))))</f>
        <v>0</v>
      </c>
      <c r="S63" s="459" t="str">
        <f t="shared" ca="1" si="14"/>
        <v/>
      </c>
      <c r="T63" s="460" t="str">
        <f t="shared" ca="1" si="14"/>
        <v/>
      </c>
      <c r="U63" s="460" t="str">
        <f t="shared" ca="1" si="14"/>
        <v/>
      </c>
      <c r="V63" s="460" t="str">
        <f t="shared" ca="1" si="14"/>
        <v/>
      </c>
      <c r="W63" s="460" t="str">
        <f t="shared" ca="1" si="14"/>
        <v/>
      </c>
      <c r="X63" s="460" t="str">
        <f t="shared" ca="1" si="14"/>
        <v/>
      </c>
      <c r="Y63" s="460" t="str">
        <f t="shared" ca="1" si="14"/>
        <v/>
      </c>
      <c r="Z63" s="460" t="str">
        <f t="shared" ca="1" si="14"/>
        <v/>
      </c>
      <c r="AA63" s="461" t="str">
        <f t="shared" ca="1" si="14"/>
        <v/>
      </c>
      <c r="AB63" s="474" t="str">
        <f t="shared" ca="1" si="14"/>
        <v/>
      </c>
      <c r="AC63" s="475" t="str">
        <f t="shared" ca="1" si="14"/>
        <v/>
      </c>
      <c r="AD63" s="477" t="str">
        <f t="shared" ca="1" si="4"/>
        <v/>
      </c>
      <c r="AE63" s="478">
        <f t="shared" ca="1" si="5"/>
        <v>0</v>
      </c>
      <c r="AF63" s="459" t="str">
        <f t="shared" ca="1" si="12"/>
        <v/>
      </c>
      <c r="AG63" s="460" t="str">
        <f t="shared" ca="1" si="12"/>
        <v/>
      </c>
      <c r="AH63" s="460" t="str">
        <f t="shared" ca="1" si="12"/>
        <v/>
      </c>
      <c r="AI63" s="460" t="str">
        <f t="shared" ca="1" si="12"/>
        <v/>
      </c>
      <c r="AJ63" s="460" t="str">
        <f t="shared" ca="1" si="12"/>
        <v/>
      </c>
      <c r="AK63" s="460" t="str">
        <f t="shared" ca="1" si="12"/>
        <v/>
      </c>
      <c r="AL63" s="460" t="str">
        <f t="shared" ca="1" si="12"/>
        <v/>
      </c>
      <c r="AM63" s="460" t="str">
        <f t="shared" ca="1" si="12"/>
        <v/>
      </c>
      <c r="AN63" s="461" t="str">
        <f t="shared" ca="1" si="12"/>
        <v/>
      </c>
      <c r="AO63" s="474" t="str">
        <f t="shared" ca="1" si="12"/>
        <v/>
      </c>
      <c r="AP63" s="475" t="str">
        <f t="shared" ca="1" si="12"/>
        <v/>
      </c>
      <c r="AQ63" s="479" t="str">
        <f t="array" aca="1" ref="AQ63" ca="1">IF(ROW()-5&lt;=COUNTIF(科目编号,$AR$2),SMALL(IF(科目编号=$AR$2,ROW(科目编号),""),ROW()-5),"")</f>
        <v/>
      </c>
      <c r="AR63" s="480" t="str">
        <f ca="1">IF($BG$2=0,"",IF(AR62="本月合计","本年累计",IF(OR(ROW()=$AU$3,ROW()=$AV$3,ROW()=$AW$3,ROW()=$AX$3,ROW()=$AY$3,ROW()=$AZ$3,ROW()=$BA$3,ROW()=$BB$3,ROW()=$BC$3,ROW()=$BD$3,ROW()=$BE$3,ROW()=$BF$3),"本月合计",IF(ROW()&lt;7,$AQ$6,OFFSET($AQ$6,COUNT($AR$6:AR62),0)))))</f>
        <v/>
      </c>
    </row>
    <row r="64" spans="1:44">
      <c r="A64" s="469" t="str">
        <f ca="1">IFERROR(INDEX(凭证录入!A:A,$AR64),"")</f>
        <v/>
      </c>
      <c r="B64" s="469" t="str">
        <f ca="1">IFERROR(INDEX(凭证录入!B:B,$AR64),"")</f>
        <v/>
      </c>
      <c r="C64" s="470" t="str">
        <f ca="1">IFERROR(INDEX(凭证录入!G:G,$AR64),"")</f>
        <v/>
      </c>
      <c r="D64" s="471" t="str">
        <f ca="1">IFERROR(INDEX(凭证录入!F:F,$AR64),"")</f>
        <v/>
      </c>
      <c r="E64" s="472" t="str">
        <f ca="1">IFERROR(INDEX(凭证录入!H:H,$AR64),$AR64)</f>
        <v/>
      </c>
      <c r="F64" s="473">
        <f ca="1">IF(OR($BG$2=0,$AR64=""),,IF($AR64="本月合计",IF(ROW()=$BG$3,SUM($F$6:$F63),SUM(INDIRECT("$F$"&amp;OFFSET($AU$3,,MATCH(ROW(),$AU$3:$BF$3,)-2)+2&amp;":$E"&amp;ROW()-1))),IF($AR64="本年累计",SUMIF($AR$6:$AR64,"本月合计",$F$6:$F63),INDEX(凭证录入!K:K,$AR64))))</f>
        <v>0</v>
      </c>
      <c r="G64" s="459" t="str">
        <f t="shared" ca="1" si="13"/>
        <v/>
      </c>
      <c r="H64" s="460" t="str">
        <f t="shared" ca="1" si="13"/>
        <v/>
      </c>
      <c r="I64" s="460" t="str">
        <f t="shared" ca="1" si="13"/>
        <v/>
      </c>
      <c r="J64" s="460" t="str">
        <f t="shared" ca="1" si="13"/>
        <v/>
      </c>
      <c r="K64" s="460" t="str">
        <f t="shared" ca="1" si="13"/>
        <v/>
      </c>
      <c r="L64" s="460" t="str">
        <f t="shared" ca="1" si="13"/>
        <v/>
      </c>
      <c r="M64" s="460" t="str">
        <f t="shared" ca="1" si="13"/>
        <v/>
      </c>
      <c r="N64" s="460" t="str">
        <f t="shared" ca="1" si="13"/>
        <v/>
      </c>
      <c r="O64" s="461" t="str">
        <f t="shared" ca="1" si="13"/>
        <v/>
      </c>
      <c r="P64" s="474" t="str">
        <f t="shared" ca="1" si="13"/>
        <v/>
      </c>
      <c r="Q64" s="475" t="str">
        <f t="shared" ca="1" si="13"/>
        <v/>
      </c>
      <c r="R64" s="476">
        <f ca="1">IF(OR($BG$2=0,$AR64=""),,IF($AR64="本月合计",IF(ROW()=$BG$3,SUM($R$6:$R63),SUM(INDIRECT("$R$"&amp;OFFSET($AU$3,,MATCH(ROW(),$AU$3:$BF$3,)-2)+2&amp;":$R"&amp;ROW()-1))),IF($AR64="本年累计",SUMIF($AR$6:$AR64,"本月合计",$R$6:$R63),INDEX(凭证录入!L:L,$AR64))))</f>
        <v>0</v>
      </c>
      <c r="S64" s="459" t="str">
        <f t="shared" ca="1" si="14"/>
        <v/>
      </c>
      <c r="T64" s="460" t="str">
        <f t="shared" ca="1" si="14"/>
        <v/>
      </c>
      <c r="U64" s="460" t="str">
        <f t="shared" ca="1" si="14"/>
        <v/>
      </c>
      <c r="V64" s="460" t="str">
        <f t="shared" ca="1" si="14"/>
        <v/>
      </c>
      <c r="W64" s="460" t="str">
        <f t="shared" ca="1" si="14"/>
        <v/>
      </c>
      <c r="X64" s="460" t="str">
        <f t="shared" ca="1" si="14"/>
        <v/>
      </c>
      <c r="Y64" s="460" t="str">
        <f t="shared" ca="1" si="14"/>
        <v/>
      </c>
      <c r="Z64" s="460" t="str">
        <f t="shared" ca="1" si="14"/>
        <v/>
      </c>
      <c r="AA64" s="461" t="str">
        <f t="shared" ca="1" si="14"/>
        <v/>
      </c>
      <c r="AB64" s="474" t="str">
        <f t="shared" ca="1" si="14"/>
        <v/>
      </c>
      <c r="AC64" s="475" t="str">
        <f t="shared" ca="1" si="14"/>
        <v/>
      </c>
      <c r="AD64" s="477" t="str">
        <f t="shared" ca="1" si="4"/>
        <v/>
      </c>
      <c r="AE64" s="478">
        <f t="shared" ca="1" si="5"/>
        <v>0</v>
      </c>
      <c r="AF64" s="459" t="str">
        <f t="shared" ca="1" si="12"/>
        <v/>
      </c>
      <c r="AG64" s="460" t="str">
        <f t="shared" ca="1" si="12"/>
        <v/>
      </c>
      <c r="AH64" s="460" t="str">
        <f t="shared" ca="1" si="12"/>
        <v/>
      </c>
      <c r="AI64" s="460" t="str">
        <f t="shared" ca="1" si="12"/>
        <v/>
      </c>
      <c r="AJ64" s="460" t="str">
        <f t="shared" ca="1" si="12"/>
        <v/>
      </c>
      <c r="AK64" s="460" t="str">
        <f t="shared" ca="1" si="12"/>
        <v/>
      </c>
      <c r="AL64" s="460" t="str">
        <f t="shared" ca="1" si="12"/>
        <v/>
      </c>
      <c r="AM64" s="460" t="str">
        <f t="shared" ca="1" si="12"/>
        <v/>
      </c>
      <c r="AN64" s="461" t="str">
        <f t="shared" ca="1" si="12"/>
        <v/>
      </c>
      <c r="AO64" s="474" t="str">
        <f t="shared" ca="1" si="12"/>
        <v/>
      </c>
      <c r="AP64" s="475" t="str">
        <f t="shared" ca="1" si="12"/>
        <v/>
      </c>
      <c r="AQ64" s="479" t="str">
        <f t="array" aca="1" ref="AQ64" ca="1">IF(ROW()-5&lt;=COUNTIF(科目编号,$AR$2),SMALL(IF(科目编号=$AR$2,ROW(科目编号),""),ROW()-5),"")</f>
        <v/>
      </c>
      <c r="AR64" s="480" t="str">
        <f ca="1">IF($BG$2=0,"",IF(AR63="本月合计","本年累计",IF(OR(ROW()=$AU$3,ROW()=$AV$3,ROW()=$AW$3,ROW()=$AX$3,ROW()=$AY$3,ROW()=$AZ$3,ROW()=$BA$3,ROW()=$BB$3,ROW()=$BC$3,ROW()=$BD$3,ROW()=$BE$3,ROW()=$BF$3),"本月合计",IF(ROW()&lt;7,$AQ$6,OFFSET($AQ$6,COUNT($AR$6:AR63),0)))))</f>
        <v/>
      </c>
    </row>
    <row r="65" spans="1:44">
      <c r="A65" s="469" t="str">
        <f ca="1">IFERROR(INDEX(凭证录入!A:A,$AR65),"")</f>
        <v/>
      </c>
      <c r="B65" s="469" t="str">
        <f ca="1">IFERROR(INDEX(凭证录入!B:B,$AR65),"")</f>
        <v/>
      </c>
      <c r="C65" s="470" t="str">
        <f ca="1">IFERROR(INDEX(凭证录入!G:G,$AR65),"")</f>
        <v/>
      </c>
      <c r="D65" s="471" t="str">
        <f ca="1">IFERROR(INDEX(凭证录入!F:F,$AR65),"")</f>
        <v/>
      </c>
      <c r="E65" s="472" t="str">
        <f ca="1">IFERROR(INDEX(凭证录入!H:H,$AR65),$AR65)</f>
        <v/>
      </c>
      <c r="F65" s="473">
        <f ca="1">IF(OR($BG$2=0,$AR65=""),,IF($AR65="本月合计",IF(ROW()=$BG$3,SUM($F$6:$F64),SUM(INDIRECT("$F$"&amp;OFFSET($AU$3,,MATCH(ROW(),$AU$3:$BF$3,)-2)+2&amp;":$E"&amp;ROW()-1))),IF($AR65="本年累计",SUMIF($AR$6:$AR65,"本月合计",$F$6:$F64),INDEX(凭证录入!K:K,$AR65))))</f>
        <v>0</v>
      </c>
      <c r="G65" s="459" t="str">
        <f t="shared" ca="1" si="13"/>
        <v/>
      </c>
      <c r="H65" s="460" t="str">
        <f t="shared" ca="1" si="13"/>
        <v/>
      </c>
      <c r="I65" s="460" t="str">
        <f t="shared" ca="1" si="13"/>
        <v/>
      </c>
      <c r="J65" s="460" t="str">
        <f t="shared" ca="1" si="13"/>
        <v/>
      </c>
      <c r="K65" s="460" t="str">
        <f t="shared" ca="1" si="13"/>
        <v/>
      </c>
      <c r="L65" s="460" t="str">
        <f t="shared" ca="1" si="13"/>
        <v/>
      </c>
      <c r="M65" s="460" t="str">
        <f t="shared" ca="1" si="13"/>
        <v/>
      </c>
      <c r="N65" s="460" t="str">
        <f t="shared" ca="1" si="13"/>
        <v/>
      </c>
      <c r="O65" s="461" t="str">
        <f t="shared" ca="1" si="13"/>
        <v/>
      </c>
      <c r="P65" s="474" t="str">
        <f t="shared" ca="1" si="13"/>
        <v/>
      </c>
      <c r="Q65" s="475" t="str">
        <f t="shared" ca="1" si="13"/>
        <v/>
      </c>
      <c r="R65" s="476">
        <f ca="1">IF(OR($BG$2=0,$AR65=""),,IF($AR65="本月合计",IF(ROW()=$BG$3,SUM($R$6:$R64),SUM(INDIRECT("$R$"&amp;OFFSET($AU$3,,MATCH(ROW(),$AU$3:$BF$3,)-2)+2&amp;":$R"&amp;ROW()-1))),IF($AR65="本年累计",SUMIF($AR$6:$AR65,"本月合计",$R$6:$R64),INDEX(凭证录入!L:L,$AR65))))</f>
        <v>0</v>
      </c>
      <c r="S65" s="459" t="str">
        <f t="shared" ca="1" si="14"/>
        <v/>
      </c>
      <c r="T65" s="460" t="str">
        <f t="shared" ca="1" si="14"/>
        <v/>
      </c>
      <c r="U65" s="460" t="str">
        <f t="shared" ca="1" si="14"/>
        <v/>
      </c>
      <c r="V65" s="460" t="str">
        <f t="shared" ca="1" si="14"/>
        <v/>
      </c>
      <c r="W65" s="460" t="str">
        <f t="shared" ca="1" si="14"/>
        <v/>
      </c>
      <c r="X65" s="460" t="str">
        <f t="shared" ca="1" si="14"/>
        <v/>
      </c>
      <c r="Y65" s="460" t="str">
        <f t="shared" ca="1" si="14"/>
        <v/>
      </c>
      <c r="Z65" s="460" t="str">
        <f t="shared" ca="1" si="14"/>
        <v/>
      </c>
      <c r="AA65" s="461" t="str">
        <f t="shared" ca="1" si="14"/>
        <v/>
      </c>
      <c r="AB65" s="474" t="str">
        <f t="shared" ca="1" si="14"/>
        <v/>
      </c>
      <c r="AC65" s="475" t="str">
        <f t="shared" ca="1" si="14"/>
        <v/>
      </c>
      <c r="AD65" s="477" t="str">
        <f t="shared" ca="1" si="4"/>
        <v/>
      </c>
      <c r="AE65" s="478">
        <f t="shared" ca="1" si="5"/>
        <v>0</v>
      </c>
      <c r="AF65" s="459" t="str">
        <f t="shared" ca="1" si="12"/>
        <v/>
      </c>
      <c r="AG65" s="460" t="str">
        <f t="shared" ca="1" si="12"/>
        <v/>
      </c>
      <c r="AH65" s="460" t="str">
        <f t="shared" ca="1" si="12"/>
        <v/>
      </c>
      <c r="AI65" s="460" t="str">
        <f t="shared" ca="1" si="12"/>
        <v/>
      </c>
      <c r="AJ65" s="460" t="str">
        <f t="shared" ca="1" si="12"/>
        <v/>
      </c>
      <c r="AK65" s="460" t="str">
        <f t="shared" ca="1" si="12"/>
        <v/>
      </c>
      <c r="AL65" s="460" t="str">
        <f t="shared" ca="1" si="12"/>
        <v/>
      </c>
      <c r="AM65" s="460" t="str">
        <f t="shared" ca="1" si="12"/>
        <v/>
      </c>
      <c r="AN65" s="461" t="str">
        <f t="shared" ca="1" si="12"/>
        <v/>
      </c>
      <c r="AO65" s="474" t="str">
        <f t="shared" ca="1" si="12"/>
        <v/>
      </c>
      <c r="AP65" s="475" t="str">
        <f t="shared" ca="1" si="12"/>
        <v/>
      </c>
      <c r="AQ65" s="479" t="str">
        <f t="array" aca="1" ref="AQ65" ca="1">IF(ROW()-5&lt;=COUNTIF(科目编号,$AR$2),SMALL(IF(科目编号=$AR$2,ROW(科目编号),""),ROW()-5),"")</f>
        <v/>
      </c>
      <c r="AR65" s="480" t="str">
        <f ca="1">IF($BG$2=0,"",IF(AR64="本月合计","本年累计",IF(OR(ROW()=$AU$3,ROW()=$AV$3,ROW()=$AW$3,ROW()=$AX$3,ROW()=$AY$3,ROW()=$AZ$3,ROW()=$BA$3,ROW()=$BB$3,ROW()=$BC$3,ROW()=$BD$3,ROW()=$BE$3,ROW()=$BF$3),"本月合计",IF(ROW()&lt;7,$AQ$6,OFFSET($AQ$6,COUNT($AR$6:AR64),0)))))</f>
        <v/>
      </c>
    </row>
    <row r="66" spans="1:44">
      <c r="A66" s="469" t="str">
        <f ca="1">IFERROR(INDEX(凭证录入!A:A,$AR66),"")</f>
        <v/>
      </c>
      <c r="B66" s="469" t="str">
        <f ca="1">IFERROR(INDEX(凭证录入!B:B,$AR66),"")</f>
        <v/>
      </c>
      <c r="C66" s="470" t="str">
        <f ca="1">IFERROR(INDEX(凭证录入!G:G,$AR66),"")</f>
        <v/>
      </c>
      <c r="D66" s="471" t="str">
        <f ca="1">IFERROR(INDEX(凭证录入!F:F,$AR66),"")</f>
        <v/>
      </c>
      <c r="E66" s="472" t="str">
        <f ca="1">IFERROR(INDEX(凭证录入!H:H,$AR66),$AR66)</f>
        <v/>
      </c>
      <c r="F66" s="473">
        <f ca="1">IF(OR($BG$2=0,$AR66=""),,IF($AR66="本月合计",IF(ROW()=$BG$3,SUM($F$6:$F65),SUM(INDIRECT("$F$"&amp;OFFSET($AU$3,,MATCH(ROW(),$AU$3:$BF$3,)-2)+2&amp;":$E"&amp;ROW()-1))),IF($AR66="本年累计",SUMIF($AR$6:$AR66,"本月合计",$F$6:$F65),INDEX(凭证录入!K:K,$AR66))))</f>
        <v>0</v>
      </c>
      <c r="G66" s="459" t="str">
        <f t="shared" ca="1" si="13"/>
        <v/>
      </c>
      <c r="H66" s="460" t="str">
        <f t="shared" ca="1" si="13"/>
        <v/>
      </c>
      <c r="I66" s="460" t="str">
        <f t="shared" ca="1" si="13"/>
        <v/>
      </c>
      <c r="J66" s="460" t="str">
        <f t="shared" ca="1" si="13"/>
        <v/>
      </c>
      <c r="K66" s="460" t="str">
        <f t="shared" ca="1" si="13"/>
        <v/>
      </c>
      <c r="L66" s="460" t="str">
        <f t="shared" ca="1" si="13"/>
        <v/>
      </c>
      <c r="M66" s="460" t="str">
        <f t="shared" ca="1" si="13"/>
        <v/>
      </c>
      <c r="N66" s="460" t="str">
        <f t="shared" ca="1" si="13"/>
        <v/>
      </c>
      <c r="O66" s="461" t="str">
        <f t="shared" ca="1" si="13"/>
        <v/>
      </c>
      <c r="P66" s="474" t="str">
        <f t="shared" ca="1" si="13"/>
        <v/>
      </c>
      <c r="Q66" s="475" t="str">
        <f t="shared" ca="1" si="13"/>
        <v/>
      </c>
      <c r="R66" s="476">
        <f ca="1">IF(OR($BG$2=0,$AR66=""),,IF($AR66="本月合计",IF(ROW()=$BG$3,SUM($R$6:$R65),SUM(INDIRECT("$R$"&amp;OFFSET($AU$3,,MATCH(ROW(),$AU$3:$BF$3,)-2)+2&amp;":$R"&amp;ROW()-1))),IF($AR66="本年累计",SUMIF($AR$6:$AR66,"本月合计",$R$6:$R65),INDEX(凭证录入!L:L,$AR66))))</f>
        <v>0</v>
      </c>
      <c r="S66" s="459" t="str">
        <f t="shared" ca="1" si="14"/>
        <v/>
      </c>
      <c r="T66" s="460" t="str">
        <f t="shared" ca="1" si="14"/>
        <v/>
      </c>
      <c r="U66" s="460" t="str">
        <f t="shared" ca="1" si="14"/>
        <v/>
      </c>
      <c r="V66" s="460" t="str">
        <f t="shared" ca="1" si="14"/>
        <v/>
      </c>
      <c r="W66" s="460" t="str">
        <f t="shared" ca="1" si="14"/>
        <v/>
      </c>
      <c r="X66" s="460" t="str">
        <f t="shared" ca="1" si="14"/>
        <v/>
      </c>
      <c r="Y66" s="460" t="str">
        <f t="shared" ca="1" si="14"/>
        <v/>
      </c>
      <c r="Z66" s="460" t="str">
        <f t="shared" ca="1" si="14"/>
        <v/>
      </c>
      <c r="AA66" s="461" t="str">
        <f t="shared" ca="1" si="14"/>
        <v/>
      </c>
      <c r="AB66" s="474" t="str">
        <f t="shared" ca="1" si="14"/>
        <v/>
      </c>
      <c r="AC66" s="475" t="str">
        <f t="shared" ca="1" si="14"/>
        <v/>
      </c>
      <c r="AD66" s="477" t="str">
        <f t="shared" ca="1" si="4"/>
        <v/>
      </c>
      <c r="AE66" s="478">
        <f t="shared" ca="1" si="5"/>
        <v>0</v>
      </c>
      <c r="AF66" s="459" t="str">
        <f t="shared" ca="1" si="12"/>
        <v/>
      </c>
      <c r="AG66" s="460" t="str">
        <f t="shared" ca="1" si="12"/>
        <v/>
      </c>
      <c r="AH66" s="460" t="str">
        <f t="shared" ca="1" si="12"/>
        <v/>
      </c>
      <c r="AI66" s="460" t="str">
        <f t="shared" ca="1" si="12"/>
        <v/>
      </c>
      <c r="AJ66" s="460" t="str">
        <f t="shared" ca="1" si="12"/>
        <v/>
      </c>
      <c r="AK66" s="460" t="str">
        <f t="shared" ca="1" si="12"/>
        <v/>
      </c>
      <c r="AL66" s="460" t="str">
        <f t="shared" ca="1" si="12"/>
        <v/>
      </c>
      <c r="AM66" s="460" t="str">
        <f t="shared" ca="1" si="12"/>
        <v/>
      </c>
      <c r="AN66" s="461" t="str">
        <f t="shared" ca="1" si="12"/>
        <v/>
      </c>
      <c r="AO66" s="474" t="str">
        <f t="shared" ca="1" si="12"/>
        <v/>
      </c>
      <c r="AP66" s="475" t="str">
        <f t="shared" ca="1" si="12"/>
        <v/>
      </c>
      <c r="AQ66" s="479" t="str">
        <f t="array" aca="1" ref="AQ66" ca="1">IF(ROW()-5&lt;=COUNTIF(科目编号,$AR$2),SMALL(IF(科目编号=$AR$2,ROW(科目编号),""),ROW()-5),"")</f>
        <v/>
      </c>
      <c r="AR66" s="480" t="str">
        <f ca="1">IF($BG$2=0,"",IF(AR65="本月合计","本年累计",IF(OR(ROW()=$AU$3,ROW()=$AV$3,ROW()=$AW$3,ROW()=$AX$3,ROW()=$AY$3,ROW()=$AZ$3,ROW()=$BA$3,ROW()=$BB$3,ROW()=$BC$3,ROW()=$BD$3,ROW()=$BE$3,ROW()=$BF$3),"本月合计",IF(ROW()&lt;7,$AQ$6,OFFSET($AQ$6,COUNT($AR$6:AR65),0)))))</f>
        <v/>
      </c>
    </row>
    <row r="67" spans="1:44">
      <c r="A67" s="469" t="str">
        <f ca="1">IFERROR(INDEX(凭证录入!A:A,$AR67),"")</f>
        <v/>
      </c>
      <c r="B67" s="469" t="str">
        <f ca="1">IFERROR(INDEX(凭证录入!B:B,$AR67),"")</f>
        <v/>
      </c>
      <c r="C67" s="470" t="str">
        <f ca="1">IFERROR(INDEX(凭证录入!G:G,$AR67),"")</f>
        <v/>
      </c>
      <c r="D67" s="471" t="str">
        <f ca="1">IFERROR(INDEX(凭证录入!F:F,$AR67),"")</f>
        <v/>
      </c>
      <c r="E67" s="472" t="str">
        <f ca="1">IFERROR(INDEX(凭证录入!H:H,$AR67),$AR67)</f>
        <v/>
      </c>
      <c r="F67" s="473">
        <f ca="1">IF(OR($BG$2=0,$AR67=""),,IF($AR67="本月合计",IF(ROW()=$BG$3,SUM($F$6:$F66),SUM(INDIRECT("$F$"&amp;OFFSET($AU$3,,MATCH(ROW(),$AU$3:$BF$3,)-2)+2&amp;":$E"&amp;ROW()-1))),IF($AR67="本年累计",SUMIF($AR$6:$AR67,"本月合计",$F$6:$F66),INDEX(凭证录入!K:K,$AR67))))</f>
        <v>0</v>
      </c>
      <c r="G67" s="459" t="str">
        <f t="shared" ca="1" si="13"/>
        <v/>
      </c>
      <c r="H67" s="460" t="str">
        <f t="shared" ca="1" si="13"/>
        <v/>
      </c>
      <c r="I67" s="460" t="str">
        <f t="shared" ca="1" si="13"/>
        <v/>
      </c>
      <c r="J67" s="460" t="str">
        <f t="shared" ca="1" si="13"/>
        <v/>
      </c>
      <c r="K67" s="460" t="str">
        <f t="shared" ca="1" si="13"/>
        <v/>
      </c>
      <c r="L67" s="460" t="str">
        <f t="shared" ca="1" si="13"/>
        <v/>
      </c>
      <c r="M67" s="460" t="str">
        <f t="shared" ca="1" si="13"/>
        <v/>
      </c>
      <c r="N67" s="460" t="str">
        <f t="shared" ca="1" si="13"/>
        <v/>
      </c>
      <c r="O67" s="461" t="str">
        <f t="shared" ca="1" si="13"/>
        <v/>
      </c>
      <c r="P67" s="474" t="str">
        <f t="shared" ca="1" si="13"/>
        <v/>
      </c>
      <c r="Q67" s="475" t="str">
        <f t="shared" ca="1" si="13"/>
        <v/>
      </c>
      <c r="R67" s="476">
        <f ca="1">IF(OR($BG$2=0,$AR67=""),,IF($AR67="本月合计",IF(ROW()=$BG$3,SUM($R$6:$R66),SUM(INDIRECT("$R$"&amp;OFFSET($AU$3,,MATCH(ROW(),$AU$3:$BF$3,)-2)+2&amp;":$R"&amp;ROW()-1))),IF($AR67="本年累计",SUMIF($AR$6:$AR67,"本月合计",$R$6:$R66),INDEX(凭证录入!L:L,$AR67))))</f>
        <v>0</v>
      </c>
      <c r="S67" s="459" t="str">
        <f t="shared" ca="1" si="14"/>
        <v/>
      </c>
      <c r="T67" s="460" t="str">
        <f t="shared" ca="1" si="14"/>
        <v/>
      </c>
      <c r="U67" s="460" t="str">
        <f t="shared" ca="1" si="14"/>
        <v/>
      </c>
      <c r="V67" s="460" t="str">
        <f t="shared" ca="1" si="14"/>
        <v/>
      </c>
      <c r="W67" s="460" t="str">
        <f t="shared" ca="1" si="14"/>
        <v/>
      </c>
      <c r="X67" s="460" t="str">
        <f t="shared" ca="1" si="14"/>
        <v/>
      </c>
      <c r="Y67" s="460" t="str">
        <f t="shared" ca="1" si="14"/>
        <v/>
      </c>
      <c r="Z67" s="460" t="str">
        <f t="shared" ca="1" si="14"/>
        <v/>
      </c>
      <c r="AA67" s="461" t="str">
        <f t="shared" ca="1" si="14"/>
        <v/>
      </c>
      <c r="AB67" s="474" t="str">
        <f t="shared" ca="1" si="14"/>
        <v/>
      </c>
      <c r="AC67" s="475" t="str">
        <f t="shared" ca="1" si="14"/>
        <v/>
      </c>
      <c r="AD67" s="477" t="str">
        <f t="shared" ca="1" si="4"/>
        <v/>
      </c>
      <c r="AE67" s="478">
        <f t="shared" ca="1" si="5"/>
        <v>0</v>
      </c>
      <c r="AF67" s="459" t="str">
        <f t="shared" ca="1" si="12"/>
        <v/>
      </c>
      <c r="AG67" s="460" t="str">
        <f t="shared" ca="1" si="12"/>
        <v/>
      </c>
      <c r="AH67" s="460" t="str">
        <f t="shared" ca="1" si="12"/>
        <v/>
      </c>
      <c r="AI67" s="460" t="str">
        <f t="shared" ca="1" si="12"/>
        <v/>
      </c>
      <c r="AJ67" s="460" t="str">
        <f t="shared" ca="1" si="12"/>
        <v/>
      </c>
      <c r="AK67" s="460" t="str">
        <f t="shared" ca="1" si="12"/>
        <v/>
      </c>
      <c r="AL67" s="460" t="str">
        <f t="shared" ca="1" si="12"/>
        <v/>
      </c>
      <c r="AM67" s="460" t="str">
        <f t="shared" ca="1" si="12"/>
        <v/>
      </c>
      <c r="AN67" s="461" t="str">
        <f t="shared" ca="1" si="12"/>
        <v/>
      </c>
      <c r="AO67" s="474" t="str">
        <f t="shared" ca="1" si="12"/>
        <v/>
      </c>
      <c r="AP67" s="475" t="str">
        <f t="shared" ca="1" si="12"/>
        <v/>
      </c>
      <c r="AQ67" s="479" t="str">
        <f t="array" aca="1" ref="AQ67" ca="1">IF(ROW()-5&lt;=COUNTIF(科目编号,$AR$2),SMALL(IF(科目编号=$AR$2,ROW(科目编号),""),ROW()-5),"")</f>
        <v/>
      </c>
      <c r="AR67" s="480" t="str">
        <f ca="1">IF($BG$2=0,"",IF(AR66="本月合计","本年累计",IF(OR(ROW()=$AU$3,ROW()=$AV$3,ROW()=$AW$3,ROW()=$AX$3,ROW()=$AY$3,ROW()=$AZ$3,ROW()=$BA$3,ROW()=$BB$3,ROW()=$BC$3,ROW()=$BD$3,ROW()=$BE$3,ROW()=$BF$3),"本月合计",IF(ROW()&lt;7,$AQ$6,OFFSET($AQ$6,COUNT($AR$6:AR66),0)))))</f>
        <v/>
      </c>
    </row>
    <row r="68" spans="1:44">
      <c r="A68" s="469" t="str">
        <f ca="1">IFERROR(INDEX(凭证录入!A:A,$AR68),"")</f>
        <v/>
      </c>
      <c r="B68" s="469" t="str">
        <f ca="1">IFERROR(INDEX(凭证录入!B:B,$AR68),"")</f>
        <v/>
      </c>
      <c r="C68" s="470" t="str">
        <f ca="1">IFERROR(INDEX(凭证录入!G:G,$AR68),"")</f>
        <v/>
      </c>
      <c r="D68" s="471" t="str">
        <f ca="1">IFERROR(INDEX(凭证录入!F:F,$AR68),"")</f>
        <v/>
      </c>
      <c r="E68" s="472" t="str">
        <f ca="1">IFERROR(INDEX(凭证录入!H:H,$AR68),$AR68)</f>
        <v/>
      </c>
      <c r="F68" s="473">
        <f ca="1">IF(OR($BG$2=0,$AR68=""),,IF($AR68="本月合计",IF(ROW()=$BG$3,SUM($F$6:$F67),SUM(INDIRECT("$F$"&amp;OFFSET($AU$3,,MATCH(ROW(),$AU$3:$BF$3,)-2)+2&amp;":$E"&amp;ROW()-1))),IF($AR68="本年累计",SUMIF($AR$6:$AR68,"本月合计",$F$6:$F67),INDEX(凭证录入!K:K,$AR68))))</f>
        <v>0</v>
      </c>
      <c r="G68" s="459" t="str">
        <f t="shared" ca="1" si="13"/>
        <v/>
      </c>
      <c r="H68" s="460" t="str">
        <f t="shared" ca="1" si="13"/>
        <v/>
      </c>
      <c r="I68" s="460" t="str">
        <f t="shared" ca="1" si="13"/>
        <v/>
      </c>
      <c r="J68" s="460" t="str">
        <f t="shared" ca="1" si="13"/>
        <v/>
      </c>
      <c r="K68" s="460" t="str">
        <f t="shared" ca="1" si="13"/>
        <v/>
      </c>
      <c r="L68" s="460" t="str">
        <f t="shared" ca="1" si="13"/>
        <v/>
      </c>
      <c r="M68" s="460" t="str">
        <f t="shared" ca="1" si="13"/>
        <v/>
      </c>
      <c r="N68" s="460" t="str">
        <f t="shared" ca="1" si="13"/>
        <v/>
      </c>
      <c r="O68" s="461" t="str">
        <f t="shared" ca="1" si="13"/>
        <v/>
      </c>
      <c r="P68" s="474" t="str">
        <f t="shared" ca="1" si="13"/>
        <v/>
      </c>
      <c r="Q68" s="475" t="str">
        <f t="shared" ca="1" si="13"/>
        <v/>
      </c>
      <c r="R68" s="476">
        <f ca="1">IF(OR($BG$2=0,$AR68=""),,IF($AR68="本月合计",IF(ROW()=$BG$3,SUM($R$6:$R67),SUM(INDIRECT("$R$"&amp;OFFSET($AU$3,,MATCH(ROW(),$AU$3:$BF$3,)-2)+2&amp;":$R"&amp;ROW()-1))),IF($AR68="本年累计",SUMIF($AR$6:$AR68,"本月合计",$R$6:$R67),INDEX(凭证录入!L:L,$AR68))))</f>
        <v>0</v>
      </c>
      <c r="S68" s="459" t="str">
        <f t="shared" ca="1" si="14"/>
        <v/>
      </c>
      <c r="T68" s="460" t="str">
        <f t="shared" ca="1" si="14"/>
        <v/>
      </c>
      <c r="U68" s="460" t="str">
        <f t="shared" ca="1" si="14"/>
        <v/>
      </c>
      <c r="V68" s="460" t="str">
        <f t="shared" ca="1" si="14"/>
        <v/>
      </c>
      <c r="W68" s="460" t="str">
        <f t="shared" ca="1" si="14"/>
        <v/>
      </c>
      <c r="X68" s="460" t="str">
        <f t="shared" ca="1" si="14"/>
        <v/>
      </c>
      <c r="Y68" s="460" t="str">
        <f t="shared" ca="1" si="14"/>
        <v/>
      </c>
      <c r="Z68" s="460" t="str">
        <f t="shared" ca="1" si="14"/>
        <v/>
      </c>
      <c r="AA68" s="461" t="str">
        <f t="shared" ca="1" si="14"/>
        <v/>
      </c>
      <c r="AB68" s="474" t="str">
        <f t="shared" ca="1" si="14"/>
        <v/>
      </c>
      <c r="AC68" s="475" t="str">
        <f t="shared" ca="1" si="14"/>
        <v/>
      </c>
      <c r="AD68" s="477" t="str">
        <f t="shared" ca="1" si="4"/>
        <v/>
      </c>
      <c r="AE68" s="478">
        <f t="shared" ca="1" si="5"/>
        <v>0</v>
      </c>
      <c r="AF68" s="459" t="str">
        <f t="shared" ca="1" si="12"/>
        <v/>
      </c>
      <c r="AG68" s="460" t="str">
        <f t="shared" ca="1" si="12"/>
        <v/>
      </c>
      <c r="AH68" s="460" t="str">
        <f t="shared" ca="1" si="12"/>
        <v/>
      </c>
      <c r="AI68" s="460" t="str">
        <f t="shared" ca="1" si="12"/>
        <v/>
      </c>
      <c r="AJ68" s="460" t="str">
        <f t="shared" ca="1" si="12"/>
        <v/>
      </c>
      <c r="AK68" s="460" t="str">
        <f t="shared" ca="1" si="12"/>
        <v/>
      </c>
      <c r="AL68" s="460" t="str">
        <f t="shared" ca="1" si="12"/>
        <v/>
      </c>
      <c r="AM68" s="460" t="str">
        <f t="shared" ca="1" si="12"/>
        <v/>
      </c>
      <c r="AN68" s="461" t="str">
        <f t="shared" ca="1" si="12"/>
        <v/>
      </c>
      <c r="AO68" s="474" t="str">
        <f t="shared" ca="1" si="12"/>
        <v/>
      </c>
      <c r="AP68" s="475" t="str">
        <f t="shared" ca="1" si="12"/>
        <v/>
      </c>
      <c r="AQ68" s="479" t="str">
        <f t="array" aca="1" ref="AQ68" ca="1">IF(ROW()-5&lt;=COUNTIF(科目编号,$AR$2),SMALL(IF(科目编号=$AR$2,ROW(科目编号),""),ROW()-5),"")</f>
        <v/>
      </c>
      <c r="AR68" s="480" t="str">
        <f ca="1">IF($BG$2=0,"",IF(AR67="本月合计","本年累计",IF(OR(ROW()=$AU$3,ROW()=$AV$3,ROW()=$AW$3,ROW()=$AX$3,ROW()=$AY$3,ROW()=$AZ$3,ROW()=$BA$3,ROW()=$BB$3,ROW()=$BC$3,ROW()=$BD$3,ROW()=$BE$3,ROW()=$BF$3),"本月合计",IF(ROW()&lt;7,$AQ$6,OFFSET($AQ$6,COUNT($AR$6:AR67),0)))))</f>
        <v/>
      </c>
    </row>
    <row r="69" spans="1:44">
      <c r="A69" s="469" t="str">
        <f ca="1">IFERROR(INDEX(凭证录入!A:A,$AR69),"")</f>
        <v/>
      </c>
      <c r="B69" s="469" t="str">
        <f ca="1">IFERROR(INDEX(凭证录入!B:B,$AR69),"")</f>
        <v/>
      </c>
      <c r="C69" s="470" t="str">
        <f ca="1">IFERROR(INDEX(凭证录入!G:G,$AR69),"")</f>
        <v/>
      </c>
      <c r="D69" s="471" t="str">
        <f ca="1">IFERROR(INDEX(凭证录入!F:F,$AR69),"")</f>
        <v/>
      </c>
      <c r="E69" s="472" t="str">
        <f ca="1">IFERROR(INDEX(凭证录入!H:H,$AR69),$AR69)</f>
        <v/>
      </c>
      <c r="F69" s="473">
        <f ca="1">IF(OR($BG$2=0,$AR69=""),,IF($AR69="本月合计",IF(ROW()=$BG$3,SUM($F$6:$F68),SUM(INDIRECT("$F$"&amp;OFFSET($AU$3,,MATCH(ROW(),$AU$3:$BF$3,)-2)+2&amp;":$E"&amp;ROW()-1))),IF($AR69="本年累计",SUMIF($AR$6:$AR69,"本月合计",$F$6:$F68),INDEX(凭证录入!K:K,$AR69))))</f>
        <v>0</v>
      </c>
      <c r="G69" s="459" t="str">
        <f t="shared" ca="1" si="13"/>
        <v/>
      </c>
      <c r="H69" s="460" t="str">
        <f t="shared" ca="1" si="13"/>
        <v/>
      </c>
      <c r="I69" s="460" t="str">
        <f t="shared" ca="1" si="13"/>
        <v/>
      </c>
      <c r="J69" s="460" t="str">
        <f t="shared" ca="1" si="13"/>
        <v/>
      </c>
      <c r="K69" s="460" t="str">
        <f t="shared" ca="1" si="13"/>
        <v/>
      </c>
      <c r="L69" s="460" t="str">
        <f t="shared" ca="1" si="13"/>
        <v/>
      </c>
      <c r="M69" s="460" t="str">
        <f t="shared" ca="1" si="13"/>
        <v/>
      </c>
      <c r="N69" s="460" t="str">
        <f t="shared" ca="1" si="13"/>
        <v/>
      </c>
      <c r="O69" s="461" t="str">
        <f t="shared" ca="1" si="13"/>
        <v/>
      </c>
      <c r="P69" s="474" t="str">
        <f t="shared" ca="1" si="13"/>
        <v/>
      </c>
      <c r="Q69" s="475" t="str">
        <f t="shared" ca="1" si="13"/>
        <v/>
      </c>
      <c r="R69" s="476">
        <f ca="1">IF(OR($BG$2=0,$AR69=""),,IF($AR69="本月合计",IF(ROW()=$BG$3,SUM($R$6:$R68),SUM(INDIRECT("$R$"&amp;OFFSET($AU$3,,MATCH(ROW(),$AU$3:$BF$3,)-2)+2&amp;":$R"&amp;ROW()-1))),IF($AR69="本年累计",SUMIF($AR$6:$AR69,"本月合计",$R$6:$R68),INDEX(凭证录入!L:L,$AR69))))</f>
        <v>0</v>
      </c>
      <c r="S69" s="459" t="str">
        <f t="shared" ca="1" si="14"/>
        <v/>
      </c>
      <c r="T69" s="460" t="str">
        <f t="shared" ca="1" si="14"/>
        <v/>
      </c>
      <c r="U69" s="460" t="str">
        <f t="shared" ca="1" si="14"/>
        <v/>
      </c>
      <c r="V69" s="460" t="str">
        <f t="shared" ca="1" si="14"/>
        <v/>
      </c>
      <c r="W69" s="460" t="str">
        <f t="shared" ca="1" si="14"/>
        <v/>
      </c>
      <c r="X69" s="460" t="str">
        <f t="shared" ca="1" si="14"/>
        <v/>
      </c>
      <c r="Y69" s="460" t="str">
        <f t="shared" ca="1" si="14"/>
        <v/>
      </c>
      <c r="Z69" s="460" t="str">
        <f t="shared" ca="1" si="14"/>
        <v/>
      </c>
      <c r="AA69" s="461" t="str">
        <f t="shared" ca="1" si="14"/>
        <v/>
      </c>
      <c r="AB69" s="474" t="str">
        <f t="shared" ca="1" si="14"/>
        <v/>
      </c>
      <c r="AC69" s="475" t="str">
        <f t="shared" ca="1" si="14"/>
        <v/>
      </c>
      <c r="AD69" s="477" t="str">
        <f t="shared" ca="1" si="4"/>
        <v/>
      </c>
      <c r="AE69" s="478">
        <f t="shared" ca="1" si="5"/>
        <v>0</v>
      </c>
      <c r="AF69" s="459" t="str">
        <f t="shared" ref="AF69:AP84" ca="1" si="15">LEFT(RIGHT(TEXT($AE69/1%," ￥0; ￥-0;"),43-COLUMN()))</f>
        <v/>
      </c>
      <c r="AG69" s="460" t="str">
        <f t="shared" ca="1" si="15"/>
        <v/>
      </c>
      <c r="AH69" s="460" t="str">
        <f t="shared" ca="1" si="15"/>
        <v/>
      </c>
      <c r="AI69" s="460" t="str">
        <f t="shared" ca="1" si="15"/>
        <v/>
      </c>
      <c r="AJ69" s="460" t="str">
        <f t="shared" ca="1" si="15"/>
        <v/>
      </c>
      <c r="AK69" s="460" t="str">
        <f t="shared" ca="1" si="15"/>
        <v/>
      </c>
      <c r="AL69" s="460" t="str">
        <f t="shared" ca="1" si="15"/>
        <v/>
      </c>
      <c r="AM69" s="460" t="str">
        <f t="shared" ca="1" si="15"/>
        <v/>
      </c>
      <c r="AN69" s="461" t="str">
        <f t="shared" ca="1" si="15"/>
        <v/>
      </c>
      <c r="AO69" s="474" t="str">
        <f t="shared" ca="1" si="15"/>
        <v/>
      </c>
      <c r="AP69" s="475" t="str">
        <f t="shared" ca="1" si="15"/>
        <v/>
      </c>
      <c r="AQ69" s="479" t="str">
        <f t="array" aca="1" ref="AQ69" ca="1">IF(ROW()-5&lt;=COUNTIF(科目编号,$AR$2),SMALL(IF(科目编号=$AR$2,ROW(科目编号),""),ROW()-5),"")</f>
        <v/>
      </c>
      <c r="AR69" s="480" t="str">
        <f ca="1">IF($BG$2=0,"",IF(AR68="本月合计","本年累计",IF(OR(ROW()=$AU$3,ROW()=$AV$3,ROW()=$AW$3,ROW()=$AX$3,ROW()=$AY$3,ROW()=$AZ$3,ROW()=$BA$3,ROW()=$BB$3,ROW()=$BC$3,ROW()=$BD$3,ROW()=$BE$3,ROW()=$BF$3),"本月合计",IF(ROW()&lt;7,$AQ$6,OFFSET($AQ$6,COUNT($AR$6:AR68),0)))))</f>
        <v/>
      </c>
    </row>
    <row r="70" spans="1:44">
      <c r="A70" s="469" t="str">
        <f ca="1">IFERROR(INDEX(凭证录入!A:A,$AR70),"")</f>
        <v/>
      </c>
      <c r="B70" s="469" t="str">
        <f ca="1">IFERROR(INDEX(凭证录入!B:B,$AR70),"")</f>
        <v/>
      </c>
      <c r="C70" s="470" t="str">
        <f ca="1">IFERROR(INDEX(凭证录入!G:G,$AR70),"")</f>
        <v/>
      </c>
      <c r="D70" s="471" t="str">
        <f ca="1">IFERROR(INDEX(凭证录入!F:F,$AR70),"")</f>
        <v/>
      </c>
      <c r="E70" s="472" t="str">
        <f ca="1">IFERROR(INDEX(凭证录入!H:H,$AR70),$AR70)</f>
        <v/>
      </c>
      <c r="F70" s="473">
        <f ca="1">IF(OR($BG$2=0,$AR70=""),,IF($AR70="本月合计",IF(ROW()=$BG$3,SUM($F$6:$F69),SUM(INDIRECT("$F$"&amp;OFFSET($AU$3,,MATCH(ROW(),$AU$3:$BF$3,)-2)+2&amp;":$E"&amp;ROW()-1))),IF($AR70="本年累计",SUMIF($AR$6:$AR70,"本月合计",$F$6:$F69),INDEX(凭证录入!K:K,$AR70))))</f>
        <v>0</v>
      </c>
      <c r="G70" s="459" t="str">
        <f t="shared" ref="G70:Q85" ca="1" si="16">LEFT(RIGHT(TEXT($F70/1%," ￥0; ￥-0;"),18-COLUMN()))</f>
        <v/>
      </c>
      <c r="H70" s="460" t="str">
        <f t="shared" ca="1" si="16"/>
        <v/>
      </c>
      <c r="I70" s="460" t="str">
        <f t="shared" ca="1" si="16"/>
        <v/>
      </c>
      <c r="J70" s="460" t="str">
        <f t="shared" ca="1" si="16"/>
        <v/>
      </c>
      <c r="K70" s="460" t="str">
        <f t="shared" ca="1" si="16"/>
        <v/>
      </c>
      <c r="L70" s="460" t="str">
        <f t="shared" ca="1" si="16"/>
        <v/>
      </c>
      <c r="M70" s="460" t="str">
        <f t="shared" ca="1" si="16"/>
        <v/>
      </c>
      <c r="N70" s="460" t="str">
        <f t="shared" ca="1" si="16"/>
        <v/>
      </c>
      <c r="O70" s="461" t="str">
        <f t="shared" ca="1" si="16"/>
        <v/>
      </c>
      <c r="P70" s="474" t="str">
        <f t="shared" ca="1" si="16"/>
        <v/>
      </c>
      <c r="Q70" s="475" t="str">
        <f t="shared" ca="1" si="16"/>
        <v/>
      </c>
      <c r="R70" s="476">
        <f ca="1">IF(OR($BG$2=0,$AR70=""),,IF($AR70="本月合计",IF(ROW()=$BG$3,SUM($R$6:$R69),SUM(INDIRECT("$R$"&amp;OFFSET($AU$3,,MATCH(ROW(),$AU$3:$BF$3,)-2)+2&amp;":$R"&amp;ROW()-1))),IF($AR70="本年累计",SUMIF($AR$6:$AR70,"本月合计",$R$6:$R69),INDEX(凭证录入!L:L,$AR70))))</f>
        <v>0</v>
      </c>
      <c r="S70" s="459" t="str">
        <f t="shared" ref="S70:AC85" ca="1" si="17">LEFT(RIGHT(TEXT($R70/1%," ￥0; ￥-0;"),30-COLUMN()))</f>
        <v/>
      </c>
      <c r="T70" s="460" t="str">
        <f t="shared" ca="1" si="17"/>
        <v/>
      </c>
      <c r="U70" s="460" t="str">
        <f t="shared" ca="1" si="17"/>
        <v/>
      </c>
      <c r="V70" s="460" t="str">
        <f t="shared" ca="1" si="17"/>
        <v/>
      </c>
      <c r="W70" s="460" t="str">
        <f t="shared" ca="1" si="17"/>
        <v/>
      </c>
      <c r="X70" s="460" t="str">
        <f t="shared" ca="1" si="17"/>
        <v/>
      </c>
      <c r="Y70" s="460" t="str">
        <f t="shared" ca="1" si="17"/>
        <v/>
      </c>
      <c r="Z70" s="460" t="str">
        <f t="shared" ca="1" si="17"/>
        <v/>
      </c>
      <c r="AA70" s="461" t="str">
        <f t="shared" ca="1" si="17"/>
        <v/>
      </c>
      <c r="AB70" s="474" t="str">
        <f t="shared" ca="1" si="17"/>
        <v/>
      </c>
      <c r="AC70" s="475" t="str">
        <f t="shared" ca="1" si="17"/>
        <v/>
      </c>
      <c r="AD70" s="477" t="str">
        <f t="shared" ref="AD70:AD133" ca="1" si="18">IF(OR($BG$2=0,$AR70="",$AR70="本月合计",$AR70="本年累计"),"",IF(OR(AND($AD69="",$AE69="",$AD67&lt;&gt;"借",$AD67&lt;&gt;"贷",($F70-$R70)&gt;=0),AND($AD69="",$AE69&lt;&gt;"",$AD67="借",($AE68+$F70-$R70)&gt;=0),AND($AD69="",$AE69&lt;&gt;"",$AD67="贷",(-$AE68+$F70-$R70)&gt;=0),AND($AD69="借",($AE69+$F70-$R70)&gt;=0),AND($AD69="贷",(-$AE69+$F70-$R70)&gt;=0),),"借","贷"))</f>
        <v/>
      </c>
      <c r="AE70" s="478">
        <f t="shared" ref="AE70:AE133" ca="1" si="19">IF(OR($BG$2=0,$AR70=""),,IF(OR($AR70="本月合计",$AR70="本年累计"),$AE69,IF(OR(AD69="借",AND(AD69="",AD68="",AD67="借")),ABS(AE69+F70-R70),ABS(-AE69+F70-R70))))</f>
        <v>0</v>
      </c>
      <c r="AF70" s="459" t="str">
        <f t="shared" ca="1" si="15"/>
        <v/>
      </c>
      <c r="AG70" s="460" t="str">
        <f t="shared" ca="1" si="15"/>
        <v/>
      </c>
      <c r="AH70" s="460" t="str">
        <f t="shared" ca="1" si="15"/>
        <v/>
      </c>
      <c r="AI70" s="460" t="str">
        <f t="shared" ca="1" si="15"/>
        <v/>
      </c>
      <c r="AJ70" s="460" t="str">
        <f t="shared" ca="1" si="15"/>
        <v/>
      </c>
      <c r="AK70" s="460" t="str">
        <f t="shared" ca="1" si="15"/>
        <v/>
      </c>
      <c r="AL70" s="460" t="str">
        <f t="shared" ca="1" si="15"/>
        <v/>
      </c>
      <c r="AM70" s="460" t="str">
        <f t="shared" ca="1" si="15"/>
        <v/>
      </c>
      <c r="AN70" s="461" t="str">
        <f t="shared" ca="1" si="15"/>
        <v/>
      </c>
      <c r="AO70" s="474" t="str">
        <f t="shared" ca="1" si="15"/>
        <v/>
      </c>
      <c r="AP70" s="475" t="str">
        <f t="shared" ca="1" si="15"/>
        <v/>
      </c>
      <c r="AQ70" s="479" t="str">
        <f t="array" aca="1" ref="AQ70" ca="1">IF(ROW()-5&lt;=COUNTIF(科目编号,$AR$2),SMALL(IF(科目编号=$AR$2,ROW(科目编号),""),ROW()-5),"")</f>
        <v/>
      </c>
      <c r="AR70" s="480" t="str">
        <f ca="1">IF($BG$2=0,"",IF(AR69="本月合计","本年累计",IF(OR(ROW()=$AU$3,ROW()=$AV$3,ROW()=$AW$3,ROW()=$AX$3,ROW()=$AY$3,ROW()=$AZ$3,ROW()=$BA$3,ROW()=$BB$3,ROW()=$BC$3,ROW()=$BD$3,ROW()=$BE$3,ROW()=$BF$3),"本月合计",IF(ROW()&lt;7,$AQ$6,OFFSET($AQ$6,COUNT($AR$6:AR69),0)))))</f>
        <v/>
      </c>
    </row>
    <row r="71" spans="1:44">
      <c r="A71" s="469" t="str">
        <f ca="1">IFERROR(INDEX(凭证录入!A:A,$AR71),"")</f>
        <v/>
      </c>
      <c r="B71" s="469" t="str">
        <f ca="1">IFERROR(INDEX(凭证录入!B:B,$AR71),"")</f>
        <v/>
      </c>
      <c r="C71" s="470" t="str">
        <f ca="1">IFERROR(INDEX(凭证录入!G:G,$AR71),"")</f>
        <v/>
      </c>
      <c r="D71" s="471" t="str">
        <f ca="1">IFERROR(INDEX(凭证录入!F:F,$AR71),"")</f>
        <v/>
      </c>
      <c r="E71" s="472" t="str">
        <f ca="1">IFERROR(INDEX(凭证录入!H:H,$AR71),$AR71)</f>
        <v/>
      </c>
      <c r="F71" s="473">
        <f ca="1">IF(OR($BG$2=0,$AR71=""),,IF($AR71="本月合计",IF(ROW()=$BG$3,SUM($F$6:$F70),SUM(INDIRECT("$F$"&amp;OFFSET($AU$3,,MATCH(ROW(),$AU$3:$BF$3,)-2)+2&amp;":$E"&amp;ROW()-1))),IF($AR71="本年累计",SUMIF($AR$6:$AR71,"本月合计",$F$6:$F70),INDEX(凭证录入!K:K,$AR71))))</f>
        <v>0</v>
      </c>
      <c r="G71" s="459" t="str">
        <f t="shared" ca="1" si="16"/>
        <v/>
      </c>
      <c r="H71" s="460" t="str">
        <f t="shared" ca="1" si="16"/>
        <v/>
      </c>
      <c r="I71" s="460" t="str">
        <f t="shared" ca="1" si="16"/>
        <v/>
      </c>
      <c r="J71" s="460" t="str">
        <f t="shared" ca="1" si="16"/>
        <v/>
      </c>
      <c r="K71" s="460" t="str">
        <f t="shared" ca="1" si="16"/>
        <v/>
      </c>
      <c r="L71" s="460" t="str">
        <f t="shared" ca="1" si="16"/>
        <v/>
      </c>
      <c r="M71" s="460" t="str">
        <f t="shared" ca="1" si="16"/>
        <v/>
      </c>
      <c r="N71" s="460" t="str">
        <f t="shared" ca="1" si="16"/>
        <v/>
      </c>
      <c r="O71" s="461" t="str">
        <f t="shared" ca="1" si="16"/>
        <v/>
      </c>
      <c r="P71" s="474" t="str">
        <f t="shared" ca="1" si="16"/>
        <v/>
      </c>
      <c r="Q71" s="475" t="str">
        <f t="shared" ca="1" si="16"/>
        <v/>
      </c>
      <c r="R71" s="476">
        <f ca="1">IF(OR($BG$2=0,$AR71=""),,IF($AR71="本月合计",IF(ROW()=$BG$3,SUM($R$6:$R70),SUM(INDIRECT("$R$"&amp;OFFSET($AU$3,,MATCH(ROW(),$AU$3:$BF$3,)-2)+2&amp;":$R"&amp;ROW()-1))),IF($AR71="本年累计",SUMIF($AR$6:$AR71,"本月合计",$R$6:$R70),INDEX(凭证录入!L:L,$AR71))))</f>
        <v>0</v>
      </c>
      <c r="S71" s="459" t="str">
        <f t="shared" ca="1" si="17"/>
        <v/>
      </c>
      <c r="T71" s="460" t="str">
        <f t="shared" ca="1" si="17"/>
        <v/>
      </c>
      <c r="U71" s="460" t="str">
        <f t="shared" ca="1" si="17"/>
        <v/>
      </c>
      <c r="V71" s="460" t="str">
        <f t="shared" ca="1" si="17"/>
        <v/>
      </c>
      <c r="W71" s="460" t="str">
        <f t="shared" ca="1" si="17"/>
        <v/>
      </c>
      <c r="X71" s="460" t="str">
        <f t="shared" ca="1" si="17"/>
        <v/>
      </c>
      <c r="Y71" s="460" t="str">
        <f t="shared" ca="1" si="17"/>
        <v/>
      </c>
      <c r="Z71" s="460" t="str">
        <f t="shared" ca="1" si="17"/>
        <v/>
      </c>
      <c r="AA71" s="461" t="str">
        <f t="shared" ca="1" si="17"/>
        <v/>
      </c>
      <c r="AB71" s="474" t="str">
        <f t="shared" ca="1" si="17"/>
        <v/>
      </c>
      <c r="AC71" s="475" t="str">
        <f t="shared" ca="1" si="17"/>
        <v/>
      </c>
      <c r="AD71" s="477" t="str">
        <f t="shared" ca="1" si="18"/>
        <v/>
      </c>
      <c r="AE71" s="478">
        <f t="shared" ca="1" si="19"/>
        <v>0</v>
      </c>
      <c r="AF71" s="459" t="str">
        <f t="shared" ca="1" si="15"/>
        <v/>
      </c>
      <c r="AG71" s="460" t="str">
        <f t="shared" ca="1" si="15"/>
        <v/>
      </c>
      <c r="AH71" s="460" t="str">
        <f t="shared" ca="1" si="15"/>
        <v/>
      </c>
      <c r="AI71" s="460" t="str">
        <f t="shared" ca="1" si="15"/>
        <v/>
      </c>
      <c r="AJ71" s="460" t="str">
        <f t="shared" ca="1" si="15"/>
        <v/>
      </c>
      <c r="AK71" s="460" t="str">
        <f t="shared" ca="1" si="15"/>
        <v/>
      </c>
      <c r="AL71" s="460" t="str">
        <f t="shared" ca="1" si="15"/>
        <v/>
      </c>
      <c r="AM71" s="460" t="str">
        <f t="shared" ca="1" si="15"/>
        <v/>
      </c>
      <c r="AN71" s="461" t="str">
        <f t="shared" ca="1" si="15"/>
        <v/>
      </c>
      <c r="AO71" s="474" t="str">
        <f t="shared" ca="1" si="15"/>
        <v/>
      </c>
      <c r="AP71" s="475" t="str">
        <f t="shared" ca="1" si="15"/>
        <v/>
      </c>
      <c r="AQ71" s="479" t="str">
        <f t="array" aca="1" ref="AQ71" ca="1">IF(ROW()-5&lt;=COUNTIF(科目编号,$AR$2),SMALL(IF(科目编号=$AR$2,ROW(科目编号),""),ROW()-5),"")</f>
        <v/>
      </c>
      <c r="AR71" s="480" t="str">
        <f ca="1">IF($BG$2=0,"",IF(AR70="本月合计","本年累计",IF(OR(ROW()=$AU$3,ROW()=$AV$3,ROW()=$AW$3,ROW()=$AX$3,ROW()=$AY$3,ROW()=$AZ$3,ROW()=$BA$3,ROW()=$BB$3,ROW()=$BC$3,ROW()=$BD$3,ROW()=$BE$3,ROW()=$BF$3),"本月合计",IF(ROW()&lt;7,$AQ$6,OFFSET($AQ$6,COUNT($AR$6:AR70),0)))))</f>
        <v/>
      </c>
    </row>
    <row r="72" spans="1:44">
      <c r="A72" s="469" t="str">
        <f ca="1">IFERROR(INDEX(凭证录入!A:A,$AR72),"")</f>
        <v/>
      </c>
      <c r="B72" s="469" t="str">
        <f ca="1">IFERROR(INDEX(凭证录入!B:B,$AR72),"")</f>
        <v/>
      </c>
      <c r="C72" s="470" t="str">
        <f ca="1">IFERROR(INDEX(凭证录入!G:G,$AR72),"")</f>
        <v/>
      </c>
      <c r="D72" s="471" t="str">
        <f ca="1">IFERROR(INDEX(凭证录入!F:F,$AR72),"")</f>
        <v/>
      </c>
      <c r="E72" s="472" t="str">
        <f ca="1">IFERROR(INDEX(凭证录入!H:H,$AR72),$AR72)</f>
        <v/>
      </c>
      <c r="F72" s="473">
        <f ca="1">IF(OR($BG$2=0,$AR72=""),,IF($AR72="本月合计",IF(ROW()=$BG$3,SUM($F$6:$F71),SUM(INDIRECT("$F$"&amp;OFFSET($AU$3,,MATCH(ROW(),$AU$3:$BF$3,)-2)+2&amp;":$E"&amp;ROW()-1))),IF($AR72="本年累计",SUMIF($AR$6:$AR72,"本月合计",$F$6:$F71),INDEX(凭证录入!K:K,$AR72))))</f>
        <v>0</v>
      </c>
      <c r="G72" s="459" t="str">
        <f t="shared" ca="1" si="16"/>
        <v/>
      </c>
      <c r="H72" s="460" t="str">
        <f t="shared" ca="1" si="16"/>
        <v/>
      </c>
      <c r="I72" s="460" t="str">
        <f t="shared" ca="1" si="16"/>
        <v/>
      </c>
      <c r="J72" s="460" t="str">
        <f t="shared" ca="1" si="16"/>
        <v/>
      </c>
      <c r="K72" s="460" t="str">
        <f t="shared" ca="1" si="16"/>
        <v/>
      </c>
      <c r="L72" s="460" t="str">
        <f t="shared" ca="1" si="16"/>
        <v/>
      </c>
      <c r="M72" s="460" t="str">
        <f t="shared" ca="1" si="16"/>
        <v/>
      </c>
      <c r="N72" s="460" t="str">
        <f t="shared" ca="1" si="16"/>
        <v/>
      </c>
      <c r="O72" s="461" t="str">
        <f t="shared" ca="1" si="16"/>
        <v/>
      </c>
      <c r="P72" s="474" t="str">
        <f t="shared" ca="1" si="16"/>
        <v/>
      </c>
      <c r="Q72" s="475" t="str">
        <f t="shared" ca="1" si="16"/>
        <v/>
      </c>
      <c r="R72" s="476">
        <f ca="1">IF(OR($BG$2=0,$AR72=""),,IF($AR72="本月合计",IF(ROW()=$BG$3,SUM($R$6:$R71),SUM(INDIRECT("$R$"&amp;OFFSET($AU$3,,MATCH(ROW(),$AU$3:$BF$3,)-2)+2&amp;":$R"&amp;ROW()-1))),IF($AR72="本年累计",SUMIF($AR$6:$AR72,"本月合计",$R$6:$R71),INDEX(凭证录入!L:L,$AR72))))</f>
        <v>0</v>
      </c>
      <c r="S72" s="459" t="str">
        <f t="shared" ca="1" si="17"/>
        <v/>
      </c>
      <c r="T72" s="460" t="str">
        <f t="shared" ca="1" si="17"/>
        <v/>
      </c>
      <c r="U72" s="460" t="str">
        <f t="shared" ca="1" si="17"/>
        <v/>
      </c>
      <c r="V72" s="460" t="str">
        <f t="shared" ca="1" si="17"/>
        <v/>
      </c>
      <c r="W72" s="460" t="str">
        <f t="shared" ca="1" si="17"/>
        <v/>
      </c>
      <c r="X72" s="460" t="str">
        <f t="shared" ca="1" si="17"/>
        <v/>
      </c>
      <c r="Y72" s="460" t="str">
        <f t="shared" ca="1" si="17"/>
        <v/>
      </c>
      <c r="Z72" s="460" t="str">
        <f t="shared" ca="1" si="17"/>
        <v/>
      </c>
      <c r="AA72" s="461" t="str">
        <f t="shared" ca="1" si="17"/>
        <v/>
      </c>
      <c r="AB72" s="474" t="str">
        <f t="shared" ca="1" si="17"/>
        <v/>
      </c>
      <c r="AC72" s="475" t="str">
        <f t="shared" ca="1" si="17"/>
        <v/>
      </c>
      <c r="AD72" s="477" t="str">
        <f t="shared" ca="1" si="18"/>
        <v/>
      </c>
      <c r="AE72" s="478">
        <f t="shared" ca="1" si="19"/>
        <v>0</v>
      </c>
      <c r="AF72" s="459" t="str">
        <f t="shared" ca="1" si="15"/>
        <v/>
      </c>
      <c r="AG72" s="460" t="str">
        <f t="shared" ca="1" si="15"/>
        <v/>
      </c>
      <c r="AH72" s="460" t="str">
        <f t="shared" ca="1" si="15"/>
        <v/>
      </c>
      <c r="AI72" s="460" t="str">
        <f t="shared" ca="1" si="15"/>
        <v/>
      </c>
      <c r="AJ72" s="460" t="str">
        <f t="shared" ca="1" si="15"/>
        <v/>
      </c>
      <c r="AK72" s="460" t="str">
        <f t="shared" ca="1" si="15"/>
        <v/>
      </c>
      <c r="AL72" s="460" t="str">
        <f t="shared" ca="1" si="15"/>
        <v/>
      </c>
      <c r="AM72" s="460" t="str">
        <f t="shared" ca="1" si="15"/>
        <v/>
      </c>
      <c r="AN72" s="461" t="str">
        <f t="shared" ca="1" si="15"/>
        <v/>
      </c>
      <c r="AO72" s="474" t="str">
        <f t="shared" ca="1" si="15"/>
        <v/>
      </c>
      <c r="AP72" s="475" t="str">
        <f t="shared" ca="1" si="15"/>
        <v/>
      </c>
      <c r="AQ72" s="479" t="str">
        <f t="array" aca="1" ref="AQ72" ca="1">IF(ROW()-5&lt;=COUNTIF(科目编号,$AR$2),SMALL(IF(科目编号=$AR$2,ROW(科目编号),""),ROW()-5),"")</f>
        <v/>
      </c>
      <c r="AR72" s="480" t="str">
        <f ca="1">IF($BG$2=0,"",IF(AR71="本月合计","本年累计",IF(OR(ROW()=$AU$3,ROW()=$AV$3,ROW()=$AW$3,ROW()=$AX$3,ROW()=$AY$3,ROW()=$AZ$3,ROW()=$BA$3,ROW()=$BB$3,ROW()=$BC$3,ROW()=$BD$3,ROW()=$BE$3,ROW()=$BF$3),"本月合计",IF(ROW()&lt;7,$AQ$6,OFFSET($AQ$6,COUNT($AR$6:AR71),0)))))</f>
        <v/>
      </c>
    </row>
    <row r="73" spans="1:44">
      <c r="A73" s="469" t="str">
        <f ca="1">IFERROR(INDEX(凭证录入!A:A,$AR73),"")</f>
        <v/>
      </c>
      <c r="B73" s="469" t="str">
        <f ca="1">IFERROR(INDEX(凭证录入!B:B,$AR73),"")</f>
        <v/>
      </c>
      <c r="C73" s="470" t="str">
        <f ca="1">IFERROR(INDEX(凭证录入!G:G,$AR73),"")</f>
        <v/>
      </c>
      <c r="D73" s="471" t="str">
        <f ca="1">IFERROR(INDEX(凭证录入!F:F,$AR73),"")</f>
        <v/>
      </c>
      <c r="E73" s="472" t="str">
        <f ca="1">IFERROR(INDEX(凭证录入!H:H,$AR73),$AR73)</f>
        <v/>
      </c>
      <c r="F73" s="473">
        <f ca="1">IF(OR($BG$2=0,$AR73=""),,IF($AR73="本月合计",IF(ROW()=$BG$3,SUM($F$6:$F72),SUM(INDIRECT("$F$"&amp;OFFSET($AU$3,,MATCH(ROW(),$AU$3:$BF$3,)-2)+2&amp;":$E"&amp;ROW()-1))),IF($AR73="本年累计",SUMIF($AR$6:$AR73,"本月合计",$F$6:$F72),INDEX(凭证录入!K:K,$AR73))))</f>
        <v>0</v>
      </c>
      <c r="G73" s="459" t="str">
        <f t="shared" ca="1" si="16"/>
        <v/>
      </c>
      <c r="H73" s="460" t="str">
        <f t="shared" ca="1" si="16"/>
        <v/>
      </c>
      <c r="I73" s="460" t="str">
        <f t="shared" ca="1" si="16"/>
        <v/>
      </c>
      <c r="J73" s="460" t="str">
        <f t="shared" ca="1" si="16"/>
        <v/>
      </c>
      <c r="K73" s="460" t="str">
        <f t="shared" ca="1" si="16"/>
        <v/>
      </c>
      <c r="L73" s="460" t="str">
        <f t="shared" ca="1" si="16"/>
        <v/>
      </c>
      <c r="M73" s="460" t="str">
        <f t="shared" ca="1" si="16"/>
        <v/>
      </c>
      <c r="N73" s="460" t="str">
        <f t="shared" ca="1" si="16"/>
        <v/>
      </c>
      <c r="O73" s="461" t="str">
        <f t="shared" ca="1" si="16"/>
        <v/>
      </c>
      <c r="P73" s="474" t="str">
        <f t="shared" ca="1" si="16"/>
        <v/>
      </c>
      <c r="Q73" s="475" t="str">
        <f t="shared" ca="1" si="16"/>
        <v/>
      </c>
      <c r="R73" s="476">
        <f ca="1">IF(OR($BG$2=0,$AR73=""),,IF($AR73="本月合计",IF(ROW()=$BG$3,SUM($R$6:$R72),SUM(INDIRECT("$R$"&amp;OFFSET($AU$3,,MATCH(ROW(),$AU$3:$BF$3,)-2)+2&amp;":$R"&amp;ROW()-1))),IF($AR73="本年累计",SUMIF($AR$6:$AR73,"本月合计",$R$6:$R72),INDEX(凭证录入!L:L,$AR73))))</f>
        <v>0</v>
      </c>
      <c r="S73" s="459" t="str">
        <f t="shared" ca="1" si="17"/>
        <v/>
      </c>
      <c r="T73" s="460" t="str">
        <f t="shared" ca="1" si="17"/>
        <v/>
      </c>
      <c r="U73" s="460" t="str">
        <f t="shared" ca="1" si="17"/>
        <v/>
      </c>
      <c r="V73" s="460" t="str">
        <f t="shared" ca="1" si="17"/>
        <v/>
      </c>
      <c r="W73" s="460" t="str">
        <f t="shared" ca="1" si="17"/>
        <v/>
      </c>
      <c r="X73" s="460" t="str">
        <f t="shared" ca="1" si="17"/>
        <v/>
      </c>
      <c r="Y73" s="460" t="str">
        <f t="shared" ca="1" si="17"/>
        <v/>
      </c>
      <c r="Z73" s="460" t="str">
        <f t="shared" ca="1" si="17"/>
        <v/>
      </c>
      <c r="AA73" s="461" t="str">
        <f t="shared" ca="1" si="17"/>
        <v/>
      </c>
      <c r="AB73" s="474" t="str">
        <f t="shared" ca="1" si="17"/>
        <v/>
      </c>
      <c r="AC73" s="475" t="str">
        <f t="shared" ca="1" si="17"/>
        <v/>
      </c>
      <c r="AD73" s="477" t="str">
        <f t="shared" ca="1" si="18"/>
        <v/>
      </c>
      <c r="AE73" s="478">
        <f t="shared" ca="1" si="19"/>
        <v>0</v>
      </c>
      <c r="AF73" s="459" t="str">
        <f t="shared" ca="1" si="15"/>
        <v/>
      </c>
      <c r="AG73" s="460" t="str">
        <f t="shared" ca="1" si="15"/>
        <v/>
      </c>
      <c r="AH73" s="460" t="str">
        <f t="shared" ca="1" si="15"/>
        <v/>
      </c>
      <c r="AI73" s="460" t="str">
        <f t="shared" ca="1" si="15"/>
        <v/>
      </c>
      <c r="AJ73" s="460" t="str">
        <f t="shared" ca="1" si="15"/>
        <v/>
      </c>
      <c r="AK73" s="460" t="str">
        <f t="shared" ca="1" si="15"/>
        <v/>
      </c>
      <c r="AL73" s="460" t="str">
        <f t="shared" ca="1" si="15"/>
        <v/>
      </c>
      <c r="AM73" s="460" t="str">
        <f t="shared" ca="1" si="15"/>
        <v/>
      </c>
      <c r="AN73" s="461" t="str">
        <f t="shared" ca="1" si="15"/>
        <v/>
      </c>
      <c r="AO73" s="474" t="str">
        <f t="shared" ca="1" si="15"/>
        <v/>
      </c>
      <c r="AP73" s="475" t="str">
        <f t="shared" ca="1" si="15"/>
        <v/>
      </c>
      <c r="AQ73" s="479" t="str">
        <f t="array" aca="1" ref="AQ73" ca="1">IF(ROW()-5&lt;=COUNTIF(科目编号,$AR$2),SMALL(IF(科目编号=$AR$2,ROW(科目编号),""),ROW()-5),"")</f>
        <v/>
      </c>
      <c r="AR73" s="480" t="str">
        <f ca="1">IF($BG$2=0,"",IF(AR72="本月合计","本年累计",IF(OR(ROW()=$AU$3,ROW()=$AV$3,ROW()=$AW$3,ROW()=$AX$3,ROW()=$AY$3,ROW()=$AZ$3,ROW()=$BA$3,ROW()=$BB$3,ROW()=$BC$3,ROW()=$BD$3,ROW()=$BE$3,ROW()=$BF$3),"本月合计",IF(ROW()&lt;7,$AQ$6,OFFSET($AQ$6,COUNT($AR$6:AR72),0)))))</f>
        <v/>
      </c>
    </row>
    <row r="74" spans="1:44">
      <c r="A74" s="469" t="str">
        <f ca="1">IFERROR(INDEX(凭证录入!A:A,$AR74),"")</f>
        <v/>
      </c>
      <c r="B74" s="469" t="str">
        <f ca="1">IFERROR(INDEX(凭证录入!B:B,$AR74),"")</f>
        <v/>
      </c>
      <c r="C74" s="470" t="str">
        <f ca="1">IFERROR(INDEX(凭证录入!G:G,$AR74),"")</f>
        <v/>
      </c>
      <c r="D74" s="471" t="str">
        <f ca="1">IFERROR(INDEX(凭证录入!F:F,$AR74),"")</f>
        <v/>
      </c>
      <c r="E74" s="472" t="str">
        <f ca="1">IFERROR(INDEX(凭证录入!H:H,$AR74),$AR74)</f>
        <v/>
      </c>
      <c r="F74" s="473">
        <f ca="1">IF(OR($BG$2=0,$AR74=""),,IF($AR74="本月合计",IF(ROW()=$BG$3,SUM($F$6:$F73),SUM(INDIRECT("$F$"&amp;OFFSET($AU$3,,MATCH(ROW(),$AU$3:$BF$3,)-2)+2&amp;":$E"&amp;ROW()-1))),IF($AR74="本年累计",SUMIF($AR$6:$AR74,"本月合计",$F$6:$F73),INDEX(凭证录入!K:K,$AR74))))</f>
        <v>0</v>
      </c>
      <c r="G74" s="459" t="str">
        <f t="shared" ca="1" si="16"/>
        <v/>
      </c>
      <c r="H74" s="460" t="str">
        <f t="shared" ca="1" si="16"/>
        <v/>
      </c>
      <c r="I74" s="460" t="str">
        <f t="shared" ca="1" si="16"/>
        <v/>
      </c>
      <c r="J74" s="460" t="str">
        <f t="shared" ca="1" si="16"/>
        <v/>
      </c>
      <c r="K74" s="460" t="str">
        <f t="shared" ca="1" si="16"/>
        <v/>
      </c>
      <c r="L74" s="460" t="str">
        <f t="shared" ca="1" si="16"/>
        <v/>
      </c>
      <c r="M74" s="460" t="str">
        <f t="shared" ca="1" si="16"/>
        <v/>
      </c>
      <c r="N74" s="460" t="str">
        <f t="shared" ca="1" si="16"/>
        <v/>
      </c>
      <c r="O74" s="461" t="str">
        <f t="shared" ca="1" si="16"/>
        <v/>
      </c>
      <c r="P74" s="474" t="str">
        <f t="shared" ca="1" si="16"/>
        <v/>
      </c>
      <c r="Q74" s="475" t="str">
        <f t="shared" ca="1" si="16"/>
        <v/>
      </c>
      <c r="R74" s="476">
        <f ca="1">IF(OR($BG$2=0,$AR74=""),,IF($AR74="本月合计",IF(ROW()=$BG$3,SUM($R$6:$R73),SUM(INDIRECT("$R$"&amp;OFFSET($AU$3,,MATCH(ROW(),$AU$3:$BF$3,)-2)+2&amp;":$R"&amp;ROW()-1))),IF($AR74="本年累计",SUMIF($AR$6:$AR74,"本月合计",$R$6:$R73),INDEX(凭证录入!L:L,$AR74))))</f>
        <v>0</v>
      </c>
      <c r="S74" s="459" t="str">
        <f t="shared" ca="1" si="17"/>
        <v/>
      </c>
      <c r="T74" s="460" t="str">
        <f t="shared" ca="1" si="17"/>
        <v/>
      </c>
      <c r="U74" s="460" t="str">
        <f t="shared" ca="1" si="17"/>
        <v/>
      </c>
      <c r="V74" s="460" t="str">
        <f t="shared" ca="1" si="17"/>
        <v/>
      </c>
      <c r="W74" s="460" t="str">
        <f t="shared" ca="1" si="17"/>
        <v/>
      </c>
      <c r="X74" s="460" t="str">
        <f t="shared" ca="1" si="17"/>
        <v/>
      </c>
      <c r="Y74" s="460" t="str">
        <f t="shared" ca="1" si="17"/>
        <v/>
      </c>
      <c r="Z74" s="460" t="str">
        <f t="shared" ca="1" si="17"/>
        <v/>
      </c>
      <c r="AA74" s="461" t="str">
        <f t="shared" ca="1" si="17"/>
        <v/>
      </c>
      <c r="AB74" s="474" t="str">
        <f t="shared" ca="1" si="17"/>
        <v/>
      </c>
      <c r="AC74" s="475" t="str">
        <f t="shared" ca="1" si="17"/>
        <v/>
      </c>
      <c r="AD74" s="477" t="str">
        <f t="shared" ca="1" si="18"/>
        <v/>
      </c>
      <c r="AE74" s="478">
        <f t="shared" ca="1" si="19"/>
        <v>0</v>
      </c>
      <c r="AF74" s="459" t="str">
        <f t="shared" ca="1" si="15"/>
        <v/>
      </c>
      <c r="AG74" s="460" t="str">
        <f t="shared" ca="1" si="15"/>
        <v/>
      </c>
      <c r="AH74" s="460" t="str">
        <f t="shared" ca="1" si="15"/>
        <v/>
      </c>
      <c r="AI74" s="460" t="str">
        <f t="shared" ca="1" si="15"/>
        <v/>
      </c>
      <c r="AJ74" s="460" t="str">
        <f t="shared" ca="1" si="15"/>
        <v/>
      </c>
      <c r="AK74" s="460" t="str">
        <f t="shared" ca="1" si="15"/>
        <v/>
      </c>
      <c r="AL74" s="460" t="str">
        <f t="shared" ca="1" si="15"/>
        <v/>
      </c>
      <c r="AM74" s="460" t="str">
        <f t="shared" ca="1" si="15"/>
        <v/>
      </c>
      <c r="AN74" s="461" t="str">
        <f t="shared" ca="1" si="15"/>
        <v/>
      </c>
      <c r="AO74" s="474" t="str">
        <f t="shared" ca="1" si="15"/>
        <v/>
      </c>
      <c r="AP74" s="475" t="str">
        <f t="shared" ca="1" si="15"/>
        <v/>
      </c>
      <c r="AQ74" s="479" t="str">
        <f t="array" aca="1" ref="AQ74" ca="1">IF(ROW()-5&lt;=COUNTIF(科目编号,$AR$2),SMALL(IF(科目编号=$AR$2,ROW(科目编号),""),ROW()-5),"")</f>
        <v/>
      </c>
      <c r="AR74" s="480" t="str">
        <f ca="1">IF($BG$2=0,"",IF(AR73="本月合计","本年累计",IF(OR(ROW()=$AU$3,ROW()=$AV$3,ROW()=$AW$3,ROW()=$AX$3,ROW()=$AY$3,ROW()=$AZ$3,ROW()=$BA$3,ROW()=$BB$3,ROW()=$BC$3,ROW()=$BD$3,ROW()=$BE$3,ROW()=$BF$3),"本月合计",IF(ROW()&lt;7,$AQ$6,OFFSET($AQ$6,COUNT($AR$6:AR73),0)))))</f>
        <v/>
      </c>
    </row>
    <row r="75" spans="1:44">
      <c r="A75" s="469" t="str">
        <f ca="1">IFERROR(INDEX(凭证录入!A:A,$AR75),"")</f>
        <v/>
      </c>
      <c r="B75" s="469" t="str">
        <f ca="1">IFERROR(INDEX(凭证录入!B:B,$AR75),"")</f>
        <v/>
      </c>
      <c r="C75" s="470" t="str">
        <f ca="1">IFERROR(INDEX(凭证录入!G:G,$AR75),"")</f>
        <v/>
      </c>
      <c r="D75" s="471" t="str">
        <f ca="1">IFERROR(INDEX(凭证录入!F:F,$AR75),"")</f>
        <v/>
      </c>
      <c r="E75" s="472" t="str">
        <f ca="1">IFERROR(INDEX(凭证录入!H:H,$AR75),$AR75)</f>
        <v/>
      </c>
      <c r="F75" s="473">
        <f ca="1">IF(OR($BG$2=0,$AR75=""),,IF($AR75="本月合计",IF(ROW()=$BG$3,SUM($F$6:$F74),SUM(INDIRECT("$F$"&amp;OFFSET($AU$3,,MATCH(ROW(),$AU$3:$BF$3,)-2)+2&amp;":$E"&amp;ROW()-1))),IF($AR75="本年累计",SUMIF($AR$6:$AR75,"本月合计",$F$6:$F74),INDEX(凭证录入!K:K,$AR75))))</f>
        <v>0</v>
      </c>
      <c r="G75" s="459" t="str">
        <f t="shared" ca="1" si="16"/>
        <v/>
      </c>
      <c r="H75" s="460" t="str">
        <f t="shared" ca="1" si="16"/>
        <v/>
      </c>
      <c r="I75" s="460" t="str">
        <f t="shared" ca="1" si="16"/>
        <v/>
      </c>
      <c r="J75" s="460" t="str">
        <f t="shared" ca="1" si="16"/>
        <v/>
      </c>
      <c r="K75" s="460" t="str">
        <f t="shared" ca="1" si="16"/>
        <v/>
      </c>
      <c r="L75" s="460" t="str">
        <f t="shared" ca="1" si="16"/>
        <v/>
      </c>
      <c r="M75" s="460" t="str">
        <f t="shared" ca="1" si="16"/>
        <v/>
      </c>
      <c r="N75" s="460" t="str">
        <f t="shared" ca="1" si="16"/>
        <v/>
      </c>
      <c r="O75" s="461" t="str">
        <f t="shared" ca="1" si="16"/>
        <v/>
      </c>
      <c r="P75" s="474" t="str">
        <f t="shared" ca="1" si="16"/>
        <v/>
      </c>
      <c r="Q75" s="475" t="str">
        <f t="shared" ca="1" si="16"/>
        <v/>
      </c>
      <c r="R75" s="476">
        <f ca="1">IF(OR($BG$2=0,$AR75=""),,IF($AR75="本月合计",IF(ROW()=$BG$3,SUM($R$6:$R74),SUM(INDIRECT("$R$"&amp;OFFSET($AU$3,,MATCH(ROW(),$AU$3:$BF$3,)-2)+2&amp;":$R"&amp;ROW()-1))),IF($AR75="本年累计",SUMIF($AR$6:$AR75,"本月合计",$R$6:$R74),INDEX(凭证录入!L:L,$AR75))))</f>
        <v>0</v>
      </c>
      <c r="S75" s="459" t="str">
        <f t="shared" ca="1" si="17"/>
        <v/>
      </c>
      <c r="T75" s="460" t="str">
        <f t="shared" ca="1" si="17"/>
        <v/>
      </c>
      <c r="U75" s="460" t="str">
        <f t="shared" ca="1" si="17"/>
        <v/>
      </c>
      <c r="V75" s="460" t="str">
        <f t="shared" ca="1" si="17"/>
        <v/>
      </c>
      <c r="W75" s="460" t="str">
        <f t="shared" ca="1" si="17"/>
        <v/>
      </c>
      <c r="X75" s="460" t="str">
        <f t="shared" ca="1" si="17"/>
        <v/>
      </c>
      <c r="Y75" s="460" t="str">
        <f t="shared" ca="1" si="17"/>
        <v/>
      </c>
      <c r="Z75" s="460" t="str">
        <f t="shared" ca="1" si="17"/>
        <v/>
      </c>
      <c r="AA75" s="461" t="str">
        <f t="shared" ca="1" si="17"/>
        <v/>
      </c>
      <c r="AB75" s="474" t="str">
        <f t="shared" ca="1" si="17"/>
        <v/>
      </c>
      <c r="AC75" s="475" t="str">
        <f t="shared" ca="1" si="17"/>
        <v/>
      </c>
      <c r="AD75" s="477" t="str">
        <f t="shared" ca="1" si="18"/>
        <v/>
      </c>
      <c r="AE75" s="478">
        <f t="shared" ca="1" si="19"/>
        <v>0</v>
      </c>
      <c r="AF75" s="459" t="str">
        <f t="shared" ca="1" si="15"/>
        <v/>
      </c>
      <c r="AG75" s="460" t="str">
        <f t="shared" ca="1" si="15"/>
        <v/>
      </c>
      <c r="AH75" s="460" t="str">
        <f t="shared" ca="1" si="15"/>
        <v/>
      </c>
      <c r="AI75" s="460" t="str">
        <f t="shared" ca="1" si="15"/>
        <v/>
      </c>
      <c r="AJ75" s="460" t="str">
        <f t="shared" ca="1" si="15"/>
        <v/>
      </c>
      <c r="AK75" s="460" t="str">
        <f t="shared" ca="1" si="15"/>
        <v/>
      </c>
      <c r="AL75" s="460" t="str">
        <f t="shared" ca="1" si="15"/>
        <v/>
      </c>
      <c r="AM75" s="460" t="str">
        <f t="shared" ca="1" si="15"/>
        <v/>
      </c>
      <c r="AN75" s="461" t="str">
        <f t="shared" ca="1" si="15"/>
        <v/>
      </c>
      <c r="AO75" s="474" t="str">
        <f t="shared" ca="1" si="15"/>
        <v/>
      </c>
      <c r="AP75" s="475" t="str">
        <f t="shared" ca="1" si="15"/>
        <v/>
      </c>
      <c r="AQ75" s="479" t="str">
        <f t="array" aca="1" ref="AQ75" ca="1">IF(ROW()-5&lt;=COUNTIF(科目编号,$AR$2),SMALL(IF(科目编号=$AR$2,ROW(科目编号),""),ROW()-5),"")</f>
        <v/>
      </c>
      <c r="AR75" s="480" t="str">
        <f ca="1">IF($BG$2=0,"",IF(AR74="本月合计","本年累计",IF(OR(ROW()=$AU$3,ROW()=$AV$3,ROW()=$AW$3,ROW()=$AX$3,ROW()=$AY$3,ROW()=$AZ$3,ROW()=$BA$3,ROW()=$BB$3,ROW()=$BC$3,ROW()=$BD$3,ROW()=$BE$3,ROW()=$BF$3),"本月合计",IF(ROW()&lt;7,$AQ$6,OFFSET($AQ$6,COUNT($AR$6:AR74),0)))))</f>
        <v/>
      </c>
    </row>
    <row r="76" spans="1:44">
      <c r="A76" s="469" t="str">
        <f ca="1">IFERROR(INDEX(凭证录入!A:A,$AR76),"")</f>
        <v/>
      </c>
      <c r="B76" s="469" t="str">
        <f ca="1">IFERROR(INDEX(凭证录入!B:B,$AR76),"")</f>
        <v/>
      </c>
      <c r="C76" s="470" t="str">
        <f ca="1">IFERROR(INDEX(凭证录入!G:G,$AR76),"")</f>
        <v/>
      </c>
      <c r="D76" s="471" t="str">
        <f ca="1">IFERROR(INDEX(凭证录入!F:F,$AR76),"")</f>
        <v/>
      </c>
      <c r="E76" s="472" t="str">
        <f ca="1">IFERROR(INDEX(凭证录入!H:H,$AR76),$AR76)</f>
        <v/>
      </c>
      <c r="F76" s="473">
        <f ca="1">IF(OR($BG$2=0,$AR76=""),,IF($AR76="本月合计",IF(ROW()=$BG$3,SUM($F$6:$F75),SUM(INDIRECT("$F$"&amp;OFFSET($AU$3,,MATCH(ROW(),$AU$3:$BF$3,)-2)+2&amp;":$E"&amp;ROW()-1))),IF($AR76="本年累计",SUMIF($AR$6:$AR76,"本月合计",$F$6:$F75),INDEX(凭证录入!K:K,$AR76))))</f>
        <v>0</v>
      </c>
      <c r="G76" s="459" t="str">
        <f t="shared" ca="1" si="16"/>
        <v/>
      </c>
      <c r="H76" s="460" t="str">
        <f t="shared" ca="1" si="16"/>
        <v/>
      </c>
      <c r="I76" s="460" t="str">
        <f t="shared" ca="1" si="16"/>
        <v/>
      </c>
      <c r="J76" s="460" t="str">
        <f t="shared" ca="1" si="16"/>
        <v/>
      </c>
      <c r="K76" s="460" t="str">
        <f t="shared" ca="1" si="16"/>
        <v/>
      </c>
      <c r="L76" s="460" t="str">
        <f t="shared" ca="1" si="16"/>
        <v/>
      </c>
      <c r="M76" s="460" t="str">
        <f t="shared" ca="1" si="16"/>
        <v/>
      </c>
      <c r="N76" s="460" t="str">
        <f t="shared" ca="1" si="16"/>
        <v/>
      </c>
      <c r="O76" s="461" t="str">
        <f t="shared" ca="1" si="16"/>
        <v/>
      </c>
      <c r="P76" s="474" t="str">
        <f t="shared" ca="1" si="16"/>
        <v/>
      </c>
      <c r="Q76" s="475" t="str">
        <f t="shared" ca="1" si="16"/>
        <v/>
      </c>
      <c r="R76" s="476">
        <f ca="1">IF(OR($BG$2=0,$AR76=""),,IF($AR76="本月合计",IF(ROW()=$BG$3,SUM($R$6:$R75),SUM(INDIRECT("$R$"&amp;OFFSET($AU$3,,MATCH(ROW(),$AU$3:$BF$3,)-2)+2&amp;":$R"&amp;ROW()-1))),IF($AR76="本年累计",SUMIF($AR$6:$AR76,"本月合计",$R$6:$R75),INDEX(凭证录入!L:L,$AR76))))</f>
        <v>0</v>
      </c>
      <c r="S76" s="459" t="str">
        <f t="shared" ca="1" si="17"/>
        <v/>
      </c>
      <c r="T76" s="460" t="str">
        <f t="shared" ca="1" si="17"/>
        <v/>
      </c>
      <c r="U76" s="460" t="str">
        <f t="shared" ca="1" si="17"/>
        <v/>
      </c>
      <c r="V76" s="460" t="str">
        <f t="shared" ca="1" si="17"/>
        <v/>
      </c>
      <c r="W76" s="460" t="str">
        <f t="shared" ca="1" si="17"/>
        <v/>
      </c>
      <c r="X76" s="460" t="str">
        <f t="shared" ca="1" si="17"/>
        <v/>
      </c>
      <c r="Y76" s="460" t="str">
        <f t="shared" ca="1" si="17"/>
        <v/>
      </c>
      <c r="Z76" s="460" t="str">
        <f t="shared" ca="1" si="17"/>
        <v/>
      </c>
      <c r="AA76" s="461" t="str">
        <f t="shared" ca="1" si="17"/>
        <v/>
      </c>
      <c r="AB76" s="474" t="str">
        <f t="shared" ca="1" si="17"/>
        <v/>
      </c>
      <c r="AC76" s="475" t="str">
        <f t="shared" ca="1" si="17"/>
        <v/>
      </c>
      <c r="AD76" s="477" t="str">
        <f t="shared" ca="1" si="18"/>
        <v/>
      </c>
      <c r="AE76" s="478">
        <f t="shared" ca="1" si="19"/>
        <v>0</v>
      </c>
      <c r="AF76" s="459" t="str">
        <f t="shared" ca="1" si="15"/>
        <v/>
      </c>
      <c r="AG76" s="460" t="str">
        <f t="shared" ca="1" si="15"/>
        <v/>
      </c>
      <c r="AH76" s="460" t="str">
        <f t="shared" ca="1" si="15"/>
        <v/>
      </c>
      <c r="AI76" s="460" t="str">
        <f t="shared" ca="1" si="15"/>
        <v/>
      </c>
      <c r="AJ76" s="460" t="str">
        <f t="shared" ca="1" si="15"/>
        <v/>
      </c>
      <c r="AK76" s="460" t="str">
        <f t="shared" ca="1" si="15"/>
        <v/>
      </c>
      <c r="AL76" s="460" t="str">
        <f t="shared" ca="1" si="15"/>
        <v/>
      </c>
      <c r="AM76" s="460" t="str">
        <f t="shared" ca="1" si="15"/>
        <v/>
      </c>
      <c r="AN76" s="461" t="str">
        <f t="shared" ca="1" si="15"/>
        <v/>
      </c>
      <c r="AO76" s="474" t="str">
        <f t="shared" ca="1" si="15"/>
        <v/>
      </c>
      <c r="AP76" s="475" t="str">
        <f t="shared" ca="1" si="15"/>
        <v/>
      </c>
      <c r="AQ76" s="479" t="str">
        <f t="array" aca="1" ref="AQ76" ca="1">IF(ROW()-5&lt;=COUNTIF(科目编号,$AR$2),SMALL(IF(科目编号=$AR$2,ROW(科目编号),""),ROW()-5),"")</f>
        <v/>
      </c>
      <c r="AR76" s="480" t="str">
        <f ca="1">IF($BG$2=0,"",IF(AR75="本月合计","本年累计",IF(OR(ROW()=$AU$3,ROW()=$AV$3,ROW()=$AW$3,ROW()=$AX$3,ROW()=$AY$3,ROW()=$AZ$3,ROW()=$BA$3,ROW()=$BB$3,ROW()=$BC$3,ROW()=$BD$3,ROW()=$BE$3,ROW()=$BF$3),"本月合计",IF(ROW()&lt;7,$AQ$6,OFFSET($AQ$6,COUNT($AR$6:AR75),0)))))</f>
        <v/>
      </c>
    </row>
    <row r="77" spans="1:44">
      <c r="A77" s="469" t="str">
        <f ca="1">IFERROR(INDEX(凭证录入!A:A,$AR77),"")</f>
        <v/>
      </c>
      <c r="B77" s="469" t="str">
        <f ca="1">IFERROR(INDEX(凭证录入!B:B,$AR77),"")</f>
        <v/>
      </c>
      <c r="C77" s="470" t="str">
        <f ca="1">IFERROR(INDEX(凭证录入!G:G,$AR77),"")</f>
        <v/>
      </c>
      <c r="D77" s="471" t="str">
        <f ca="1">IFERROR(INDEX(凭证录入!F:F,$AR77),"")</f>
        <v/>
      </c>
      <c r="E77" s="472" t="str">
        <f ca="1">IFERROR(INDEX(凭证录入!H:H,$AR77),$AR77)</f>
        <v/>
      </c>
      <c r="F77" s="473">
        <f ca="1">IF(OR($BG$2=0,$AR77=""),,IF($AR77="本月合计",IF(ROW()=$BG$3,SUM($F$6:$F76),SUM(INDIRECT("$F$"&amp;OFFSET($AU$3,,MATCH(ROW(),$AU$3:$BF$3,)-2)+2&amp;":$E"&amp;ROW()-1))),IF($AR77="本年累计",SUMIF($AR$6:$AR77,"本月合计",$F$6:$F76),INDEX(凭证录入!K:K,$AR77))))</f>
        <v>0</v>
      </c>
      <c r="G77" s="459" t="str">
        <f t="shared" ca="1" si="16"/>
        <v/>
      </c>
      <c r="H77" s="460" t="str">
        <f t="shared" ca="1" si="16"/>
        <v/>
      </c>
      <c r="I77" s="460" t="str">
        <f t="shared" ca="1" si="16"/>
        <v/>
      </c>
      <c r="J77" s="460" t="str">
        <f t="shared" ca="1" si="16"/>
        <v/>
      </c>
      <c r="K77" s="460" t="str">
        <f t="shared" ca="1" si="16"/>
        <v/>
      </c>
      <c r="L77" s="460" t="str">
        <f t="shared" ca="1" si="16"/>
        <v/>
      </c>
      <c r="M77" s="460" t="str">
        <f t="shared" ca="1" si="16"/>
        <v/>
      </c>
      <c r="N77" s="460" t="str">
        <f t="shared" ca="1" si="16"/>
        <v/>
      </c>
      <c r="O77" s="461" t="str">
        <f t="shared" ca="1" si="16"/>
        <v/>
      </c>
      <c r="P77" s="474" t="str">
        <f t="shared" ca="1" si="16"/>
        <v/>
      </c>
      <c r="Q77" s="475" t="str">
        <f t="shared" ca="1" si="16"/>
        <v/>
      </c>
      <c r="R77" s="476">
        <f ca="1">IF(OR($BG$2=0,$AR77=""),,IF($AR77="本月合计",IF(ROW()=$BG$3,SUM($R$6:$R76),SUM(INDIRECT("$R$"&amp;OFFSET($AU$3,,MATCH(ROW(),$AU$3:$BF$3,)-2)+2&amp;":$R"&amp;ROW()-1))),IF($AR77="本年累计",SUMIF($AR$6:$AR77,"本月合计",$R$6:$R76),INDEX(凭证录入!L:L,$AR77))))</f>
        <v>0</v>
      </c>
      <c r="S77" s="459" t="str">
        <f t="shared" ca="1" si="17"/>
        <v/>
      </c>
      <c r="T77" s="460" t="str">
        <f t="shared" ca="1" si="17"/>
        <v/>
      </c>
      <c r="U77" s="460" t="str">
        <f t="shared" ca="1" si="17"/>
        <v/>
      </c>
      <c r="V77" s="460" t="str">
        <f t="shared" ca="1" si="17"/>
        <v/>
      </c>
      <c r="W77" s="460" t="str">
        <f t="shared" ca="1" si="17"/>
        <v/>
      </c>
      <c r="X77" s="460" t="str">
        <f t="shared" ca="1" si="17"/>
        <v/>
      </c>
      <c r="Y77" s="460" t="str">
        <f t="shared" ca="1" si="17"/>
        <v/>
      </c>
      <c r="Z77" s="460" t="str">
        <f t="shared" ca="1" si="17"/>
        <v/>
      </c>
      <c r="AA77" s="461" t="str">
        <f t="shared" ca="1" si="17"/>
        <v/>
      </c>
      <c r="AB77" s="474" t="str">
        <f t="shared" ca="1" si="17"/>
        <v/>
      </c>
      <c r="AC77" s="475" t="str">
        <f t="shared" ca="1" si="17"/>
        <v/>
      </c>
      <c r="AD77" s="477" t="str">
        <f t="shared" ca="1" si="18"/>
        <v/>
      </c>
      <c r="AE77" s="478">
        <f t="shared" ca="1" si="19"/>
        <v>0</v>
      </c>
      <c r="AF77" s="459" t="str">
        <f t="shared" ca="1" si="15"/>
        <v/>
      </c>
      <c r="AG77" s="460" t="str">
        <f t="shared" ca="1" si="15"/>
        <v/>
      </c>
      <c r="AH77" s="460" t="str">
        <f t="shared" ca="1" si="15"/>
        <v/>
      </c>
      <c r="AI77" s="460" t="str">
        <f t="shared" ca="1" si="15"/>
        <v/>
      </c>
      <c r="AJ77" s="460" t="str">
        <f t="shared" ca="1" si="15"/>
        <v/>
      </c>
      <c r="AK77" s="460" t="str">
        <f t="shared" ca="1" si="15"/>
        <v/>
      </c>
      <c r="AL77" s="460" t="str">
        <f t="shared" ca="1" si="15"/>
        <v/>
      </c>
      <c r="AM77" s="460" t="str">
        <f t="shared" ca="1" si="15"/>
        <v/>
      </c>
      <c r="AN77" s="461" t="str">
        <f t="shared" ca="1" si="15"/>
        <v/>
      </c>
      <c r="AO77" s="474" t="str">
        <f t="shared" ca="1" si="15"/>
        <v/>
      </c>
      <c r="AP77" s="475" t="str">
        <f t="shared" ca="1" si="15"/>
        <v/>
      </c>
      <c r="AQ77" s="479" t="str">
        <f t="array" aca="1" ref="AQ77" ca="1">IF(ROW()-5&lt;=COUNTIF(科目编号,$AR$2),SMALL(IF(科目编号=$AR$2,ROW(科目编号),""),ROW()-5),"")</f>
        <v/>
      </c>
      <c r="AR77" s="480" t="str">
        <f ca="1">IF($BG$2=0,"",IF(AR76="本月合计","本年累计",IF(OR(ROW()=$AU$3,ROW()=$AV$3,ROW()=$AW$3,ROW()=$AX$3,ROW()=$AY$3,ROW()=$AZ$3,ROW()=$BA$3,ROW()=$BB$3,ROW()=$BC$3,ROW()=$BD$3,ROW()=$BE$3,ROW()=$BF$3),"本月合计",IF(ROW()&lt;7,$AQ$6,OFFSET($AQ$6,COUNT($AR$6:AR76),0)))))</f>
        <v/>
      </c>
    </row>
    <row r="78" spans="1:44">
      <c r="A78" s="469" t="str">
        <f ca="1">IFERROR(INDEX(凭证录入!A:A,$AR78),"")</f>
        <v/>
      </c>
      <c r="B78" s="469" t="str">
        <f ca="1">IFERROR(INDEX(凭证录入!B:B,$AR78),"")</f>
        <v/>
      </c>
      <c r="C78" s="470" t="str">
        <f ca="1">IFERROR(INDEX(凭证录入!G:G,$AR78),"")</f>
        <v/>
      </c>
      <c r="D78" s="471" t="str">
        <f ca="1">IFERROR(INDEX(凭证录入!F:F,$AR78),"")</f>
        <v/>
      </c>
      <c r="E78" s="472" t="str">
        <f ca="1">IFERROR(INDEX(凭证录入!H:H,$AR78),$AR78)</f>
        <v/>
      </c>
      <c r="F78" s="473">
        <f ca="1">IF(OR($BG$2=0,$AR78=""),,IF($AR78="本月合计",IF(ROW()=$BG$3,SUM($F$6:$F77),SUM(INDIRECT("$F$"&amp;OFFSET($AU$3,,MATCH(ROW(),$AU$3:$BF$3,)-2)+2&amp;":$E"&amp;ROW()-1))),IF($AR78="本年累计",SUMIF($AR$6:$AR78,"本月合计",$F$6:$F77),INDEX(凭证录入!K:K,$AR78))))</f>
        <v>0</v>
      </c>
      <c r="G78" s="459" t="str">
        <f t="shared" ca="1" si="16"/>
        <v/>
      </c>
      <c r="H78" s="460" t="str">
        <f t="shared" ca="1" si="16"/>
        <v/>
      </c>
      <c r="I78" s="460" t="str">
        <f t="shared" ca="1" si="16"/>
        <v/>
      </c>
      <c r="J78" s="460" t="str">
        <f t="shared" ca="1" si="16"/>
        <v/>
      </c>
      <c r="K78" s="460" t="str">
        <f t="shared" ca="1" si="16"/>
        <v/>
      </c>
      <c r="L78" s="460" t="str">
        <f t="shared" ca="1" si="16"/>
        <v/>
      </c>
      <c r="M78" s="460" t="str">
        <f t="shared" ca="1" si="16"/>
        <v/>
      </c>
      <c r="N78" s="460" t="str">
        <f t="shared" ca="1" si="16"/>
        <v/>
      </c>
      <c r="O78" s="461" t="str">
        <f t="shared" ca="1" si="16"/>
        <v/>
      </c>
      <c r="P78" s="474" t="str">
        <f t="shared" ca="1" si="16"/>
        <v/>
      </c>
      <c r="Q78" s="475" t="str">
        <f t="shared" ca="1" si="16"/>
        <v/>
      </c>
      <c r="R78" s="476">
        <f ca="1">IF(OR($BG$2=0,$AR78=""),,IF($AR78="本月合计",IF(ROW()=$BG$3,SUM($R$6:$R77),SUM(INDIRECT("$R$"&amp;OFFSET($AU$3,,MATCH(ROW(),$AU$3:$BF$3,)-2)+2&amp;":$R"&amp;ROW()-1))),IF($AR78="本年累计",SUMIF($AR$6:$AR78,"本月合计",$R$6:$R77),INDEX(凭证录入!L:L,$AR78))))</f>
        <v>0</v>
      </c>
      <c r="S78" s="459" t="str">
        <f t="shared" ca="1" si="17"/>
        <v/>
      </c>
      <c r="T78" s="460" t="str">
        <f t="shared" ca="1" si="17"/>
        <v/>
      </c>
      <c r="U78" s="460" t="str">
        <f t="shared" ca="1" si="17"/>
        <v/>
      </c>
      <c r="V78" s="460" t="str">
        <f t="shared" ca="1" si="17"/>
        <v/>
      </c>
      <c r="W78" s="460" t="str">
        <f t="shared" ca="1" si="17"/>
        <v/>
      </c>
      <c r="X78" s="460" t="str">
        <f t="shared" ca="1" si="17"/>
        <v/>
      </c>
      <c r="Y78" s="460" t="str">
        <f t="shared" ca="1" si="17"/>
        <v/>
      </c>
      <c r="Z78" s="460" t="str">
        <f t="shared" ca="1" si="17"/>
        <v/>
      </c>
      <c r="AA78" s="461" t="str">
        <f t="shared" ca="1" si="17"/>
        <v/>
      </c>
      <c r="AB78" s="474" t="str">
        <f t="shared" ca="1" si="17"/>
        <v/>
      </c>
      <c r="AC78" s="475" t="str">
        <f t="shared" ca="1" si="17"/>
        <v/>
      </c>
      <c r="AD78" s="477" t="str">
        <f t="shared" ca="1" si="18"/>
        <v/>
      </c>
      <c r="AE78" s="478">
        <f t="shared" ca="1" si="19"/>
        <v>0</v>
      </c>
      <c r="AF78" s="459" t="str">
        <f t="shared" ca="1" si="15"/>
        <v/>
      </c>
      <c r="AG78" s="460" t="str">
        <f t="shared" ca="1" si="15"/>
        <v/>
      </c>
      <c r="AH78" s="460" t="str">
        <f t="shared" ca="1" si="15"/>
        <v/>
      </c>
      <c r="AI78" s="460" t="str">
        <f t="shared" ca="1" si="15"/>
        <v/>
      </c>
      <c r="AJ78" s="460" t="str">
        <f t="shared" ca="1" si="15"/>
        <v/>
      </c>
      <c r="AK78" s="460" t="str">
        <f t="shared" ca="1" si="15"/>
        <v/>
      </c>
      <c r="AL78" s="460" t="str">
        <f t="shared" ca="1" si="15"/>
        <v/>
      </c>
      <c r="AM78" s="460" t="str">
        <f t="shared" ca="1" si="15"/>
        <v/>
      </c>
      <c r="AN78" s="461" t="str">
        <f t="shared" ca="1" si="15"/>
        <v/>
      </c>
      <c r="AO78" s="474" t="str">
        <f t="shared" ca="1" si="15"/>
        <v/>
      </c>
      <c r="AP78" s="475" t="str">
        <f t="shared" ca="1" si="15"/>
        <v/>
      </c>
      <c r="AQ78" s="479" t="str">
        <f t="array" aca="1" ref="AQ78" ca="1">IF(ROW()-5&lt;=COUNTIF(科目编号,$AR$2),SMALL(IF(科目编号=$AR$2,ROW(科目编号),""),ROW()-5),"")</f>
        <v/>
      </c>
      <c r="AR78" s="480" t="str">
        <f ca="1">IF($BG$2=0,"",IF(AR77="本月合计","本年累计",IF(OR(ROW()=$AU$3,ROW()=$AV$3,ROW()=$AW$3,ROW()=$AX$3,ROW()=$AY$3,ROW()=$AZ$3,ROW()=$BA$3,ROW()=$BB$3,ROW()=$BC$3,ROW()=$BD$3,ROW()=$BE$3,ROW()=$BF$3),"本月合计",IF(ROW()&lt;7,$AQ$6,OFFSET($AQ$6,COUNT($AR$6:AR77),0)))))</f>
        <v/>
      </c>
    </row>
    <row r="79" spans="1:44">
      <c r="A79" s="469" t="str">
        <f ca="1">IFERROR(INDEX(凭证录入!A:A,$AR79),"")</f>
        <v/>
      </c>
      <c r="B79" s="469" t="str">
        <f ca="1">IFERROR(INDEX(凭证录入!B:B,$AR79),"")</f>
        <v/>
      </c>
      <c r="C79" s="470" t="str">
        <f ca="1">IFERROR(INDEX(凭证录入!G:G,$AR79),"")</f>
        <v/>
      </c>
      <c r="D79" s="471" t="str">
        <f ca="1">IFERROR(INDEX(凭证录入!F:F,$AR79),"")</f>
        <v/>
      </c>
      <c r="E79" s="472" t="str">
        <f ca="1">IFERROR(INDEX(凭证录入!H:H,$AR79),$AR79)</f>
        <v/>
      </c>
      <c r="F79" s="473">
        <f ca="1">IF(OR($BG$2=0,$AR79=""),,IF($AR79="本月合计",IF(ROW()=$BG$3,SUM($F$6:$F78),SUM(INDIRECT("$F$"&amp;OFFSET($AU$3,,MATCH(ROW(),$AU$3:$BF$3,)-2)+2&amp;":$E"&amp;ROW()-1))),IF($AR79="本年累计",SUMIF($AR$6:$AR79,"本月合计",$F$6:$F78),INDEX(凭证录入!K:K,$AR79))))</f>
        <v>0</v>
      </c>
      <c r="G79" s="459" t="str">
        <f t="shared" ca="1" si="16"/>
        <v/>
      </c>
      <c r="H79" s="460" t="str">
        <f t="shared" ca="1" si="16"/>
        <v/>
      </c>
      <c r="I79" s="460" t="str">
        <f t="shared" ca="1" si="16"/>
        <v/>
      </c>
      <c r="J79" s="460" t="str">
        <f t="shared" ca="1" si="16"/>
        <v/>
      </c>
      <c r="K79" s="460" t="str">
        <f t="shared" ca="1" si="16"/>
        <v/>
      </c>
      <c r="L79" s="460" t="str">
        <f t="shared" ca="1" si="16"/>
        <v/>
      </c>
      <c r="M79" s="460" t="str">
        <f t="shared" ca="1" si="16"/>
        <v/>
      </c>
      <c r="N79" s="460" t="str">
        <f t="shared" ca="1" si="16"/>
        <v/>
      </c>
      <c r="O79" s="461" t="str">
        <f t="shared" ca="1" si="16"/>
        <v/>
      </c>
      <c r="P79" s="474" t="str">
        <f t="shared" ca="1" si="16"/>
        <v/>
      </c>
      <c r="Q79" s="475" t="str">
        <f t="shared" ca="1" si="16"/>
        <v/>
      </c>
      <c r="R79" s="476">
        <f ca="1">IF(OR($BG$2=0,$AR79=""),,IF($AR79="本月合计",IF(ROW()=$BG$3,SUM($R$6:$R78),SUM(INDIRECT("$R$"&amp;OFFSET($AU$3,,MATCH(ROW(),$AU$3:$BF$3,)-2)+2&amp;":$R"&amp;ROW()-1))),IF($AR79="本年累计",SUMIF($AR$6:$AR79,"本月合计",$R$6:$R78),INDEX(凭证录入!L:L,$AR79))))</f>
        <v>0</v>
      </c>
      <c r="S79" s="459" t="str">
        <f t="shared" ca="1" si="17"/>
        <v/>
      </c>
      <c r="T79" s="460" t="str">
        <f t="shared" ca="1" si="17"/>
        <v/>
      </c>
      <c r="U79" s="460" t="str">
        <f t="shared" ca="1" si="17"/>
        <v/>
      </c>
      <c r="V79" s="460" t="str">
        <f t="shared" ca="1" si="17"/>
        <v/>
      </c>
      <c r="W79" s="460" t="str">
        <f t="shared" ca="1" si="17"/>
        <v/>
      </c>
      <c r="X79" s="460" t="str">
        <f t="shared" ca="1" si="17"/>
        <v/>
      </c>
      <c r="Y79" s="460" t="str">
        <f t="shared" ca="1" si="17"/>
        <v/>
      </c>
      <c r="Z79" s="460" t="str">
        <f t="shared" ca="1" si="17"/>
        <v/>
      </c>
      <c r="AA79" s="461" t="str">
        <f t="shared" ca="1" si="17"/>
        <v/>
      </c>
      <c r="AB79" s="474" t="str">
        <f t="shared" ca="1" si="17"/>
        <v/>
      </c>
      <c r="AC79" s="475" t="str">
        <f t="shared" ca="1" si="17"/>
        <v/>
      </c>
      <c r="AD79" s="477" t="str">
        <f t="shared" ca="1" si="18"/>
        <v/>
      </c>
      <c r="AE79" s="478">
        <f t="shared" ca="1" si="19"/>
        <v>0</v>
      </c>
      <c r="AF79" s="459" t="str">
        <f t="shared" ca="1" si="15"/>
        <v/>
      </c>
      <c r="AG79" s="460" t="str">
        <f t="shared" ca="1" si="15"/>
        <v/>
      </c>
      <c r="AH79" s="460" t="str">
        <f t="shared" ca="1" si="15"/>
        <v/>
      </c>
      <c r="AI79" s="460" t="str">
        <f t="shared" ca="1" si="15"/>
        <v/>
      </c>
      <c r="AJ79" s="460" t="str">
        <f t="shared" ca="1" si="15"/>
        <v/>
      </c>
      <c r="AK79" s="460" t="str">
        <f t="shared" ca="1" si="15"/>
        <v/>
      </c>
      <c r="AL79" s="460" t="str">
        <f t="shared" ca="1" si="15"/>
        <v/>
      </c>
      <c r="AM79" s="460" t="str">
        <f t="shared" ca="1" si="15"/>
        <v/>
      </c>
      <c r="AN79" s="461" t="str">
        <f t="shared" ca="1" si="15"/>
        <v/>
      </c>
      <c r="AO79" s="474" t="str">
        <f t="shared" ca="1" si="15"/>
        <v/>
      </c>
      <c r="AP79" s="475" t="str">
        <f t="shared" ca="1" si="15"/>
        <v/>
      </c>
      <c r="AQ79" s="479" t="str">
        <f t="array" aca="1" ref="AQ79" ca="1">IF(ROW()-5&lt;=COUNTIF(科目编号,$AR$2),SMALL(IF(科目编号=$AR$2,ROW(科目编号),""),ROW()-5),"")</f>
        <v/>
      </c>
      <c r="AR79" s="480" t="str">
        <f ca="1">IF($BG$2=0,"",IF(AR78="本月合计","本年累计",IF(OR(ROW()=$AU$3,ROW()=$AV$3,ROW()=$AW$3,ROW()=$AX$3,ROW()=$AY$3,ROW()=$AZ$3,ROW()=$BA$3,ROW()=$BB$3,ROW()=$BC$3,ROW()=$BD$3,ROW()=$BE$3,ROW()=$BF$3),"本月合计",IF(ROW()&lt;7,$AQ$6,OFFSET($AQ$6,COUNT($AR$6:AR78),0)))))</f>
        <v/>
      </c>
    </row>
    <row r="80" spans="1:44">
      <c r="A80" s="469" t="str">
        <f ca="1">IFERROR(INDEX(凭证录入!A:A,$AR80),"")</f>
        <v/>
      </c>
      <c r="B80" s="469" t="str">
        <f ca="1">IFERROR(INDEX(凭证录入!B:B,$AR80),"")</f>
        <v/>
      </c>
      <c r="C80" s="470" t="str">
        <f ca="1">IFERROR(INDEX(凭证录入!G:G,$AR80),"")</f>
        <v/>
      </c>
      <c r="D80" s="471" t="str">
        <f ca="1">IFERROR(INDEX(凭证录入!F:F,$AR80),"")</f>
        <v/>
      </c>
      <c r="E80" s="472" t="str">
        <f ca="1">IFERROR(INDEX(凭证录入!H:H,$AR80),$AR80)</f>
        <v/>
      </c>
      <c r="F80" s="473">
        <f ca="1">IF(OR($BG$2=0,$AR80=""),,IF($AR80="本月合计",IF(ROW()=$BG$3,SUM($F$6:$F79),SUM(INDIRECT("$F$"&amp;OFFSET($AU$3,,MATCH(ROW(),$AU$3:$BF$3,)-2)+2&amp;":$E"&amp;ROW()-1))),IF($AR80="本年累计",SUMIF($AR$6:$AR80,"本月合计",$F$6:$F79),INDEX(凭证录入!K:K,$AR80))))</f>
        <v>0</v>
      </c>
      <c r="G80" s="459" t="str">
        <f t="shared" ca="1" si="16"/>
        <v/>
      </c>
      <c r="H80" s="460" t="str">
        <f t="shared" ca="1" si="16"/>
        <v/>
      </c>
      <c r="I80" s="460" t="str">
        <f t="shared" ca="1" si="16"/>
        <v/>
      </c>
      <c r="J80" s="460" t="str">
        <f t="shared" ca="1" si="16"/>
        <v/>
      </c>
      <c r="K80" s="460" t="str">
        <f t="shared" ca="1" si="16"/>
        <v/>
      </c>
      <c r="L80" s="460" t="str">
        <f t="shared" ca="1" si="16"/>
        <v/>
      </c>
      <c r="M80" s="460" t="str">
        <f t="shared" ca="1" si="16"/>
        <v/>
      </c>
      <c r="N80" s="460" t="str">
        <f t="shared" ca="1" si="16"/>
        <v/>
      </c>
      <c r="O80" s="461" t="str">
        <f t="shared" ca="1" si="16"/>
        <v/>
      </c>
      <c r="P80" s="474" t="str">
        <f t="shared" ca="1" si="16"/>
        <v/>
      </c>
      <c r="Q80" s="475" t="str">
        <f t="shared" ca="1" si="16"/>
        <v/>
      </c>
      <c r="R80" s="476">
        <f ca="1">IF(OR($BG$2=0,$AR80=""),,IF($AR80="本月合计",IF(ROW()=$BG$3,SUM($R$6:$R79),SUM(INDIRECT("$R$"&amp;OFFSET($AU$3,,MATCH(ROW(),$AU$3:$BF$3,)-2)+2&amp;":$R"&amp;ROW()-1))),IF($AR80="本年累计",SUMIF($AR$6:$AR80,"本月合计",$R$6:$R79),INDEX(凭证录入!L:L,$AR80))))</f>
        <v>0</v>
      </c>
      <c r="S80" s="459" t="str">
        <f t="shared" ca="1" si="17"/>
        <v/>
      </c>
      <c r="T80" s="460" t="str">
        <f t="shared" ca="1" si="17"/>
        <v/>
      </c>
      <c r="U80" s="460" t="str">
        <f t="shared" ca="1" si="17"/>
        <v/>
      </c>
      <c r="V80" s="460" t="str">
        <f t="shared" ca="1" si="17"/>
        <v/>
      </c>
      <c r="W80" s="460" t="str">
        <f t="shared" ca="1" si="17"/>
        <v/>
      </c>
      <c r="X80" s="460" t="str">
        <f t="shared" ca="1" si="17"/>
        <v/>
      </c>
      <c r="Y80" s="460" t="str">
        <f t="shared" ca="1" si="17"/>
        <v/>
      </c>
      <c r="Z80" s="460" t="str">
        <f t="shared" ca="1" si="17"/>
        <v/>
      </c>
      <c r="AA80" s="461" t="str">
        <f t="shared" ca="1" si="17"/>
        <v/>
      </c>
      <c r="AB80" s="474" t="str">
        <f t="shared" ca="1" si="17"/>
        <v/>
      </c>
      <c r="AC80" s="475" t="str">
        <f t="shared" ca="1" si="17"/>
        <v/>
      </c>
      <c r="AD80" s="477" t="str">
        <f t="shared" ca="1" si="18"/>
        <v/>
      </c>
      <c r="AE80" s="478">
        <f t="shared" ca="1" si="19"/>
        <v>0</v>
      </c>
      <c r="AF80" s="459" t="str">
        <f t="shared" ca="1" si="15"/>
        <v/>
      </c>
      <c r="AG80" s="460" t="str">
        <f t="shared" ca="1" si="15"/>
        <v/>
      </c>
      <c r="AH80" s="460" t="str">
        <f t="shared" ca="1" si="15"/>
        <v/>
      </c>
      <c r="AI80" s="460" t="str">
        <f t="shared" ca="1" si="15"/>
        <v/>
      </c>
      <c r="AJ80" s="460" t="str">
        <f t="shared" ca="1" si="15"/>
        <v/>
      </c>
      <c r="AK80" s="460" t="str">
        <f t="shared" ca="1" si="15"/>
        <v/>
      </c>
      <c r="AL80" s="460" t="str">
        <f t="shared" ca="1" si="15"/>
        <v/>
      </c>
      <c r="AM80" s="460" t="str">
        <f t="shared" ca="1" si="15"/>
        <v/>
      </c>
      <c r="AN80" s="461" t="str">
        <f t="shared" ca="1" si="15"/>
        <v/>
      </c>
      <c r="AO80" s="474" t="str">
        <f t="shared" ca="1" si="15"/>
        <v/>
      </c>
      <c r="AP80" s="475" t="str">
        <f t="shared" ca="1" si="15"/>
        <v/>
      </c>
      <c r="AQ80" s="479" t="str">
        <f t="array" aca="1" ref="AQ80" ca="1">IF(ROW()-5&lt;=COUNTIF(科目编号,$AR$2),SMALL(IF(科目编号=$AR$2,ROW(科目编号),""),ROW()-5),"")</f>
        <v/>
      </c>
      <c r="AR80" s="480" t="str">
        <f ca="1">IF($BG$2=0,"",IF(AR79="本月合计","本年累计",IF(OR(ROW()=$AU$3,ROW()=$AV$3,ROW()=$AW$3,ROW()=$AX$3,ROW()=$AY$3,ROW()=$AZ$3,ROW()=$BA$3,ROW()=$BB$3,ROW()=$BC$3,ROW()=$BD$3,ROW()=$BE$3,ROW()=$BF$3),"本月合计",IF(ROW()&lt;7,$AQ$6,OFFSET($AQ$6,COUNT($AR$6:AR79),0)))))</f>
        <v/>
      </c>
    </row>
    <row r="81" spans="1:44">
      <c r="A81" s="469" t="str">
        <f ca="1">IFERROR(INDEX(凭证录入!A:A,$AR81),"")</f>
        <v/>
      </c>
      <c r="B81" s="469" t="str">
        <f ca="1">IFERROR(INDEX(凭证录入!B:B,$AR81),"")</f>
        <v/>
      </c>
      <c r="C81" s="470" t="str">
        <f ca="1">IFERROR(INDEX(凭证录入!G:G,$AR81),"")</f>
        <v/>
      </c>
      <c r="D81" s="471" t="str">
        <f ca="1">IFERROR(INDEX(凭证录入!F:F,$AR81),"")</f>
        <v/>
      </c>
      <c r="E81" s="472" t="str">
        <f ca="1">IFERROR(INDEX(凭证录入!H:H,$AR81),$AR81)</f>
        <v/>
      </c>
      <c r="F81" s="473">
        <f ca="1">IF(OR($BG$2=0,$AR81=""),,IF($AR81="本月合计",IF(ROW()=$BG$3,SUM($F$6:$F80),SUM(INDIRECT("$F$"&amp;OFFSET($AU$3,,MATCH(ROW(),$AU$3:$BF$3,)-2)+2&amp;":$E"&amp;ROW()-1))),IF($AR81="本年累计",SUMIF($AR$6:$AR81,"本月合计",$F$6:$F80),INDEX(凭证录入!K:K,$AR81))))</f>
        <v>0</v>
      </c>
      <c r="G81" s="459" t="str">
        <f t="shared" ca="1" si="16"/>
        <v/>
      </c>
      <c r="H81" s="460" t="str">
        <f t="shared" ca="1" si="16"/>
        <v/>
      </c>
      <c r="I81" s="460" t="str">
        <f t="shared" ca="1" si="16"/>
        <v/>
      </c>
      <c r="J81" s="460" t="str">
        <f t="shared" ca="1" si="16"/>
        <v/>
      </c>
      <c r="K81" s="460" t="str">
        <f t="shared" ca="1" si="16"/>
        <v/>
      </c>
      <c r="L81" s="460" t="str">
        <f t="shared" ca="1" si="16"/>
        <v/>
      </c>
      <c r="M81" s="460" t="str">
        <f t="shared" ca="1" si="16"/>
        <v/>
      </c>
      <c r="N81" s="460" t="str">
        <f t="shared" ca="1" si="16"/>
        <v/>
      </c>
      <c r="O81" s="461" t="str">
        <f t="shared" ca="1" si="16"/>
        <v/>
      </c>
      <c r="P81" s="474" t="str">
        <f t="shared" ca="1" si="16"/>
        <v/>
      </c>
      <c r="Q81" s="475" t="str">
        <f t="shared" ca="1" si="16"/>
        <v/>
      </c>
      <c r="R81" s="476">
        <f ca="1">IF(OR($BG$2=0,$AR81=""),,IF($AR81="本月合计",IF(ROW()=$BG$3,SUM($R$6:$R80),SUM(INDIRECT("$R$"&amp;OFFSET($AU$3,,MATCH(ROW(),$AU$3:$BF$3,)-2)+2&amp;":$R"&amp;ROW()-1))),IF($AR81="本年累计",SUMIF($AR$6:$AR81,"本月合计",$R$6:$R80),INDEX(凭证录入!L:L,$AR81))))</f>
        <v>0</v>
      </c>
      <c r="S81" s="459" t="str">
        <f t="shared" ca="1" si="17"/>
        <v/>
      </c>
      <c r="T81" s="460" t="str">
        <f t="shared" ca="1" si="17"/>
        <v/>
      </c>
      <c r="U81" s="460" t="str">
        <f t="shared" ca="1" si="17"/>
        <v/>
      </c>
      <c r="V81" s="460" t="str">
        <f t="shared" ca="1" si="17"/>
        <v/>
      </c>
      <c r="W81" s="460" t="str">
        <f t="shared" ca="1" si="17"/>
        <v/>
      </c>
      <c r="X81" s="460" t="str">
        <f t="shared" ca="1" si="17"/>
        <v/>
      </c>
      <c r="Y81" s="460" t="str">
        <f t="shared" ca="1" si="17"/>
        <v/>
      </c>
      <c r="Z81" s="460" t="str">
        <f t="shared" ca="1" si="17"/>
        <v/>
      </c>
      <c r="AA81" s="461" t="str">
        <f t="shared" ca="1" si="17"/>
        <v/>
      </c>
      <c r="AB81" s="474" t="str">
        <f t="shared" ca="1" si="17"/>
        <v/>
      </c>
      <c r="AC81" s="475" t="str">
        <f t="shared" ca="1" si="17"/>
        <v/>
      </c>
      <c r="AD81" s="477" t="str">
        <f t="shared" ca="1" si="18"/>
        <v/>
      </c>
      <c r="AE81" s="478">
        <f t="shared" ca="1" si="19"/>
        <v>0</v>
      </c>
      <c r="AF81" s="459" t="str">
        <f t="shared" ca="1" si="15"/>
        <v/>
      </c>
      <c r="AG81" s="460" t="str">
        <f t="shared" ca="1" si="15"/>
        <v/>
      </c>
      <c r="AH81" s="460" t="str">
        <f t="shared" ca="1" si="15"/>
        <v/>
      </c>
      <c r="AI81" s="460" t="str">
        <f t="shared" ca="1" si="15"/>
        <v/>
      </c>
      <c r="AJ81" s="460" t="str">
        <f t="shared" ca="1" si="15"/>
        <v/>
      </c>
      <c r="AK81" s="460" t="str">
        <f t="shared" ca="1" si="15"/>
        <v/>
      </c>
      <c r="AL81" s="460" t="str">
        <f t="shared" ca="1" si="15"/>
        <v/>
      </c>
      <c r="AM81" s="460" t="str">
        <f t="shared" ca="1" si="15"/>
        <v/>
      </c>
      <c r="AN81" s="461" t="str">
        <f t="shared" ca="1" si="15"/>
        <v/>
      </c>
      <c r="AO81" s="474" t="str">
        <f t="shared" ca="1" si="15"/>
        <v/>
      </c>
      <c r="AP81" s="475" t="str">
        <f t="shared" ca="1" si="15"/>
        <v/>
      </c>
      <c r="AQ81" s="479" t="str">
        <f t="array" aca="1" ref="AQ81" ca="1">IF(ROW()-5&lt;=COUNTIF(科目编号,$AR$2),SMALL(IF(科目编号=$AR$2,ROW(科目编号),""),ROW()-5),"")</f>
        <v/>
      </c>
      <c r="AR81" s="480" t="str">
        <f ca="1">IF($BG$2=0,"",IF(AR80="本月合计","本年累计",IF(OR(ROW()=$AU$3,ROW()=$AV$3,ROW()=$AW$3,ROW()=$AX$3,ROW()=$AY$3,ROW()=$AZ$3,ROW()=$BA$3,ROW()=$BB$3,ROW()=$BC$3,ROW()=$BD$3,ROW()=$BE$3,ROW()=$BF$3),"本月合计",IF(ROW()&lt;7,$AQ$6,OFFSET($AQ$6,COUNT($AR$6:AR80),0)))))</f>
        <v/>
      </c>
    </row>
    <row r="82" spans="1:44">
      <c r="A82" s="469" t="str">
        <f ca="1">IFERROR(INDEX(凭证录入!A:A,$AR82),"")</f>
        <v/>
      </c>
      <c r="B82" s="469" t="str">
        <f ca="1">IFERROR(INDEX(凭证录入!B:B,$AR82),"")</f>
        <v/>
      </c>
      <c r="C82" s="470" t="str">
        <f ca="1">IFERROR(INDEX(凭证录入!G:G,$AR82),"")</f>
        <v/>
      </c>
      <c r="D82" s="471" t="str">
        <f ca="1">IFERROR(INDEX(凭证录入!F:F,$AR82),"")</f>
        <v/>
      </c>
      <c r="E82" s="472" t="str">
        <f ca="1">IFERROR(INDEX(凭证录入!H:H,$AR82),$AR82)</f>
        <v/>
      </c>
      <c r="F82" s="473">
        <f ca="1">IF(OR($BG$2=0,$AR82=""),,IF($AR82="本月合计",IF(ROW()=$BG$3,SUM($F$6:$F81),SUM(INDIRECT("$F$"&amp;OFFSET($AU$3,,MATCH(ROW(),$AU$3:$BF$3,)-2)+2&amp;":$E"&amp;ROW()-1))),IF($AR82="本年累计",SUMIF($AR$6:$AR82,"本月合计",$F$6:$F81),INDEX(凭证录入!K:K,$AR82))))</f>
        <v>0</v>
      </c>
      <c r="G82" s="459" t="str">
        <f t="shared" ca="1" si="16"/>
        <v/>
      </c>
      <c r="H82" s="460" t="str">
        <f t="shared" ca="1" si="16"/>
        <v/>
      </c>
      <c r="I82" s="460" t="str">
        <f t="shared" ca="1" si="16"/>
        <v/>
      </c>
      <c r="J82" s="460" t="str">
        <f t="shared" ca="1" si="16"/>
        <v/>
      </c>
      <c r="K82" s="460" t="str">
        <f t="shared" ca="1" si="16"/>
        <v/>
      </c>
      <c r="L82" s="460" t="str">
        <f t="shared" ca="1" si="16"/>
        <v/>
      </c>
      <c r="M82" s="460" t="str">
        <f t="shared" ca="1" si="16"/>
        <v/>
      </c>
      <c r="N82" s="460" t="str">
        <f t="shared" ca="1" si="16"/>
        <v/>
      </c>
      <c r="O82" s="461" t="str">
        <f t="shared" ca="1" si="16"/>
        <v/>
      </c>
      <c r="P82" s="474" t="str">
        <f t="shared" ca="1" si="16"/>
        <v/>
      </c>
      <c r="Q82" s="475" t="str">
        <f t="shared" ca="1" si="16"/>
        <v/>
      </c>
      <c r="R82" s="476">
        <f ca="1">IF(OR($BG$2=0,$AR82=""),,IF($AR82="本月合计",IF(ROW()=$BG$3,SUM($R$6:$R81),SUM(INDIRECT("$R$"&amp;OFFSET($AU$3,,MATCH(ROW(),$AU$3:$BF$3,)-2)+2&amp;":$R"&amp;ROW()-1))),IF($AR82="本年累计",SUMIF($AR$6:$AR82,"本月合计",$R$6:$R81),INDEX(凭证录入!L:L,$AR82))))</f>
        <v>0</v>
      </c>
      <c r="S82" s="459" t="str">
        <f t="shared" ca="1" si="17"/>
        <v/>
      </c>
      <c r="T82" s="460" t="str">
        <f t="shared" ca="1" si="17"/>
        <v/>
      </c>
      <c r="U82" s="460" t="str">
        <f t="shared" ca="1" si="17"/>
        <v/>
      </c>
      <c r="V82" s="460" t="str">
        <f t="shared" ca="1" si="17"/>
        <v/>
      </c>
      <c r="W82" s="460" t="str">
        <f t="shared" ca="1" si="17"/>
        <v/>
      </c>
      <c r="X82" s="460" t="str">
        <f t="shared" ca="1" si="17"/>
        <v/>
      </c>
      <c r="Y82" s="460" t="str">
        <f t="shared" ca="1" si="17"/>
        <v/>
      </c>
      <c r="Z82" s="460" t="str">
        <f t="shared" ca="1" si="17"/>
        <v/>
      </c>
      <c r="AA82" s="461" t="str">
        <f t="shared" ca="1" si="17"/>
        <v/>
      </c>
      <c r="AB82" s="474" t="str">
        <f t="shared" ca="1" si="17"/>
        <v/>
      </c>
      <c r="AC82" s="475" t="str">
        <f t="shared" ca="1" si="17"/>
        <v/>
      </c>
      <c r="AD82" s="477" t="str">
        <f t="shared" ca="1" si="18"/>
        <v/>
      </c>
      <c r="AE82" s="478">
        <f t="shared" ca="1" si="19"/>
        <v>0</v>
      </c>
      <c r="AF82" s="459" t="str">
        <f t="shared" ca="1" si="15"/>
        <v/>
      </c>
      <c r="AG82" s="460" t="str">
        <f t="shared" ca="1" si="15"/>
        <v/>
      </c>
      <c r="AH82" s="460" t="str">
        <f t="shared" ca="1" si="15"/>
        <v/>
      </c>
      <c r="AI82" s="460" t="str">
        <f t="shared" ca="1" si="15"/>
        <v/>
      </c>
      <c r="AJ82" s="460" t="str">
        <f t="shared" ca="1" si="15"/>
        <v/>
      </c>
      <c r="AK82" s="460" t="str">
        <f t="shared" ca="1" si="15"/>
        <v/>
      </c>
      <c r="AL82" s="460" t="str">
        <f t="shared" ca="1" si="15"/>
        <v/>
      </c>
      <c r="AM82" s="460" t="str">
        <f t="shared" ca="1" si="15"/>
        <v/>
      </c>
      <c r="AN82" s="461" t="str">
        <f t="shared" ca="1" si="15"/>
        <v/>
      </c>
      <c r="AO82" s="474" t="str">
        <f t="shared" ca="1" si="15"/>
        <v/>
      </c>
      <c r="AP82" s="475" t="str">
        <f t="shared" ca="1" si="15"/>
        <v/>
      </c>
      <c r="AQ82" s="479" t="str">
        <f t="array" aca="1" ref="AQ82" ca="1">IF(ROW()-5&lt;=COUNTIF(科目编号,$AR$2),SMALL(IF(科目编号=$AR$2,ROW(科目编号),""),ROW()-5),"")</f>
        <v/>
      </c>
      <c r="AR82" s="480" t="str">
        <f ca="1">IF($BG$2=0,"",IF(AR81="本月合计","本年累计",IF(OR(ROW()=$AU$3,ROW()=$AV$3,ROW()=$AW$3,ROW()=$AX$3,ROW()=$AY$3,ROW()=$AZ$3,ROW()=$BA$3,ROW()=$BB$3,ROW()=$BC$3,ROW()=$BD$3,ROW()=$BE$3,ROW()=$BF$3),"本月合计",IF(ROW()&lt;7,$AQ$6,OFFSET($AQ$6,COUNT($AR$6:AR81),0)))))</f>
        <v/>
      </c>
    </row>
    <row r="83" spans="1:44">
      <c r="A83" s="469" t="str">
        <f ca="1">IFERROR(INDEX(凭证录入!A:A,$AR83),"")</f>
        <v/>
      </c>
      <c r="B83" s="469" t="str">
        <f ca="1">IFERROR(INDEX(凭证录入!B:B,$AR83),"")</f>
        <v/>
      </c>
      <c r="C83" s="470" t="str">
        <f ca="1">IFERROR(INDEX(凭证录入!G:G,$AR83),"")</f>
        <v/>
      </c>
      <c r="D83" s="471" t="str">
        <f ca="1">IFERROR(INDEX(凭证录入!F:F,$AR83),"")</f>
        <v/>
      </c>
      <c r="E83" s="472" t="str">
        <f ca="1">IFERROR(INDEX(凭证录入!H:H,$AR83),$AR83)</f>
        <v/>
      </c>
      <c r="F83" s="473">
        <f ca="1">IF(OR($BG$2=0,$AR83=""),,IF($AR83="本月合计",IF(ROW()=$BG$3,SUM($F$6:$F82),SUM(INDIRECT("$F$"&amp;OFFSET($AU$3,,MATCH(ROW(),$AU$3:$BF$3,)-2)+2&amp;":$E"&amp;ROW()-1))),IF($AR83="本年累计",SUMIF($AR$6:$AR83,"本月合计",$F$6:$F82),INDEX(凭证录入!K:K,$AR83))))</f>
        <v>0</v>
      </c>
      <c r="G83" s="459" t="str">
        <f t="shared" ca="1" si="16"/>
        <v/>
      </c>
      <c r="H83" s="460" t="str">
        <f t="shared" ca="1" si="16"/>
        <v/>
      </c>
      <c r="I83" s="460" t="str">
        <f t="shared" ca="1" si="16"/>
        <v/>
      </c>
      <c r="J83" s="460" t="str">
        <f t="shared" ca="1" si="16"/>
        <v/>
      </c>
      <c r="K83" s="460" t="str">
        <f t="shared" ca="1" si="16"/>
        <v/>
      </c>
      <c r="L83" s="460" t="str">
        <f t="shared" ca="1" si="16"/>
        <v/>
      </c>
      <c r="M83" s="460" t="str">
        <f t="shared" ca="1" si="16"/>
        <v/>
      </c>
      <c r="N83" s="460" t="str">
        <f t="shared" ca="1" si="16"/>
        <v/>
      </c>
      <c r="O83" s="461" t="str">
        <f t="shared" ca="1" si="16"/>
        <v/>
      </c>
      <c r="P83" s="474" t="str">
        <f t="shared" ca="1" si="16"/>
        <v/>
      </c>
      <c r="Q83" s="475" t="str">
        <f t="shared" ca="1" si="16"/>
        <v/>
      </c>
      <c r="R83" s="476">
        <f ca="1">IF(OR($BG$2=0,$AR83=""),,IF($AR83="本月合计",IF(ROW()=$BG$3,SUM($R$6:$R82),SUM(INDIRECT("$R$"&amp;OFFSET($AU$3,,MATCH(ROW(),$AU$3:$BF$3,)-2)+2&amp;":$R"&amp;ROW()-1))),IF($AR83="本年累计",SUMIF($AR$6:$AR83,"本月合计",$R$6:$R82),INDEX(凭证录入!L:L,$AR83))))</f>
        <v>0</v>
      </c>
      <c r="S83" s="459" t="str">
        <f t="shared" ca="1" si="17"/>
        <v/>
      </c>
      <c r="T83" s="460" t="str">
        <f t="shared" ca="1" si="17"/>
        <v/>
      </c>
      <c r="U83" s="460" t="str">
        <f t="shared" ca="1" si="17"/>
        <v/>
      </c>
      <c r="V83" s="460" t="str">
        <f t="shared" ca="1" si="17"/>
        <v/>
      </c>
      <c r="W83" s="460" t="str">
        <f t="shared" ca="1" si="17"/>
        <v/>
      </c>
      <c r="X83" s="460" t="str">
        <f t="shared" ca="1" si="17"/>
        <v/>
      </c>
      <c r="Y83" s="460" t="str">
        <f t="shared" ca="1" si="17"/>
        <v/>
      </c>
      <c r="Z83" s="460" t="str">
        <f t="shared" ca="1" si="17"/>
        <v/>
      </c>
      <c r="AA83" s="461" t="str">
        <f t="shared" ca="1" si="17"/>
        <v/>
      </c>
      <c r="AB83" s="474" t="str">
        <f t="shared" ca="1" si="17"/>
        <v/>
      </c>
      <c r="AC83" s="475" t="str">
        <f t="shared" ca="1" si="17"/>
        <v/>
      </c>
      <c r="AD83" s="477" t="str">
        <f t="shared" ca="1" si="18"/>
        <v/>
      </c>
      <c r="AE83" s="478">
        <f t="shared" ca="1" si="19"/>
        <v>0</v>
      </c>
      <c r="AF83" s="459" t="str">
        <f t="shared" ca="1" si="15"/>
        <v/>
      </c>
      <c r="AG83" s="460" t="str">
        <f t="shared" ca="1" si="15"/>
        <v/>
      </c>
      <c r="AH83" s="460" t="str">
        <f t="shared" ca="1" si="15"/>
        <v/>
      </c>
      <c r="AI83" s="460" t="str">
        <f t="shared" ca="1" si="15"/>
        <v/>
      </c>
      <c r="AJ83" s="460" t="str">
        <f t="shared" ca="1" si="15"/>
        <v/>
      </c>
      <c r="AK83" s="460" t="str">
        <f t="shared" ca="1" si="15"/>
        <v/>
      </c>
      <c r="AL83" s="460" t="str">
        <f t="shared" ca="1" si="15"/>
        <v/>
      </c>
      <c r="AM83" s="460" t="str">
        <f t="shared" ca="1" si="15"/>
        <v/>
      </c>
      <c r="AN83" s="461" t="str">
        <f t="shared" ca="1" si="15"/>
        <v/>
      </c>
      <c r="AO83" s="474" t="str">
        <f t="shared" ca="1" si="15"/>
        <v/>
      </c>
      <c r="AP83" s="475" t="str">
        <f t="shared" ca="1" si="15"/>
        <v/>
      </c>
      <c r="AQ83" s="479" t="str">
        <f t="array" aca="1" ref="AQ83" ca="1">IF(ROW()-5&lt;=COUNTIF(科目编号,$AR$2),SMALL(IF(科目编号=$AR$2,ROW(科目编号),""),ROW()-5),"")</f>
        <v/>
      </c>
      <c r="AR83" s="480" t="str">
        <f ca="1">IF($BG$2=0,"",IF(AR82="本月合计","本年累计",IF(OR(ROW()=$AU$3,ROW()=$AV$3,ROW()=$AW$3,ROW()=$AX$3,ROW()=$AY$3,ROW()=$AZ$3,ROW()=$BA$3,ROW()=$BB$3,ROW()=$BC$3,ROW()=$BD$3,ROW()=$BE$3,ROW()=$BF$3),"本月合计",IF(ROW()&lt;7,$AQ$6,OFFSET($AQ$6,COUNT($AR$6:AR82),0)))))</f>
        <v/>
      </c>
    </row>
    <row r="84" spans="1:44">
      <c r="A84" s="469" t="str">
        <f ca="1">IFERROR(INDEX(凭证录入!A:A,$AR84),"")</f>
        <v/>
      </c>
      <c r="B84" s="469" t="str">
        <f ca="1">IFERROR(INDEX(凭证录入!B:B,$AR84),"")</f>
        <v/>
      </c>
      <c r="C84" s="470" t="str">
        <f ca="1">IFERROR(INDEX(凭证录入!G:G,$AR84),"")</f>
        <v/>
      </c>
      <c r="D84" s="471" t="str">
        <f ca="1">IFERROR(INDEX(凭证录入!F:F,$AR84),"")</f>
        <v/>
      </c>
      <c r="E84" s="472" t="str">
        <f ca="1">IFERROR(INDEX(凭证录入!H:H,$AR84),$AR84)</f>
        <v/>
      </c>
      <c r="F84" s="473">
        <f ca="1">IF(OR($BG$2=0,$AR84=""),,IF($AR84="本月合计",IF(ROW()=$BG$3,SUM($F$6:$F83),SUM(INDIRECT("$F$"&amp;OFFSET($AU$3,,MATCH(ROW(),$AU$3:$BF$3,)-2)+2&amp;":$E"&amp;ROW()-1))),IF($AR84="本年累计",SUMIF($AR$6:$AR84,"本月合计",$F$6:$F83),INDEX(凭证录入!K:K,$AR84))))</f>
        <v>0</v>
      </c>
      <c r="G84" s="459" t="str">
        <f t="shared" ca="1" si="16"/>
        <v/>
      </c>
      <c r="H84" s="460" t="str">
        <f t="shared" ca="1" si="16"/>
        <v/>
      </c>
      <c r="I84" s="460" t="str">
        <f t="shared" ca="1" si="16"/>
        <v/>
      </c>
      <c r="J84" s="460" t="str">
        <f t="shared" ca="1" si="16"/>
        <v/>
      </c>
      <c r="K84" s="460" t="str">
        <f t="shared" ca="1" si="16"/>
        <v/>
      </c>
      <c r="L84" s="460" t="str">
        <f t="shared" ca="1" si="16"/>
        <v/>
      </c>
      <c r="M84" s="460" t="str">
        <f t="shared" ca="1" si="16"/>
        <v/>
      </c>
      <c r="N84" s="460" t="str">
        <f t="shared" ca="1" si="16"/>
        <v/>
      </c>
      <c r="O84" s="461" t="str">
        <f t="shared" ca="1" si="16"/>
        <v/>
      </c>
      <c r="P84" s="474" t="str">
        <f t="shared" ca="1" si="16"/>
        <v/>
      </c>
      <c r="Q84" s="475" t="str">
        <f t="shared" ca="1" si="16"/>
        <v/>
      </c>
      <c r="R84" s="476">
        <f ca="1">IF(OR($BG$2=0,$AR84=""),,IF($AR84="本月合计",IF(ROW()=$BG$3,SUM($R$6:$R83),SUM(INDIRECT("$R$"&amp;OFFSET($AU$3,,MATCH(ROW(),$AU$3:$BF$3,)-2)+2&amp;":$R"&amp;ROW()-1))),IF($AR84="本年累计",SUMIF($AR$6:$AR84,"本月合计",$R$6:$R83),INDEX(凭证录入!L:L,$AR84))))</f>
        <v>0</v>
      </c>
      <c r="S84" s="459" t="str">
        <f t="shared" ca="1" si="17"/>
        <v/>
      </c>
      <c r="T84" s="460" t="str">
        <f t="shared" ca="1" si="17"/>
        <v/>
      </c>
      <c r="U84" s="460" t="str">
        <f t="shared" ca="1" si="17"/>
        <v/>
      </c>
      <c r="V84" s="460" t="str">
        <f t="shared" ca="1" si="17"/>
        <v/>
      </c>
      <c r="W84" s="460" t="str">
        <f t="shared" ca="1" si="17"/>
        <v/>
      </c>
      <c r="X84" s="460" t="str">
        <f t="shared" ca="1" si="17"/>
        <v/>
      </c>
      <c r="Y84" s="460" t="str">
        <f t="shared" ca="1" si="17"/>
        <v/>
      </c>
      <c r="Z84" s="460" t="str">
        <f t="shared" ca="1" si="17"/>
        <v/>
      </c>
      <c r="AA84" s="461" t="str">
        <f t="shared" ca="1" si="17"/>
        <v/>
      </c>
      <c r="AB84" s="474" t="str">
        <f t="shared" ca="1" si="17"/>
        <v/>
      </c>
      <c r="AC84" s="475" t="str">
        <f t="shared" ca="1" si="17"/>
        <v/>
      </c>
      <c r="AD84" s="477" t="str">
        <f t="shared" ca="1" si="18"/>
        <v/>
      </c>
      <c r="AE84" s="478">
        <f t="shared" ca="1" si="19"/>
        <v>0</v>
      </c>
      <c r="AF84" s="459" t="str">
        <f t="shared" ca="1" si="15"/>
        <v/>
      </c>
      <c r="AG84" s="460" t="str">
        <f t="shared" ca="1" si="15"/>
        <v/>
      </c>
      <c r="AH84" s="460" t="str">
        <f t="shared" ca="1" si="15"/>
        <v/>
      </c>
      <c r="AI84" s="460" t="str">
        <f t="shared" ca="1" si="15"/>
        <v/>
      </c>
      <c r="AJ84" s="460" t="str">
        <f t="shared" ca="1" si="15"/>
        <v/>
      </c>
      <c r="AK84" s="460" t="str">
        <f t="shared" ca="1" si="15"/>
        <v/>
      </c>
      <c r="AL84" s="460" t="str">
        <f t="shared" ca="1" si="15"/>
        <v/>
      </c>
      <c r="AM84" s="460" t="str">
        <f t="shared" ca="1" si="15"/>
        <v/>
      </c>
      <c r="AN84" s="461" t="str">
        <f t="shared" ca="1" si="15"/>
        <v/>
      </c>
      <c r="AO84" s="474" t="str">
        <f t="shared" ca="1" si="15"/>
        <v/>
      </c>
      <c r="AP84" s="475" t="str">
        <f t="shared" ca="1" si="15"/>
        <v/>
      </c>
      <c r="AQ84" s="479" t="str">
        <f t="array" aca="1" ref="AQ84" ca="1">IF(ROW()-5&lt;=COUNTIF(科目编号,$AR$2),SMALL(IF(科目编号=$AR$2,ROW(科目编号),""),ROW()-5),"")</f>
        <v/>
      </c>
      <c r="AR84" s="480" t="str">
        <f ca="1">IF($BG$2=0,"",IF(AR83="本月合计","本年累计",IF(OR(ROW()=$AU$3,ROW()=$AV$3,ROW()=$AW$3,ROW()=$AX$3,ROW()=$AY$3,ROW()=$AZ$3,ROW()=$BA$3,ROW()=$BB$3,ROW()=$BC$3,ROW()=$BD$3,ROW()=$BE$3,ROW()=$BF$3),"本月合计",IF(ROW()&lt;7,$AQ$6,OFFSET($AQ$6,COUNT($AR$6:AR83),0)))))</f>
        <v/>
      </c>
    </row>
    <row r="85" spans="1:44">
      <c r="A85" s="469" t="str">
        <f ca="1">IFERROR(INDEX(凭证录入!A:A,$AR85),"")</f>
        <v/>
      </c>
      <c r="B85" s="469" t="str">
        <f ca="1">IFERROR(INDEX(凭证录入!B:B,$AR85),"")</f>
        <v/>
      </c>
      <c r="C85" s="470" t="str">
        <f ca="1">IFERROR(INDEX(凭证录入!G:G,$AR85),"")</f>
        <v/>
      </c>
      <c r="D85" s="471" t="str">
        <f ca="1">IFERROR(INDEX(凭证录入!F:F,$AR85),"")</f>
        <v/>
      </c>
      <c r="E85" s="472" t="str">
        <f ca="1">IFERROR(INDEX(凭证录入!H:H,$AR85),$AR85)</f>
        <v/>
      </c>
      <c r="F85" s="473">
        <f ca="1">IF(OR($BG$2=0,$AR85=""),,IF($AR85="本月合计",IF(ROW()=$BG$3,SUM($F$6:$F84),SUM(INDIRECT("$F$"&amp;OFFSET($AU$3,,MATCH(ROW(),$AU$3:$BF$3,)-2)+2&amp;":$E"&amp;ROW()-1))),IF($AR85="本年累计",SUMIF($AR$6:$AR85,"本月合计",$F$6:$F84),INDEX(凭证录入!K:K,$AR85))))</f>
        <v>0</v>
      </c>
      <c r="G85" s="459" t="str">
        <f t="shared" ca="1" si="16"/>
        <v/>
      </c>
      <c r="H85" s="460" t="str">
        <f t="shared" ca="1" si="16"/>
        <v/>
      </c>
      <c r="I85" s="460" t="str">
        <f t="shared" ca="1" si="16"/>
        <v/>
      </c>
      <c r="J85" s="460" t="str">
        <f t="shared" ca="1" si="16"/>
        <v/>
      </c>
      <c r="K85" s="460" t="str">
        <f t="shared" ca="1" si="16"/>
        <v/>
      </c>
      <c r="L85" s="460" t="str">
        <f t="shared" ca="1" si="16"/>
        <v/>
      </c>
      <c r="M85" s="460" t="str">
        <f t="shared" ca="1" si="16"/>
        <v/>
      </c>
      <c r="N85" s="460" t="str">
        <f t="shared" ca="1" si="16"/>
        <v/>
      </c>
      <c r="O85" s="461" t="str">
        <f t="shared" ca="1" si="16"/>
        <v/>
      </c>
      <c r="P85" s="474" t="str">
        <f t="shared" ca="1" si="16"/>
        <v/>
      </c>
      <c r="Q85" s="475" t="str">
        <f t="shared" ca="1" si="16"/>
        <v/>
      </c>
      <c r="R85" s="476">
        <f ca="1">IF(OR($BG$2=0,$AR85=""),,IF($AR85="本月合计",IF(ROW()=$BG$3,SUM($R$6:$R84),SUM(INDIRECT("$R$"&amp;OFFSET($AU$3,,MATCH(ROW(),$AU$3:$BF$3,)-2)+2&amp;":$R"&amp;ROW()-1))),IF($AR85="本年累计",SUMIF($AR$6:$AR85,"本月合计",$R$6:$R84),INDEX(凭证录入!L:L,$AR85))))</f>
        <v>0</v>
      </c>
      <c r="S85" s="459" t="str">
        <f t="shared" ca="1" si="17"/>
        <v/>
      </c>
      <c r="T85" s="460" t="str">
        <f t="shared" ca="1" si="17"/>
        <v/>
      </c>
      <c r="U85" s="460" t="str">
        <f t="shared" ca="1" si="17"/>
        <v/>
      </c>
      <c r="V85" s="460" t="str">
        <f t="shared" ca="1" si="17"/>
        <v/>
      </c>
      <c r="W85" s="460" t="str">
        <f t="shared" ca="1" si="17"/>
        <v/>
      </c>
      <c r="X85" s="460" t="str">
        <f t="shared" ca="1" si="17"/>
        <v/>
      </c>
      <c r="Y85" s="460" t="str">
        <f t="shared" ca="1" si="17"/>
        <v/>
      </c>
      <c r="Z85" s="460" t="str">
        <f t="shared" ca="1" si="17"/>
        <v/>
      </c>
      <c r="AA85" s="461" t="str">
        <f t="shared" ca="1" si="17"/>
        <v/>
      </c>
      <c r="AB85" s="474" t="str">
        <f t="shared" ca="1" si="17"/>
        <v/>
      </c>
      <c r="AC85" s="475" t="str">
        <f t="shared" ca="1" si="17"/>
        <v/>
      </c>
      <c r="AD85" s="477" t="str">
        <f t="shared" ca="1" si="18"/>
        <v/>
      </c>
      <c r="AE85" s="478">
        <f t="shared" ca="1" si="19"/>
        <v>0</v>
      </c>
      <c r="AF85" s="459" t="str">
        <f t="shared" ref="AF85:AP100" ca="1" si="20">LEFT(RIGHT(TEXT($AE85/1%," ￥0; ￥-0;"),43-COLUMN()))</f>
        <v/>
      </c>
      <c r="AG85" s="460" t="str">
        <f t="shared" ca="1" si="20"/>
        <v/>
      </c>
      <c r="AH85" s="460" t="str">
        <f t="shared" ca="1" si="20"/>
        <v/>
      </c>
      <c r="AI85" s="460" t="str">
        <f t="shared" ca="1" si="20"/>
        <v/>
      </c>
      <c r="AJ85" s="460" t="str">
        <f t="shared" ca="1" si="20"/>
        <v/>
      </c>
      <c r="AK85" s="460" t="str">
        <f t="shared" ca="1" si="20"/>
        <v/>
      </c>
      <c r="AL85" s="460" t="str">
        <f t="shared" ca="1" si="20"/>
        <v/>
      </c>
      <c r="AM85" s="460" t="str">
        <f t="shared" ca="1" si="20"/>
        <v/>
      </c>
      <c r="AN85" s="461" t="str">
        <f t="shared" ca="1" si="20"/>
        <v/>
      </c>
      <c r="AO85" s="474" t="str">
        <f t="shared" ca="1" si="20"/>
        <v/>
      </c>
      <c r="AP85" s="475" t="str">
        <f t="shared" ca="1" si="20"/>
        <v/>
      </c>
      <c r="AQ85" s="479" t="str">
        <f t="array" aca="1" ref="AQ85" ca="1">IF(ROW()-5&lt;=COUNTIF(科目编号,$AR$2),SMALL(IF(科目编号=$AR$2,ROW(科目编号),""),ROW()-5),"")</f>
        <v/>
      </c>
      <c r="AR85" s="480" t="str">
        <f ca="1">IF($BG$2=0,"",IF(AR84="本月合计","本年累计",IF(OR(ROW()=$AU$3,ROW()=$AV$3,ROW()=$AW$3,ROW()=$AX$3,ROW()=$AY$3,ROW()=$AZ$3,ROW()=$BA$3,ROW()=$BB$3,ROW()=$BC$3,ROW()=$BD$3,ROW()=$BE$3,ROW()=$BF$3),"本月合计",IF(ROW()&lt;7,$AQ$6,OFFSET($AQ$6,COUNT($AR$6:AR84),0)))))</f>
        <v/>
      </c>
    </row>
    <row r="86" spans="1:44">
      <c r="A86" s="469" t="str">
        <f ca="1">IFERROR(INDEX(凭证录入!A:A,$AR86),"")</f>
        <v/>
      </c>
      <c r="B86" s="469" t="str">
        <f ca="1">IFERROR(INDEX(凭证录入!B:B,$AR86),"")</f>
        <v/>
      </c>
      <c r="C86" s="470" t="str">
        <f ca="1">IFERROR(INDEX(凭证录入!G:G,$AR86),"")</f>
        <v/>
      </c>
      <c r="D86" s="471" t="str">
        <f ca="1">IFERROR(INDEX(凭证录入!F:F,$AR86),"")</f>
        <v/>
      </c>
      <c r="E86" s="472" t="str">
        <f ca="1">IFERROR(INDEX(凭证录入!H:H,$AR86),$AR86)</f>
        <v/>
      </c>
      <c r="F86" s="473">
        <f ca="1">IF(OR($BG$2=0,$AR86=""),,IF($AR86="本月合计",IF(ROW()=$BG$3,SUM($F$6:$F85),SUM(INDIRECT("$F$"&amp;OFFSET($AU$3,,MATCH(ROW(),$AU$3:$BF$3,)-2)+2&amp;":$E"&amp;ROW()-1))),IF($AR86="本年累计",SUMIF($AR$6:$AR86,"本月合计",$F$6:$F85),INDEX(凭证录入!K:K,$AR86))))</f>
        <v>0</v>
      </c>
      <c r="G86" s="459" t="str">
        <f t="shared" ref="G86:Q101" ca="1" si="21">LEFT(RIGHT(TEXT($F86/1%," ￥0; ￥-0;"),18-COLUMN()))</f>
        <v/>
      </c>
      <c r="H86" s="460" t="str">
        <f t="shared" ca="1" si="21"/>
        <v/>
      </c>
      <c r="I86" s="460" t="str">
        <f t="shared" ca="1" si="21"/>
        <v/>
      </c>
      <c r="J86" s="460" t="str">
        <f t="shared" ca="1" si="21"/>
        <v/>
      </c>
      <c r="K86" s="460" t="str">
        <f t="shared" ca="1" si="21"/>
        <v/>
      </c>
      <c r="L86" s="460" t="str">
        <f t="shared" ca="1" si="21"/>
        <v/>
      </c>
      <c r="M86" s="460" t="str">
        <f t="shared" ca="1" si="21"/>
        <v/>
      </c>
      <c r="N86" s="460" t="str">
        <f t="shared" ca="1" si="21"/>
        <v/>
      </c>
      <c r="O86" s="461" t="str">
        <f t="shared" ca="1" si="21"/>
        <v/>
      </c>
      <c r="P86" s="474" t="str">
        <f t="shared" ca="1" si="21"/>
        <v/>
      </c>
      <c r="Q86" s="475" t="str">
        <f t="shared" ca="1" si="21"/>
        <v/>
      </c>
      <c r="R86" s="476">
        <f ca="1">IF(OR($BG$2=0,$AR86=""),,IF($AR86="本月合计",IF(ROW()=$BG$3,SUM($R$6:$R85),SUM(INDIRECT("$R$"&amp;OFFSET($AU$3,,MATCH(ROW(),$AU$3:$BF$3,)-2)+2&amp;":$R"&amp;ROW()-1))),IF($AR86="本年累计",SUMIF($AR$6:$AR86,"本月合计",$R$6:$R85),INDEX(凭证录入!L:L,$AR86))))</f>
        <v>0</v>
      </c>
      <c r="S86" s="459" t="str">
        <f t="shared" ref="S86:AC101" ca="1" si="22">LEFT(RIGHT(TEXT($R86/1%," ￥0; ￥-0;"),30-COLUMN()))</f>
        <v/>
      </c>
      <c r="T86" s="460" t="str">
        <f t="shared" ca="1" si="22"/>
        <v/>
      </c>
      <c r="U86" s="460" t="str">
        <f t="shared" ca="1" si="22"/>
        <v/>
      </c>
      <c r="V86" s="460" t="str">
        <f t="shared" ca="1" si="22"/>
        <v/>
      </c>
      <c r="W86" s="460" t="str">
        <f t="shared" ca="1" si="22"/>
        <v/>
      </c>
      <c r="X86" s="460" t="str">
        <f t="shared" ca="1" si="22"/>
        <v/>
      </c>
      <c r="Y86" s="460" t="str">
        <f t="shared" ca="1" si="22"/>
        <v/>
      </c>
      <c r="Z86" s="460" t="str">
        <f t="shared" ca="1" si="22"/>
        <v/>
      </c>
      <c r="AA86" s="461" t="str">
        <f t="shared" ca="1" si="22"/>
        <v/>
      </c>
      <c r="AB86" s="474" t="str">
        <f t="shared" ca="1" si="22"/>
        <v/>
      </c>
      <c r="AC86" s="475" t="str">
        <f t="shared" ca="1" si="22"/>
        <v/>
      </c>
      <c r="AD86" s="477" t="str">
        <f t="shared" ca="1" si="18"/>
        <v/>
      </c>
      <c r="AE86" s="478">
        <f t="shared" ca="1" si="19"/>
        <v>0</v>
      </c>
      <c r="AF86" s="459" t="str">
        <f t="shared" ca="1" si="20"/>
        <v/>
      </c>
      <c r="AG86" s="460" t="str">
        <f t="shared" ca="1" si="20"/>
        <v/>
      </c>
      <c r="AH86" s="460" t="str">
        <f t="shared" ca="1" si="20"/>
        <v/>
      </c>
      <c r="AI86" s="460" t="str">
        <f t="shared" ca="1" si="20"/>
        <v/>
      </c>
      <c r="AJ86" s="460" t="str">
        <f t="shared" ca="1" si="20"/>
        <v/>
      </c>
      <c r="AK86" s="460" t="str">
        <f t="shared" ca="1" si="20"/>
        <v/>
      </c>
      <c r="AL86" s="460" t="str">
        <f t="shared" ca="1" si="20"/>
        <v/>
      </c>
      <c r="AM86" s="460" t="str">
        <f t="shared" ca="1" si="20"/>
        <v/>
      </c>
      <c r="AN86" s="461" t="str">
        <f t="shared" ca="1" si="20"/>
        <v/>
      </c>
      <c r="AO86" s="474" t="str">
        <f t="shared" ca="1" si="20"/>
        <v/>
      </c>
      <c r="AP86" s="475" t="str">
        <f t="shared" ca="1" si="20"/>
        <v/>
      </c>
      <c r="AQ86" s="479" t="str">
        <f t="array" aca="1" ref="AQ86" ca="1">IF(ROW()-5&lt;=COUNTIF(科目编号,$AR$2),SMALL(IF(科目编号=$AR$2,ROW(科目编号),""),ROW()-5),"")</f>
        <v/>
      </c>
      <c r="AR86" s="480" t="str">
        <f ca="1">IF($BG$2=0,"",IF(AR85="本月合计","本年累计",IF(OR(ROW()=$AU$3,ROW()=$AV$3,ROW()=$AW$3,ROW()=$AX$3,ROW()=$AY$3,ROW()=$AZ$3,ROW()=$BA$3,ROW()=$BB$3,ROW()=$BC$3,ROW()=$BD$3,ROW()=$BE$3,ROW()=$BF$3),"本月合计",IF(ROW()&lt;7,$AQ$6,OFFSET($AQ$6,COUNT($AR$6:AR85),0)))))</f>
        <v/>
      </c>
    </row>
    <row r="87" spans="1:44">
      <c r="A87" s="469" t="str">
        <f ca="1">IFERROR(INDEX(凭证录入!A:A,$AR87),"")</f>
        <v/>
      </c>
      <c r="B87" s="469" t="str">
        <f ca="1">IFERROR(INDEX(凭证录入!B:B,$AR87),"")</f>
        <v/>
      </c>
      <c r="C87" s="470" t="str">
        <f ca="1">IFERROR(INDEX(凭证录入!G:G,$AR87),"")</f>
        <v/>
      </c>
      <c r="D87" s="471" t="str">
        <f ca="1">IFERROR(INDEX(凭证录入!F:F,$AR87),"")</f>
        <v/>
      </c>
      <c r="E87" s="472" t="str">
        <f ca="1">IFERROR(INDEX(凭证录入!H:H,$AR87),$AR87)</f>
        <v/>
      </c>
      <c r="F87" s="473">
        <f ca="1">IF(OR($BG$2=0,$AR87=""),,IF($AR87="本月合计",IF(ROW()=$BG$3,SUM($F$6:$F86),SUM(INDIRECT("$F$"&amp;OFFSET($AU$3,,MATCH(ROW(),$AU$3:$BF$3,)-2)+2&amp;":$E"&amp;ROW()-1))),IF($AR87="本年累计",SUMIF($AR$6:$AR87,"本月合计",$F$6:$F86),INDEX(凭证录入!K:K,$AR87))))</f>
        <v>0</v>
      </c>
      <c r="G87" s="459" t="str">
        <f t="shared" ca="1" si="21"/>
        <v/>
      </c>
      <c r="H87" s="460" t="str">
        <f t="shared" ca="1" si="21"/>
        <v/>
      </c>
      <c r="I87" s="460" t="str">
        <f t="shared" ca="1" si="21"/>
        <v/>
      </c>
      <c r="J87" s="460" t="str">
        <f t="shared" ca="1" si="21"/>
        <v/>
      </c>
      <c r="K87" s="460" t="str">
        <f t="shared" ca="1" si="21"/>
        <v/>
      </c>
      <c r="L87" s="460" t="str">
        <f t="shared" ca="1" si="21"/>
        <v/>
      </c>
      <c r="M87" s="460" t="str">
        <f t="shared" ca="1" si="21"/>
        <v/>
      </c>
      <c r="N87" s="460" t="str">
        <f t="shared" ca="1" si="21"/>
        <v/>
      </c>
      <c r="O87" s="461" t="str">
        <f t="shared" ca="1" si="21"/>
        <v/>
      </c>
      <c r="P87" s="474" t="str">
        <f t="shared" ca="1" si="21"/>
        <v/>
      </c>
      <c r="Q87" s="475" t="str">
        <f t="shared" ca="1" si="21"/>
        <v/>
      </c>
      <c r="R87" s="476">
        <f ca="1">IF(OR($BG$2=0,$AR87=""),,IF($AR87="本月合计",IF(ROW()=$BG$3,SUM($R$6:$R86),SUM(INDIRECT("$R$"&amp;OFFSET($AU$3,,MATCH(ROW(),$AU$3:$BF$3,)-2)+2&amp;":$R"&amp;ROW()-1))),IF($AR87="本年累计",SUMIF($AR$6:$AR87,"本月合计",$R$6:$R86),INDEX(凭证录入!L:L,$AR87))))</f>
        <v>0</v>
      </c>
      <c r="S87" s="459" t="str">
        <f t="shared" ca="1" si="22"/>
        <v/>
      </c>
      <c r="T87" s="460" t="str">
        <f t="shared" ca="1" si="22"/>
        <v/>
      </c>
      <c r="U87" s="460" t="str">
        <f t="shared" ca="1" si="22"/>
        <v/>
      </c>
      <c r="V87" s="460" t="str">
        <f t="shared" ca="1" si="22"/>
        <v/>
      </c>
      <c r="W87" s="460" t="str">
        <f t="shared" ca="1" si="22"/>
        <v/>
      </c>
      <c r="X87" s="460" t="str">
        <f t="shared" ca="1" si="22"/>
        <v/>
      </c>
      <c r="Y87" s="460" t="str">
        <f t="shared" ca="1" si="22"/>
        <v/>
      </c>
      <c r="Z87" s="460" t="str">
        <f t="shared" ca="1" si="22"/>
        <v/>
      </c>
      <c r="AA87" s="461" t="str">
        <f t="shared" ca="1" si="22"/>
        <v/>
      </c>
      <c r="AB87" s="474" t="str">
        <f t="shared" ca="1" si="22"/>
        <v/>
      </c>
      <c r="AC87" s="475" t="str">
        <f t="shared" ca="1" si="22"/>
        <v/>
      </c>
      <c r="AD87" s="477" t="str">
        <f t="shared" ca="1" si="18"/>
        <v/>
      </c>
      <c r="AE87" s="478">
        <f t="shared" ca="1" si="19"/>
        <v>0</v>
      </c>
      <c r="AF87" s="459" t="str">
        <f t="shared" ca="1" si="20"/>
        <v/>
      </c>
      <c r="AG87" s="460" t="str">
        <f t="shared" ca="1" si="20"/>
        <v/>
      </c>
      <c r="AH87" s="460" t="str">
        <f t="shared" ca="1" si="20"/>
        <v/>
      </c>
      <c r="AI87" s="460" t="str">
        <f t="shared" ca="1" si="20"/>
        <v/>
      </c>
      <c r="AJ87" s="460" t="str">
        <f t="shared" ca="1" si="20"/>
        <v/>
      </c>
      <c r="AK87" s="460" t="str">
        <f t="shared" ca="1" si="20"/>
        <v/>
      </c>
      <c r="AL87" s="460" t="str">
        <f t="shared" ca="1" si="20"/>
        <v/>
      </c>
      <c r="AM87" s="460" t="str">
        <f t="shared" ca="1" si="20"/>
        <v/>
      </c>
      <c r="AN87" s="461" t="str">
        <f t="shared" ca="1" si="20"/>
        <v/>
      </c>
      <c r="AO87" s="474" t="str">
        <f t="shared" ca="1" si="20"/>
        <v/>
      </c>
      <c r="AP87" s="475" t="str">
        <f t="shared" ca="1" si="20"/>
        <v/>
      </c>
      <c r="AQ87" s="479" t="str">
        <f t="array" aca="1" ref="AQ87" ca="1">IF(ROW()-5&lt;=COUNTIF(科目编号,$AR$2),SMALL(IF(科目编号=$AR$2,ROW(科目编号),""),ROW()-5),"")</f>
        <v/>
      </c>
      <c r="AR87" s="480" t="str">
        <f ca="1">IF($BG$2=0,"",IF(AR86="本月合计","本年累计",IF(OR(ROW()=$AU$3,ROW()=$AV$3,ROW()=$AW$3,ROW()=$AX$3,ROW()=$AY$3,ROW()=$AZ$3,ROW()=$BA$3,ROW()=$BB$3,ROW()=$BC$3,ROW()=$BD$3,ROW()=$BE$3,ROW()=$BF$3),"本月合计",IF(ROW()&lt;7,$AQ$6,OFFSET($AQ$6,COUNT($AR$6:AR86),0)))))</f>
        <v/>
      </c>
    </row>
    <row r="88" spans="1:44">
      <c r="A88" s="469" t="str">
        <f ca="1">IFERROR(INDEX(凭证录入!A:A,$AR88),"")</f>
        <v/>
      </c>
      <c r="B88" s="469" t="str">
        <f ca="1">IFERROR(INDEX(凭证录入!B:B,$AR88),"")</f>
        <v/>
      </c>
      <c r="C88" s="470" t="str">
        <f ca="1">IFERROR(INDEX(凭证录入!G:G,$AR88),"")</f>
        <v/>
      </c>
      <c r="D88" s="471" t="str">
        <f ca="1">IFERROR(INDEX(凭证录入!F:F,$AR88),"")</f>
        <v/>
      </c>
      <c r="E88" s="472" t="str">
        <f ca="1">IFERROR(INDEX(凭证录入!H:H,$AR88),$AR88)</f>
        <v/>
      </c>
      <c r="F88" s="473">
        <f ca="1">IF(OR($BG$2=0,$AR88=""),,IF($AR88="本月合计",IF(ROW()=$BG$3,SUM($F$6:$F87),SUM(INDIRECT("$F$"&amp;OFFSET($AU$3,,MATCH(ROW(),$AU$3:$BF$3,)-2)+2&amp;":$E"&amp;ROW()-1))),IF($AR88="本年累计",SUMIF($AR$6:$AR88,"本月合计",$F$6:$F87),INDEX(凭证录入!K:K,$AR88))))</f>
        <v>0</v>
      </c>
      <c r="G88" s="459" t="str">
        <f t="shared" ca="1" si="21"/>
        <v/>
      </c>
      <c r="H88" s="460" t="str">
        <f t="shared" ca="1" si="21"/>
        <v/>
      </c>
      <c r="I88" s="460" t="str">
        <f t="shared" ca="1" si="21"/>
        <v/>
      </c>
      <c r="J88" s="460" t="str">
        <f t="shared" ca="1" si="21"/>
        <v/>
      </c>
      <c r="K88" s="460" t="str">
        <f t="shared" ca="1" si="21"/>
        <v/>
      </c>
      <c r="L88" s="460" t="str">
        <f t="shared" ca="1" si="21"/>
        <v/>
      </c>
      <c r="M88" s="460" t="str">
        <f t="shared" ca="1" si="21"/>
        <v/>
      </c>
      <c r="N88" s="460" t="str">
        <f t="shared" ca="1" si="21"/>
        <v/>
      </c>
      <c r="O88" s="461" t="str">
        <f t="shared" ca="1" si="21"/>
        <v/>
      </c>
      <c r="P88" s="474" t="str">
        <f t="shared" ca="1" si="21"/>
        <v/>
      </c>
      <c r="Q88" s="475" t="str">
        <f t="shared" ca="1" si="21"/>
        <v/>
      </c>
      <c r="R88" s="476">
        <f ca="1">IF(OR($BG$2=0,$AR88=""),,IF($AR88="本月合计",IF(ROW()=$BG$3,SUM($R$6:$R87),SUM(INDIRECT("$R$"&amp;OFFSET($AU$3,,MATCH(ROW(),$AU$3:$BF$3,)-2)+2&amp;":$R"&amp;ROW()-1))),IF($AR88="本年累计",SUMIF($AR$6:$AR88,"本月合计",$R$6:$R87),INDEX(凭证录入!L:L,$AR88))))</f>
        <v>0</v>
      </c>
      <c r="S88" s="459" t="str">
        <f t="shared" ca="1" si="22"/>
        <v/>
      </c>
      <c r="T88" s="460" t="str">
        <f t="shared" ca="1" si="22"/>
        <v/>
      </c>
      <c r="U88" s="460" t="str">
        <f t="shared" ca="1" si="22"/>
        <v/>
      </c>
      <c r="V88" s="460" t="str">
        <f t="shared" ca="1" si="22"/>
        <v/>
      </c>
      <c r="W88" s="460" t="str">
        <f t="shared" ca="1" si="22"/>
        <v/>
      </c>
      <c r="X88" s="460" t="str">
        <f t="shared" ca="1" si="22"/>
        <v/>
      </c>
      <c r="Y88" s="460" t="str">
        <f t="shared" ca="1" si="22"/>
        <v/>
      </c>
      <c r="Z88" s="460" t="str">
        <f t="shared" ca="1" si="22"/>
        <v/>
      </c>
      <c r="AA88" s="461" t="str">
        <f t="shared" ca="1" si="22"/>
        <v/>
      </c>
      <c r="AB88" s="474" t="str">
        <f t="shared" ca="1" si="22"/>
        <v/>
      </c>
      <c r="AC88" s="475" t="str">
        <f t="shared" ca="1" si="22"/>
        <v/>
      </c>
      <c r="AD88" s="477" t="str">
        <f t="shared" ca="1" si="18"/>
        <v/>
      </c>
      <c r="AE88" s="478">
        <f t="shared" ca="1" si="19"/>
        <v>0</v>
      </c>
      <c r="AF88" s="459" t="str">
        <f t="shared" ca="1" si="20"/>
        <v/>
      </c>
      <c r="AG88" s="460" t="str">
        <f t="shared" ca="1" si="20"/>
        <v/>
      </c>
      <c r="AH88" s="460" t="str">
        <f t="shared" ca="1" si="20"/>
        <v/>
      </c>
      <c r="AI88" s="460" t="str">
        <f t="shared" ca="1" si="20"/>
        <v/>
      </c>
      <c r="AJ88" s="460" t="str">
        <f t="shared" ca="1" si="20"/>
        <v/>
      </c>
      <c r="AK88" s="460" t="str">
        <f t="shared" ca="1" si="20"/>
        <v/>
      </c>
      <c r="AL88" s="460" t="str">
        <f t="shared" ca="1" si="20"/>
        <v/>
      </c>
      <c r="AM88" s="460" t="str">
        <f t="shared" ca="1" si="20"/>
        <v/>
      </c>
      <c r="AN88" s="461" t="str">
        <f t="shared" ca="1" si="20"/>
        <v/>
      </c>
      <c r="AO88" s="474" t="str">
        <f t="shared" ca="1" si="20"/>
        <v/>
      </c>
      <c r="AP88" s="475" t="str">
        <f t="shared" ca="1" si="20"/>
        <v/>
      </c>
      <c r="AQ88" s="479" t="str">
        <f t="array" aca="1" ref="AQ88" ca="1">IF(ROW()-5&lt;=COUNTIF(科目编号,$AR$2),SMALL(IF(科目编号=$AR$2,ROW(科目编号),""),ROW()-5),"")</f>
        <v/>
      </c>
      <c r="AR88" s="480" t="str">
        <f ca="1">IF($BG$2=0,"",IF(AR87="本月合计","本年累计",IF(OR(ROW()=$AU$3,ROW()=$AV$3,ROW()=$AW$3,ROW()=$AX$3,ROW()=$AY$3,ROW()=$AZ$3,ROW()=$BA$3,ROW()=$BB$3,ROW()=$BC$3,ROW()=$BD$3,ROW()=$BE$3,ROW()=$BF$3),"本月合计",IF(ROW()&lt;7,$AQ$6,OFFSET($AQ$6,COUNT($AR$6:AR87),0)))))</f>
        <v/>
      </c>
    </row>
    <row r="89" spans="1:44">
      <c r="A89" s="469" t="str">
        <f ca="1">IFERROR(INDEX(凭证录入!A:A,$AR89),"")</f>
        <v/>
      </c>
      <c r="B89" s="469" t="str">
        <f ca="1">IFERROR(INDEX(凭证录入!B:B,$AR89),"")</f>
        <v/>
      </c>
      <c r="C89" s="470" t="str">
        <f ca="1">IFERROR(INDEX(凭证录入!G:G,$AR89),"")</f>
        <v/>
      </c>
      <c r="D89" s="471" t="str">
        <f ca="1">IFERROR(INDEX(凭证录入!F:F,$AR89),"")</f>
        <v/>
      </c>
      <c r="E89" s="472" t="str">
        <f ca="1">IFERROR(INDEX(凭证录入!H:H,$AR89),$AR89)</f>
        <v/>
      </c>
      <c r="F89" s="473">
        <f ca="1">IF(OR($BG$2=0,$AR89=""),,IF($AR89="本月合计",IF(ROW()=$BG$3,SUM($F$6:$F88),SUM(INDIRECT("$F$"&amp;OFFSET($AU$3,,MATCH(ROW(),$AU$3:$BF$3,)-2)+2&amp;":$E"&amp;ROW()-1))),IF($AR89="本年累计",SUMIF($AR$6:$AR89,"本月合计",$F$6:$F88),INDEX(凭证录入!K:K,$AR89))))</f>
        <v>0</v>
      </c>
      <c r="G89" s="459" t="str">
        <f t="shared" ca="1" si="21"/>
        <v/>
      </c>
      <c r="H89" s="460" t="str">
        <f t="shared" ca="1" si="21"/>
        <v/>
      </c>
      <c r="I89" s="460" t="str">
        <f t="shared" ca="1" si="21"/>
        <v/>
      </c>
      <c r="J89" s="460" t="str">
        <f t="shared" ca="1" si="21"/>
        <v/>
      </c>
      <c r="K89" s="460" t="str">
        <f t="shared" ca="1" si="21"/>
        <v/>
      </c>
      <c r="L89" s="460" t="str">
        <f t="shared" ca="1" si="21"/>
        <v/>
      </c>
      <c r="M89" s="460" t="str">
        <f t="shared" ca="1" si="21"/>
        <v/>
      </c>
      <c r="N89" s="460" t="str">
        <f t="shared" ca="1" si="21"/>
        <v/>
      </c>
      <c r="O89" s="461" t="str">
        <f t="shared" ca="1" si="21"/>
        <v/>
      </c>
      <c r="P89" s="474" t="str">
        <f t="shared" ca="1" si="21"/>
        <v/>
      </c>
      <c r="Q89" s="475" t="str">
        <f t="shared" ca="1" si="21"/>
        <v/>
      </c>
      <c r="R89" s="476">
        <f ca="1">IF(OR($BG$2=0,$AR89=""),,IF($AR89="本月合计",IF(ROW()=$BG$3,SUM($R$6:$R88),SUM(INDIRECT("$R$"&amp;OFFSET($AU$3,,MATCH(ROW(),$AU$3:$BF$3,)-2)+2&amp;":$R"&amp;ROW()-1))),IF($AR89="本年累计",SUMIF($AR$6:$AR89,"本月合计",$R$6:$R88),INDEX(凭证录入!L:L,$AR89))))</f>
        <v>0</v>
      </c>
      <c r="S89" s="459" t="str">
        <f t="shared" ca="1" si="22"/>
        <v/>
      </c>
      <c r="T89" s="460" t="str">
        <f t="shared" ca="1" si="22"/>
        <v/>
      </c>
      <c r="U89" s="460" t="str">
        <f t="shared" ca="1" si="22"/>
        <v/>
      </c>
      <c r="V89" s="460" t="str">
        <f t="shared" ca="1" si="22"/>
        <v/>
      </c>
      <c r="W89" s="460" t="str">
        <f t="shared" ca="1" si="22"/>
        <v/>
      </c>
      <c r="X89" s="460" t="str">
        <f t="shared" ca="1" si="22"/>
        <v/>
      </c>
      <c r="Y89" s="460" t="str">
        <f t="shared" ca="1" si="22"/>
        <v/>
      </c>
      <c r="Z89" s="460" t="str">
        <f t="shared" ca="1" si="22"/>
        <v/>
      </c>
      <c r="AA89" s="461" t="str">
        <f t="shared" ca="1" si="22"/>
        <v/>
      </c>
      <c r="AB89" s="474" t="str">
        <f t="shared" ca="1" si="22"/>
        <v/>
      </c>
      <c r="AC89" s="475" t="str">
        <f t="shared" ca="1" si="22"/>
        <v/>
      </c>
      <c r="AD89" s="477" t="str">
        <f t="shared" ca="1" si="18"/>
        <v/>
      </c>
      <c r="AE89" s="478">
        <f t="shared" ca="1" si="19"/>
        <v>0</v>
      </c>
      <c r="AF89" s="459" t="str">
        <f t="shared" ca="1" si="20"/>
        <v/>
      </c>
      <c r="AG89" s="460" t="str">
        <f t="shared" ca="1" si="20"/>
        <v/>
      </c>
      <c r="AH89" s="460" t="str">
        <f t="shared" ca="1" si="20"/>
        <v/>
      </c>
      <c r="AI89" s="460" t="str">
        <f t="shared" ca="1" si="20"/>
        <v/>
      </c>
      <c r="AJ89" s="460" t="str">
        <f t="shared" ca="1" si="20"/>
        <v/>
      </c>
      <c r="AK89" s="460" t="str">
        <f t="shared" ca="1" si="20"/>
        <v/>
      </c>
      <c r="AL89" s="460" t="str">
        <f t="shared" ca="1" si="20"/>
        <v/>
      </c>
      <c r="AM89" s="460" t="str">
        <f t="shared" ca="1" si="20"/>
        <v/>
      </c>
      <c r="AN89" s="461" t="str">
        <f t="shared" ca="1" si="20"/>
        <v/>
      </c>
      <c r="AO89" s="474" t="str">
        <f t="shared" ca="1" si="20"/>
        <v/>
      </c>
      <c r="AP89" s="475" t="str">
        <f t="shared" ca="1" si="20"/>
        <v/>
      </c>
      <c r="AQ89" s="479" t="str">
        <f t="array" aca="1" ref="AQ89" ca="1">IF(ROW()-5&lt;=COUNTIF(科目编号,$AR$2),SMALL(IF(科目编号=$AR$2,ROW(科目编号),""),ROW()-5),"")</f>
        <v/>
      </c>
      <c r="AR89" s="480" t="str">
        <f ca="1">IF($BG$2=0,"",IF(AR88="本月合计","本年累计",IF(OR(ROW()=$AU$3,ROW()=$AV$3,ROW()=$AW$3,ROW()=$AX$3,ROW()=$AY$3,ROW()=$AZ$3,ROW()=$BA$3,ROW()=$BB$3,ROW()=$BC$3,ROW()=$BD$3,ROW()=$BE$3,ROW()=$BF$3),"本月合计",IF(ROW()&lt;7,$AQ$6,OFFSET($AQ$6,COUNT($AR$6:AR88),0)))))</f>
        <v/>
      </c>
    </row>
    <row r="90" spans="1:44">
      <c r="A90" s="469" t="str">
        <f ca="1">IFERROR(INDEX(凭证录入!A:A,$AR90),"")</f>
        <v/>
      </c>
      <c r="B90" s="469" t="str">
        <f ca="1">IFERROR(INDEX(凭证录入!B:B,$AR90),"")</f>
        <v/>
      </c>
      <c r="C90" s="470" t="str">
        <f ca="1">IFERROR(INDEX(凭证录入!G:G,$AR90),"")</f>
        <v/>
      </c>
      <c r="D90" s="471" t="str">
        <f ca="1">IFERROR(INDEX(凭证录入!F:F,$AR90),"")</f>
        <v/>
      </c>
      <c r="E90" s="472" t="str">
        <f ca="1">IFERROR(INDEX(凭证录入!H:H,$AR90),$AR90)</f>
        <v/>
      </c>
      <c r="F90" s="473">
        <f ca="1">IF(OR($BG$2=0,$AR90=""),,IF($AR90="本月合计",IF(ROW()=$BG$3,SUM($F$6:$F89),SUM(INDIRECT("$F$"&amp;OFFSET($AU$3,,MATCH(ROW(),$AU$3:$BF$3,)-2)+2&amp;":$E"&amp;ROW()-1))),IF($AR90="本年累计",SUMIF($AR$6:$AR90,"本月合计",$F$6:$F89),INDEX(凭证录入!K:K,$AR90))))</f>
        <v>0</v>
      </c>
      <c r="G90" s="459" t="str">
        <f t="shared" ca="1" si="21"/>
        <v/>
      </c>
      <c r="H90" s="460" t="str">
        <f t="shared" ca="1" si="21"/>
        <v/>
      </c>
      <c r="I90" s="460" t="str">
        <f t="shared" ca="1" si="21"/>
        <v/>
      </c>
      <c r="J90" s="460" t="str">
        <f t="shared" ca="1" si="21"/>
        <v/>
      </c>
      <c r="K90" s="460" t="str">
        <f t="shared" ca="1" si="21"/>
        <v/>
      </c>
      <c r="L90" s="460" t="str">
        <f t="shared" ca="1" si="21"/>
        <v/>
      </c>
      <c r="M90" s="460" t="str">
        <f t="shared" ca="1" si="21"/>
        <v/>
      </c>
      <c r="N90" s="460" t="str">
        <f t="shared" ca="1" si="21"/>
        <v/>
      </c>
      <c r="O90" s="461" t="str">
        <f t="shared" ca="1" si="21"/>
        <v/>
      </c>
      <c r="P90" s="474" t="str">
        <f t="shared" ca="1" si="21"/>
        <v/>
      </c>
      <c r="Q90" s="475" t="str">
        <f t="shared" ca="1" si="21"/>
        <v/>
      </c>
      <c r="R90" s="476">
        <f ca="1">IF(OR($BG$2=0,$AR90=""),,IF($AR90="本月合计",IF(ROW()=$BG$3,SUM($R$6:$R89),SUM(INDIRECT("$R$"&amp;OFFSET($AU$3,,MATCH(ROW(),$AU$3:$BF$3,)-2)+2&amp;":$R"&amp;ROW()-1))),IF($AR90="本年累计",SUMIF($AR$6:$AR90,"本月合计",$R$6:$R89),INDEX(凭证录入!L:L,$AR90))))</f>
        <v>0</v>
      </c>
      <c r="S90" s="459" t="str">
        <f t="shared" ca="1" si="22"/>
        <v/>
      </c>
      <c r="T90" s="460" t="str">
        <f t="shared" ca="1" si="22"/>
        <v/>
      </c>
      <c r="U90" s="460" t="str">
        <f t="shared" ca="1" si="22"/>
        <v/>
      </c>
      <c r="V90" s="460" t="str">
        <f t="shared" ca="1" si="22"/>
        <v/>
      </c>
      <c r="W90" s="460" t="str">
        <f t="shared" ca="1" si="22"/>
        <v/>
      </c>
      <c r="X90" s="460" t="str">
        <f t="shared" ca="1" si="22"/>
        <v/>
      </c>
      <c r="Y90" s="460" t="str">
        <f t="shared" ca="1" si="22"/>
        <v/>
      </c>
      <c r="Z90" s="460" t="str">
        <f t="shared" ca="1" si="22"/>
        <v/>
      </c>
      <c r="AA90" s="461" t="str">
        <f t="shared" ca="1" si="22"/>
        <v/>
      </c>
      <c r="AB90" s="474" t="str">
        <f t="shared" ca="1" si="22"/>
        <v/>
      </c>
      <c r="AC90" s="475" t="str">
        <f t="shared" ca="1" si="22"/>
        <v/>
      </c>
      <c r="AD90" s="477" t="str">
        <f t="shared" ca="1" si="18"/>
        <v/>
      </c>
      <c r="AE90" s="478">
        <f t="shared" ca="1" si="19"/>
        <v>0</v>
      </c>
      <c r="AF90" s="459" t="str">
        <f t="shared" ca="1" si="20"/>
        <v/>
      </c>
      <c r="AG90" s="460" t="str">
        <f t="shared" ca="1" si="20"/>
        <v/>
      </c>
      <c r="AH90" s="460" t="str">
        <f t="shared" ca="1" si="20"/>
        <v/>
      </c>
      <c r="AI90" s="460" t="str">
        <f t="shared" ca="1" si="20"/>
        <v/>
      </c>
      <c r="AJ90" s="460" t="str">
        <f t="shared" ca="1" si="20"/>
        <v/>
      </c>
      <c r="AK90" s="460" t="str">
        <f t="shared" ca="1" si="20"/>
        <v/>
      </c>
      <c r="AL90" s="460" t="str">
        <f t="shared" ca="1" si="20"/>
        <v/>
      </c>
      <c r="AM90" s="460" t="str">
        <f t="shared" ca="1" si="20"/>
        <v/>
      </c>
      <c r="AN90" s="461" t="str">
        <f t="shared" ca="1" si="20"/>
        <v/>
      </c>
      <c r="AO90" s="474" t="str">
        <f t="shared" ca="1" si="20"/>
        <v/>
      </c>
      <c r="AP90" s="475" t="str">
        <f t="shared" ca="1" si="20"/>
        <v/>
      </c>
      <c r="AQ90" s="479" t="str">
        <f t="array" aca="1" ref="AQ90" ca="1">IF(ROW()-5&lt;=COUNTIF(科目编号,$AR$2),SMALL(IF(科目编号=$AR$2,ROW(科目编号),""),ROW()-5),"")</f>
        <v/>
      </c>
      <c r="AR90" s="480" t="str">
        <f ca="1">IF($BG$2=0,"",IF(AR89="本月合计","本年累计",IF(OR(ROW()=$AU$3,ROW()=$AV$3,ROW()=$AW$3,ROW()=$AX$3,ROW()=$AY$3,ROW()=$AZ$3,ROW()=$BA$3,ROW()=$BB$3,ROW()=$BC$3,ROW()=$BD$3,ROW()=$BE$3,ROW()=$BF$3),"本月合计",IF(ROW()&lt;7,$AQ$6,OFFSET($AQ$6,COUNT($AR$6:AR89),0)))))</f>
        <v/>
      </c>
    </row>
    <row r="91" spans="1:44">
      <c r="A91" s="469" t="str">
        <f ca="1">IFERROR(INDEX(凭证录入!A:A,$AR91),"")</f>
        <v/>
      </c>
      <c r="B91" s="469" t="str">
        <f ca="1">IFERROR(INDEX(凭证录入!B:B,$AR91),"")</f>
        <v/>
      </c>
      <c r="C91" s="470" t="str">
        <f ca="1">IFERROR(INDEX(凭证录入!G:G,$AR91),"")</f>
        <v/>
      </c>
      <c r="D91" s="471" t="str">
        <f ca="1">IFERROR(INDEX(凭证录入!F:F,$AR91),"")</f>
        <v/>
      </c>
      <c r="E91" s="472" t="str">
        <f ca="1">IFERROR(INDEX(凭证录入!H:H,$AR91),$AR91)</f>
        <v/>
      </c>
      <c r="F91" s="473">
        <f ca="1">IF(OR($BG$2=0,$AR91=""),,IF($AR91="本月合计",IF(ROW()=$BG$3,SUM($F$6:$F90),SUM(INDIRECT("$F$"&amp;OFFSET($AU$3,,MATCH(ROW(),$AU$3:$BF$3,)-2)+2&amp;":$E"&amp;ROW()-1))),IF($AR91="本年累计",SUMIF($AR$6:$AR91,"本月合计",$F$6:$F90),INDEX(凭证录入!K:K,$AR91))))</f>
        <v>0</v>
      </c>
      <c r="G91" s="459" t="str">
        <f t="shared" ca="1" si="21"/>
        <v/>
      </c>
      <c r="H91" s="460" t="str">
        <f t="shared" ca="1" si="21"/>
        <v/>
      </c>
      <c r="I91" s="460" t="str">
        <f t="shared" ca="1" si="21"/>
        <v/>
      </c>
      <c r="J91" s="460" t="str">
        <f t="shared" ca="1" si="21"/>
        <v/>
      </c>
      <c r="K91" s="460" t="str">
        <f t="shared" ca="1" si="21"/>
        <v/>
      </c>
      <c r="L91" s="460" t="str">
        <f t="shared" ca="1" si="21"/>
        <v/>
      </c>
      <c r="M91" s="460" t="str">
        <f t="shared" ca="1" si="21"/>
        <v/>
      </c>
      <c r="N91" s="460" t="str">
        <f t="shared" ca="1" si="21"/>
        <v/>
      </c>
      <c r="O91" s="461" t="str">
        <f t="shared" ca="1" si="21"/>
        <v/>
      </c>
      <c r="P91" s="474" t="str">
        <f t="shared" ca="1" si="21"/>
        <v/>
      </c>
      <c r="Q91" s="475" t="str">
        <f t="shared" ca="1" si="21"/>
        <v/>
      </c>
      <c r="R91" s="476">
        <f ca="1">IF(OR($BG$2=0,$AR91=""),,IF($AR91="本月合计",IF(ROW()=$BG$3,SUM($R$6:$R90),SUM(INDIRECT("$R$"&amp;OFFSET($AU$3,,MATCH(ROW(),$AU$3:$BF$3,)-2)+2&amp;":$R"&amp;ROW()-1))),IF($AR91="本年累计",SUMIF($AR$6:$AR91,"本月合计",$R$6:$R90),INDEX(凭证录入!L:L,$AR91))))</f>
        <v>0</v>
      </c>
      <c r="S91" s="459" t="str">
        <f t="shared" ca="1" si="22"/>
        <v/>
      </c>
      <c r="T91" s="460" t="str">
        <f t="shared" ca="1" si="22"/>
        <v/>
      </c>
      <c r="U91" s="460" t="str">
        <f t="shared" ca="1" si="22"/>
        <v/>
      </c>
      <c r="V91" s="460" t="str">
        <f t="shared" ca="1" si="22"/>
        <v/>
      </c>
      <c r="W91" s="460" t="str">
        <f t="shared" ca="1" si="22"/>
        <v/>
      </c>
      <c r="X91" s="460" t="str">
        <f t="shared" ca="1" si="22"/>
        <v/>
      </c>
      <c r="Y91" s="460" t="str">
        <f t="shared" ca="1" si="22"/>
        <v/>
      </c>
      <c r="Z91" s="460" t="str">
        <f t="shared" ca="1" si="22"/>
        <v/>
      </c>
      <c r="AA91" s="461" t="str">
        <f t="shared" ca="1" si="22"/>
        <v/>
      </c>
      <c r="AB91" s="474" t="str">
        <f t="shared" ca="1" si="22"/>
        <v/>
      </c>
      <c r="AC91" s="475" t="str">
        <f t="shared" ca="1" si="22"/>
        <v/>
      </c>
      <c r="AD91" s="477" t="str">
        <f t="shared" ca="1" si="18"/>
        <v/>
      </c>
      <c r="AE91" s="478">
        <f t="shared" ca="1" si="19"/>
        <v>0</v>
      </c>
      <c r="AF91" s="459" t="str">
        <f t="shared" ca="1" si="20"/>
        <v/>
      </c>
      <c r="AG91" s="460" t="str">
        <f t="shared" ca="1" si="20"/>
        <v/>
      </c>
      <c r="AH91" s="460" t="str">
        <f t="shared" ca="1" si="20"/>
        <v/>
      </c>
      <c r="AI91" s="460" t="str">
        <f t="shared" ca="1" si="20"/>
        <v/>
      </c>
      <c r="AJ91" s="460" t="str">
        <f t="shared" ca="1" si="20"/>
        <v/>
      </c>
      <c r="AK91" s="460" t="str">
        <f t="shared" ca="1" si="20"/>
        <v/>
      </c>
      <c r="AL91" s="460" t="str">
        <f t="shared" ca="1" si="20"/>
        <v/>
      </c>
      <c r="AM91" s="460" t="str">
        <f t="shared" ca="1" si="20"/>
        <v/>
      </c>
      <c r="AN91" s="461" t="str">
        <f t="shared" ca="1" si="20"/>
        <v/>
      </c>
      <c r="AO91" s="474" t="str">
        <f t="shared" ca="1" si="20"/>
        <v/>
      </c>
      <c r="AP91" s="475" t="str">
        <f t="shared" ca="1" si="20"/>
        <v/>
      </c>
      <c r="AQ91" s="479" t="str">
        <f t="array" aca="1" ref="AQ91" ca="1">IF(ROW()-5&lt;=COUNTIF(科目编号,$AR$2),SMALL(IF(科目编号=$AR$2,ROW(科目编号),""),ROW()-5),"")</f>
        <v/>
      </c>
      <c r="AR91" s="480" t="str">
        <f ca="1">IF($BG$2=0,"",IF(AR90="本月合计","本年累计",IF(OR(ROW()=$AU$3,ROW()=$AV$3,ROW()=$AW$3,ROW()=$AX$3,ROW()=$AY$3,ROW()=$AZ$3,ROW()=$BA$3,ROW()=$BB$3,ROW()=$BC$3,ROW()=$BD$3,ROW()=$BE$3,ROW()=$BF$3),"本月合计",IF(ROW()&lt;7,$AQ$6,OFFSET($AQ$6,COUNT($AR$6:AR90),0)))))</f>
        <v/>
      </c>
    </row>
    <row r="92" spans="1:44">
      <c r="A92" s="469" t="str">
        <f ca="1">IFERROR(INDEX(凭证录入!A:A,$AR92),"")</f>
        <v/>
      </c>
      <c r="B92" s="469" t="str">
        <f ca="1">IFERROR(INDEX(凭证录入!B:B,$AR92),"")</f>
        <v/>
      </c>
      <c r="C92" s="470" t="str">
        <f ca="1">IFERROR(INDEX(凭证录入!G:G,$AR92),"")</f>
        <v/>
      </c>
      <c r="D92" s="471" t="str">
        <f ca="1">IFERROR(INDEX(凭证录入!F:F,$AR92),"")</f>
        <v/>
      </c>
      <c r="E92" s="472" t="str">
        <f ca="1">IFERROR(INDEX(凭证录入!H:H,$AR92),$AR92)</f>
        <v/>
      </c>
      <c r="F92" s="473">
        <f ca="1">IF(OR($BG$2=0,$AR92=""),,IF($AR92="本月合计",IF(ROW()=$BG$3,SUM($F$6:$F91),SUM(INDIRECT("$F$"&amp;OFFSET($AU$3,,MATCH(ROW(),$AU$3:$BF$3,)-2)+2&amp;":$E"&amp;ROW()-1))),IF($AR92="本年累计",SUMIF($AR$6:$AR92,"本月合计",$F$6:$F91),INDEX(凭证录入!K:K,$AR92))))</f>
        <v>0</v>
      </c>
      <c r="G92" s="459" t="str">
        <f t="shared" ca="1" si="21"/>
        <v/>
      </c>
      <c r="H92" s="460" t="str">
        <f t="shared" ca="1" si="21"/>
        <v/>
      </c>
      <c r="I92" s="460" t="str">
        <f t="shared" ca="1" si="21"/>
        <v/>
      </c>
      <c r="J92" s="460" t="str">
        <f t="shared" ca="1" si="21"/>
        <v/>
      </c>
      <c r="K92" s="460" t="str">
        <f t="shared" ca="1" si="21"/>
        <v/>
      </c>
      <c r="L92" s="460" t="str">
        <f t="shared" ca="1" si="21"/>
        <v/>
      </c>
      <c r="M92" s="460" t="str">
        <f t="shared" ca="1" si="21"/>
        <v/>
      </c>
      <c r="N92" s="460" t="str">
        <f t="shared" ca="1" si="21"/>
        <v/>
      </c>
      <c r="O92" s="461" t="str">
        <f t="shared" ca="1" si="21"/>
        <v/>
      </c>
      <c r="P92" s="474" t="str">
        <f t="shared" ca="1" si="21"/>
        <v/>
      </c>
      <c r="Q92" s="475" t="str">
        <f t="shared" ca="1" si="21"/>
        <v/>
      </c>
      <c r="R92" s="476">
        <f ca="1">IF(OR($BG$2=0,$AR92=""),,IF($AR92="本月合计",IF(ROW()=$BG$3,SUM($R$6:$R91),SUM(INDIRECT("$R$"&amp;OFFSET($AU$3,,MATCH(ROW(),$AU$3:$BF$3,)-2)+2&amp;":$R"&amp;ROW()-1))),IF($AR92="本年累计",SUMIF($AR$6:$AR92,"本月合计",$R$6:$R91),INDEX(凭证录入!L:L,$AR92))))</f>
        <v>0</v>
      </c>
      <c r="S92" s="459" t="str">
        <f t="shared" ca="1" si="22"/>
        <v/>
      </c>
      <c r="T92" s="460" t="str">
        <f t="shared" ca="1" si="22"/>
        <v/>
      </c>
      <c r="U92" s="460" t="str">
        <f t="shared" ca="1" si="22"/>
        <v/>
      </c>
      <c r="V92" s="460" t="str">
        <f t="shared" ca="1" si="22"/>
        <v/>
      </c>
      <c r="W92" s="460" t="str">
        <f t="shared" ca="1" si="22"/>
        <v/>
      </c>
      <c r="X92" s="460" t="str">
        <f t="shared" ca="1" si="22"/>
        <v/>
      </c>
      <c r="Y92" s="460" t="str">
        <f t="shared" ca="1" si="22"/>
        <v/>
      </c>
      <c r="Z92" s="460" t="str">
        <f t="shared" ca="1" si="22"/>
        <v/>
      </c>
      <c r="AA92" s="461" t="str">
        <f t="shared" ca="1" si="22"/>
        <v/>
      </c>
      <c r="AB92" s="474" t="str">
        <f t="shared" ca="1" si="22"/>
        <v/>
      </c>
      <c r="AC92" s="475" t="str">
        <f t="shared" ca="1" si="22"/>
        <v/>
      </c>
      <c r="AD92" s="477" t="str">
        <f t="shared" ca="1" si="18"/>
        <v/>
      </c>
      <c r="AE92" s="478">
        <f t="shared" ca="1" si="19"/>
        <v>0</v>
      </c>
      <c r="AF92" s="459" t="str">
        <f t="shared" ca="1" si="20"/>
        <v/>
      </c>
      <c r="AG92" s="460" t="str">
        <f t="shared" ca="1" si="20"/>
        <v/>
      </c>
      <c r="AH92" s="460" t="str">
        <f t="shared" ca="1" si="20"/>
        <v/>
      </c>
      <c r="AI92" s="460" t="str">
        <f t="shared" ca="1" si="20"/>
        <v/>
      </c>
      <c r="AJ92" s="460" t="str">
        <f t="shared" ca="1" si="20"/>
        <v/>
      </c>
      <c r="AK92" s="460" t="str">
        <f t="shared" ca="1" si="20"/>
        <v/>
      </c>
      <c r="AL92" s="460" t="str">
        <f t="shared" ca="1" si="20"/>
        <v/>
      </c>
      <c r="AM92" s="460" t="str">
        <f t="shared" ca="1" si="20"/>
        <v/>
      </c>
      <c r="AN92" s="461" t="str">
        <f t="shared" ca="1" si="20"/>
        <v/>
      </c>
      <c r="AO92" s="474" t="str">
        <f t="shared" ca="1" si="20"/>
        <v/>
      </c>
      <c r="AP92" s="475" t="str">
        <f t="shared" ca="1" si="20"/>
        <v/>
      </c>
      <c r="AQ92" s="479" t="str">
        <f t="array" aca="1" ref="AQ92" ca="1">IF(ROW()-5&lt;=COUNTIF(科目编号,$AR$2),SMALL(IF(科目编号=$AR$2,ROW(科目编号),""),ROW()-5),"")</f>
        <v/>
      </c>
      <c r="AR92" s="480" t="str">
        <f ca="1">IF($BG$2=0,"",IF(AR91="本月合计","本年累计",IF(OR(ROW()=$AU$3,ROW()=$AV$3,ROW()=$AW$3,ROW()=$AX$3,ROW()=$AY$3,ROW()=$AZ$3,ROW()=$BA$3,ROW()=$BB$3,ROW()=$BC$3,ROW()=$BD$3,ROW()=$BE$3,ROW()=$BF$3),"本月合计",IF(ROW()&lt;7,$AQ$6,OFFSET($AQ$6,COUNT($AR$6:AR91),0)))))</f>
        <v/>
      </c>
    </row>
    <row r="93" spans="1:44">
      <c r="A93" s="469" t="str">
        <f ca="1">IFERROR(INDEX(凭证录入!A:A,$AR93),"")</f>
        <v/>
      </c>
      <c r="B93" s="469" t="str">
        <f ca="1">IFERROR(INDEX(凭证录入!B:B,$AR93),"")</f>
        <v/>
      </c>
      <c r="C93" s="470" t="str">
        <f ca="1">IFERROR(INDEX(凭证录入!G:G,$AR93),"")</f>
        <v/>
      </c>
      <c r="D93" s="471" t="str">
        <f ca="1">IFERROR(INDEX(凭证录入!F:F,$AR93),"")</f>
        <v/>
      </c>
      <c r="E93" s="472" t="str">
        <f ca="1">IFERROR(INDEX(凭证录入!H:H,$AR93),$AR93)</f>
        <v/>
      </c>
      <c r="F93" s="473">
        <f ca="1">IF(OR($BG$2=0,$AR93=""),,IF($AR93="本月合计",IF(ROW()=$BG$3,SUM($F$6:$F92),SUM(INDIRECT("$F$"&amp;OFFSET($AU$3,,MATCH(ROW(),$AU$3:$BF$3,)-2)+2&amp;":$E"&amp;ROW()-1))),IF($AR93="本年累计",SUMIF($AR$6:$AR93,"本月合计",$F$6:$F92),INDEX(凭证录入!K:K,$AR93))))</f>
        <v>0</v>
      </c>
      <c r="G93" s="459" t="str">
        <f t="shared" ca="1" si="21"/>
        <v/>
      </c>
      <c r="H93" s="460" t="str">
        <f t="shared" ca="1" si="21"/>
        <v/>
      </c>
      <c r="I93" s="460" t="str">
        <f t="shared" ca="1" si="21"/>
        <v/>
      </c>
      <c r="J93" s="460" t="str">
        <f t="shared" ca="1" si="21"/>
        <v/>
      </c>
      <c r="K93" s="460" t="str">
        <f t="shared" ca="1" si="21"/>
        <v/>
      </c>
      <c r="L93" s="460" t="str">
        <f t="shared" ca="1" si="21"/>
        <v/>
      </c>
      <c r="M93" s="460" t="str">
        <f t="shared" ca="1" si="21"/>
        <v/>
      </c>
      <c r="N93" s="460" t="str">
        <f t="shared" ca="1" si="21"/>
        <v/>
      </c>
      <c r="O93" s="461" t="str">
        <f t="shared" ca="1" si="21"/>
        <v/>
      </c>
      <c r="P93" s="474" t="str">
        <f t="shared" ca="1" si="21"/>
        <v/>
      </c>
      <c r="Q93" s="475" t="str">
        <f t="shared" ca="1" si="21"/>
        <v/>
      </c>
      <c r="R93" s="476">
        <f ca="1">IF(OR($BG$2=0,$AR93=""),,IF($AR93="本月合计",IF(ROW()=$BG$3,SUM($R$6:$R92),SUM(INDIRECT("$R$"&amp;OFFSET($AU$3,,MATCH(ROW(),$AU$3:$BF$3,)-2)+2&amp;":$R"&amp;ROW()-1))),IF($AR93="本年累计",SUMIF($AR$6:$AR93,"本月合计",$R$6:$R92),INDEX(凭证录入!L:L,$AR93))))</f>
        <v>0</v>
      </c>
      <c r="S93" s="459" t="str">
        <f t="shared" ca="1" si="22"/>
        <v/>
      </c>
      <c r="T93" s="460" t="str">
        <f t="shared" ca="1" si="22"/>
        <v/>
      </c>
      <c r="U93" s="460" t="str">
        <f t="shared" ca="1" si="22"/>
        <v/>
      </c>
      <c r="V93" s="460" t="str">
        <f t="shared" ca="1" si="22"/>
        <v/>
      </c>
      <c r="W93" s="460" t="str">
        <f t="shared" ca="1" si="22"/>
        <v/>
      </c>
      <c r="X93" s="460" t="str">
        <f t="shared" ca="1" si="22"/>
        <v/>
      </c>
      <c r="Y93" s="460" t="str">
        <f t="shared" ca="1" si="22"/>
        <v/>
      </c>
      <c r="Z93" s="460" t="str">
        <f t="shared" ca="1" si="22"/>
        <v/>
      </c>
      <c r="AA93" s="461" t="str">
        <f t="shared" ca="1" si="22"/>
        <v/>
      </c>
      <c r="AB93" s="474" t="str">
        <f t="shared" ca="1" si="22"/>
        <v/>
      </c>
      <c r="AC93" s="475" t="str">
        <f t="shared" ca="1" si="22"/>
        <v/>
      </c>
      <c r="AD93" s="477" t="str">
        <f t="shared" ca="1" si="18"/>
        <v/>
      </c>
      <c r="AE93" s="478">
        <f t="shared" ca="1" si="19"/>
        <v>0</v>
      </c>
      <c r="AF93" s="459" t="str">
        <f t="shared" ca="1" si="20"/>
        <v/>
      </c>
      <c r="AG93" s="460" t="str">
        <f t="shared" ca="1" si="20"/>
        <v/>
      </c>
      <c r="AH93" s="460" t="str">
        <f t="shared" ca="1" si="20"/>
        <v/>
      </c>
      <c r="AI93" s="460" t="str">
        <f t="shared" ca="1" si="20"/>
        <v/>
      </c>
      <c r="AJ93" s="460" t="str">
        <f t="shared" ca="1" si="20"/>
        <v/>
      </c>
      <c r="AK93" s="460" t="str">
        <f t="shared" ca="1" si="20"/>
        <v/>
      </c>
      <c r="AL93" s="460" t="str">
        <f t="shared" ca="1" si="20"/>
        <v/>
      </c>
      <c r="AM93" s="460" t="str">
        <f t="shared" ca="1" si="20"/>
        <v/>
      </c>
      <c r="AN93" s="461" t="str">
        <f t="shared" ca="1" si="20"/>
        <v/>
      </c>
      <c r="AO93" s="474" t="str">
        <f t="shared" ca="1" si="20"/>
        <v/>
      </c>
      <c r="AP93" s="475" t="str">
        <f t="shared" ca="1" si="20"/>
        <v/>
      </c>
      <c r="AQ93" s="479" t="str">
        <f t="array" aca="1" ref="AQ93" ca="1">IF(ROW()-5&lt;=COUNTIF(科目编号,$AR$2),SMALL(IF(科目编号=$AR$2,ROW(科目编号),""),ROW()-5),"")</f>
        <v/>
      </c>
      <c r="AR93" s="480" t="str">
        <f ca="1">IF($BG$2=0,"",IF(AR92="本月合计","本年累计",IF(OR(ROW()=$AU$3,ROW()=$AV$3,ROW()=$AW$3,ROW()=$AX$3,ROW()=$AY$3,ROW()=$AZ$3,ROW()=$BA$3,ROW()=$BB$3,ROW()=$BC$3,ROW()=$BD$3,ROW()=$BE$3,ROW()=$BF$3),"本月合计",IF(ROW()&lt;7,$AQ$6,OFFSET($AQ$6,COUNT($AR$6:AR92),0)))))</f>
        <v/>
      </c>
    </row>
    <row r="94" spans="1:44">
      <c r="A94" s="469" t="str">
        <f ca="1">IFERROR(INDEX(凭证录入!A:A,$AR94),"")</f>
        <v/>
      </c>
      <c r="B94" s="469" t="str">
        <f ca="1">IFERROR(INDEX(凭证录入!B:B,$AR94),"")</f>
        <v/>
      </c>
      <c r="C94" s="470" t="str">
        <f ca="1">IFERROR(INDEX(凭证录入!G:G,$AR94),"")</f>
        <v/>
      </c>
      <c r="D94" s="471" t="str">
        <f ca="1">IFERROR(INDEX(凭证录入!F:F,$AR94),"")</f>
        <v/>
      </c>
      <c r="E94" s="472" t="str">
        <f ca="1">IFERROR(INDEX(凭证录入!H:H,$AR94),$AR94)</f>
        <v/>
      </c>
      <c r="F94" s="473">
        <f ca="1">IF(OR($BG$2=0,$AR94=""),,IF($AR94="本月合计",IF(ROW()=$BG$3,SUM($F$6:$F93),SUM(INDIRECT("$F$"&amp;OFFSET($AU$3,,MATCH(ROW(),$AU$3:$BF$3,)-2)+2&amp;":$E"&amp;ROW()-1))),IF($AR94="本年累计",SUMIF($AR$6:$AR94,"本月合计",$F$6:$F93),INDEX(凭证录入!K:K,$AR94))))</f>
        <v>0</v>
      </c>
      <c r="G94" s="459" t="str">
        <f t="shared" ca="1" si="21"/>
        <v/>
      </c>
      <c r="H94" s="460" t="str">
        <f t="shared" ca="1" si="21"/>
        <v/>
      </c>
      <c r="I94" s="460" t="str">
        <f t="shared" ca="1" si="21"/>
        <v/>
      </c>
      <c r="J94" s="460" t="str">
        <f t="shared" ca="1" si="21"/>
        <v/>
      </c>
      <c r="K94" s="460" t="str">
        <f t="shared" ca="1" si="21"/>
        <v/>
      </c>
      <c r="L94" s="460" t="str">
        <f t="shared" ca="1" si="21"/>
        <v/>
      </c>
      <c r="M94" s="460" t="str">
        <f t="shared" ca="1" si="21"/>
        <v/>
      </c>
      <c r="N94" s="460" t="str">
        <f t="shared" ca="1" si="21"/>
        <v/>
      </c>
      <c r="O94" s="461" t="str">
        <f t="shared" ca="1" si="21"/>
        <v/>
      </c>
      <c r="P94" s="474" t="str">
        <f t="shared" ca="1" si="21"/>
        <v/>
      </c>
      <c r="Q94" s="475" t="str">
        <f t="shared" ca="1" si="21"/>
        <v/>
      </c>
      <c r="R94" s="476">
        <f ca="1">IF(OR($BG$2=0,$AR94=""),,IF($AR94="本月合计",IF(ROW()=$BG$3,SUM($R$6:$R93),SUM(INDIRECT("$R$"&amp;OFFSET($AU$3,,MATCH(ROW(),$AU$3:$BF$3,)-2)+2&amp;":$R"&amp;ROW()-1))),IF($AR94="本年累计",SUMIF($AR$6:$AR94,"本月合计",$R$6:$R93),INDEX(凭证录入!L:L,$AR94))))</f>
        <v>0</v>
      </c>
      <c r="S94" s="459" t="str">
        <f t="shared" ca="1" si="22"/>
        <v/>
      </c>
      <c r="T94" s="460" t="str">
        <f t="shared" ca="1" si="22"/>
        <v/>
      </c>
      <c r="U94" s="460" t="str">
        <f t="shared" ca="1" si="22"/>
        <v/>
      </c>
      <c r="V94" s="460" t="str">
        <f t="shared" ca="1" si="22"/>
        <v/>
      </c>
      <c r="W94" s="460" t="str">
        <f t="shared" ca="1" si="22"/>
        <v/>
      </c>
      <c r="X94" s="460" t="str">
        <f t="shared" ca="1" si="22"/>
        <v/>
      </c>
      <c r="Y94" s="460" t="str">
        <f t="shared" ca="1" si="22"/>
        <v/>
      </c>
      <c r="Z94" s="460" t="str">
        <f t="shared" ca="1" si="22"/>
        <v/>
      </c>
      <c r="AA94" s="461" t="str">
        <f t="shared" ca="1" si="22"/>
        <v/>
      </c>
      <c r="AB94" s="474" t="str">
        <f t="shared" ca="1" si="22"/>
        <v/>
      </c>
      <c r="AC94" s="475" t="str">
        <f t="shared" ca="1" si="22"/>
        <v/>
      </c>
      <c r="AD94" s="477" t="str">
        <f t="shared" ca="1" si="18"/>
        <v/>
      </c>
      <c r="AE94" s="478">
        <f t="shared" ca="1" si="19"/>
        <v>0</v>
      </c>
      <c r="AF94" s="459" t="str">
        <f t="shared" ca="1" si="20"/>
        <v/>
      </c>
      <c r="AG94" s="460" t="str">
        <f t="shared" ca="1" si="20"/>
        <v/>
      </c>
      <c r="AH94" s="460" t="str">
        <f t="shared" ca="1" si="20"/>
        <v/>
      </c>
      <c r="AI94" s="460" t="str">
        <f t="shared" ca="1" si="20"/>
        <v/>
      </c>
      <c r="AJ94" s="460" t="str">
        <f t="shared" ca="1" si="20"/>
        <v/>
      </c>
      <c r="AK94" s="460" t="str">
        <f t="shared" ca="1" si="20"/>
        <v/>
      </c>
      <c r="AL94" s="460" t="str">
        <f t="shared" ca="1" si="20"/>
        <v/>
      </c>
      <c r="AM94" s="460" t="str">
        <f t="shared" ca="1" si="20"/>
        <v/>
      </c>
      <c r="AN94" s="461" t="str">
        <f t="shared" ca="1" si="20"/>
        <v/>
      </c>
      <c r="AO94" s="474" t="str">
        <f t="shared" ca="1" si="20"/>
        <v/>
      </c>
      <c r="AP94" s="475" t="str">
        <f t="shared" ca="1" si="20"/>
        <v/>
      </c>
      <c r="AQ94" s="479" t="str">
        <f t="array" aca="1" ref="AQ94" ca="1">IF(ROW()-5&lt;=COUNTIF(科目编号,$AR$2),SMALL(IF(科目编号=$AR$2,ROW(科目编号),""),ROW()-5),"")</f>
        <v/>
      </c>
      <c r="AR94" s="480" t="str">
        <f ca="1">IF($BG$2=0,"",IF(AR93="本月合计","本年累计",IF(OR(ROW()=$AU$3,ROW()=$AV$3,ROW()=$AW$3,ROW()=$AX$3,ROW()=$AY$3,ROW()=$AZ$3,ROW()=$BA$3,ROW()=$BB$3,ROW()=$BC$3,ROW()=$BD$3,ROW()=$BE$3,ROW()=$BF$3),"本月合计",IF(ROW()&lt;7,$AQ$6,OFFSET($AQ$6,COUNT($AR$6:AR93),0)))))</f>
        <v/>
      </c>
    </row>
    <row r="95" spans="1:44">
      <c r="A95" s="469" t="str">
        <f ca="1">IFERROR(INDEX(凭证录入!A:A,$AR95),"")</f>
        <v/>
      </c>
      <c r="B95" s="469" t="str">
        <f ca="1">IFERROR(INDEX(凭证录入!B:B,$AR95),"")</f>
        <v/>
      </c>
      <c r="C95" s="470" t="str">
        <f ca="1">IFERROR(INDEX(凭证录入!G:G,$AR95),"")</f>
        <v/>
      </c>
      <c r="D95" s="471" t="str">
        <f ca="1">IFERROR(INDEX(凭证录入!F:F,$AR95),"")</f>
        <v/>
      </c>
      <c r="E95" s="472" t="str">
        <f ca="1">IFERROR(INDEX(凭证录入!H:H,$AR95),$AR95)</f>
        <v/>
      </c>
      <c r="F95" s="473">
        <f ca="1">IF(OR($BG$2=0,$AR95=""),,IF($AR95="本月合计",IF(ROW()=$BG$3,SUM($F$6:$F94),SUM(INDIRECT("$F$"&amp;OFFSET($AU$3,,MATCH(ROW(),$AU$3:$BF$3,)-2)+2&amp;":$E"&amp;ROW()-1))),IF($AR95="本年累计",SUMIF($AR$6:$AR95,"本月合计",$F$6:$F94),INDEX(凭证录入!K:K,$AR95))))</f>
        <v>0</v>
      </c>
      <c r="G95" s="459" t="str">
        <f t="shared" ca="1" si="21"/>
        <v/>
      </c>
      <c r="H95" s="460" t="str">
        <f t="shared" ca="1" si="21"/>
        <v/>
      </c>
      <c r="I95" s="460" t="str">
        <f t="shared" ca="1" si="21"/>
        <v/>
      </c>
      <c r="J95" s="460" t="str">
        <f t="shared" ca="1" si="21"/>
        <v/>
      </c>
      <c r="K95" s="460" t="str">
        <f t="shared" ca="1" si="21"/>
        <v/>
      </c>
      <c r="L95" s="460" t="str">
        <f t="shared" ca="1" si="21"/>
        <v/>
      </c>
      <c r="M95" s="460" t="str">
        <f t="shared" ca="1" si="21"/>
        <v/>
      </c>
      <c r="N95" s="460" t="str">
        <f t="shared" ca="1" si="21"/>
        <v/>
      </c>
      <c r="O95" s="461" t="str">
        <f t="shared" ca="1" si="21"/>
        <v/>
      </c>
      <c r="P95" s="474" t="str">
        <f t="shared" ca="1" si="21"/>
        <v/>
      </c>
      <c r="Q95" s="475" t="str">
        <f t="shared" ca="1" si="21"/>
        <v/>
      </c>
      <c r="R95" s="476">
        <f ca="1">IF(OR($BG$2=0,$AR95=""),,IF($AR95="本月合计",IF(ROW()=$BG$3,SUM($R$6:$R94),SUM(INDIRECT("$R$"&amp;OFFSET($AU$3,,MATCH(ROW(),$AU$3:$BF$3,)-2)+2&amp;":$R"&amp;ROW()-1))),IF($AR95="本年累计",SUMIF($AR$6:$AR95,"本月合计",$R$6:$R94),INDEX(凭证录入!L:L,$AR95))))</f>
        <v>0</v>
      </c>
      <c r="S95" s="459" t="str">
        <f t="shared" ca="1" si="22"/>
        <v/>
      </c>
      <c r="T95" s="460" t="str">
        <f t="shared" ca="1" si="22"/>
        <v/>
      </c>
      <c r="U95" s="460" t="str">
        <f t="shared" ca="1" si="22"/>
        <v/>
      </c>
      <c r="V95" s="460" t="str">
        <f t="shared" ca="1" si="22"/>
        <v/>
      </c>
      <c r="W95" s="460" t="str">
        <f t="shared" ca="1" si="22"/>
        <v/>
      </c>
      <c r="X95" s="460" t="str">
        <f t="shared" ca="1" si="22"/>
        <v/>
      </c>
      <c r="Y95" s="460" t="str">
        <f t="shared" ca="1" si="22"/>
        <v/>
      </c>
      <c r="Z95" s="460" t="str">
        <f t="shared" ca="1" si="22"/>
        <v/>
      </c>
      <c r="AA95" s="461" t="str">
        <f t="shared" ca="1" si="22"/>
        <v/>
      </c>
      <c r="AB95" s="474" t="str">
        <f t="shared" ca="1" si="22"/>
        <v/>
      </c>
      <c r="AC95" s="475" t="str">
        <f t="shared" ca="1" si="22"/>
        <v/>
      </c>
      <c r="AD95" s="477" t="str">
        <f t="shared" ca="1" si="18"/>
        <v/>
      </c>
      <c r="AE95" s="478">
        <f t="shared" ca="1" si="19"/>
        <v>0</v>
      </c>
      <c r="AF95" s="459" t="str">
        <f t="shared" ca="1" si="20"/>
        <v/>
      </c>
      <c r="AG95" s="460" t="str">
        <f t="shared" ca="1" si="20"/>
        <v/>
      </c>
      <c r="AH95" s="460" t="str">
        <f t="shared" ca="1" si="20"/>
        <v/>
      </c>
      <c r="AI95" s="460" t="str">
        <f t="shared" ca="1" si="20"/>
        <v/>
      </c>
      <c r="AJ95" s="460" t="str">
        <f t="shared" ca="1" si="20"/>
        <v/>
      </c>
      <c r="AK95" s="460" t="str">
        <f t="shared" ca="1" si="20"/>
        <v/>
      </c>
      <c r="AL95" s="460" t="str">
        <f t="shared" ca="1" si="20"/>
        <v/>
      </c>
      <c r="AM95" s="460" t="str">
        <f t="shared" ca="1" si="20"/>
        <v/>
      </c>
      <c r="AN95" s="461" t="str">
        <f t="shared" ca="1" si="20"/>
        <v/>
      </c>
      <c r="AO95" s="474" t="str">
        <f t="shared" ca="1" si="20"/>
        <v/>
      </c>
      <c r="AP95" s="475" t="str">
        <f t="shared" ca="1" si="20"/>
        <v/>
      </c>
      <c r="AQ95" s="479" t="str">
        <f t="array" aca="1" ref="AQ95" ca="1">IF(ROW()-5&lt;=COUNTIF(科目编号,$AR$2),SMALL(IF(科目编号=$AR$2,ROW(科目编号),""),ROW()-5),"")</f>
        <v/>
      </c>
      <c r="AR95" s="480" t="str">
        <f ca="1">IF($BG$2=0,"",IF(AR94="本月合计","本年累计",IF(OR(ROW()=$AU$3,ROW()=$AV$3,ROW()=$AW$3,ROW()=$AX$3,ROW()=$AY$3,ROW()=$AZ$3,ROW()=$BA$3,ROW()=$BB$3,ROW()=$BC$3,ROW()=$BD$3,ROW()=$BE$3,ROW()=$BF$3),"本月合计",IF(ROW()&lt;7,$AQ$6,OFFSET($AQ$6,COUNT($AR$6:AR94),0)))))</f>
        <v/>
      </c>
    </row>
    <row r="96" spans="1:44">
      <c r="A96" s="469" t="str">
        <f ca="1">IFERROR(INDEX(凭证录入!A:A,$AR96),"")</f>
        <v/>
      </c>
      <c r="B96" s="469" t="str">
        <f ca="1">IFERROR(INDEX(凭证录入!B:B,$AR96),"")</f>
        <v/>
      </c>
      <c r="C96" s="470" t="str">
        <f ca="1">IFERROR(INDEX(凭证录入!G:G,$AR96),"")</f>
        <v/>
      </c>
      <c r="D96" s="471" t="str">
        <f ca="1">IFERROR(INDEX(凭证录入!F:F,$AR96),"")</f>
        <v/>
      </c>
      <c r="E96" s="472" t="str">
        <f ca="1">IFERROR(INDEX(凭证录入!H:H,$AR96),$AR96)</f>
        <v/>
      </c>
      <c r="F96" s="473">
        <f ca="1">IF(OR($BG$2=0,$AR96=""),,IF($AR96="本月合计",IF(ROW()=$BG$3,SUM($F$6:$F95),SUM(INDIRECT("$F$"&amp;OFFSET($AU$3,,MATCH(ROW(),$AU$3:$BF$3,)-2)+2&amp;":$E"&amp;ROW()-1))),IF($AR96="本年累计",SUMIF($AR$6:$AR96,"本月合计",$F$6:$F95),INDEX(凭证录入!K:K,$AR96))))</f>
        <v>0</v>
      </c>
      <c r="G96" s="459" t="str">
        <f t="shared" ca="1" si="21"/>
        <v/>
      </c>
      <c r="H96" s="460" t="str">
        <f t="shared" ca="1" si="21"/>
        <v/>
      </c>
      <c r="I96" s="460" t="str">
        <f t="shared" ca="1" si="21"/>
        <v/>
      </c>
      <c r="J96" s="460" t="str">
        <f t="shared" ca="1" si="21"/>
        <v/>
      </c>
      <c r="K96" s="460" t="str">
        <f t="shared" ca="1" si="21"/>
        <v/>
      </c>
      <c r="L96" s="460" t="str">
        <f t="shared" ca="1" si="21"/>
        <v/>
      </c>
      <c r="M96" s="460" t="str">
        <f t="shared" ca="1" si="21"/>
        <v/>
      </c>
      <c r="N96" s="460" t="str">
        <f t="shared" ca="1" si="21"/>
        <v/>
      </c>
      <c r="O96" s="461" t="str">
        <f t="shared" ca="1" si="21"/>
        <v/>
      </c>
      <c r="P96" s="474" t="str">
        <f t="shared" ca="1" si="21"/>
        <v/>
      </c>
      <c r="Q96" s="475" t="str">
        <f t="shared" ca="1" si="21"/>
        <v/>
      </c>
      <c r="R96" s="476">
        <f ca="1">IF(OR($BG$2=0,$AR96=""),,IF($AR96="本月合计",IF(ROW()=$BG$3,SUM($R$6:$R95),SUM(INDIRECT("$R$"&amp;OFFSET($AU$3,,MATCH(ROW(),$AU$3:$BF$3,)-2)+2&amp;":$R"&amp;ROW()-1))),IF($AR96="本年累计",SUMIF($AR$6:$AR96,"本月合计",$R$6:$R95),INDEX(凭证录入!L:L,$AR96))))</f>
        <v>0</v>
      </c>
      <c r="S96" s="459" t="str">
        <f t="shared" ca="1" si="22"/>
        <v/>
      </c>
      <c r="T96" s="460" t="str">
        <f t="shared" ca="1" si="22"/>
        <v/>
      </c>
      <c r="U96" s="460" t="str">
        <f t="shared" ca="1" si="22"/>
        <v/>
      </c>
      <c r="V96" s="460" t="str">
        <f t="shared" ca="1" si="22"/>
        <v/>
      </c>
      <c r="W96" s="460" t="str">
        <f t="shared" ca="1" si="22"/>
        <v/>
      </c>
      <c r="X96" s="460" t="str">
        <f t="shared" ca="1" si="22"/>
        <v/>
      </c>
      <c r="Y96" s="460" t="str">
        <f t="shared" ca="1" si="22"/>
        <v/>
      </c>
      <c r="Z96" s="460" t="str">
        <f t="shared" ca="1" si="22"/>
        <v/>
      </c>
      <c r="AA96" s="461" t="str">
        <f t="shared" ca="1" si="22"/>
        <v/>
      </c>
      <c r="AB96" s="474" t="str">
        <f t="shared" ca="1" si="22"/>
        <v/>
      </c>
      <c r="AC96" s="475" t="str">
        <f t="shared" ca="1" si="22"/>
        <v/>
      </c>
      <c r="AD96" s="477" t="str">
        <f t="shared" ca="1" si="18"/>
        <v/>
      </c>
      <c r="AE96" s="478">
        <f t="shared" ca="1" si="19"/>
        <v>0</v>
      </c>
      <c r="AF96" s="459" t="str">
        <f t="shared" ca="1" si="20"/>
        <v/>
      </c>
      <c r="AG96" s="460" t="str">
        <f t="shared" ca="1" si="20"/>
        <v/>
      </c>
      <c r="AH96" s="460" t="str">
        <f t="shared" ca="1" si="20"/>
        <v/>
      </c>
      <c r="AI96" s="460" t="str">
        <f t="shared" ca="1" si="20"/>
        <v/>
      </c>
      <c r="AJ96" s="460" t="str">
        <f t="shared" ca="1" si="20"/>
        <v/>
      </c>
      <c r="AK96" s="460" t="str">
        <f t="shared" ca="1" si="20"/>
        <v/>
      </c>
      <c r="AL96" s="460" t="str">
        <f t="shared" ca="1" si="20"/>
        <v/>
      </c>
      <c r="AM96" s="460" t="str">
        <f t="shared" ca="1" si="20"/>
        <v/>
      </c>
      <c r="AN96" s="461" t="str">
        <f t="shared" ca="1" si="20"/>
        <v/>
      </c>
      <c r="AO96" s="474" t="str">
        <f t="shared" ca="1" si="20"/>
        <v/>
      </c>
      <c r="AP96" s="475" t="str">
        <f t="shared" ca="1" si="20"/>
        <v/>
      </c>
      <c r="AQ96" s="479" t="str">
        <f t="array" aca="1" ref="AQ96" ca="1">IF(ROW()-5&lt;=COUNTIF(科目编号,$AR$2),SMALL(IF(科目编号=$AR$2,ROW(科目编号),""),ROW()-5),"")</f>
        <v/>
      </c>
      <c r="AR96" s="480" t="str">
        <f ca="1">IF($BG$2=0,"",IF(AR95="本月合计","本年累计",IF(OR(ROW()=$AU$3,ROW()=$AV$3,ROW()=$AW$3,ROW()=$AX$3,ROW()=$AY$3,ROW()=$AZ$3,ROW()=$BA$3,ROW()=$BB$3,ROW()=$BC$3,ROW()=$BD$3,ROW()=$BE$3,ROW()=$BF$3),"本月合计",IF(ROW()&lt;7,$AQ$6,OFFSET($AQ$6,COUNT($AR$6:AR95),0)))))</f>
        <v/>
      </c>
    </row>
    <row r="97" spans="1:44">
      <c r="A97" s="469" t="str">
        <f ca="1">IFERROR(INDEX(凭证录入!A:A,$AR97),"")</f>
        <v/>
      </c>
      <c r="B97" s="469" t="str">
        <f ca="1">IFERROR(INDEX(凭证录入!B:B,$AR97),"")</f>
        <v/>
      </c>
      <c r="C97" s="470" t="str">
        <f ca="1">IFERROR(INDEX(凭证录入!G:G,$AR97),"")</f>
        <v/>
      </c>
      <c r="D97" s="471" t="str">
        <f ca="1">IFERROR(INDEX(凭证录入!F:F,$AR97),"")</f>
        <v/>
      </c>
      <c r="E97" s="472" t="str">
        <f ca="1">IFERROR(INDEX(凭证录入!H:H,$AR97),$AR97)</f>
        <v/>
      </c>
      <c r="F97" s="473">
        <f ca="1">IF(OR($BG$2=0,$AR97=""),,IF($AR97="本月合计",IF(ROW()=$BG$3,SUM($F$6:$F96),SUM(INDIRECT("$F$"&amp;OFFSET($AU$3,,MATCH(ROW(),$AU$3:$BF$3,)-2)+2&amp;":$E"&amp;ROW()-1))),IF($AR97="本年累计",SUMIF($AR$6:$AR97,"本月合计",$F$6:$F96),INDEX(凭证录入!K:K,$AR97))))</f>
        <v>0</v>
      </c>
      <c r="G97" s="459" t="str">
        <f t="shared" ca="1" si="21"/>
        <v/>
      </c>
      <c r="H97" s="460" t="str">
        <f t="shared" ca="1" si="21"/>
        <v/>
      </c>
      <c r="I97" s="460" t="str">
        <f t="shared" ca="1" si="21"/>
        <v/>
      </c>
      <c r="J97" s="460" t="str">
        <f t="shared" ca="1" si="21"/>
        <v/>
      </c>
      <c r="K97" s="460" t="str">
        <f t="shared" ca="1" si="21"/>
        <v/>
      </c>
      <c r="L97" s="460" t="str">
        <f t="shared" ca="1" si="21"/>
        <v/>
      </c>
      <c r="M97" s="460" t="str">
        <f t="shared" ca="1" si="21"/>
        <v/>
      </c>
      <c r="N97" s="460" t="str">
        <f t="shared" ca="1" si="21"/>
        <v/>
      </c>
      <c r="O97" s="461" t="str">
        <f t="shared" ca="1" si="21"/>
        <v/>
      </c>
      <c r="P97" s="474" t="str">
        <f t="shared" ca="1" si="21"/>
        <v/>
      </c>
      <c r="Q97" s="475" t="str">
        <f t="shared" ca="1" si="21"/>
        <v/>
      </c>
      <c r="R97" s="476">
        <f ca="1">IF(OR($BG$2=0,$AR97=""),,IF($AR97="本月合计",IF(ROW()=$BG$3,SUM($R$6:$R96),SUM(INDIRECT("$R$"&amp;OFFSET($AU$3,,MATCH(ROW(),$AU$3:$BF$3,)-2)+2&amp;":$R"&amp;ROW()-1))),IF($AR97="本年累计",SUMIF($AR$6:$AR97,"本月合计",$R$6:$R96),INDEX(凭证录入!L:L,$AR97))))</f>
        <v>0</v>
      </c>
      <c r="S97" s="459" t="str">
        <f t="shared" ca="1" si="22"/>
        <v/>
      </c>
      <c r="T97" s="460" t="str">
        <f t="shared" ca="1" si="22"/>
        <v/>
      </c>
      <c r="U97" s="460" t="str">
        <f t="shared" ca="1" si="22"/>
        <v/>
      </c>
      <c r="V97" s="460" t="str">
        <f t="shared" ca="1" si="22"/>
        <v/>
      </c>
      <c r="W97" s="460" t="str">
        <f t="shared" ca="1" si="22"/>
        <v/>
      </c>
      <c r="X97" s="460" t="str">
        <f t="shared" ca="1" si="22"/>
        <v/>
      </c>
      <c r="Y97" s="460" t="str">
        <f t="shared" ca="1" si="22"/>
        <v/>
      </c>
      <c r="Z97" s="460" t="str">
        <f t="shared" ca="1" si="22"/>
        <v/>
      </c>
      <c r="AA97" s="461" t="str">
        <f t="shared" ca="1" si="22"/>
        <v/>
      </c>
      <c r="AB97" s="474" t="str">
        <f t="shared" ca="1" si="22"/>
        <v/>
      </c>
      <c r="AC97" s="475" t="str">
        <f t="shared" ca="1" si="22"/>
        <v/>
      </c>
      <c r="AD97" s="477" t="str">
        <f t="shared" ca="1" si="18"/>
        <v/>
      </c>
      <c r="AE97" s="478">
        <f t="shared" ca="1" si="19"/>
        <v>0</v>
      </c>
      <c r="AF97" s="459" t="str">
        <f t="shared" ca="1" si="20"/>
        <v/>
      </c>
      <c r="AG97" s="460" t="str">
        <f t="shared" ca="1" si="20"/>
        <v/>
      </c>
      <c r="AH97" s="460" t="str">
        <f t="shared" ca="1" si="20"/>
        <v/>
      </c>
      <c r="AI97" s="460" t="str">
        <f t="shared" ca="1" si="20"/>
        <v/>
      </c>
      <c r="AJ97" s="460" t="str">
        <f t="shared" ca="1" si="20"/>
        <v/>
      </c>
      <c r="AK97" s="460" t="str">
        <f t="shared" ca="1" si="20"/>
        <v/>
      </c>
      <c r="AL97" s="460" t="str">
        <f t="shared" ca="1" si="20"/>
        <v/>
      </c>
      <c r="AM97" s="460" t="str">
        <f t="shared" ca="1" si="20"/>
        <v/>
      </c>
      <c r="AN97" s="461" t="str">
        <f t="shared" ca="1" si="20"/>
        <v/>
      </c>
      <c r="AO97" s="474" t="str">
        <f t="shared" ca="1" si="20"/>
        <v/>
      </c>
      <c r="AP97" s="475" t="str">
        <f t="shared" ca="1" si="20"/>
        <v/>
      </c>
      <c r="AQ97" s="479" t="str">
        <f t="array" aca="1" ref="AQ97" ca="1">IF(ROW()-5&lt;=COUNTIF(科目编号,$AR$2),SMALL(IF(科目编号=$AR$2,ROW(科目编号),""),ROW()-5),"")</f>
        <v/>
      </c>
      <c r="AR97" s="480" t="str">
        <f ca="1">IF($BG$2=0,"",IF(AR96="本月合计","本年累计",IF(OR(ROW()=$AU$3,ROW()=$AV$3,ROW()=$AW$3,ROW()=$AX$3,ROW()=$AY$3,ROW()=$AZ$3,ROW()=$BA$3,ROW()=$BB$3,ROW()=$BC$3,ROW()=$BD$3,ROW()=$BE$3,ROW()=$BF$3),"本月合计",IF(ROW()&lt;7,$AQ$6,OFFSET($AQ$6,COUNT($AR$6:AR96),0)))))</f>
        <v/>
      </c>
    </row>
    <row r="98" spans="1:44">
      <c r="A98" s="469" t="str">
        <f ca="1">IFERROR(INDEX(凭证录入!A:A,$AR98),"")</f>
        <v/>
      </c>
      <c r="B98" s="469" t="str">
        <f ca="1">IFERROR(INDEX(凭证录入!B:B,$AR98),"")</f>
        <v/>
      </c>
      <c r="C98" s="470" t="str">
        <f ca="1">IFERROR(INDEX(凭证录入!G:G,$AR98),"")</f>
        <v/>
      </c>
      <c r="D98" s="471" t="str">
        <f ca="1">IFERROR(INDEX(凭证录入!F:F,$AR98),"")</f>
        <v/>
      </c>
      <c r="E98" s="472" t="str">
        <f ca="1">IFERROR(INDEX(凭证录入!H:H,$AR98),$AR98)</f>
        <v/>
      </c>
      <c r="F98" s="473">
        <f ca="1">IF(OR($BG$2=0,$AR98=""),,IF($AR98="本月合计",IF(ROW()=$BG$3,SUM($F$6:$F97),SUM(INDIRECT("$F$"&amp;OFFSET($AU$3,,MATCH(ROW(),$AU$3:$BF$3,)-2)+2&amp;":$E"&amp;ROW()-1))),IF($AR98="本年累计",SUMIF($AR$6:$AR98,"本月合计",$F$6:$F97),INDEX(凭证录入!K:K,$AR98))))</f>
        <v>0</v>
      </c>
      <c r="G98" s="459" t="str">
        <f t="shared" ca="1" si="21"/>
        <v/>
      </c>
      <c r="H98" s="460" t="str">
        <f t="shared" ca="1" si="21"/>
        <v/>
      </c>
      <c r="I98" s="460" t="str">
        <f t="shared" ca="1" si="21"/>
        <v/>
      </c>
      <c r="J98" s="460" t="str">
        <f t="shared" ca="1" si="21"/>
        <v/>
      </c>
      <c r="K98" s="460" t="str">
        <f t="shared" ca="1" si="21"/>
        <v/>
      </c>
      <c r="L98" s="460" t="str">
        <f t="shared" ca="1" si="21"/>
        <v/>
      </c>
      <c r="M98" s="460" t="str">
        <f t="shared" ca="1" si="21"/>
        <v/>
      </c>
      <c r="N98" s="460" t="str">
        <f t="shared" ca="1" si="21"/>
        <v/>
      </c>
      <c r="O98" s="461" t="str">
        <f t="shared" ca="1" si="21"/>
        <v/>
      </c>
      <c r="P98" s="474" t="str">
        <f t="shared" ca="1" si="21"/>
        <v/>
      </c>
      <c r="Q98" s="475" t="str">
        <f t="shared" ca="1" si="21"/>
        <v/>
      </c>
      <c r="R98" s="476">
        <f ca="1">IF(OR($BG$2=0,$AR98=""),,IF($AR98="本月合计",IF(ROW()=$BG$3,SUM($R$6:$R97),SUM(INDIRECT("$R$"&amp;OFFSET($AU$3,,MATCH(ROW(),$AU$3:$BF$3,)-2)+2&amp;":$R"&amp;ROW()-1))),IF($AR98="本年累计",SUMIF($AR$6:$AR98,"本月合计",$R$6:$R97),INDEX(凭证录入!L:L,$AR98))))</f>
        <v>0</v>
      </c>
      <c r="S98" s="459" t="str">
        <f t="shared" ca="1" si="22"/>
        <v/>
      </c>
      <c r="T98" s="460" t="str">
        <f t="shared" ca="1" si="22"/>
        <v/>
      </c>
      <c r="U98" s="460" t="str">
        <f t="shared" ca="1" si="22"/>
        <v/>
      </c>
      <c r="V98" s="460" t="str">
        <f t="shared" ca="1" si="22"/>
        <v/>
      </c>
      <c r="W98" s="460" t="str">
        <f t="shared" ca="1" si="22"/>
        <v/>
      </c>
      <c r="X98" s="460" t="str">
        <f t="shared" ca="1" si="22"/>
        <v/>
      </c>
      <c r="Y98" s="460" t="str">
        <f t="shared" ca="1" si="22"/>
        <v/>
      </c>
      <c r="Z98" s="460" t="str">
        <f t="shared" ca="1" si="22"/>
        <v/>
      </c>
      <c r="AA98" s="461" t="str">
        <f t="shared" ca="1" si="22"/>
        <v/>
      </c>
      <c r="AB98" s="474" t="str">
        <f t="shared" ca="1" si="22"/>
        <v/>
      </c>
      <c r="AC98" s="475" t="str">
        <f t="shared" ca="1" si="22"/>
        <v/>
      </c>
      <c r="AD98" s="477" t="str">
        <f t="shared" ca="1" si="18"/>
        <v/>
      </c>
      <c r="AE98" s="478">
        <f t="shared" ca="1" si="19"/>
        <v>0</v>
      </c>
      <c r="AF98" s="459" t="str">
        <f t="shared" ca="1" si="20"/>
        <v/>
      </c>
      <c r="AG98" s="460" t="str">
        <f t="shared" ca="1" si="20"/>
        <v/>
      </c>
      <c r="AH98" s="460" t="str">
        <f t="shared" ca="1" si="20"/>
        <v/>
      </c>
      <c r="AI98" s="460" t="str">
        <f t="shared" ca="1" si="20"/>
        <v/>
      </c>
      <c r="AJ98" s="460" t="str">
        <f t="shared" ca="1" si="20"/>
        <v/>
      </c>
      <c r="AK98" s="460" t="str">
        <f t="shared" ca="1" si="20"/>
        <v/>
      </c>
      <c r="AL98" s="460" t="str">
        <f t="shared" ca="1" si="20"/>
        <v/>
      </c>
      <c r="AM98" s="460" t="str">
        <f t="shared" ca="1" si="20"/>
        <v/>
      </c>
      <c r="AN98" s="461" t="str">
        <f t="shared" ca="1" si="20"/>
        <v/>
      </c>
      <c r="AO98" s="474" t="str">
        <f t="shared" ca="1" si="20"/>
        <v/>
      </c>
      <c r="AP98" s="475" t="str">
        <f t="shared" ca="1" si="20"/>
        <v/>
      </c>
      <c r="AQ98" s="479" t="str">
        <f t="array" aca="1" ref="AQ98" ca="1">IF(ROW()-5&lt;=COUNTIF(科目编号,$AR$2),SMALL(IF(科目编号=$AR$2,ROW(科目编号),""),ROW()-5),"")</f>
        <v/>
      </c>
      <c r="AR98" s="480" t="str">
        <f ca="1">IF($BG$2=0,"",IF(AR97="本月合计","本年累计",IF(OR(ROW()=$AU$3,ROW()=$AV$3,ROW()=$AW$3,ROW()=$AX$3,ROW()=$AY$3,ROW()=$AZ$3,ROW()=$BA$3,ROW()=$BB$3,ROW()=$BC$3,ROW()=$BD$3,ROW()=$BE$3,ROW()=$BF$3),"本月合计",IF(ROW()&lt;7,$AQ$6,OFFSET($AQ$6,COUNT($AR$6:AR97),0)))))</f>
        <v/>
      </c>
    </row>
    <row r="99" spans="1:44">
      <c r="A99" s="469" t="str">
        <f ca="1">IFERROR(INDEX(凭证录入!A:A,$AR99),"")</f>
        <v/>
      </c>
      <c r="B99" s="469" t="str">
        <f ca="1">IFERROR(INDEX(凭证录入!B:B,$AR99),"")</f>
        <v/>
      </c>
      <c r="C99" s="470" t="str">
        <f ca="1">IFERROR(INDEX(凭证录入!G:G,$AR99),"")</f>
        <v/>
      </c>
      <c r="D99" s="471" t="str">
        <f ca="1">IFERROR(INDEX(凭证录入!F:F,$AR99),"")</f>
        <v/>
      </c>
      <c r="E99" s="472" t="str">
        <f ca="1">IFERROR(INDEX(凭证录入!H:H,$AR99),$AR99)</f>
        <v/>
      </c>
      <c r="F99" s="473">
        <f ca="1">IF(OR($BG$2=0,$AR99=""),,IF($AR99="本月合计",IF(ROW()=$BG$3,SUM($F$6:$F98),SUM(INDIRECT("$F$"&amp;OFFSET($AU$3,,MATCH(ROW(),$AU$3:$BF$3,)-2)+2&amp;":$E"&amp;ROW()-1))),IF($AR99="本年累计",SUMIF($AR$6:$AR99,"本月合计",$F$6:$F98),INDEX(凭证录入!K:K,$AR99))))</f>
        <v>0</v>
      </c>
      <c r="G99" s="459" t="str">
        <f t="shared" ca="1" si="21"/>
        <v/>
      </c>
      <c r="H99" s="460" t="str">
        <f t="shared" ca="1" si="21"/>
        <v/>
      </c>
      <c r="I99" s="460" t="str">
        <f t="shared" ca="1" si="21"/>
        <v/>
      </c>
      <c r="J99" s="460" t="str">
        <f t="shared" ca="1" si="21"/>
        <v/>
      </c>
      <c r="K99" s="460" t="str">
        <f t="shared" ca="1" si="21"/>
        <v/>
      </c>
      <c r="L99" s="460" t="str">
        <f t="shared" ca="1" si="21"/>
        <v/>
      </c>
      <c r="M99" s="460" t="str">
        <f t="shared" ca="1" si="21"/>
        <v/>
      </c>
      <c r="N99" s="460" t="str">
        <f t="shared" ca="1" si="21"/>
        <v/>
      </c>
      <c r="O99" s="461" t="str">
        <f t="shared" ca="1" si="21"/>
        <v/>
      </c>
      <c r="P99" s="474" t="str">
        <f t="shared" ca="1" si="21"/>
        <v/>
      </c>
      <c r="Q99" s="475" t="str">
        <f t="shared" ca="1" si="21"/>
        <v/>
      </c>
      <c r="R99" s="476">
        <f ca="1">IF(OR($BG$2=0,$AR99=""),,IF($AR99="本月合计",IF(ROW()=$BG$3,SUM($R$6:$R98),SUM(INDIRECT("$R$"&amp;OFFSET($AU$3,,MATCH(ROW(),$AU$3:$BF$3,)-2)+2&amp;":$R"&amp;ROW()-1))),IF($AR99="本年累计",SUMIF($AR$6:$AR99,"本月合计",$R$6:$R98),INDEX(凭证录入!L:L,$AR99))))</f>
        <v>0</v>
      </c>
      <c r="S99" s="459" t="str">
        <f t="shared" ca="1" si="22"/>
        <v/>
      </c>
      <c r="T99" s="460" t="str">
        <f t="shared" ca="1" si="22"/>
        <v/>
      </c>
      <c r="U99" s="460" t="str">
        <f t="shared" ca="1" si="22"/>
        <v/>
      </c>
      <c r="V99" s="460" t="str">
        <f t="shared" ca="1" si="22"/>
        <v/>
      </c>
      <c r="W99" s="460" t="str">
        <f t="shared" ca="1" si="22"/>
        <v/>
      </c>
      <c r="X99" s="460" t="str">
        <f t="shared" ca="1" si="22"/>
        <v/>
      </c>
      <c r="Y99" s="460" t="str">
        <f t="shared" ca="1" si="22"/>
        <v/>
      </c>
      <c r="Z99" s="460" t="str">
        <f t="shared" ca="1" si="22"/>
        <v/>
      </c>
      <c r="AA99" s="461" t="str">
        <f t="shared" ca="1" si="22"/>
        <v/>
      </c>
      <c r="AB99" s="474" t="str">
        <f t="shared" ca="1" si="22"/>
        <v/>
      </c>
      <c r="AC99" s="475" t="str">
        <f t="shared" ca="1" si="22"/>
        <v/>
      </c>
      <c r="AD99" s="477" t="str">
        <f t="shared" ca="1" si="18"/>
        <v/>
      </c>
      <c r="AE99" s="478">
        <f t="shared" ca="1" si="19"/>
        <v>0</v>
      </c>
      <c r="AF99" s="459" t="str">
        <f t="shared" ca="1" si="20"/>
        <v/>
      </c>
      <c r="AG99" s="460" t="str">
        <f t="shared" ca="1" si="20"/>
        <v/>
      </c>
      <c r="AH99" s="460" t="str">
        <f t="shared" ca="1" si="20"/>
        <v/>
      </c>
      <c r="AI99" s="460" t="str">
        <f t="shared" ca="1" si="20"/>
        <v/>
      </c>
      <c r="AJ99" s="460" t="str">
        <f t="shared" ca="1" si="20"/>
        <v/>
      </c>
      <c r="AK99" s="460" t="str">
        <f t="shared" ca="1" si="20"/>
        <v/>
      </c>
      <c r="AL99" s="460" t="str">
        <f t="shared" ca="1" si="20"/>
        <v/>
      </c>
      <c r="AM99" s="460" t="str">
        <f t="shared" ca="1" si="20"/>
        <v/>
      </c>
      <c r="AN99" s="461" t="str">
        <f t="shared" ca="1" si="20"/>
        <v/>
      </c>
      <c r="AO99" s="474" t="str">
        <f t="shared" ca="1" si="20"/>
        <v/>
      </c>
      <c r="AP99" s="475" t="str">
        <f t="shared" ca="1" si="20"/>
        <v/>
      </c>
      <c r="AQ99" s="479" t="str">
        <f t="array" aca="1" ref="AQ99" ca="1">IF(ROW()-5&lt;=COUNTIF(科目编号,$AR$2),SMALL(IF(科目编号=$AR$2,ROW(科目编号),""),ROW()-5),"")</f>
        <v/>
      </c>
      <c r="AR99" s="480" t="str">
        <f ca="1">IF($BG$2=0,"",IF(AR98="本月合计","本年累计",IF(OR(ROW()=$AU$3,ROW()=$AV$3,ROW()=$AW$3,ROW()=$AX$3,ROW()=$AY$3,ROW()=$AZ$3,ROW()=$BA$3,ROW()=$BB$3,ROW()=$BC$3,ROW()=$BD$3,ROW()=$BE$3,ROW()=$BF$3),"本月合计",IF(ROW()&lt;7,$AQ$6,OFFSET($AQ$6,COUNT($AR$6:AR98),0)))))</f>
        <v/>
      </c>
    </row>
    <row r="100" spans="1:44">
      <c r="A100" s="469" t="str">
        <f ca="1">IFERROR(INDEX(凭证录入!A:A,$AR100),"")</f>
        <v/>
      </c>
      <c r="B100" s="469" t="str">
        <f ca="1">IFERROR(INDEX(凭证录入!B:B,$AR100),"")</f>
        <v/>
      </c>
      <c r="C100" s="470" t="str">
        <f ca="1">IFERROR(INDEX(凭证录入!G:G,$AR100),"")</f>
        <v/>
      </c>
      <c r="D100" s="471" t="str">
        <f ca="1">IFERROR(INDEX(凭证录入!F:F,$AR100),"")</f>
        <v/>
      </c>
      <c r="E100" s="472" t="str">
        <f ca="1">IFERROR(INDEX(凭证录入!H:H,$AR100),$AR100)</f>
        <v/>
      </c>
      <c r="F100" s="473">
        <f ca="1">IF(OR($BG$2=0,$AR100=""),,IF($AR100="本月合计",IF(ROW()=$BG$3,SUM($F$6:$F99),SUM(INDIRECT("$F$"&amp;OFFSET($AU$3,,MATCH(ROW(),$AU$3:$BF$3,)-2)+2&amp;":$E"&amp;ROW()-1))),IF($AR100="本年累计",SUMIF($AR$6:$AR100,"本月合计",$F$6:$F99),INDEX(凭证录入!K:K,$AR100))))</f>
        <v>0</v>
      </c>
      <c r="G100" s="459" t="str">
        <f t="shared" ca="1" si="21"/>
        <v/>
      </c>
      <c r="H100" s="460" t="str">
        <f t="shared" ca="1" si="21"/>
        <v/>
      </c>
      <c r="I100" s="460" t="str">
        <f t="shared" ca="1" si="21"/>
        <v/>
      </c>
      <c r="J100" s="460" t="str">
        <f t="shared" ca="1" si="21"/>
        <v/>
      </c>
      <c r="K100" s="460" t="str">
        <f t="shared" ca="1" si="21"/>
        <v/>
      </c>
      <c r="L100" s="460" t="str">
        <f t="shared" ca="1" si="21"/>
        <v/>
      </c>
      <c r="M100" s="460" t="str">
        <f t="shared" ca="1" si="21"/>
        <v/>
      </c>
      <c r="N100" s="460" t="str">
        <f t="shared" ca="1" si="21"/>
        <v/>
      </c>
      <c r="O100" s="461" t="str">
        <f t="shared" ca="1" si="21"/>
        <v/>
      </c>
      <c r="P100" s="474" t="str">
        <f t="shared" ca="1" si="21"/>
        <v/>
      </c>
      <c r="Q100" s="475" t="str">
        <f t="shared" ca="1" si="21"/>
        <v/>
      </c>
      <c r="R100" s="476">
        <f ca="1">IF(OR($BG$2=0,$AR100=""),,IF($AR100="本月合计",IF(ROW()=$BG$3,SUM($R$6:$R99),SUM(INDIRECT("$R$"&amp;OFFSET($AU$3,,MATCH(ROW(),$AU$3:$BF$3,)-2)+2&amp;":$R"&amp;ROW()-1))),IF($AR100="本年累计",SUMIF($AR$6:$AR100,"本月合计",$R$6:$R99),INDEX(凭证录入!L:L,$AR100))))</f>
        <v>0</v>
      </c>
      <c r="S100" s="459" t="str">
        <f t="shared" ca="1" si="22"/>
        <v/>
      </c>
      <c r="T100" s="460" t="str">
        <f t="shared" ca="1" si="22"/>
        <v/>
      </c>
      <c r="U100" s="460" t="str">
        <f t="shared" ca="1" si="22"/>
        <v/>
      </c>
      <c r="V100" s="460" t="str">
        <f t="shared" ca="1" si="22"/>
        <v/>
      </c>
      <c r="W100" s="460" t="str">
        <f t="shared" ca="1" si="22"/>
        <v/>
      </c>
      <c r="X100" s="460" t="str">
        <f t="shared" ca="1" si="22"/>
        <v/>
      </c>
      <c r="Y100" s="460" t="str">
        <f t="shared" ca="1" si="22"/>
        <v/>
      </c>
      <c r="Z100" s="460" t="str">
        <f t="shared" ca="1" si="22"/>
        <v/>
      </c>
      <c r="AA100" s="461" t="str">
        <f t="shared" ca="1" si="22"/>
        <v/>
      </c>
      <c r="AB100" s="474" t="str">
        <f t="shared" ca="1" si="22"/>
        <v/>
      </c>
      <c r="AC100" s="475" t="str">
        <f t="shared" ca="1" si="22"/>
        <v/>
      </c>
      <c r="AD100" s="477" t="str">
        <f t="shared" ca="1" si="18"/>
        <v/>
      </c>
      <c r="AE100" s="478">
        <f t="shared" ca="1" si="19"/>
        <v>0</v>
      </c>
      <c r="AF100" s="459" t="str">
        <f t="shared" ca="1" si="20"/>
        <v/>
      </c>
      <c r="AG100" s="460" t="str">
        <f t="shared" ca="1" si="20"/>
        <v/>
      </c>
      <c r="AH100" s="460" t="str">
        <f t="shared" ca="1" si="20"/>
        <v/>
      </c>
      <c r="AI100" s="460" t="str">
        <f t="shared" ca="1" si="20"/>
        <v/>
      </c>
      <c r="AJ100" s="460" t="str">
        <f t="shared" ca="1" si="20"/>
        <v/>
      </c>
      <c r="AK100" s="460" t="str">
        <f t="shared" ca="1" si="20"/>
        <v/>
      </c>
      <c r="AL100" s="460" t="str">
        <f t="shared" ca="1" si="20"/>
        <v/>
      </c>
      <c r="AM100" s="460" t="str">
        <f t="shared" ca="1" si="20"/>
        <v/>
      </c>
      <c r="AN100" s="461" t="str">
        <f t="shared" ca="1" si="20"/>
        <v/>
      </c>
      <c r="AO100" s="474" t="str">
        <f t="shared" ca="1" si="20"/>
        <v/>
      </c>
      <c r="AP100" s="475" t="str">
        <f t="shared" ca="1" si="20"/>
        <v/>
      </c>
      <c r="AQ100" s="479" t="str">
        <f t="array" aca="1" ref="AQ100" ca="1">IF(ROW()-5&lt;=COUNTIF(科目编号,$AR$2),SMALL(IF(科目编号=$AR$2,ROW(科目编号),""),ROW()-5),"")</f>
        <v/>
      </c>
      <c r="AR100" s="480" t="str">
        <f ca="1">IF($BG$2=0,"",IF(AR99="本月合计","本年累计",IF(OR(ROW()=$AU$3,ROW()=$AV$3,ROW()=$AW$3,ROW()=$AX$3,ROW()=$AY$3,ROW()=$AZ$3,ROW()=$BA$3,ROW()=$BB$3,ROW()=$BC$3,ROW()=$BD$3,ROW()=$BE$3,ROW()=$BF$3),"本月合计",IF(ROW()&lt;7,$AQ$6,OFFSET($AQ$6,COUNT($AR$6:AR99),0)))))</f>
        <v/>
      </c>
    </row>
    <row r="101" spans="1:44">
      <c r="A101" s="469" t="str">
        <f ca="1">IFERROR(INDEX(凭证录入!A:A,$AR101),"")</f>
        <v/>
      </c>
      <c r="B101" s="469" t="str">
        <f ca="1">IFERROR(INDEX(凭证录入!B:B,$AR101),"")</f>
        <v/>
      </c>
      <c r="C101" s="470" t="str">
        <f ca="1">IFERROR(INDEX(凭证录入!G:G,$AR101),"")</f>
        <v/>
      </c>
      <c r="D101" s="471" t="str">
        <f ca="1">IFERROR(INDEX(凭证录入!F:F,$AR101),"")</f>
        <v/>
      </c>
      <c r="E101" s="472" t="str">
        <f ca="1">IFERROR(INDEX(凭证录入!H:H,$AR101),$AR101)</f>
        <v/>
      </c>
      <c r="F101" s="473">
        <f ca="1">IF(OR($BG$2=0,$AR101=""),,IF($AR101="本月合计",IF(ROW()=$BG$3,SUM($F$6:$F100),SUM(INDIRECT("$F$"&amp;OFFSET($AU$3,,MATCH(ROW(),$AU$3:$BF$3,)-2)+2&amp;":$E"&amp;ROW()-1))),IF($AR101="本年累计",SUMIF($AR$6:$AR101,"本月合计",$F$6:$F100),INDEX(凭证录入!K:K,$AR101))))</f>
        <v>0</v>
      </c>
      <c r="G101" s="459" t="str">
        <f t="shared" ca="1" si="21"/>
        <v/>
      </c>
      <c r="H101" s="460" t="str">
        <f t="shared" ca="1" si="21"/>
        <v/>
      </c>
      <c r="I101" s="460" t="str">
        <f t="shared" ca="1" si="21"/>
        <v/>
      </c>
      <c r="J101" s="460" t="str">
        <f t="shared" ca="1" si="21"/>
        <v/>
      </c>
      <c r="K101" s="460" t="str">
        <f t="shared" ca="1" si="21"/>
        <v/>
      </c>
      <c r="L101" s="460" t="str">
        <f t="shared" ca="1" si="21"/>
        <v/>
      </c>
      <c r="M101" s="460" t="str">
        <f t="shared" ca="1" si="21"/>
        <v/>
      </c>
      <c r="N101" s="460" t="str">
        <f t="shared" ca="1" si="21"/>
        <v/>
      </c>
      <c r="O101" s="461" t="str">
        <f t="shared" ca="1" si="21"/>
        <v/>
      </c>
      <c r="P101" s="474" t="str">
        <f t="shared" ca="1" si="21"/>
        <v/>
      </c>
      <c r="Q101" s="475" t="str">
        <f t="shared" ca="1" si="21"/>
        <v/>
      </c>
      <c r="R101" s="476">
        <f ca="1">IF(OR($BG$2=0,$AR101=""),,IF($AR101="本月合计",IF(ROW()=$BG$3,SUM($R$6:$R100),SUM(INDIRECT("$R$"&amp;OFFSET($AU$3,,MATCH(ROW(),$AU$3:$BF$3,)-2)+2&amp;":$R"&amp;ROW()-1))),IF($AR101="本年累计",SUMIF($AR$6:$AR101,"本月合计",$R$6:$R100),INDEX(凭证录入!L:L,$AR101))))</f>
        <v>0</v>
      </c>
      <c r="S101" s="459" t="str">
        <f t="shared" ca="1" si="22"/>
        <v/>
      </c>
      <c r="T101" s="460" t="str">
        <f t="shared" ca="1" si="22"/>
        <v/>
      </c>
      <c r="U101" s="460" t="str">
        <f t="shared" ca="1" si="22"/>
        <v/>
      </c>
      <c r="V101" s="460" t="str">
        <f t="shared" ca="1" si="22"/>
        <v/>
      </c>
      <c r="W101" s="460" t="str">
        <f t="shared" ca="1" si="22"/>
        <v/>
      </c>
      <c r="X101" s="460" t="str">
        <f t="shared" ca="1" si="22"/>
        <v/>
      </c>
      <c r="Y101" s="460" t="str">
        <f t="shared" ca="1" si="22"/>
        <v/>
      </c>
      <c r="Z101" s="460" t="str">
        <f t="shared" ca="1" si="22"/>
        <v/>
      </c>
      <c r="AA101" s="461" t="str">
        <f t="shared" ca="1" si="22"/>
        <v/>
      </c>
      <c r="AB101" s="474" t="str">
        <f t="shared" ca="1" si="22"/>
        <v/>
      </c>
      <c r="AC101" s="475" t="str">
        <f t="shared" ca="1" si="22"/>
        <v/>
      </c>
      <c r="AD101" s="477" t="str">
        <f t="shared" ca="1" si="18"/>
        <v/>
      </c>
      <c r="AE101" s="478">
        <f t="shared" ca="1" si="19"/>
        <v>0</v>
      </c>
      <c r="AF101" s="459" t="str">
        <f t="shared" ref="AF101:AP116" ca="1" si="23">LEFT(RIGHT(TEXT($AE101/1%," ￥0; ￥-0;"),43-COLUMN()))</f>
        <v/>
      </c>
      <c r="AG101" s="460" t="str">
        <f t="shared" ca="1" si="23"/>
        <v/>
      </c>
      <c r="AH101" s="460" t="str">
        <f t="shared" ca="1" si="23"/>
        <v/>
      </c>
      <c r="AI101" s="460" t="str">
        <f t="shared" ca="1" si="23"/>
        <v/>
      </c>
      <c r="AJ101" s="460" t="str">
        <f t="shared" ca="1" si="23"/>
        <v/>
      </c>
      <c r="AK101" s="460" t="str">
        <f t="shared" ca="1" si="23"/>
        <v/>
      </c>
      <c r="AL101" s="460" t="str">
        <f t="shared" ca="1" si="23"/>
        <v/>
      </c>
      <c r="AM101" s="460" t="str">
        <f t="shared" ca="1" si="23"/>
        <v/>
      </c>
      <c r="AN101" s="461" t="str">
        <f t="shared" ca="1" si="23"/>
        <v/>
      </c>
      <c r="AO101" s="474" t="str">
        <f t="shared" ca="1" si="23"/>
        <v/>
      </c>
      <c r="AP101" s="475" t="str">
        <f t="shared" ca="1" si="23"/>
        <v/>
      </c>
      <c r="AQ101" s="479" t="str">
        <f t="array" aca="1" ref="AQ101" ca="1">IF(ROW()-5&lt;=COUNTIF(科目编号,$AR$2),SMALL(IF(科目编号=$AR$2,ROW(科目编号),""),ROW()-5),"")</f>
        <v/>
      </c>
      <c r="AR101" s="480" t="str">
        <f ca="1">IF($BG$2=0,"",IF(AR100="本月合计","本年累计",IF(OR(ROW()=$AU$3,ROW()=$AV$3,ROW()=$AW$3,ROW()=$AX$3,ROW()=$AY$3,ROW()=$AZ$3,ROW()=$BA$3,ROW()=$BB$3,ROW()=$BC$3,ROW()=$BD$3,ROW()=$BE$3,ROW()=$BF$3),"本月合计",IF(ROW()&lt;7,$AQ$6,OFFSET($AQ$6,COUNT($AR$6:AR100),0)))))</f>
        <v/>
      </c>
    </row>
    <row r="102" spans="1:44">
      <c r="A102" s="469" t="str">
        <f ca="1">IFERROR(INDEX(凭证录入!A:A,$AR102),"")</f>
        <v/>
      </c>
      <c r="B102" s="469" t="str">
        <f ca="1">IFERROR(INDEX(凭证录入!B:B,$AR102),"")</f>
        <v/>
      </c>
      <c r="C102" s="470" t="str">
        <f ca="1">IFERROR(INDEX(凭证录入!G:G,$AR102),"")</f>
        <v/>
      </c>
      <c r="D102" s="471" t="str">
        <f ca="1">IFERROR(INDEX(凭证录入!F:F,$AR102),"")</f>
        <v/>
      </c>
      <c r="E102" s="472" t="str">
        <f ca="1">IFERROR(INDEX(凭证录入!H:H,$AR102),$AR102)</f>
        <v/>
      </c>
      <c r="F102" s="473">
        <f ca="1">IF(OR($BG$2=0,$AR102=""),,IF($AR102="本月合计",IF(ROW()=$BG$3,SUM($F$6:$F101),SUM(INDIRECT("$F$"&amp;OFFSET($AU$3,,MATCH(ROW(),$AU$3:$BF$3,)-2)+2&amp;":$E"&amp;ROW()-1))),IF($AR102="本年累计",SUMIF($AR$6:$AR102,"本月合计",$F$6:$F101),INDEX(凭证录入!K:K,$AR102))))</f>
        <v>0</v>
      </c>
      <c r="G102" s="459" t="str">
        <f t="shared" ref="G102:Q117" ca="1" si="24">LEFT(RIGHT(TEXT($F102/1%," ￥0; ￥-0;"),18-COLUMN()))</f>
        <v/>
      </c>
      <c r="H102" s="460" t="str">
        <f t="shared" ca="1" si="24"/>
        <v/>
      </c>
      <c r="I102" s="460" t="str">
        <f t="shared" ca="1" si="24"/>
        <v/>
      </c>
      <c r="J102" s="460" t="str">
        <f t="shared" ca="1" si="24"/>
        <v/>
      </c>
      <c r="K102" s="460" t="str">
        <f t="shared" ca="1" si="24"/>
        <v/>
      </c>
      <c r="L102" s="460" t="str">
        <f t="shared" ca="1" si="24"/>
        <v/>
      </c>
      <c r="M102" s="460" t="str">
        <f t="shared" ca="1" si="24"/>
        <v/>
      </c>
      <c r="N102" s="460" t="str">
        <f t="shared" ca="1" si="24"/>
        <v/>
      </c>
      <c r="O102" s="461" t="str">
        <f t="shared" ca="1" si="24"/>
        <v/>
      </c>
      <c r="P102" s="474" t="str">
        <f t="shared" ca="1" si="24"/>
        <v/>
      </c>
      <c r="Q102" s="475" t="str">
        <f t="shared" ca="1" si="24"/>
        <v/>
      </c>
      <c r="R102" s="476">
        <f ca="1">IF(OR($BG$2=0,$AR102=""),,IF($AR102="本月合计",IF(ROW()=$BG$3,SUM($R$6:$R101),SUM(INDIRECT("$R$"&amp;OFFSET($AU$3,,MATCH(ROW(),$AU$3:$BF$3,)-2)+2&amp;":$R"&amp;ROW()-1))),IF($AR102="本年累计",SUMIF($AR$6:$AR102,"本月合计",$R$6:$R101),INDEX(凭证录入!L:L,$AR102))))</f>
        <v>0</v>
      </c>
      <c r="S102" s="459" t="str">
        <f t="shared" ref="S102:AC117" ca="1" si="25">LEFT(RIGHT(TEXT($R102/1%," ￥0; ￥-0;"),30-COLUMN()))</f>
        <v/>
      </c>
      <c r="T102" s="460" t="str">
        <f t="shared" ca="1" si="25"/>
        <v/>
      </c>
      <c r="U102" s="460" t="str">
        <f t="shared" ca="1" si="25"/>
        <v/>
      </c>
      <c r="V102" s="460" t="str">
        <f t="shared" ca="1" si="25"/>
        <v/>
      </c>
      <c r="W102" s="460" t="str">
        <f t="shared" ca="1" si="25"/>
        <v/>
      </c>
      <c r="X102" s="460" t="str">
        <f t="shared" ca="1" si="25"/>
        <v/>
      </c>
      <c r="Y102" s="460" t="str">
        <f t="shared" ca="1" si="25"/>
        <v/>
      </c>
      <c r="Z102" s="460" t="str">
        <f t="shared" ca="1" si="25"/>
        <v/>
      </c>
      <c r="AA102" s="461" t="str">
        <f t="shared" ca="1" si="25"/>
        <v/>
      </c>
      <c r="AB102" s="474" t="str">
        <f t="shared" ca="1" si="25"/>
        <v/>
      </c>
      <c r="AC102" s="475" t="str">
        <f t="shared" ca="1" si="25"/>
        <v/>
      </c>
      <c r="AD102" s="477" t="str">
        <f t="shared" ca="1" si="18"/>
        <v/>
      </c>
      <c r="AE102" s="478">
        <f t="shared" ca="1" si="19"/>
        <v>0</v>
      </c>
      <c r="AF102" s="459" t="str">
        <f t="shared" ca="1" si="23"/>
        <v/>
      </c>
      <c r="AG102" s="460" t="str">
        <f t="shared" ca="1" si="23"/>
        <v/>
      </c>
      <c r="AH102" s="460" t="str">
        <f t="shared" ca="1" si="23"/>
        <v/>
      </c>
      <c r="AI102" s="460" t="str">
        <f t="shared" ca="1" si="23"/>
        <v/>
      </c>
      <c r="AJ102" s="460" t="str">
        <f t="shared" ca="1" si="23"/>
        <v/>
      </c>
      <c r="AK102" s="460" t="str">
        <f t="shared" ca="1" si="23"/>
        <v/>
      </c>
      <c r="AL102" s="460" t="str">
        <f t="shared" ca="1" si="23"/>
        <v/>
      </c>
      <c r="AM102" s="460" t="str">
        <f t="shared" ca="1" si="23"/>
        <v/>
      </c>
      <c r="AN102" s="461" t="str">
        <f t="shared" ca="1" si="23"/>
        <v/>
      </c>
      <c r="AO102" s="474" t="str">
        <f t="shared" ca="1" si="23"/>
        <v/>
      </c>
      <c r="AP102" s="475" t="str">
        <f t="shared" ca="1" si="23"/>
        <v/>
      </c>
      <c r="AQ102" s="479" t="str">
        <f t="array" aca="1" ref="AQ102" ca="1">IF(ROW()-5&lt;=COUNTIF(科目编号,$AR$2),SMALL(IF(科目编号=$AR$2,ROW(科目编号),""),ROW()-5),"")</f>
        <v/>
      </c>
      <c r="AR102" s="480" t="str">
        <f ca="1">IF($BG$2=0,"",IF(AR101="本月合计","本年累计",IF(OR(ROW()=$AU$3,ROW()=$AV$3,ROW()=$AW$3,ROW()=$AX$3,ROW()=$AY$3,ROW()=$AZ$3,ROW()=$BA$3,ROW()=$BB$3,ROW()=$BC$3,ROW()=$BD$3,ROW()=$BE$3,ROW()=$BF$3),"本月合计",IF(ROW()&lt;7,$AQ$6,OFFSET($AQ$6,COUNT($AR$6:AR101),0)))))</f>
        <v/>
      </c>
    </row>
    <row r="103" spans="1:44">
      <c r="A103" s="469" t="str">
        <f ca="1">IFERROR(INDEX(凭证录入!A:A,$AR103),"")</f>
        <v/>
      </c>
      <c r="B103" s="469" t="str">
        <f ca="1">IFERROR(INDEX(凭证录入!B:B,$AR103),"")</f>
        <v/>
      </c>
      <c r="C103" s="470" t="str">
        <f ca="1">IFERROR(INDEX(凭证录入!G:G,$AR103),"")</f>
        <v/>
      </c>
      <c r="D103" s="471" t="str">
        <f ca="1">IFERROR(INDEX(凭证录入!F:F,$AR103),"")</f>
        <v/>
      </c>
      <c r="E103" s="472" t="str">
        <f ca="1">IFERROR(INDEX(凭证录入!H:H,$AR103),$AR103)</f>
        <v/>
      </c>
      <c r="F103" s="473">
        <f ca="1">IF(OR($BG$2=0,$AR103=""),,IF($AR103="本月合计",IF(ROW()=$BG$3,SUM($F$6:$F102),SUM(INDIRECT("$F$"&amp;OFFSET($AU$3,,MATCH(ROW(),$AU$3:$BF$3,)-2)+2&amp;":$E"&amp;ROW()-1))),IF($AR103="本年累计",SUMIF($AR$6:$AR103,"本月合计",$F$6:$F102),INDEX(凭证录入!K:K,$AR103))))</f>
        <v>0</v>
      </c>
      <c r="G103" s="459" t="str">
        <f t="shared" ca="1" si="24"/>
        <v/>
      </c>
      <c r="H103" s="460" t="str">
        <f t="shared" ca="1" si="24"/>
        <v/>
      </c>
      <c r="I103" s="460" t="str">
        <f t="shared" ca="1" si="24"/>
        <v/>
      </c>
      <c r="J103" s="460" t="str">
        <f t="shared" ca="1" si="24"/>
        <v/>
      </c>
      <c r="K103" s="460" t="str">
        <f t="shared" ca="1" si="24"/>
        <v/>
      </c>
      <c r="L103" s="460" t="str">
        <f t="shared" ca="1" si="24"/>
        <v/>
      </c>
      <c r="M103" s="460" t="str">
        <f t="shared" ca="1" si="24"/>
        <v/>
      </c>
      <c r="N103" s="460" t="str">
        <f t="shared" ca="1" si="24"/>
        <v/>
      </c>
      <c r="O103" s="461" t="str">
        <f t="shared" ca="1" si="24"/>
        <v/>
      </c>
      <c r="P103" s="474" t="str">
        <f t="shared" ca="1" si="24"/>
        <v/>
      </c>
      <c r="Q103" s="475" t="str">
        <f t="shared" ca="1" si="24"/>
        <v/>
      </c>
      <c r="R103" s="476">
        <f ca="1">IF(OR($BG$2=0,$AR103=""),,IF($AR103="本月合计",IF(ROW()=$BG$3,SUM($R$6:$R102),SUM(INDIRECT("$R$"&amp;OFFSET($AU$3,,MATCH(ROW(),$AU$3:$BF$3,)-2)+2&amp;":$R"&amp;ROW()-1))),IF($AR103="本年累计",SUMIF($AR$6:$AR103,"本月合计",$R$6:$R102),INDEX(凭证录入!L:L,$AR103))))</f>
        <v>0</v>
      </c>
      <c r="S103" s="459" t="str">
        <f t="shared" ca="1" si="25"/>
        <v/>
      </c>
      <c r="T103" s="460" t="str">
        <f t="shared" ca="1" si="25"/>
        <v/>
      </c>
      <c r="U103" s="460" t="str">
        <f t="shared" ca="1" si="25"/>
        <v/>
      </c>
      <c r="V103" s="460" t="str">
        <f t="shared" ca="1" si="25"/>
        <v/>
      </c>
      <c r="W103" s="460" t="str">
        <f t="shared" ca="1" si="25"/>
        <v/>
      </c>
      <c r="X103" s="460" t="str">
        <f t="shared" ca="1" si="25"/>
        <v/>
      </c>
      <c r="Y103" s="460" t="str">
        <f t="shared" ca="1" si="25"/>
        <v/>
      </c>
      <c r="Z103" s="460" t="str">
        <f t="shared" ca="1" si="25"/>
        <v/>
      </c>
      <c r="AA103" s="461" t="str">
        <f t="shared" ca="1" si="25"/>
        <v/>
      </c>
      <c r="AB103" s="474" t="str">
        <f t="shared" ca="1" si="25"/>
        <v/>
      </c>
      <c r="AC103" s="475" t="str">
        <f t="shared" ca="1" si="25"/>
        <v/>
      </c>
      <c r="AD103" s="477" t="str">
        <f t="shared" ca="1" si="18"/>
        <v/>
      </c>
      <c r="AE103" s="478">
        <f t="shared" ca="1" si="19"/>
        <v>0</v>
      </c>
      <c r="AF103" s="459" t="str">
        <f t="shared" ca="1" si="23"/>
        <v/>
      </c>
      <c r="AG103" s="460" t="str">
        <f t="shared" ca="1" si="23"/>
        <v/>
      </c>
      <c r="AH103" s="460" t="str">
        <f t="shared" ca="1" si="23"/>
        <v/>
      </c>
      <c r="AI103" s="460" t="str">
        <f t="shared" ca="1" si="23"/>
        <v/>
      </c>
      <c r="AJ103" s="460" t="str">
        <f t="shared" ca="1" si="23"/>
        <v/>
      </c>
      <c r="AK103" s="460" t="str">
        <f t="shared" ca="1" si="23"/>
        <v/>
      </c>
      <c r="AL103" s="460" t="str">
        <f t="shared" ca="1" si="23"/>
        <v/>
      </c>
      <c r="AM103" s="460" t="str">
        <f t="shared" ca="1" si="23"/>
        <v/>
      </c>
      <c r="AN103" s="461" t="str">
        <f t="shared" ca="1" si="23"/>
        <v/>
      </c>
      <c r="AO103" s="474" t="str">
        <f t="shared" ca="1" si="23"/>
        <v/>
      </c>
      <c r="AP103" s="475" t="str">
        <f t="shared" ca="1" si="23"/>
        <v/>
      </c>
      <c r="AQ103" s="479" t="str">
        <f t="array" aca="1" ref="AQ103" ca="1">IF(ROW()-5&lt;=COUNTIF(科目编号,$AR$2),SMALL(IF(科目编号=$AR$2,ROW(科目编号),""),ROW()-5),"")</f>
        <v/>
      </c>
      <c r="AR103" s="480" t="str">
        <f ca="1">IF($BG$2=0,"",IF(AR102="本月合计","本年累计",IF(OR(ROW()=$AU$3,ROW()=$AV$3,ROW()=$AW$3,ROW()=$AX$3,ROW()=$AY$3,ROW()=$AZ$3,ROW()=$BA$3,ROW()=$BB$3,ROW()=$BC$3,ROW()=$BD$3,ROW()=$BE$3,ROW()=$BF$3),"本月合计",IF(ROW()&lt;7,$AQ$6,OFFSET($AQ$6,COUNT($AR$6:AR102),0)))))</f>
        <v/>
      </c>
    </row>
    <row r="104" spans="1:44">
      <c r="A104" s="469" t="str">
        <f ca="1">IFERROR(INDEX(凭证录入!A:A,$AR104),"")</f>
        <v/>
      </c>
      <c r="B104" s="469" t="str">
        <f ca="1">IFERROR(INDEX(凭证录入!B:B,$AR104),"")</f>
        <v/>
      </c>
      <c r="C104" s="470" t="str">
        <f ca="1">IFERROR(INDEX(凭证录入!G:G,$AR104),"")</f>
        <v/>
      </c>
      <c r="D104" s="471" t="str">
        <f ca="1">IFERROR(INDEX(凭证录入!F:F,$AR104),"")</f>
        <v/>
      </c>
      <c r="E104" s="472" t="str">
        <f ca="1">IFERROR(INDEX(凭证录入!H:H,$AR104),$AR104)</f>
        <v/>
      </c>
      <c r="F104" s="473">
        <f ca="1">IF(OR($BG$2=0,$AR104=""),,IF($AR104="本月合计",IF(ROW()=$BG$3,SUM($F$6:$F103),SUM(INDIRECT("$F$"&amp;OFFSET($AU$3,,MATCH(ROW(),$AU$3:$BF$3,)-2)+2&amp;":$E"&amp;ROW()-1))),IF($AR104="本年累计",SUMIF($AR$6:$AR104,"本月合计",$F$6:$F103),INDEX(凭证录入!K:K,$AR104))))</f>
        <v>0</v>
      </c>
      <c r="G104" s="459" t="str">
        <f t="shared" ca="1" si="24"/>
        <v/>
      </c>
      <c r="H104" s="460" t="str">
        <f t="shared" ca="1" si="24"/>
        <v/>
      </c>
      <c r="I104" s="460" t="str">
        <f t="shared" ca="1" si="24"/>
        <v/>
      </c>
      <c r="J104" s="460" t="str">
        <f t="shared" ca="1" si="24"/>
        <v/>
      </c>
      <c r="K104" s="460" t="str">
        <f t="shared" ca="1" si="24"/>
        <v/>
      </c>
      <c r="L104" s="460" t="str">
        <f t="shared" ca="1" si="24"/>
        <v/>
      </c>
      <c r="M104" s="460" t="str">
        <f t="shared" ca="1" si="24"/>
        <v/>
      </c>
      <c r="N104" s="460" t="str">
        <f t="shared" ca="1" si="24"/>
        <v/>
      </c>
      <c r="O104" s="461" t="str">
        <f t="shared" ca="1" si="24"/>
        <v/>
      </c>
      <c r="P104" s="474" t="str">
        <f t="shared" ca="1" si="24"/>
        <v/>
      </c>
      <c r="Q104" s="475" t="str">
        <f t="shared" ca="1" si="24"/>
        <v/>
      </c>
      <c r="R104" s="476">
        <f ca="1">IF(OR($BG$2=0,$AR104=""),,IF($AR104="本月合计",IF(ROW()=$BG$3,SUM($R$6:$R103),SUM(INDIRECT("$R$"&amp;OFFSET($AU$3,,MATCH(ROW(),$AU$3:$BF$3,)-2)+2&amp;":$R"&amp;ROW()-1))),IF($AR104="本年累计",SUMIF($AR$6:$AR104,"本月合计",$R$6:$R103),INDEX(凭证录入!L:L,$AR104))))</f>
        <v>0</v>
      </c>
      <c r="S104" s="459" t="str">
        <f t="shared" ca="1" si="25"/>
        <v/>
      </c>
      <c r="T104" s="460" t="str">
        <f t="shared" ca="1" si="25"/>
        <v/>
      </c>
      <c r="U104" s="460" t="str">
        <f t="shared" ca="1" si="25"/>
        <v/>
      </c>
      <c r="V104" s="460" t="str">
        <f t="shared" ca="1" si="25"/>
        <v/>
      </c>
      <c r="W104" s="460" t="str">
        <f t="shared" ca="1" si="25"/>
        <v/>
      </c>
      <c r="X104" s="460" t="str">
        <f t="shared" ca="1" si="25"/>
        <v/>
      </c>
      <c r="Y104" s="460" t="str">
        <f t="shared" ca="1" si="25"/>
        <v/>
      </c>
      <c r="Z104" s="460" t="str">
        <f t="shared" ca="1" si="25"/>
        <v/>
      </c>
      <c r="AA104" s="461" t="str">
        <f t="shared" ca="1" si="25"/>
        <v/>
      </c>
      <c r="AB104" s="474" t="str">
        <f t="shared" ca="1" si="25"/>
        <v/>
      </c>
      <c r="AC104" s="475" t="str">
        <f t="shared" ca="1" si="25"/>
        <v/>
      </c>
      <c r="AD104" s="477" t="str">
        <f t="shared" ca="1" si="18"/>
        <v/>
      </c>
      <c r="AE104" s="478">
        <f t="shared" ca="1" si="19"/>
        <v>0</v>
      </c>
      <c r="AF104" s="459" t="str">
        <f t="shared" ca="1" si="23"/>
        <v/>
      </c>
      <c r="AG104" s="460" t="str">
        <f t="shared" ca="1" si="23"/>
        <v/>
      </c>
      <c r="AH104" s="460" t="str">
        <f t="shared" ca="1" si="23"/>
        <v/>
      </c>
      <c r="AI104" s="460" t="str">
        <f t="shared" ca="1" si="23"/>
        <v/>
      </c>
      <c r="AJ104" s="460" t="str">
        <f t="shared" ca="1" si="23"/>
        <v/>
      </c>
      <c r="AK104" s="460" t="str">
        <f t="shared" ca="1" si="23"/>
        <v/>
      </c>
      <c r="AL104" s="460" t="str">
        <f t="shared" ca="1" si="23"/>
        <v/>
      </c>
      <c r="AM104" s="460" t="str">
        <f t="shared" ca="1" si="23"/>
        <v/>
      </c>
      <c r="AN104" s="461" t="str">
        <f t="shared" ca="1" si="23"/>
        <v/>
      </c>
      <c r="AO104" s="474" t="str">
        <f t="shared" ca="1" si="23"/>
        <v/>
      </c>
      <c r="AP104" s="475" t="str">
        <f t="shared" ca="1" si="23"/>
        <v/>
      </c>
      <c r="AQ104" s="479" t="str">
        <f t="array" aca="1" ref="AQ104" ca="1">IF(ROW()-5&lt;=COUNTIF(科目编号,$AR$2),SMALL(IF(科目编号=$AR$2,ROW(科目编号),""),ROW()-5),"")</f>
        <v/>
      </c>
      <c r="AR104" s="480" t="str">
        <f ca="1">IF($BG$2=0,"",IF(AR103="本月合计","本年累计",IF(OR(ROW()=$AU$3,ROW()=$AV$3,ROW()=$AW$3,ROW()=$AX$3,ROW()=$AY$3,ROW()=$AZ$3,ROW()=$BA$3,ROW()=$BB$3,ROW()=$BC$3,ROW()=$BD$3,ROW()=$BE$3,ROW()=$BF$3),"本月合计",IF(ROW()&lt;7,$AQ$6,OFFSET($AQ$6,COUNT($AR$6:AR103),0)))))</f>
        <v/>
      </c>
    </row>
    <row r="105" spans="1:44">
      <c r="A105" s="469" t="str">
        <f ca="1">IFERROR(INDEX(凭证录入!A:A,$AR105),"")</f>
        <v/>
      </c>
      <c r="B105" s="469" t="str">
        <f ca="1">IFERROR(INDEX(凭证录入!B:B,$AR105),"")</f>
        <v/>
      </c>
      <c r="C105" s="470" t="str">
        <f ca="1">IFERROR(INDEX(凭证录入!G:G,$AR105),"")</f>
        <v/>
      </c>
      <c r="D105" s="471" t="str">
        <f ca="1">IFERROR(INDEX(凭证录入!F:F,$AR105),"")</f>
        <v/>
      </c>
      <c r="E105" s="472" t="str">
        <f ca="1">IFERROR(INDEX(凭证录入!H:H,$AR105),$AR105)</f>
        <v/>
      </c>
      <c r="F105" s="473">
        <f ca="1">IF(OR($BG$2=0,$AR105=""),,IF($AR105="本月合计",IF(ROW()=$BG$3,SUM($F$6:$F104),SUM(INDIRECT("$F$"&amp;OFFSET($AU$3,,MATCH(ROW(),$AU$3:$BF$3,)-2)+2&amp;":$E"&amp;ROW()-1))),IF($AR105="本年累计",SUMIF($AR$6:$AR105,"本月合计",$F$6:$F104),INDEX(凭证录入!K:K,$AR105))))</f>
        <v>0</v>
      </c>
      <c r="G105" s="459" t="str">
        <f t="shared" ca="1" si="24"/>
        <v/>
      </c>
      <c r="H105" s="460" t="str">
        <f t="shared" ca="1" si="24"/>
        <v/>
      </c>
      <c r="I105" s="460" t="str">
        <f t="shared" ca="1" si="24"/>
        <v/>
      </c>
      <c r="J105" s="460" t="str">
        <f t="shared" ca="1" si="24"/>
        <v/>
      </c>
      <c r="K105" s="460" t="str">
        <f t="shared" ca="1" si="24"/>
        <v/>
      </c>
      <c r="L105" s="460" t="str">
        <f t="shared" ca="1" si="24"/>
        <v/>
      </c>
      <c r="M105" s="460" t="str">
        <f t="shared" ca="1" si="24"/>
        <v/>
      </c>
      <c r="N105" s="460" t="str">
        <f t="shared" ca="1" si="24"/>
        <v/>
      </c>
      <c r="O105" s="461" t="str">
        <f t="shared" ca="1" si="24"/>
        <v/>
      </c>
      <c r="P105" s="474" t="str">
        <f t="shared" ca="1" si="24"/>
        <v/>
      </c>
      <c r="Q105" s="475" t="str">
        <f t="shared" ca="1" si="24"/>
        <v/>
      </c>
      <c r="R105" s="476">
        <f ca="1">IF(OR($BG$2=0,$AR105=""),,IF($AR105="本月合计",IF(ROW()=$BG$3,SUM($R$6:$R104),SUM(INDIRECT("$R$"&amp;OFFSET($AU$3,,MATCH(ROW(),$AU$3:$BF$3,)-2)+2&amp;":$R"&amp;ROW()-1))),IF($AR105="本年累计",SUMIF($AR$6:$AR105,"本月合计",$R$6:$R104),INDEX(凭证录入!L:L,$AR105))))</f>
        <v>0</v>
      </c>
      <c r="S105" s="459" t="str">
        <f t="shared" ca="1" si="25"/>
        <v/>
      </c>
      <c r="T105" s="460" t="str">
        <f t="shared" ca="1" si="25"/>
        <v/>
      </c>
      <c r="U105" s="460" t="str">
        <f t="shared" ca="1" si="25"/>
        <v/>
      </c>
      <c r="V105" s="460" t="str">
        <f t="shared" ca="1" si="25"/>
        <v/>
      </c>
      <c r="W105" s="460" t="str">
        <f t="shared" ca="1" si="25"/>
        <v/>
      </c>
      <c r="X105" s="460" t="str">
        <f t="shared" ca="1" si="25"/>
        <v/>
      </c>
      <c r="Y105" s="460" t="str">
        <f t="shared" ca="1" si="25"/>
        <v/>
      </c>
      <c r="Z105" s="460" t="str">
        <f t="shared" ca="1" si="25"/>
        <v/>
      </c>
      <c r="AA105" s="461" t="str">
        <f t="shared" ca="1" si="25"/>
        <v/>
      </c>
      <c r="AB105" s="474" t="str">
        <f t="shared" ca="1" si="25"/>
        <v/>
      </c>
      <c r="AC105" s="475" t="str">
        <f t="shared" ca="1" si="25"/>
        <v/>
      </c>
      <c r="AD105" s="477" t="str">
        <f t="shared" ca="1" si="18"/>
        <v/>
      </c>
      <c r="AE105" s="478">
        <f t="shared" ca="1" si="19"/>
        <v>0</v>
      </c>
      <c r="AF105" s="459" t="str">
        <f t="shared" ca="1" si="23"/>
        <v/>
      </c>
      <c r="AG105" s="460" t="str">
        <f t="shared" ca="1" si="23"/>
        <v/>
      </c>
      <c r="AH105" s="460" t="str">
        <f t="shared" ca="1" si="23"/>
        <v/>
      </c>
      <c r="AI105" s="460" t="str">
        <f t="shared" ca="1" si="23"/>
        <v/>
      </c>
      <c r="AJ105" s="460" t="str">
        <f t="shared" ca="1" si="23"/>
        <v/>
      </c>
      <c r="AK105" s="460" t="str">
        <f t="shared" ca="1" si="23"/>
        <v/>
      </c>
      <c r="AL105" s="460" t="str">
        <f t="shared" ca="1" si="23"/>
        <v/>
      </c>
      <c r="AM105" s="460" t="str">
        <f t="shared" ca="1" si="23"/>
        <v/>
      </c>
      <c r="AN105" s="461" t="str">
        <f t="shared" ca="1" si="23"/>
        <v/>
      </c>
      <c r="AO105" s="474" t="str">
        <f t="shared" ca="1" si="23"/>
        <v/>
      </c>
      <c r="AP105" s="475" t="str">
        <f t="shared" ca="1" si="23"/>
        <v/>
      </c>
      <c r="AQ105" s="479" t="str">
        <f t="array" aca="1" ref="AQ105" ca="1">IF(ROW()-5&lt;=COUNTIF(科目编号,$AR$2),SMALL(IF(科目编号=$AR$2,ROW(科目编号),""),ROW()-5),"")</f>
        <v/>
      </c>
      <c r="AR105" s="480" t="str">
        <f ca="1">IF($BG$2=0,"",IF(AR104="本月合计","本年累计",IF(OR(ROW()=$AU$3,ROW()=$AV$3,ROW()=$AW$3,ROW()=$AX$3,ROW()=$AY$3,ROW()=$AZ$3,ROW()=$BA$3,ROW()=$BB$3,ROW()=$BC$3,ROW()=$BD$3,ROW()=$BE$3,ROW()=$BF$3),"本月合计",IF(ROW()&lt;7,$AQ$6,OFFSET($AQ$6,COUNT($AR$6:AR104),0)))))</f>
        <v/>
      </c>
    </row>
    <row r="106" spans="1:44">
      <c r="A106" s="469" t="str">
        <f ca="1">IFERROR(INDEX(凭证录入!A:A,$AR106),"")</f>
        <v/>
      </c>
      <c r="B106" s="469" t="str">
        <f ca="1">IFERROR(INDEX(凭证录入!B:B,$AR106),"")</f>
        <v/>
      </c>
      <c r="C106" s="470" t="str">
        <f ca="1">IFERROR(INDEX(凭证录入!G:G,$AR106),"")</f>
        <v/>
      </c>
      <c r="D106" s="471" t="str">
        <f ca="1">IFERROR(INDEX(凭证录入!F:F,$AR106),"")</f>
        <v/>
      </c>
      <c r="E106" s="472" t="str">
        <f ca="1">IFERROR(INDEX(凭证录入!H:H,$AR106),$AR106)</f>
        <v/>
      </c>
      <c r="F106" s="473">
        <f ca="1">IF(OR($BG$2=0,$AR106=""),,IF($AR106="本月合计",IF(ROW()=$BG$3,SUM($F$6:$F105),SUM(INDIRECT("$F$"&amp;OFFSET($AU$3,,MATCH(ROW(),$AU$3:$BF$3,)-2)+2&amp;":$E"&amp;ROW()-1))),IF($AR106="本年累计",SUMIF($AR$6:$AR106,"本月合计",$F$6:$F105),INDEX(凭证录入!K:K,$AR106))))</f>
        <v>0</v>
      </c>
      <c r="G106" s="459" t="str">
        <f t="shared" ca="1" si="24"/>
        <v/>
      </c>
      <c r="H106" s="460" t="str">
        <f t="shared" ca="1" si="24"/>
        <v/>
      </c>
      <c r="I106" s="460" t="str">
        <f t="shared" ca="1" si="24"/>
        <v/>
      </c>
      <c r="J106" s="460" t="str">
        <f t="shared" ca="1" si="24"/>
        <v/>
      </c>
      <c r="K106" s="460" t="str">
        <f t="shared" ca="1" si="24"/>
        <v/>
      </c>
      <c r="L106" s="460" t="str">
        <f t="shared" ca="1" si="24"/>
        <v/>
      </c>
      <c r="M106" s="460" t="str">
        <f t="shared" ca="1" si="24"/>
        <v/>
      </c>
      <c r="N106" s="460" t="str">
        <f t="shared" ca="1" si="24"/>
        <v/>
      </c>
      <c r="O106" s="461" t="str">
        <f t="shared" ca="1" si="24"/>
        <v/>
      </c>
      <c r="P106" s="474" t="str">
        <f t="shared" ca="1" si="24"/>
        <v/>
      </c>
      <c r="Q106" s="475" t="str">
        <f t="shared" ca="1" si="24"/>
        <v/>
      </c>
      <c r="R106" s="476">
        <f ca="1">IF(OR($BG$2=0,$AR106=""),,IF($AR106="本月合计",IF(ROW()=$BG$3,SUM($R$6:$R105),SUM(INDIRECT("$R$"&amp;OFFSET($AU$3,,MATCH(ROW(),$AU$3:$BF$3,)-2)+2&amp;":$R"&amp;ROW()-1))),IF($AR106="本年累计",SUMIF($AR$6:$AR106,"本月合计",$R$6:$R105),INDEX(凭证录入!L:L,$AR106))))</f>
        <v>0</v>
      </c>
      <c r="S106" s="459" t="str">
        <f t="shared" ca="1" si="25"/>
        <v/>
      </c>
      <c r="T106" s="460" t="str">
        <f t="shared" ca="1" si="25"/>
        <v/>
      </c>
      <c r="U106" s="460" t="str">
        <f t="shared" ca="1" si="25"/>
        <v/>
      </c>
      <c r="V106" s="460" t="str">
        <f t="shared" ca="1" si="25"/>
        <v/>
      </c>
      <c r="W106" s="460" t="str">
        <f t="shared" ca="1" si="25"/>
        <v/>
      </c>
      <c r="X106" s="460" t="str">
        <f t="shared" ca="1" si="25"/>
        <v/>
      </c>
      <c r="Y106" s="460" t="str">
        <f t="shared" ca="1" si="25"/>
        <v/>
      </c>
      <c r="Z106" s="460" t="str">
        <f t="shared" ca="1" si="25"/>
        <v/>
      </c>
      <c r="AA106" s="461" t="str">
        <f t="shared" ca="1" si="25"/>
        <v/>
      </c>
      <c r="AB106" s="474" t="str">
        <f t="shared" ca="1" si="25"/>
        <v/>
      </c>
      <c r="AC106" s="475" t="str">
        <f t="shared" ca="1" si="25"/>
        <v/>
      </c>
      <c r="AD106" s="477" t="str">
        <f t="shared" ca="1" si="18"/>
        <v/>
      </c>
      <c r="AE106" s="478">
        <f t="shared" ca="1" si="19"/>
        <v>0</v>
      </c>
      <c r="AF106" s="459" t="str">
        <f t="shared" ca="1" si="23"/>
        <v/>
      </c>
      <c r="AG106" s="460" t="str">
        <f t="shared" ca="1" si="23"/>
        <v/>
      </c>
      <c r="AH106" s="460" t="str">
        <f t="shared" ca="1" si="23"/>
        <v/>
      </c>
      <c r="AI106" s="460" t="str">
        <f t="shared" ca="1" si="23"/>
        <v/>
      </c>
      <c r="AJ106" s="460" t="str">
        <f t="shared" ca="1" si="23"/>
        <v/>
      </c>
      <c r="AK106" s="460" t="str">
        <f t="shared" ca="1" si="23"/>
        <v/>
      </c>
      <c r="AL106" s="460" t="str">
        <f t="shared" ca="1" si="23"/>
        <v/>
      </c>
      <c r="AM106" s="460" t="str">
        <f t="shared" ca="1" si="23"/>
        <v/>
      </c>
      <c r="AN106" s="461" t="str">
        <f t="shared" ca="1" si="23"/>
        <v/>
      </c>
      <c r="AO106" s="474" t="str">
        <f t="shared" ca="1" si="23"/>
        <v/>
      </c>
      <c r="AP106" s="475" t="str">
        <f t="shared" ca="1" si="23"/>
        <v/>
      </c>
      <c r="AQ106" s="479" t="str">
        <f t="array" aca="1" ref="AQ106" ca="1">IF(ROW()-5&lt;=COUNTIF(科目编号,$AR$2),SMALL(IF(科目编号=$AR$2,ROW(科目编号),""),ROW()-5),"")</f>
        <v/>
      </c>
      <c r="AR106" s="480" t="str">
        <f ca="1">IF($BG$2=0,"",IF(AR105="本月合计","本年累计",IF(OR(ROW()=$AU$3,ROW()=$AV$3,ROW()=$AW$3,ROW()=$AX$3,ROW()=$AY$3,ROW()=$AZ$3,ROW()=$BA$3,ROW()=$BB$3,ROW()=$BC$3,ROW()=$BD$3,ROW()=$BE$3,ROW()=$BF$3),"本月合计",IF(ROW()&lt;7,$AQ$6,OFFSET($AQ$6,COUNT($AR$6:AR105),0)))))</f>
        <v/>
      </c>
    </row>
    <row r="107" spans="1:44">
      <c r="A107" s="469" t="str">
        <f ca="1">IFERROR(INDEX(凭证录入!A:A,$AR107),"")</f>
        <v/>
      </c>
      <c r="B107" s="469" t="str">
        <f ca="1">IFERROR(INDEX(凭证录入!B:B,$AR107),"")</f>
        <v/>
      </c>
      <c r="C107" s="470" t="str">
        <f ca="1">IFERROR(INDEX(凭证录入!G:G,$AR107),"")</f>
        <v/>
      </c>
      <c r="D107" s="471" t="str">
        <f ca="1">IFERROR(INDEX(凭证录入!F:F,$AR107),"")</f>
        <v/>
      </c>
      <c r="E107" s="472" t="str">
        <f ca="1">IFERROR(INDEX(凭证录入!H:H,$AR107),$AR107)</f>
        <v/>
      </c>
      <c r="F107" s="473">
        <f ca="1">IF(OR($BG$2=0,$AR107=""),,IF($AR107="本月合计",IF(ROW()=$BG$3,SUM($F$6:$F106),SUM(INDIRECT("$F$"&amp;OFFSET($AU$3,,MATCH(ROW(),$AU$3:$BF$3,)-2)+2&amp;":$E"&amp;ROW()-1))),IF($AR107="本年累计",SUMIF($AR$6:$AR107,"本月合计",$F$6:$F106),INDEX(凭证录入!K:K,$AR107))))</f>
        <v>0</v>
      </c>
      <c r="G107" s="459" t="str">
        <f t="shared" ca="1" si="24"/>
        <v/>
      </c>
      <c r="H107" s="460" t="str">
        <f t="shared" ca="1" si="24"/>
        <v/>
      </c>
      <c r="I107" s="460" t="str">
        <f t="shared" ca="1" si="24"/>
        <v/>
      </c>
      <c r="J107" s="460" t="str">
        <f t="shared" ca="1" si="24"/>
        <v/>
      </c>
      <c r="K107" s="460" t="str">
        <f t="shared" ca="1" si="24"/>
        <v/>
      </c>
      <c r="L107" s="460" t="str">
        <f t="shared" ca="1" si="24"/>
        <v/>
      </c>
      <c r="M107" s="460" t="str">
        <f t="shared" ca="1" si="24"/>
        <v/>
      </c>
      <c r="N107" s="460" t="str">
        <f t="shared" ca="1" si="24"/>
        <v/>
      </c>
      <c r="O107" s="461" t="str">
        <f t="shared" ca="1" si="24"/>
        <v/>
      </c>
      <c r="P107" s="474" t="str">
        <f t="shared" ca="1" si="24"/>
        <v/>
      </c>
      <c r="Q107" s="475" t="str">
        <f t="shared" ca="1" si="24"/>
        <v/>
      </c>
      <c r="R107" s="476">
        <f ca="1">IF(OR($BG$2=0,$AR107=""),,IF($AR107="本月合计",IF(ROW()=$BG$3,SUM($R$6:$R106),SUM(INDIRECT("$R$"&amp;OFFSET($AU$3,,MATCH(ROW(),$AU$3:$BF$3,)-2)+2&amp;":$R"&amp;ROW()-1))),IF($AR107="本年累计",SUMIF($AR$6:$AR107,"本月合计",$R$6:$R106),INDEX(凭证录入!L:L,$AR107))))</f>
        <v>0</v>
      </c>
      <c r="S107" s="459" t="str">
        <f t="shared" ca="1" si="25"/>
        <v/>
      </c>
      <c r="T107" s="460" t="str">
        <f t="shared" ca="1" si="25"/>
        <v/>
      </c>
      <c r="U107" s="460" t="str">
        <f t="shared" ca="1" si="25"/>
        <v/>
      </c>
      <c r="V107" s="460" t="str">
        <f t="shared" ca="1" si="25"/>
        <v/>
      </c>
      <c r="W107" s="460" t="str">
        <f t="shared" ca="1" si="25"/>
        <v/>
      </c>
      <c r="X107" s="460" t="str">
        <f t="shared" ca="1" si="25"/>
        <v/>
      </c>
      <c r="Y107" s="460" t="str">
        <f t="shared" ca="1" si="25"/>
        <v/>
      </c>
      <c r="Z107" s="460" t="str">
        <f t="shared" ca="1" si="25"/>
        <v/>
      </c>
      <c r="AA107" s="461" t="str">
        <f t="shared" ca="1" si="25"/>
        <v/>
      </c>
      <c r="AB107" s="474" t="str">
        <f t="shared" ca="1" si="25"/>
        <v/>
      </c>
      <c r="AC107" s="475" t="str">
        <f t="shared" ca="1" si="25"/>
        <v/>
      </c>
      <c r="AD107" s="477" t="str">
        <f t="shared" ca="1" si="18"/>
        <v/>
      </c>
      <c r="AE107" s="478">
        <f t="shared" ca="1" si="19"/>
        <v>0</v>
      </c>
      <c r="AF107" s="459" t="str">
        <f t="shared" ca="1" si="23"/>
        <v/>
      </c>
      <c r="AG107" s="460" t="str">
        <f t="shared" ca="1" si="23"/>
        <v/>
      </c>
      <c r="AH107" s="460" t="str">
        <f t="shared" ca="1" si="23"/>
        <v/>
      </c>
      <c r="AI107" s="460" t="str">
        <f t="shared" ca="1" si="23"/>
        <v/>
      </c>
      <c r="AJ107" s="460" t="str">
        <f t="shared" ca="1" si="23"/>
        <v/>
      </c>
      <c r="AK107" s="460" t="str">
        <f t="shared" ca="1" si="23"/>
        <v/>
      </c>
      <c r="AL107" s="460" t="str">
        <f t="shared" ca="1" si="23"/>
        <v/>
      </c>
      <c r="AM107" s="460" t="str">
        <f t="shared" ca="1" si="23"/>
        <v/>
      </c>
      <c r="AN107" s="461" t="str">
        <f t="shared" ca="1" si="23"/>
        <v/>
      </c>
      <c r="AO107" s="474" t="str">
        <f t="shared" ca="1" si="23"/>
        <v/>
      </c>
      <c r="AP107" s="475" t="str">
        <f t="shared" ca="1" si="23"/>
        <v/>
      </c>
      <c r="AQ107" s="479" t="str">
        <f t="array" aca="1" ref="AQ107" ca="1">IF(ROW()-5&lt;=COUNTIF(科目编号,$AR$2),SMALL(IF(科目编号=$AR$2,ROW(科目编号),""),ROW()-5),"")</f>
        <v/>
      </c>
      <c r="AR107" s="480" t="str">
        <f ca="1">IF($BG$2=0,"",IF(AR106="本月合计","本年累计",IF(OR(ROW()=$AU$3,ROW()=$AV$3,ROW()=$AW$3,ROW()=$AX$3,ROW()=$AY$3,ROW()=$AZ$3,ROW()=$BA$3,ROW()=$BB$3,ROW()=$BC$3,ROW()=$BD$3,ROW()=$BE$3,ROW()=$BF$3),"本月合计",IF(ROW()&lt;7,$AQ$6,OFFSET($AQ$6,COUNT($AR$6:AR106),0)))))</f>
        <v/>
      </c>
    </row>
    <row r="108" spans="1:44">
      <c r="A108" s="469" t="str">
        <f ca="1">IFERROR(INDEX(凭证录入!A:A,$AR108),"")</f>
        <v/>
      </c>
      <c r="B108" s="469" t="str">
        <f ca="1">IFERROR(INDEX(凭证录入!B:B,$AR108),"")</f>
        <v/>
      </c>
      <c r="C108" s="470" t="str">
        <f ca="1">IFERROR(INDEX(凭证录入!G:G,$AR108),"")</f>
        <v/>
      </c>
      <c r="D108" s="471" t="str">
        <f ca="1">IFERROR(INDEX(凭证录入!F:F,$AR108),"")</f>
        <v/>
      </c>
      <c r="E108" s="472" t="str">
        <f ca="1">IFERROR(INDEX(凭证录入!H:H,$AR108),$AR108)</f>
        <v/>
      </c>
      <c r="F108" s="473">
        <f ca="1">IF(OR($BG$2=0,$AR108=""),,IF($AR108="本月合计",IF(ROW()=$BG$3,SUM($F$6:$F107),SUM(INDIRECT("$F$"&amp;OFFSET($AU$3,,MATCH(ROW(),$AU$3:$BF$3,)-2)+2&amp;":$E"&amp;ROW()-1))),IF($AR108="本年累计",SUMIF($AR$6:$AR108,"本月合计",$F$6:$F107),INDEX(凭证录入!K:K,$AR108))))</f>
        <v>0</v>
      </c>
      <c r="G108" s="459" t="str">
        <f t="shared" ca="1" si="24"/>
        <v/>
      </c>
      <c r="H108" s="460" t="str">
        <f t="shared" ca="1" si="24"/>
        <v/>
      </c>
      <c r="I108" s="460" t="str">
        <f t="shared" ca="1" si="24"/>
        <v/>
      </c>
      <c r="J108" s="460" t="str">
        <f t="shared" ca="1" si="24"/>
        <v/>
      </c>
      <c r="K108" s="460" t="str">
        <f t="shared" ca="1" si="24"/>
        <v/>
      </c>
      <c r="L108" s="460" t="str">
        <f t="shared" ca="1" si="24"/>
        <v/>
      </c>
      <c r="M108" s="460" t="str">
        <f t="shared" ca="1" si="24"/>
        <v/>
      </c>
      <c r="N108" s="460" t="str">
        <f t="shared" ca="1" si="24"/>
        <v/>
      </c>
      <c r="O108" s="461" t="str">
        <f t="shared" ca="1" si="24"/>
        <v/>
      </c>
      <c r="P108" s="474" t="str">
        <f t="shared" ca="1" si="24"/>
        <v/>
      </c>
      <c r="Q108" s="475" t="str">
        <f t="shared" ca="1" si="24"/>
        <v/>
      </c>
      <c r="R108" s="476">
        <f ca="1">IF(OR($BG$2=0,$AR108=""),,IF($AR108="本月合计",IF(ROW()=$BG$3,SUM($R$6:$R107),SUM(INDIRECT("$R$"&amp;OFFSET($AU$3,,MATCH(ROW(),$AU$3:$BF$3,)-2)+2&amp;":$R"&amp;ROW()-1))),IF($AR108="本年累计",SUMIF($AR$6:$AR108,"本月合计",$R$6:$R107),INDEX(凭证录入!L:L,$AR108))))</f>
        <v>0</v>
      </c>
      <c r="S108" s="459" t="str">
        <f t="shared" ca="1" si="25"/>
        <v/>
      </c>
      <c r="T108" s="460" t="str">
        <f t="shared" ca="1" si="25"/>
        <v/>
      </c>
      <c r="U108" s="460" t="str">
        <f t="shared" ca="1" si="25"/>
        <v/>
      </c>
      <c r="V108" s="460" t="str">
        <f t="shared" ca="1" si="25"/>
        <v/>
      </c>
      <c r="W108" s="460" t="str">
        <f t="shared" ca="1" si="25"/>
        <v/>
      </c>
      <c r="X108" s="460" t="str">
        <f t="shared" ca="1" si="25"/>
        <v/>
      </c>
      <c r="Y108" s="460" t="str">
        <f t="shared" ca="1" si="25"/>
        <v/>
      </c>
      <c r="Z108" s="460" t="str">
        <f t="shared" ca="1" si="25"/>
        <v/>
      </c>
      <c r="AA108" s="461" t="str">
        <f t="shared" ca="1" si="25"/>
        <v/>
      </c>
      <c r="AB108" s="474" t="str">
        <f t="shared" ca="1" si="25"/>
        <v/>
      </c>
      <c r="AC108" s="475" t="str">
        <f t="shared" ca="1" si="25"/>
        <v/>
      </c>
      <c r="AD108" s="477" t="str">
        <f t="shared" ca="1" si="18"/>
        <v/>
      </c>
      <c r="AE108" s="478">
        <f t="shared" ca="1" si="19"/>
        <v>0</v>
      </c>
      <c r="AF108" s="459" t="str">
        <f t="shared" ca="1" si="23"/>
        <v/>
      </c>
      <c r="AG108" s="460" t="str">
        <f t="shared" ca="1" si="23"/>
        <v/>
      </c>
      <c r="AH108" s="460" t="str">
        <f t="shared" ca="1" si="23"/>
        <v/>
      </c>
      <c r="AI108" s="460" t="str">
        <f t="shared" ca="1" si="23"/>
        <v/>
      </c>
      <c r="AJ108" s="460" t="str">
        <f t="shared" ca="1" si="23"/>
        <v/>
      </c>
      <c r="AK108" s="460" t="str">
        <f t="shared" ca="1" si="23"/>
        <v/>
      </c>
      <c r="AL108" s="460" t="str">
        <f t="shared" ca="1" si="23"/>
        <v/>
      </c>
      <c r="AM108" s="460" t="str">
        <f t="shared" ca="1" si="23"/>
        <v/>
      </c>
      <c r="AN108" s="461" t="str">
        <f t="shared" ca="1" si="23"/>
        <v/>
      </c>
      <c r="AO108" s="474" t="str">
        <f t="shared" ca="1" si="23"/>
        <v/>
      </c>
      <c r="AP108" s="475" t="str">
        <f t="shared" ca="1" si="23"/>
        <v/>
      </c>
      <c r="AQ108" s="479" t="str">
        <f t="array" aca="1" ref="AQ108" ca="1">IF(ROW()-5&lt;=COUNTIF(科目编号,$AR$2),SMALL(IF(科目编号=$AR$2,ROW(科目编号),""),ROW()-5),"")</f>
        <v/>
      </c>
      <c r="AR108" s="480" t="str">
        <f ca="1">IF($BG$2=0,"",IF(AR107="本月合计","本年累计",IF(OR(ROW()=$AU$3,ROW()=$AV$3,ROW()=$AW$3,ROW()=$AX$3,ROW()=$AY$3,ROW()=$AZ$3,ROW()=$BA$3,ROW()=$BB$3,ROW()=$BC$3,ROW()=$BD$3,ROW()=$BE$3,ROW()=$BF$3),"本月合计",IF(ROW()&lt;7,$AQ$6,OFFSET($AQ$6,COUNT($AR$6:AR107),0)))))</f>
        <v/>
      </c>
    </row>
    <row r="109" spans="1:44">
      <c r="A109" s="469" t="str">
        <f ca="1">IFERROR(INDEX(凭证录入!A:A,$AR109),"")</f>
        <v/>
      </c>
      <c r="B109" s="469" t="str">
        <f ca="1">IFERROR(INDEX(凭证录入!B:B,$AR109),"")</f>
        <v/>
      </c>
      <c r="C109" s="470" t="str">
        <f ca="1">IFERROR(INDEX(凭证录入!G:G,$AR109),"")</f>
        <v/>
      </c>
      <c r="D109" s="471" t="str">
        <f ca="1">IFERROR(INDEX(凭证录入!F:F,$AR109),"")</f>
        <v/>
      </c>
      <c r="E109" s="472" t="str">
        <f ca="1">IFERROR(INDEX(凭证录入!H:H,$AR109),$AR109)</f>
        <v/>
      </c>
      <c r="F109" s="473">
        <f ca="1">IF(OR($BG$2=0,$AR109=""),,IF($AR109="本月合计",IF(ROW()=$BG$3,SUM($F$6:$F108),SUM(INDIRECT("$F$"&amp;OFFSET($AU$3,,MATCH(ROW(),$AU$3:$BF$3,)-2)+2&amp;":$E"&amp;ROW()-1))),IF($AR109="本年累计",SUMIF($AR$6:$AR109,"本月合计",$F$6:$F108),INDEX(凭证录入!K:K,$AR109))))</f>
        <v>0</v>
      </c>
      <c r="G109" s="459" t="str">
        <f t="shared" ca="1" si="24"/>
        <v/>
      </c>
      <c r="H109" s="460" t="str">
        <f t="shared" ca="1" si="24"/>
        <v/>
      </c>
      <c r="I109" s="460" t="str">
        <f t="shared" ca="1" si="24"/>
        <v/>
      </c>
      <c r="J109" s="460" t="str">
        <f t="shared" ca="1" si="24"/>
        <v/>
      </c>
      <c r="K109" s="460" t="str">
        <f t="shared" ca="1" si="24"/>
        <v/>
      </c>
      <c r="L109" s="460" t="str">
        <f t="shared" ca="1" si="24"/>
        <v/>
      </c>
      <c r="M109" s="460" t="str">
        <f t="shared" ca="1" si="24"/>
        <v/>
      </c>
      <c r="N109" s="460" t="str">
        <f t="shared" ca="1" si="24"/>
        <v/>
      </c>
      <c r="O109" s="461" t="str">
        <f t="shared" ca="1" si="24"/>
        <v/>
      </c>
      <c r="P109" s="474" t="str">
        <f t="shared" ca="1" si="24"/>
        <v/>
      </c>
      <c r="Q109" s="475" t="str">
        <f t="shared" ca="1" si="24"/>
        <v/>
      </c>
      <c r="R109" s="476">
        <f ca="1">IF(OR($BG$2=0,$AR109=""),,IF($AR109="本月合计",IF(ROW()=$BG$3,SUM($R$6:$R108),SUM(INDIRECT("$R$"&amp;OFFSET($AU$3,,MATCH(ROW(),$AU$3:$BF$3,)-2)+2&amp;":$R"&amp;ROW()-1))),IF($AR109="本年累计",SUMIF($AR$6:$AR109,"本月合计",$R$6:$R108),INDEX(凭证录入!L:L,$AR109))))</f>
        <v>0</v>
      </c>
      <c r="S109" s="459" t="str">
        <f t="shared" ca="1" si="25"/>
        <v/>
      </c>
      <c r="T109" s="460" t="str">
        <f t="shared" ca="1" si="25"/>
        <v/>
      </c>
      <c r="U109" s="460" t="str">
        <f t="shared" ca="1" si="25"/>
        <v/>
      </c>
      <c r="V109" s="460" t="str">
        <f t="shared" ca="1" si="25"/>
        <v/>
      </c>
      <c r="W109" s="460" t="str">
        <f t="shared" ca="1" si="25"/>
        <v/>
      </c>
      <c r="X109" s="460" t="str">
        <f t="shared" ca="1" si="25"/>
        <v/>
      </c>
      <c r="Y109" s="460" t="str">
        <f t="shared" ca="1" si="25"/>
        <v/>
      </c>
      <c r="Z109" s="460" t="str">
        <f t="shared" ca="1" si="25"/>
        <v/>
      </c>
      <c r="AA109" s="461" t="str">
        <f t="shared" ca="1" si="25"/>
        <v/>
      </c>
      <c r="AB109" s="474" t="str">
        <f t="shared" ca="1" si="25"/>
        <v/>
      </c>
      <c r="AC109" s="475" t="str">
        <f t="shared" ca="1" si="25"/>
        <v/>
      </c>
      <c r="AD109" s="477" t="str">
        <f t="shared" ca="1" si="18"/>
        <v/>
      </c>
      <c r="AE109" s="478">
        <f t="shared" ca="1" si="19"/>
        <v>0</v>
      </c>
      <c r="AF109" s="459" t="str">
        <f t="shared" ca="1" si="23"/>
        <v/>
      </c>
      <c r="AG109" s="460" t="str">
        <f t="shared" ca="1" si="23"/>
        <v/>
      </c>
      <c r="AH109" s="460" t="str">
        <f t="shared" ca="1" si="23"/>
        <v/>
      </c>
      <c r="AI109" s="460" t="str">
        <f t="shared" ca="1" si="23"/>
        <v/>
      </c>
      <c r="AJ109" s="460" t="str">
        <f t="shared" ca="1" si="23"/>
        <v/>
      </c>
      <c r="AK109" s="460" t="str">
        <f t="shared" ca="1" si="23"/>
        <v/>
      </c>
      <c r="AL109" s="460" t="str">
        <f t="shared" ca="1" si="23"/>
        <v/>
      </c>
      <c r="AM109" s="460" t="str">
        <f t="shared" ca="1" si="23"/>
        <v/>
      </c>
      <c r="AN109" s="461" t="str">
        <f t="shared" ca="1" si="23"/>
        <v/>
      </c>
      <c r="AO109" s="474" t="str">
        <f t="shared" ca="1" si="23"/>
        <v/>
      </c>
      <c r="AP109" s="475" t="str">
        <f t="shared" ca="1" si="23"/>
        <v/>
      </c>
      <c r="AQ109" s="479" t="str">
        <f t="array" aca="1" ref="AQ109" ca="1">IF(ROW()-5&lt;=COUNTIF(科目编号,$AR$2),SMALL(IF(科目编号=$AR$2,ROW(科目编号),""),ROW()-5),"")</f>
        <v/>
      </c>
      <c r="AR109" s="480" t="str">
        <f ca="1">IF($BG$2=0,"",IF(AR108="本月合计","本年累计",IF(OR(ROW()=$AU$3,ROW()=$AV$3,ROW()=$AW$3,ROW()=$AX$3,ROW()=$AY$3,ROW()=$AZ$3,ROW()=$BA$3,ROW()=$BB$3,ROW()=$BC$3,ROW()=$BD$3,ROW()=$BE$3,ROW()=$BF$3),"本月合计",IF(ROW()&lt;7,$AQ$6,OFFSET($AQ$6,COUNT($AR$6:AR108),0)))))</f>
        <v/>
      </c>
    </row>
    <row r="110" spans="1:44">
      <c r="A110" s="469" t="str">
        <f ca="1">IFERROR(INDEX(凭证录入!A:A,$AR110),"")</f>
        <v/>
      </c>
      <c r="B110" s="469" t="str">
        <f ca="1">IFERROR(INDEX(凭证录入!B:B,$AR110),"")</f>
        <v/>
      </c>
      <c r="C110" s="470" t="str">
        <f ca="1">IFERROR(INDEX(凭证录入!G:G,$AR110),"")</f>
        <v/>
      </c>
      <c r="D110" s="471" t="str">
        <f ca="1">IFERROR(INDEX(凭证录入!F:F,$AR110),"")</f>
        <v/>
      </c>
      <c r="E110" s="472" t="str">
        <f ca="1">IFERROR(INDEX(凭证录入!H:H,$AR110),$AR110)</f>
        <v/>
      </c>
      <c r="F110" s="473">
        <f ca="1">IF(OR($BG$2=0,$AR110=""),,IF($AR110="本月合计",IF(ROW()=$BG$3,SUM($F$6:$F109),SUM(INDIRECT("$F$"&amp;OFFSET($AU$3,,MATCH(ROW(),$AU$3:$BF$3,)-2)+2&amp;":$E"&amp;ROW()-1))),IF($AR110="本年累计",SUMIF($AR$6:$AR110,"本月合计",$F$6:$F109),INDEX(凭证录入!K:K,$AR110))))</f>
        <v>0</v>
      </c>
      <c r="G110" s="459" t="str">
        <f t="shared" ca="1" si="24"/>
        <v/>
      </c>
      <c r="H110" s="460" t="str">
        <f t="shared" ca="1" si="24"/>
        <v/>
      </c>
      <c r="I110" s="460" t="str">
        <f t="shared" ca="1" si="24"/>
        <v/>
      </c>
      <c r="J110" s="460" t="str">
        <f t="shared" ca="1" si="24"/>
        <v/>
      </c>
      <c r="K110" s="460" t="str">
        <f t="shared" ca="1" si="24"/>
        <v/>
      </c>
      <c r="L110" s="460" t="str">
        <f t="shared" ca="1" si="24"/>
        <v/>
      </c>
      <c r="M110" s="460" t="str">
        <f t="shared" ca="1" si="24"/>
        <v/>
      </c>
      <c r="N110" s="460" t="str">
        <f t="shared" ca="1" si="24"/>
        <v/>
      </c>
      <c r="O110" s="461" t="str">
        <f t="shared" ca="1" si="24"/>
        <v/>
      </c>
      <c r="P110" s="474" t="str">
        <f t="shared" ca="1" si="24"/>
        <v/>
      </c>
      <c r="Q110" s="475" t="str">
        <f t="shared" ca="1" si="24"/>
        <v/>
      </c>
      <c r="R110" s="476">
        <f ca="1">IF(OR($BG$2=0,$AR110=""),,IF($AR110="本月合计",IF(ROW()=$BG$3,SUM($R$6:$R109),SUM(INDIRECT("$R$"&amp;OFFSET($AU$3,,MATCH(ROW(),$AU$3:$BF$3,)-2)+2&amp;":$R"&amp;ROW()-1))),IF($AR110="本年累计",SUMIF($AR$6:$AR110,"本月合计",$R$6:$R109),INDEX(凭证录入!L:L,$AR110))))</f>
        <v>0</v>
      </c>
      <c r="S110" s="459" t="str">
        <f t="shared" ca="1" si="25"/>
        <v/>
      </c>
      <c r="T110" s="460" t="str">
        <f t="shared" ca="1" si="25"/>
        <v/>
      </c>
      <c r="U110" s="460" t="str">
        <f t="shared" ca="1" si="25"/>
        <v/>
      </c>
      <c r="V110" s="460" t="str">
        <f t="shared" ca="1" si="25"/>
        <v/>
      </c>
      <c r="W110" s="460" t="str">
        <f t="shared" ca="1" si="25"/>
        <v/>
      </c>
      <c r="X110" s="460" t="str">
        <f t="shared" ca="1" si="25"/>
        <v/>
      </c>
      <c r="Y110" s="460" t="str">
        <f t="shared" ca="1" si="25"/>
        <v/>
      </c>
      <c r="Z110" s="460" t="str">
        <f t="shared" ca="1" si="25"/>
        <v/>
      </c>
      <c r="AA110" s="461" t="str">
        <f t="shared" ca="1" si="25"/>
        <v/>
      </c>
      <c r="AB110" s="474" t="str">
        <f t="shared" ca="1" si="25"/>
        <v/>
      </c>
      <c r="AC110" s="475" t="str">
        <f t="shared" ca="1" si="25"/>
        <v/>
      </c>
      <c r="AD110" s="477" t="str">
        <f t="shared" ca="1" si="18"/>
        <v/>
      </c>
      <c r="AE110" s="478">
        <f t="shared" ca="1" si="19"/>
        <v>0</v>
      </c>
      <c r="AF110" s="459" t="str">
        <f t="shared" ca="1" si="23"/>
        <v/>
      </c>
      <c r="AG110" s="460" t="str">
        <f t="shared" ca="1" si="23"/>
        <v/>
      </c>
      <c r="AH110" s="460" t="str">
        <f t="shared" ca="1" si="23"/>
        <v/>
      </c>
      <c r="AI110" s="460" t="str">
        <f t="shared" ca="1" si="23"/>
        <v/>
      </c>
      <c r="AJ110" s="460" t="str">
        <f t="shared" ca="1" si="23"/>
        <v/>
      </c>
      <c r="AK110" s="460" t="str">
        <f t="shared" ca="1" si="23"/>
        <v/>
      </c>
      <c r="AL110" s="460" t="str">
        <f t="shared" ca="1" si="23"/>
        <v/>
      </c>
      <c r="AM110" s="460" t="str">
        <f t="shared" ca="1" si="23"/>
        <v/>
      </c>
      <c r="AN110" s="461" t="str">
        <f t="shared" ca="1" si="23"/>
        <v/>
      </c>
      <c r="AO110" s="474" t="str">
        <f t="shared" ca="1" si="23"/>
        <v/>
      </c>
      <c r="AP110" s="475" t="str">
        <f t="shared" ca="1" si="23"/>
        <v/>
      </c>
      <c r="AQ110" s="479" t="str">
        <f t="array" aca="1" ref="AQ110" ca="1">IF(ROW()-5&lt;=COUNTIF(科目编号,$AR$2),SMALL(IF(科目编号=$AR$2,ROW(科目编号),""),ROW()-5),"")</f>
        <v/>
      </c>
      <c r="AR110" s="480" t="str">
        <f ca="1">IF($BG$2=0,"",IF(AR109="本月合计","本年累计",IF(OR(ROW()=$AU$3,ROW()=$AV$3,ROW()=$AW$3,ROW()=$AX$3,ROW()=$AY$3,ROW()=$AZ$3,ROW()=$BA$3,ROW()=$BB$3,ROW()=$BC$3,ROW()=$BD$3,ROW()=$BE$3,ROW()=$BF$3),"本月合计",IF(ROW()&lt;7,$AQ$6,OFFSET($AQ$6,COUNT($AR$6:AR109),0)))))</f>
        <v/>
      </c>
    </row>
    <row r="111" spans="1:44">
      <c r="A111" s="469" t="str">
        <f ca="1">IFERROR(INDEX(凭证录入!A:A,$AR111),"")</f>
        <v/>
      </c>
      <c r="B111" s="469" t="str">
        <f ca="1">IFERROR(INDEX(凭证录入!B:B,$AR111),"")</f>
        <v/>
      </c>
      <c r="C111" s="470" t="str">
        <f ca="1">IFERROR(INDEX(凭证录入!G:G,$AR111),"")</f>
        <v/>
      </c>
      <c r="D111" s="471" t="str">
        <f ca="1">IFERROR(INDEX(凭证录入!F:F,$AR111),"")</f>
        <v/>
      </c>
      <c r="E111" s="472" t="str">
        <f ca="1">IFERROR(INDEX(凭证录入!H:H,$AR111),$AR111)</f>
        <v/>
      </c>
      <c r="F111" s="473">
        <f ca="1">IF(OR($BG$2=0,$AR111=""),,IF($AR111="本月合计",IF(ROW()=$BG$3,SUM($F$6:$F110),SUM(INDIRECT("$F$"&amp;OFFSET($AU$3,,MATCH(ROW(),$AU$3:$BF$3,)-2)+2&amp;":$E"&amp;ROW()-1))),IF($AR111="本年累计",SUMIF($AR$6:$AR111,"本月合计",$F$6:$F110),INDEX(凭证录入!K:K,$AR111))))</f>
        <v>0</v>
      </c>
      <c r="G111" s="459" t="str">
        <f t="shared" ca="1" si="24"/>
        <v/>
      </c>
      <c r="H111" s="460" t="str">
        <f t="shared" ca="1" si="24"/>
        <v/>
      </c>
      <c r="I111" s="460" t="str">
        <f t="shared" ca="1" si="24"/>
        <v/>
      </c>
      <c r="J111" s="460" t="str">
        <f t="shared" ca="1" si="24"/>
        <v/>
      </c>
      <c r="K111" s="460" t="str">
        <f t="shared" ca="1" si="24"/>
        <v/>
      </c>
      <c r="L111" s="460" t="str">
        <f t="shared" ca="1" si="24"/>
        <v/>
      </c>
      <c r="M111" s="460" t="str">
        <f t="shared" ca="1" si="24"/>
        <v/>
      </c>
      <c r="N111" s="460" t="str">
        <f t="shared" ca="1" si="24"/>
        <v/>
      </c>
      <c r="O111" s="461" t="str">
        <f t="shared" ca="1" si="24"/>
        <v/>
      </c>
      <c r="P111" s="474" t="str">
        <f t="shared" ca="1" si="24"/>
        <v/>
      </c>
      <c r="Q111" s="475" t="str">
        <f t="shared" ca="1" si="24"/>
        <v/>
      </c>
      <c r="R111" s="476">
        <f ca="1">IF(OR($BG$2=0,$AR111=""),,IF($AR111="本月合计",IF(ROW()=$BG$3,SUM($R$6:$R110),SUM(INDIRECT("$R$"&amp;OFFSET($AU$3,,MATCH(ROW(),$AU$3:$BF$3,)-2)+2&amp;":$R"&amp;ROW()-1))),IF($AR111="本年累计",SUMIF($AR$6:$AR111,"本月合计",$R$6:$R110),INDEX(凭证录入!L:L,$AR111))))</f>
        <v>0</v>
      </c>
      <c r="S111" s="459" t="str">
        <f t="shared" ca="1" si="25"/>
        <v/>
      </c>
      <c r="T111" s="460" t="str">
        <f t="shared" ca="1" si="25"/>
        <v/>
      </c>
      <c r="U111" s="460" t="str">
        <f t="shared" ca="1" si="25"/>
        <v/>
      </c>
      <c r="V111" s="460" t="str">
        <f t="shared" ca="1" si="25"/>
        <v/>
      </c>
      <c r="W111" s="460" t="str">
        <f t="shared" ca="1" si="25"/>
        <v/>
      </c>
      <c r="X111" s="460" t="str">
        <f t="shared" ca="1" si="25"/>
        <v/>
      </c>
      <c r="Y111" s="460" t="str">
        <f t="shared" ca="1" si="25"/>
        <v/>
      </c>
      <c r="Z111" s="460" t="str">
        <f t="shared" ca="1" si="25"/>
        <v/>
      </c>
      <c r="AA111" s="461" t="str">
        <f t="shared" ca="1" si="25"/>
        <v/>
      </c>
      <c r="AB111" s="474" t="str">
        <f t="shared" ca="1" si="25"/>
        <v/>
      </c>
      <c r="AC111" s="475" t="str">
        <f t="shared" ca="1" si="25"/>
        <v/>
      </c>
      <c r="AD111" s="477" t="str">
        <f t="shared" ca="1" si="18"/>
        <v/>
      </c>
      <c r="AE111" s="478">
        <f t="shared" ca="1" si="19"/>
        <v>0</v>
      </c>
      <c r="AF111" s="459" t="str">
        <f t="shared" ca="1" si="23"/>
        <v/>
      </c>
      <c r="AG111" s="460" t="str">
        <f t="shared" ca="1" si="23"/>
        <v/>
      </c>
      <c r="AH111" s="460" t="str">
        <f t="shared" ca="1" si="23"/>
        <v/>
      </c>
      <c r="AI111" s="460" t="str">
        <f t="shared" ca="1" si="23"/>
        <v/>
      </c>
      <c r="AJ111" s="460" t="str">
        <f t="shared" ca="1" si="23"/>
        <v/>
      </c>
      <c r="AK111" s="460" t="str">
        <f t="shared" ca="1" si="23"/>
        <v/>
      </c>
      <c r="AL111" s="460" t="str">
        <f t="shared" ca="1" si="23"/>
        <v/>
      </c>
      <c r="AM111" s="460" t="str">
        <f t="shared" ca="1" si="23"/>
        <v/>
      </c>
      <c r="AN111" s="461" t="str">
        <f t="shared" ca="1" si="23"/>
        <v/>
      </c>
      <c r="AO111" s="474" t="str">
        <f t="shared" ca="1" si="23"/>
        <v/>
      </c>
      <c r="AP111" s="475" t="str">
        <f t="shared" ca="1" si="23"/>
        <v/>
      </c>
      <c r="AQ111" s="479" t="str">
        <f t="array" aca="1" ref="AQ111" ca="1">IF(ROW()-5&lt;=COUNTIF(科目编号,$AR$2),SMALL(IF(科目编号=$AR$2,ROW(科目编号),""),ROW()-5),"")</f>
        <v/>
      </c>
      <c r="AR111" s="480" t="str">
        <f ca="1">IF($BG$2=0,"",IF(AR110="本月合计","本年累计",IF(OR(ROW()=$AU$3,ROW()=$AV$3,ROW()=$AW$3,ROW()=$AX$3,ROW()=$AY$3,ROW()=$AZ$3,ROW()=$BA$3,ROW()=$BB$3,ROW()=$BC$3,ROW()=$BD$3,ROW()=$BE$3,ROW()=$BF$3),"本月合计",IF(ROW()&lt;7,$AQ$6,OFFSET($AQ$6,COUNT($AR$6:AR110),0)))))</f>
        <v/>
      </c>
    </row>
    <row r="112" spans="1:44">
      <c r="A112" s="469" t="str">
        <f ca="1">IFERROR(INDEX(凭证录入!A:A,$AR112),"")</f>
        <v/>
      </c>
      <c r="B112" s="469" t="str">
        <f ca="1">IFERROR(INDEX(凭证录入!B:B,$AR112),"")</f>
        <v/>
      </c>
      <c r="C112" s="470" t="str">
        <f ca="1">IFERROR(INDEX(凭证录入!G:G,$AR112),"")</f>
        <v/>
      </c>
      <c r="D112" s="471" t="str">
        <f ca="1">IFERROR(INDEX(凭证录入!F:F,$AR112),"")</f>
        <v/>
      </c>
      <c r="E112" s="472" t="str">
        <f ca="1">IFERROR(INDEX(凭证录入!H:H,$AR112),$AR112)</f>
        <v/>
      </c>
      <c r="F112" s="473">
        <f ca="1">IF(OR($BG$2=0,$AR112=""),,IF($AR112="本月合计",IF(ROW()=$BG$3,SUM($F$6:$F111),SUM(INDIRECT("$F$"&amp;OFFSET($AU$3,,MATCH(ROW(),$AU$3:$BF$3,)-2)+2&amp;":$E"&amp;ROW()-1))),IF($AR112="本年累计",SUMIF($AR$6:$AR112,"本月合计",$F$6:$F111),INDEX(凭证录入!K:K,$AR112))))</f>
        <v>0</v>
      </c>
      <c r="G112" s="459" t="str">
        <f t="shared" ca="1" si="24"/>
        <v/>
      </c>
      <c r="H112" s="460" t="str">
        <f t="shared" ca="1" si="24"/>
        <v/>
      </c>
      <c r="I112" s="460" t="str">
        <f t="shared" ca="1" si="24"/>
        <v/>
      </c>
      <c r="J112" s="460" t="str">
        <f t="shared" ca="1" si="24"/>
        <v/>
      </c>
      <c r="K112" s="460" t="str">
        <f t="shared" ca="1" si="24"/>
        <v/>
      </c>
      <c r="L112" s="460" t="str">
        <f t="shared" ca="1" si="24"/>
        <v/>
      </c>
      <c r="M112" s="460" t="str">
        <f t="shared" ca="1" si="24"/>
        <v/>
      </c>
      <c r="N112" s="460" t="str">
        <f t="shared" ca="1" si="24"/>
        <v/>
      </c>
      <c r="O112" s="461" t="str">
        <f t="shared" ca="1" si="24"/>
        <v/>
      </c>
      <c r="P112" s="474" t="str">
        <f t="shared" ca="1" si="24"/>
        <v/>
      </c>
      <c r="Q112" s="475" t="str">
        <f t="shared" ca="1" si="24"/>
        <v/>
      </c>
      <c r="R112" s="476">
        <f ca="1">IF(OR($BG$2=0,$AR112=""),,IF($AR112="本月合计",IF(ROW()=$BG$3,SUM($R$6:$R111),SUM(INDIRECT("$R$"&amp;OFFSET($AU$3,,MATCH(ROW(),$AU$3:$BF$3,)-2)+2&amp;":$R"&amp;ROW()-1))),IF($AR112="本年累计",SUMIF($AR$6:$AR112,"本月合计",$R$6:$R111),INDEX(凭证录入!L:L,$AR112))))</f>
        <v>0</v>
      </c>
      <c r="S112" s="459" t="str">
        <f t="shared" ca="1" si="25"/>
        <v/>
      </c>
      <c r="T112" s="460" t="str">
        <f t="shared" ca="1" si="25"/>
        <v/>
      </c>
      <c r="U112" s="460" t="str">
        <f t="shared" ca="1" si="25"/>
        <v/>
      </c>
      <c r="V112" s="460" t="str">
        <f t="shared" ca="1" si="25"/>
        <v/>
      </c>
      <c r="W112" s="460" t="str">
        <f t="shared" ca="1" si="25"/>
        <v/>
      </c>
      <c r="X112" s="460" t="str">
        <f t="shared" ca="1" si="25"/>
        <v/>
      </c>
      <c r="Y112" s="460" t="str">
        <f t="shared" ca="1" si="25"/>
        <v/>
      </c>
      <c r="Z112" s="460" t="str">
        <f t="shared" ca="1" si="25"/>
        <v/>
      </c>
      <c r="AA112" s="461" t="str">
        <f t="shared" ca="1" si="25"/>
        <v/>
      </c>
      <c r="AB112" s="474" t="str">
        <f t="shared" ca="1" si="25"/>
        <v/>
      </c>
      <c r="AC112" s="475" t="str">
        <f t="shared" ca="1" si="25"/>
        <v/>
      </c>
      <c r="AD112" s="477" t="str">
        <f t="shared" ca="1" si="18"/>
        <v/>
      </c>
      <c r="AE112" s="478">
        <f t="shared" ca="1" si="19"/>
        <v>0</v>
      </c>
      <c r="AF112" s="459" t="str">
        <f t="shared" ca="1" si="23"/>
        <v/>
      </c>
      <c r="AG112" s="460" t="str">
        <f t="shared" ca="1" si="23"/>
        <v/>
      </c>
      <c r="AH112" s="460" t="str">
        <f t="shared" ca="1" si="23"/>
        <v/>
      </c>
      <c r="AI112" s="460" t="str">
        <f t="shared" ca="1" si="23"/>
        <v/>
      </c>
      <c r="AJ112" s="460" t="str">
        <f t="shared" ca="1" si="23"/>
        <v/>
      </c>
      <c r="AK112" s="460" t="str">
        <f t="shared" ca="1" si="23"/>
        <v/>
      </c>
      <c r="AL112" s="460" t="str">
        <f t="shared" ca="1" si="23"/>
        <v/>
      </c>
      <c r="AM112" s="460" t="str">
        <f t="shared" ca="1" si="23"/>
        <v/>
      </c>
      <c r="AN112" s="461" t="str">
        <f t="shared" ca="1" si="23"/>
        <v/>
      </c>
      <c r="AO112" s="474" t="str">
        <f t="shared" ca="1" si="23"/>
        <v/>
      </c>
      <c r="AP112" s="475" t="str">
        <f t="shared" ca="1" si="23"/>
        <v/>
      </c>
      <c r="AQ112" s="479" t="str">
        <f t="array" aca="1" ref="AQ112" ca="1">IF(ROW()-5&lt;=COUNTIF(科目编号,$AR$2),SMALL(IF(科目编号=$AR$2,ROW(科目编号),""),ROW()-5),"")</f>
        <v/>
      </c>
      <c r="AR112" s="480" t="str">
        <f ca="1">IF($BG$2=0,"",IF(AR111="本月合计","本年累计",IF(OR(ROW()=$AU$3,ROW()=$AV$3,ROW()=$AW$3,ROW()=$AX$3,ROW()=$AY$3,ROW()=$AZ$3,ROW()=$BA$3,ROW()=$BB$3,ROW()=$BC$3,ROW()=$BD$3,ROW()=$BE$3,ROW()=$BF$3),"本月合计",IF(ROW()&lt;7,$AQ$6,OFFSET($AQ$6,COUNT($AR$6:AR111),0)))))</f>
        <v/>
      </c>
    </row>
    <row r="113" spans="1:44">
      <c r="A113" s="469" t="str">
        <f ca="1">IFERROR(INDEX(凭证录入!A:A,$AR113),"")</f>
        <v/>
      </c>
      <c r="B113" s="469" t="str">
        <f ca="1">IFERROR(INDEX(凭证录入!B:B,$AR113),"")</f>
        <v/>
      </c>
      <c r="C113" s="470" t="str">
        <f ca="1">IFERROR(INDEX(凭证录入!G:G,$AR113),"")</f>
        <v/>
      </c>
      <c r="D113" s="471" t="str">
        <f ca="1">IFERROR(INDEX(凭证录入!F:F,$AR113),"")</f>
        <v/>
      </c>
      <c r="E113" s="472" t="str">
        <f ca="1">IFERROR(INDEX(凭证录入!H:H,$AR113),$AR113)</f>
        <v/>
      </c>
      <c r="F113" s="473">
        <f ca="1">IF(OR($BG$2=0,$AR113=""),,IF($AR113="本月合计",IF(ROW()=$BG$3,SUM($F$6:$F112),SUM(INDIRECT("$F$"&amp;OFFSET($AU$3,,MATCH(ROW(),$AU$3:$BF$3,)-2)+2&amp;":$E"&amp;ROW()-1))),IF($AR113="本年累计",SUMIF($AR$6:$AR113,"本月合计",$F$6:$F112),INDEX(凭证录入!K:K,$AR113))))</f>
        <v>0</v>
      </c>
      <c r="G113" s="459" t="str">
        <f t="shared" ca="1" si="24"/>
        <v/>
      </c>
      <c r="H113" s="460" t="str">
        <f t="shared" ca="1" si="24"/>
        <v/>
      </c>
      <c r="I113" s="460" t="str">
        <f t="shared" ca="1" si="24"/>
        <v/>
      </c>
      <c r="J113" s="460" t="str">
        <f t="shared" ca="1" si="24"/>
        <v/>
      </c>
      <c r="K113" s="460" t="str">
        <f t="shared" ca="1" si="24"/>
        <v/>
      </c>
      <c r="L113" s="460" t="str">
        <f t="shared" ca="1" si="24"/>
        <v/>
      </c>
      <c r="M113" s="460" t="str">
        <f t="shared" ca="1" si="24"/>
        <v/>
      </c>
      <c r="N113" s="460" t="str">
        <f t="shared" ca="1" si="24"/>
        <v/>
      </c>
      <c r="O113" s="461" t="str">
        <f t="shared" ca="1" si="24"/>
        <v/>
      </c>
      <c r="P113" s="474" t="str">
        <f t="shared" ca="1" si="24"/>
        <v/>
      </c>
      <c r="Q113" s="475" t="str">
        <f t="shared" ca="1" si="24"/>
        <v/>
      </c>
      <c r="R113" s="476">
        <f ca="1">IF(OR($BG$2=0,$AR113=""),,IF($AR113="本月合计",IF(ROW()=$BG$3,SUM($R$6:$R112),SUM(INDIRECT("$R$"&amp;OFFSET($AU$3,,MATCH(ROW(),$AU$3:$BF$3,)-2)+2&amp;":$R"&amp;ROW()-1))),IF($AR113="本年累计",SUMIF($AR$6:$AR113,"本月合计",$R$6:$R112),INDEX(凭证录入!L:L,$AR113))))</f>
        <v>0</v>
      </c>
      <c r="S113" s="459" t="str">
        <f t="shared" ca="1" si="25"/>
        <v/>
      </c>
      <c r="T113" s="460" t="str">
        <f t="shared" ca="1" si="25"/>
        <v/>
      </c>
      <c r="U113" s="460" t="str">
        <f t="shared" ca="1" si="25"/>
        <v/>
      </c>
      <c r="V113" s="460" t="str">
        <f t="shared" ca="1" si="25"/>
        <v/>
      </c>
      <c r="W113" s="460" t="str">
        <f t="shared" ca="1" si="25"/>
        <v/>
      </c>
      <c r="X113" s="460" t="str">
        <f t="shared" ca="1" si="25"/>
        <v/>
      </c>
      <c r="Y113" s="460" t="str">
        <f t="shared" ca="1" si="25"/>
        <v/>
      </c>
      <c r="Z113" s="460" t="str">
        <f t="shared" ca="1" si="25"/>
        <v/>
      </c>
      <c r="AA113" s="461" t="str">
        <f t="shared" ca="1" si="25"/>
        <v/>
      </c>
      <c r="AB113" s="474" t="str">
        <f t="shared" ca="1" si="25"/>
        <v/>
      </c>
      <c r="AC113" s="475" t="str">
        <f t="shared" ca="1" si="25"/>
        <v/>
      </c>
      <c r="AD113" s="477" t="str">
        <f t="shared" ca="1" si="18"/>
        <v/>
      </c>
      <c r="AE113" s="478">
        <f t="shared" ca="1" si="19"/>
        <v>0</v>
      </c>
      <c r="AF113" s="459" t="str">
        <f t="shared" ca="1" si="23"/>
        <v/>
      </c>
      <c r="AG113" s="460" t="str">
        <f t="shared" ca="1" si="23"/>
        <v/>
      </c>
      <c r="AH113" s="460" t="str">
        <f t="shared" ca="1" si="23"/>
        <v/>
      </c>
      <c r="AI113" s="460" t="str">
        <f t="shared" ca="1" si="23"/>
        <v/>
      </c>
      <c r="AJ113" s="460" t="str">
        <f t="shared" ca="1" si="23"/>
        <v/>
      </c>
      <c r="AK113" s="460" t="str">
        <f t="shared" ca="1" si="23"/>
        <v/>
      </c>
      <c r="AL113" s="460" t="str">
        <f t="shared" ca="1" si="23"/>
        <v/>
      </c>
      <c r="AM113" s="460" t="str">
        <f t="shared" ca="1" si="23"/>
        <v/>
      </c>
      <c r="AN113" s="461" t="str">
        <f t="shared" ca="1" si="23"/>
        <v/>
      </c>
      <c r="AO113" s="474" t="str">
        <f t="shared" ca="1" si="23"/>
        <v/>
      </c>
      <c r="AP113" s="475" t="str">
        <f t="shared" ca="1" si="23"/>
        <v/>
      </c>
      <c r="AQ113" s="479" t="str">
        <f t="array" aca="1" ref="AQ113" ca="1">IF(ROW()-5&lt;=COUNTIF(科目编号,$AR$2),SMALL(IF(科目编号=$AR$2,ROW(科目编号),""),ROW()-5),"")</f>
        <v/>
      </c>
      <c r="AR113" s="480" t="str">
        <f ca="1">IF($BG$2=0,"",IF(AR112="本月合计","本年累计",IF(OR(ROW()=$AU$3,ROW()=$AV$3,ROW()=$AW$3,ROW()=$AX$3,ROW()=$AY$3,ROW()=$AZ$3,ROW()=$BA$3,ROW()=$BB$3,ROW()=$BC$3,ROW()=$BD$3,ROW()=$BE$3,ROW()=$BF$3),"本月合计",IF(ROW()&lt;7,$AQ$6,OFFSET($AQ$6,COUNT($AR$6:AR112),0)))))</f>
        <v/>
      </c>
    </row>
    <row r="114" spans="1:44">
      <c r="A114" s="469" t="str">
        <f ca="1">IFERROR(INDEX(凭证录入!A:A,$AR114),"")</f>
        <v/>
      </c>
      <c r="B114" s="469" t="str">
        <f ca="1">IFERROR(INDEX(凭证录入!B:B,$AR114),"")</f>
        <v/>
      </c>
      <c r="C114" s="470" t="str">
        <f ca="1">IFERROR(INDEX(凭证录入!G:G,$AR114),"")</f>
        <v/>
      </c>
      <c r="D114" s="471" t="str">
        <f ca="1">IFERROR(INDEX(凭证录入!F:F,$AR114),"")</f>
        <v/>
      </c>
      <c r="E114" s="472" t="str">
        <f ca="1">IFERROR(INDEX(凭证录入!H:H,$AR114),$AR114)</f>
        <v/>
      </c>
      <c r="F114" s="473">
        <f ca="1">IF(OR($BG$2=0,$AR114=""),,IF($AR114="本月合计",IF(ROW()=$BG$3,SUM($F$6:$F113),SUM(INDIRECT("$F$"&amp;OFFSET($AU$3,,MATCH(ROW(),$AU$3:$BF$3,)-2)+2&amp;":$E"&amp;ROW()-1))),IF($AR114="本年累计",SUMIF($AR$6:$AR114,"本月合计",$F$6:$F113),INDEX(凭证录入!K:K,$AR114))))</f>
        <v>0</v>
      </c>
      <c r="G114" s="459" t="str">
        <f t="shared" ca="1" si="24"/>
        <v/>
      </c>
      <c r="H114" s="460" t="str">
        <f t="shared" ca="1" si="24"/>
        <v/>
      </c>
      <c r="I114" s="460" t="str">
        <f t="shared" ca="1" si="24"/>
        <v/>
      </c>
      <c r="J114" s="460" t="str">
        <f t="shared" ca="1" si="24"/>
        <v/>
      </c>
      <c r="K114" s="460" t="str">
        <f t="shared" ca="1" si="24"/>
        <v/>
      </c>
      <c r="L114" s="460" t="str">
        <f t="shared" ca="1" si="24"/>
        <v/>
      </c>
      <c r="M114" s="460" t="str">
        <f t="shared" ca="1" si="24"/>
        <v/>
      </c>
      <c r="N114" s="460" t="str">
        <f t="shared" ca="1" si="24"/>
        <v/>
      </c>
      <c r="O114" s="461" t="str">
        <f t="shared" ca="1" si="24"/>
        <v/>
      </c>
      <c r="P114" s="474" t="str">
        <f t="shared" ca="1" si="24"/>
        <v/>
      </c>
      <c r="Q114" s="475" t="str">
        <f t="shared" ca="1" si="24"/>
        <v/>
      </c>
      <c r="R114" s="476">
        <f ca="1">IF(OR($BG$2=0,$AR114=""),,IF($AR114="本月合计",IF(ROW()=$BG$3,SUM($R$6:$R113),SUM(INDIRECT("$R$"&amp;OFFSET($AU$3,,MATCH(ROW(),$AU$3:$BF$3,)-2)+2&amp;":$R"&amp;ROW()-1))),IF($AR114="本年累计",SUMIF($AR$6:$AR114,"本月合计",$R$6:$R113),INDEX(凭证录入!L:L,$AR114))))</f>
        <v>0</v>
      </c>
      <c r="S114" s="459" t="str">
        <f t="shared" ca="1" si="25"/>
        <v/>
      </c>
      <c r="T114" s="460" t="str">
        <f t="shared" ca="1" si="25"/>
        <v/>
      </c>
      <c r="U114" s="460" t="str">
        <f t="shared" ca="1" si="25"/>
        <v/>
      </c>
      <c r="V114" s="460" t="str">
        <f t="shared" ca="1" si="25"/>
        <v/>
      </c>
      <c r="W114" s="460" t="str">
        <f t="shared" ca="1" si="25"/>
        <v/>
      </c>
      <c r="X114" s="460" t="str">
        <f t="shared" ca="1" si="25"/>
        <v/>
      </c>
      <c r="Y114" s="460" t="str">
        <f t="shared" ca="1" si="25"/>
        <v/>
      </c>
      <c r="Z114" s="460" t="str">
        <f t="shared" ca="1" si="25"/>
        <v/>
      </c>
      <c r="AA114" s="461" t="str">
        <f t="shared" ca="1" si="25"/>
        <v/>
      </c>
      <c r="AB114" s="474" t="str">
        <f t="shared" ca="1" si="25"/>
        <v/>
      </c>
      <c r="AC114" s="475" t="str">
        <f t="shared" ca="1" si="25"/>
        <v/>
      </c>
      <c r="AD114" s="477" t="str">
        <f t="shared" ca="1" si="18"/>
        <v/>
      </c>
      <c r="AE114" s="478">
        <f t="shared" ca="1" si="19"/>
        <v>0</v>
      </c>
      <c r="AF114" s="459" t="str">
        <f t="shared" ca="1" si="23"/>
        <v/>
      </c>
      <c r="AG114" s="460" t="str">
        <f t="shared" ca="1" si="23"/>
        <v/>
      </c>
      <c r="AH114" s="460" t="str">
        <f t="shared" ca="1" si="23"/>
        <v/>
      </c>
      <c r="AI114" s="460" t="str">
        <f t="shared" ca="1" si="23"/>
        <v/>
      </c>
      <c r="AJ114" s="460" t="str">
        <f t="shared" ca="1" si="23"/>
        <v/>
      </c>
      <c r="AK114" s="460" t="str">
        <f t="shared" ca="1" si="23"/>
        <v/>
      </c>
      <c r="AL114" s="460" t="str">
        <f t="shared" ca="1" si="23"/>
        <v/>
      </c>
      <c r="AM114" s="460" t="str">
        <f t="shared" ca="1" si="23"/>
        <v/>
      </c>
      <c r="AN114" s="461" t="str">
        <f t="shared" ca="1" si="23"/>
        <v/>
      </c>
      <c r="AO114" s="474" t="str">
        <f t="shared" ca="1" si="23"/>
        <v/>
      </c>
      <c r="AP114" s="475" t="str">
        <f t="shared" ca="1" si="23"/>
        <v/>
      </c>
      <c r="AQ114" s="479" t="str">
        <f t="array" aca="1" ref="AQ114" ca="1">IF(ROW()-5&lt;=COUNTIF(科目编号,$AR$2),SMALL(IF(科目编号=$AR$2,ROW(科目编号),""),ROW()-5),"")</f>
        <v/>
      </c>
      <c r="AR114" s="480" t="str">
        <f ca="1">IF($BG$2=0,"",IF(AR113="本月合计","本年累计",IF(OR(ROW()=$AU$3,ROW()=$AV$3,ROW()=$AW$3,ROW()=$AX$3,ROW()=$AY$3,ROW()=$AZ$3,ROW()=$BA$3,ROW()=$BB$3,ROW()=$BC$3,ROW()=$BD$3,ROW()=$BE$3,ROW()=$BF$3),"本月合计",IF(ROW()&lt;7,$AQ$6,OFFSET($AQ$6,COUNT($AR$6:AR113),0)))))</f>
        <v/>
      </c>
    </row>
    <row r="115" spans="1:44">
      <c r="A115" s="469" t="str">
        <f ca="1">IFERROR(INDEX(凭证录入!A:A,$AR115),"")</f>
        <v/>
      </c>
      <c r="B115" s="469" t="str">
        <f ca="1">IFERROR(INDEX(凭证录入!B:B,$AR115),"")</f>
        <v/>
      </c>
      <c r="C115" s="470" t="str">
        <f ca="1">IFERROR(INDEX(凭证录入!G:G,$AR115),"")</f>
        <v/>
      </c>
      <c r="D115" s="471" t="str">
        <f ca="1">IFERROR(INDEX(凭证录入!F:F,$AR115),"")</f>
        <v/>
      </c>
      <c r="E115" s="472" t="str">
        <f ca="1">IFERROR(INDEX(凭证录入!H:H,$AR115),$AR115)</f>
        <v/>
      </c>
      <c r="F115" s="473">
        <f ca="1">IF(OR($BG$2=0,$AR115=""),,IF($AR115="本月合计",IF(ROW()=$BG$3,SUM($F$6:$F114),SUM(INDIRECT("$F$"&amp;OFFSET($AU$3,,MATCH(ROW(),$AU$3:$BF$3,)-2)+2&amp;":$E"&amp;ROW()-1))),IF($AR115="本年累计",SUMIF($AR$6:$AR115,"本月合计",$F$6:$F114),INDEX(凭证录入!K:K,$AR115))))</f>
        <v>0</v>
      </c>
      <c r="G115" s="459" t="str">
        <f t="shared" ca="1" si="24"/>
        <v/>
      </c>
      <c r="H115" s="460" t="str">
        <f t="shared" ca="1" si="24"/>
        <v/>
      </c>
      <c r="I115" s="460" t="str">
        <f t="shared" ca="1" si="24"/>
        <v/>
      </c>
      <c r="J115" s="460" t="str">
        <f t="shared" ca="1" si="24"/>
        <v/>
      </c>
      <c r="K115" s="460" t="str">
        <f t="shared" ca="1" si="24"/>
        <v/>
      </c>
      <c r="L115" s="460" t="str">
        <f t="shared" ca="1" si="24"/>
        <v/>
      </c>
      <c r="M115" s="460" t="str">
        <f t="shared" ca="1" si="24"/>
        <v/>
      </c>
      <c r="N115" s="460" t="str">
        <f t="shared" ca="1" si="24"/>
        <v/>
      </c>
      <c r="O115" s="461" t="str">
        <f t="shared" ca="1" si="24"/>
        <v/>
      </c>
      <c r="P115" s="474" t="str">
        <f t="shared" ca="1" si="24"/>
        <v/>
      </c>
      <c r="Q115" s="475" t="str">
        <f t="shared" ca="1" si="24"/>
        <v/>
      </c>
      <c r="R115" s="476">
        <f ca="1">IF(OR($BG$2=0,$AR115=""),,IF($AR115="本月合计",IF(ROW()=$BG$3,SUM($R$6:$R114),SUM(INDIRECT("$R$"&amp;OFFSET($AU$3,,MATCH(ROW(),$AU$3:$BF$3,)-2)+2&amp;":$R"&amp;ROW()-1))),IF($AR115="本年累计",SUMIF($AR$6:$AR115,"本月合计",$R$6:$R114),INDEX(凭证录入!L:L,$AR115))))</f>
        <v>0</v>
      </c>
      <c r="S115" s="459" t="str">
        <f t="shared" ca="1" si="25"/>
        <v/>
      </c>
      <c r="T115" s="460" t="str">
        <f t="shared" ca="1" si="25"/>
        <v/>
      </c>
      <c r="U115" s="460" t="str">
        <f t="shared" ca="1" si="25"/>
        <v/>
      </c>
      <c r="V115" s="460" t="str">
        <f t="shared" ca="1" si="25"/>
        <v/>
      </c>
      <c r="W115" s="460" t="str">
        <f t="shared" ca="1" si="25"/>
        <v/>
      </c>
      <c r="X115" s="460" t="str">
        <f t="shared" ca="1" si="25"/>
        <v/>
      </c>
      <c r="Y115" s="460" t="str">
        <f t="shared" ca="1" si="25"/>
        <v/>
      </c>
      <c r="Z115" s="460" t="str">
        <f t="shared" ca="1" si="25"/>
        <v/>
      </c>
      <c r="AA115" s="461" t="str">
        <f t="shared" ca="1" si="25"/>
        <v/>
      </c>
      <c r="AB115" s="474" t="str">
        <f t="shared" ca="1" si="25"/>
        <v/>
      </c>
      <c r="AC115" s="475" t="str">
        <f t="shared" ca="1" si="25"/>
        <v/>
      </c>
      <c r="AD115" s="477" t="str">
        <f t="shared" ca="1" si="18"/>
        <v/>
      </c>
      <c r="AE115" s="478">
        <f t="shared" ca="1" si="19"/>
        <v>0</v>
      </c>
      <c r="AF115" s="459" t="str">
        <f t="shared" ca="1" si="23"/>
        <v/>
      </c>
      <c r="AG115" s="460" t="str">
        <f t="shared" ca="1" si="23"/>
        <v/>
      </c>
      <c r="AH115" s="460" t="str">
        <f t="shared" ca="1" si="23"/>
        <v/>
      </c>
      <c r="AI115" s="460" t="str">
        <f t="shared" ca="1" si="23"/>
        <v/>
      </c>
      <c r="AJ115" s="460" t="str">
        <f t="shared" ca="1" si="23"/>
        <v/>
      </c>
      <c r="AK115" s="460" t="str">
        <f t="shared" ca="1" si="23"/>
        <v/>
      </c>
      <c r="AL115" s="460" t="str">
        <f t="shared" ca="1" si="23"/>
        <v/>
      </c>
      <c r="AM115" s="460" t="str">
        <f t="shared" ca="1" si="23"/>
        <v/>
      </c>
      <c r="AN115" s="461" t="str">
        <f t="shared" ca="1" si="23"/>
        <v/>
      </c>
      <c r="AO115" s="474" t="str">
        <f t="shared" ca="1" si="23"/>
        <v/>
      </c>
      <c r="AP115" s="475" t="str">
        <f t="shared" ca="1" si="23"/>
        <v/>
      </c>
      <c r="AQ115" s="479" t="str">
        <f t="array" aca="1" ref="AQ115" ca="1">IF(ROW()-5&lt;=COUNTIF(科目编号,$AR$2),SMALL(IF(科目编号=$AR$2,ROW(科目编号),""),ROW()-5),"")</f>
        <v/>
      </c>
      <c r="AR115" s="480" t="str">
        <f ca="1">IF($BG$2=0,"",IF(AR114="本月合计","本年累计",IF(OR(ROW()=$AU$3,ROW()=$AV$3,ROW()=$AW$3,ROW()=$AX$3,ROW()=$AY$3,ROW()=$AZ$3,ROW()=$BA$3,ROW()=$BB$3,ROW()=$BC$3,ROW()=$BD$3,ROW()=$BE$3,ROW()=$BF$3),"本月合计",IF(ROW()&lt;7,$AQ$6,OFFSET($AQ$6,COUNT($AR$6:AR114),0)))))</f>
        <v/>
      </c>
    </row>
    <row r="116" spans="1:44">
      <c r="A116" s="469" t="str">
        <f ca="1">IFERROR(INDEX(凭证录入!A:A,$AR116),"")</f>
        <v/>
      </c>
      <c r="B116" s="469" t="str">
        <f ca="1">IFERROR(INDEX(凭证录入!B:B,$AR116),"")</f>
        <v/>
      </c>
      <c r="C116" s="470" t="str">
        <f ca="1">IFERROR(INDEX(凭证录入!G:G,$AR116),"")</f>
        <v/>
      </c>
      <c r="D116" s="471" t="str">
        <f ca="1">IFERROR(INDEX(凭证录入!F:F,$AR116),"")</f>
        <v/>
      </c>
      <c r="E116" s="472" t="str">
        <f ca="1">IFERROR(INDEX(凭证录入!H:H,$AR116),$AR116)</f>
        <v/>
      </c>
      <c r="F116" s="473">
        <f ca="1">IF(OR($BG$2=0,$AR116=""),,IF($AR116="本月合计",IF(ROW()=$BG$3,SUM($F$6:$F115),SUM(INDIRECT("$F$"&amp;OFFSET($AU$3,,MATCH(ROW(),$AU$3:$BF$3,)-2)+2&amp;":$E"&amp;ROW()-1))),IF($AR116="本年累计",SUMIF($AR$6:$AR116,"本月合计",$F$6:$F115),INDEX(凭证录入!K:K,$AR116))))</f>
        <v>0</v>
      </c>
      <c r="G116" s="459" t="str">
        <f t="shared" ca="1" si="24"/>
        <v/>
      </c>
      <c r="H116" s="460" t="str">
        <f t="shared" ca="1" si="24"/>
        <v/>
      </c>
      <c r="I116" s="460" t="str">
        <f t="shared" ca="1" si="24"/>
        <v/>
      </c>
      <c r="J116" s="460" t="str">
        <f t="shared" ca="1" si="24"/>
        <v/>
      </c>
      <c r="K116" s="460" t="str">
        <f t="shared" ca="1" si="24"/>
        <v/>
      </c>
      <c r="L116" s="460" t="str">
        <f t="shared" ca="1" si="24"/>
        <v/>
      </c>
      <c r="M116" s="460" t="str">
        <f t="shared" ca="1" si="24"/>
        <v/>
      </c>
      <c r="N116" s="460" t="str">
        <f t="shared" ca="1" si="24"/>
        <v/>
      </c>
      <c r="O116" s="461" t="str">
        <f t="shared" ca="1" si="24"/>
        <v/>
      </c>
      <c r="P116" s="474" t="str">
        <f t="shared" ca="1" si="24"/>
        <v/>
      </c>
      <c r="Q116" s="475" t="str">
        <f t="shared" ca="1" si="24"/>
        <v/>
      </c>
      <c r="R116" s="476">
        <f ca="1">IF(OR($BG$2=0,$AR116=""),,IF($AR116="本月合计",IF(ROW()=$BG$3,SUM($R$6:$R115),SUM(INDIRECT("$R$"&amp;OFFSET($AU$3,,MATCH(ROW(),$AU$3:$BF$3,)-2)+2&amp;":$R"&amp;ROW()-1))),IF($AR116="本年累计",SUMIF($AR$6:$AR116,"本月合计",$R$6:$R115),INDEX(凭证录入!L:L,$AR116))))</f>
        <v>0</v>
      </c>
      <c r="S116" s="459" t="str">
        <f t="shared" ca="1" si="25"/>
        <v/>
      </c>
      <c r="T116" s="460" t="str">
        <f t="shared" ca="1" si="25"/>
        <v/>
      </c>
      <c r="U116" s="460" t="str">
        <f t="shared" ca="1" si="25"/>
        <v/>
      </c>
      <c r="V116" s="460" t="str">
        <f t="shared" ca="1" si="25"/>
        <v/>
      </c>
      <c r="W116" s="460" t="str">
        <f t="shared" ca="1" si="25"/>
        <v/>
      </c>
      <c r="X116" s="460" t="str">
        <f t="shared" ca="1" si="25"/>
        <v/>
      </c>
      <c r="Y116" s="460" t="str">
        <f t="shared" ca="1" si="25"/>
        <v/>
      </c>
      <c r="Z116" s="460" t="str">
        <f t="shared" ca="1" si="25"/>
        <v/>
      </c>
      <c r="AA116" s="461" t="str">
        <f t="shared" ca="1" si="25"/>
        <v/>
      </c>
      <c r="AB116" s="474" t="str">
        <f t="shared" ca="1" si="25"/>
        <v/>
      </c>
      <c r="AC116" s="475" t="str">
        <f t="shared" ca="1" si="25"/>
        <v/>
      </c>
      <c r="AD116" s="477" t="str">
        <f t="shared" ca="1" si="18"/>
        <v/>
      </c>
      <c r="AE116" s="478">
        <f t="shared" ca="1" si="19"/>
        <v>0</v>
      </c>
      <c r="AF116" s="459" t="str">
        <f t="shared" ca="1" si="23"/>
        <v/>
      </c>
      <c r="AG116" s="460" t="str">
        <f t="shared" ca="1" si="23"/>
        <v/>
      </c>
      <c r="AH116" s="460" t="str">
        <f t="shared" ca="1" si="23"/>
        <v/>
      </c>
      <c r="AI116" s="460" t="str">
        <f t="shared" ca="1" si="23"/>
        <v/>
      </c>
      <c r="AJ116" s="460" t="str">
        <f t="shared" ca="1" si="23"/>
        <v/>
      </c>
      <c r="AK116" s="460" t="str">
        <f t="shared" ca="1" si="23"/>
        <v/>
      </c>
      <c r="AL116" s="460" t="str">
        <f t="shared" ca="1" si="23"/>
        <v/>
      </c>
      <c r="AM116" s="460" t="str">
        <f t="shared" ca="1" si="23"/>
        <v/>
      </c>
      <c r="AN116" s="461" t="str">
        <f t="shared" ca="1" si="23"/>
        <v/>
      </c>
      <c r="AO116" s="474" t="str">
        <f t="shared" ca="1" si="23"/>
        <v/>
      </c>
      <c r="AP116" s="475" t="str">
        <f t="shared" ca="1" si="23"/>
        <v/>
      </c>
      <c r="AQ116" s="479" t="str">
        <f t="array" aca="1" ref="AQ116" ca="1">IF(ROW()-5&lt;=COUNTIF(科目编号,$AR$2),SMALL(IF(科目编号=$AR$2,ROW(科目编号),""),ROW()-5),"")</f>
        <v/>
      </c>
      <c r="AR116" s="480" t="str">
        <f ca="1">IF($BG$2=0,"",IF(AR115="本月合计","本年累计",IF(OR(ROW()=$AU$3,ROW()=$AV$3,ROW()=$AW$3,ROW()=$AX$3,ROW()=$AY$3,ROW()=$AZ$3,ROW()=$BA$3,ROW()=$BB$3,ROW()=$BC$3,ROW()=$BD$3,ROW()=$BE$3,ROW()=$BF$3),"本月合计",IF(ROW()&lt;7,$AQ$6,OFFSET($AQ$6,COUNT($AR$6:AR115),0)))))</f>
        <v/>
      </c>
    </row>
    <row r="117" spans="1:44">
      <c r="A117" s="469" t="str">
        <f ca="1">IFERROR(INDEX(凭证录入!A:A,$AR117),"")</f>
        <v/>
      </c>
      <c r="B117" s="469" t="str">
        <f ca="1">IFERROR(INDEX(凭证录入!B:B,$AR117),"")</f>
        <v/>
      </c>
      <c r="C117" s="470" t="str">
        <f ca="1">IFERROR(INDEX(凭证录入!G:G,$AR117),"")</f>
        <v/>
      </c>
      <c r="D117" s="471" t="str">
        <f ca="1">IFERROR(INDEX(凭证录入!F:F,$AR117),"")</f>
        <v/>
      </c>
      <c r="E117" s="472" t="str">
        <f ca="1">IFERROR(INDEX(凭证录入!H:H,$AR117),$AR117)</f>
        <v/>
      </c>
      <c r="F117" s="473">
        <f ca="1">IF(OR($BG$2=0,$AR117=""),,IF($AR117="本月合计",IF(ROW()=$BG$3,SUM($F$6:$F116),SUM(INDIRECT("$F$"&amp;OFFSET($AU$3,,MATCH(ROW(),$AU$3:$BF$3,)-2)+2&amp;":$E"&amp;ROW()-1))),IF($AR117="本年累计",SUMIF($AR$6:$AR117,"本月合计",$F$6:$F116),INDEX(凭证录入!K:K,$AR117))))</f>
        <v>0</v>
      </c>
      <c r="G117" s="459" t="str">
        <f t="shared" ca="1" si="24"/>
        <v/>
      </c>
      <c r="H117" s="460" t="str">
        <f t="shared" ca="1" si="24"/>
        <v/>
      </c>
      <c r="I117" s="460" t="str">
        <f t="shared" ca="1" si="24"/>
        <v/>
      </c>
      <c r="J117" s="460" t="str">
        <f t="shared" ca="1" si="24"/>
        <v/>
      </c>
      <c r="K117" s="460" t="str">
        <f t="shared" ca="1" si="24"/>
        <v/>
      </c>
      <c r="L117" s="460" t="str">
        <f t="shared" ca="1" si="24"/>
        <v/>
      </c>
      <c r="M117" s="460" t="str">
        <f t="shared" ca="1" si="24"/>
        <v/>
      </c>
      <c r="N117" s="460" t="str">
        <f t="shared" ca="1" si="24"/>
        <v/>
      </c>
      <c r="O117" s="461" t="str">
        <f t="shared" ca="1" si="24"/>
        <v/>
      </c>
      <c r="P117" s="474" t="str">
        <f t="shared" ca="1" si="24"/>
        <v/>
      </c>
      <c r="Q117" s="475" t="str">
        <f t="shared" ca="1" si="24"/>
        <v/>
      </c>
      <c r="R117" s="476">
        <f ca="1">IF(OR($BG$2=0,$AR117=""),,IF($AR117="本月合计",IF(ROW()=$BG$3,SUM($R$6:$R116),SUM(INDIRECT("$R$"&amp;OFFSET($AU$3,,MATCH(ROW(),$AU$3:$BF$3,)-2)+2&amp;":$R"&amp;ROW()-1))),IF($AR117="本年累计",SUMIF($AR$6:$AR117,"本月合计",$R$6:$R116),INDEX(凭证录入!L:L,$AR117))))</f>
        <v>0</v>
      </c>
      <c r="S117" s="459" t="str">
        <f t="shared" ca="1" si="25"/>
        <v/>
      </c>
      <c r="T117" s="460" t="str">
        <f t="shared" ca="1" si="25"/>
        <v/>
      </c>
      <c r="U117" s="460" t="str">
        <f t="shared" ca="1" si="25"/>
        <v/>
      </c>
      <c r="V117" s="460" t="str">
        <f t="shared" ca="1" si="25"/>
        <v/>
      </c>
      <c r="W117" s="460" t="str">
        <f t="shared" ca="1" si="25"/>
        <v/>
      </c>
      <c r="X117" s="460" t="str">
        <f t="shared" ca="1" si="25"/>
        <v/>
      </c>
      <c r="Y117" s="460" t="str">
        <f t="shared" ca="1" si="25"/>
        <v/>
      </c>
      <c r="Z117" s="460" t="str">
        <f t="shared" ca="1" si="25"/>
        <v/>
      </c>
      <c r="AA117" s="461" t="str">
        <f t="shared" ca="1" si="25"/>
        <v/>
      </c>
      <c r="AB117" s="474" t="str">
        <f t="shared" ca="1" si="25"/>
        <v/>
      </c>
      <c r="AC117" s="475" t="str">
        <f t="shared" ca="1" si="25"/>
        <v/>
      </c>
      <c r="AD117" s="477" t="str">
        <f t="shared" ca="1" si="18"/>
        <v/>
      </c>
      <c r="AE117" s="478">
        <f t="shared" ca="1" si="19"/>
        <v>0</v>
      </c>
      <c r="AF117" s="459" t="str">
        <f t="shared" ref="AF117:AP132" ca="1" si="26">LEFT(RIGHT(TEXT($AE117/1%," ￥0; ￥-0;"),43-COLUMN()))</f>
        <v/>
      </c>
      <c r="AG117" s="460" t="str">
        <f t="shared" ca="1" si="26"/>
        <v/>
      </c>
      <c r="AH117" s="460" t="str">
        <f t="shared" ca="1" si="26"/>
        <v/>
      </c>
      <c r="AI117" s="460" t="str">
        <f t="shared" ca="1" si="26"/>
        <v/>
      </c>
      <c r="AJ117" s="460" t="str">
        <f t="shared" ca="1" si="26"/>
        <v/>
      </c>
      <c r="AK117" s="460" t="str">
        <f t="shared" ca="1" si="26"/>
        <v/>
      </c>
      <c r="AL117" s="460" t="str">
        <f t="shared" ca="1" si="26"/>
        <v/>
      </c>
      <c r="AM117" s="460" t="str">
        <f t="shared" ca="1" si="26"/>
        <v/>
      </c>
      <c r="AN117" s="461" t="str">
        <f t="shared" ca="1" si="26"/>
        <v/>
      </c>
      <c r="AO117" s="474" t="str">
        <f t="shared" ca="1" si="26"/>
        <v/>
      </c>
      <c r="AP117" s="475" t="str">
        <f t="shared" ca="1" si="26"/>
        <v/>
      </c>
      <c r="AQ117" s="479" t="str">
        <f t="array" aca="1" ref="AQ117" ca="1">IF(ROW()-5&lt;=COUNTIF(科目编号,$AR$2),SMALL(IF(科目编号=$AR$2,ROW(科目编号),""),ROW()-5),"")</f>
        <v/>
      </c>
      <c r="AR117" s="480" t="str">
        <f ca="1">IF($BG$2=0,"",IF(AR116="本月合计","本年累计",IF(OR(ROW()=$AU$3,ROW()=$AV$3,ROW()=$AW$3,ROW()=$AX$3,ROW()=$AY$3,ROW()=$AZ$3,ROW()=$BA$3,ROW()=$BB$3,ROW()=$BC$3,ROW()=$BD$3,ROW()=$BE$3,ROW()=$BF$3),"本月合计",IF(ROW()&lt;7,$AQ$6,OFFSET($AQ$6,COUNT($AR$6:AR116),0)))))</f>
        <v/>
      </c>
    </row>
    <row r="118" spans="1:44">
      <c r="A118" s="469" t="str">
        <f ca="1">IFERROR(INDEX(凭证录入!A:A,$AR118),"")</f>
        <v/>
      </c>
      <c r="B118" s="469" t="str">
        <f ca="1">IFERROR(INDEX(凭证录入!B:B,$AR118),"")</f>
        <v/>
      </c>
      <c r="C118" s="470" t="str">
        <f ca="1">IFERROR(INDEX(凭证录入!G:G,$AR118),"")</f>
        <v/>
      </c>
      <c r="D118" s="471" t="str">
        <f ca="1">IFERROR(INDEX(凭证录入!F:F,$AR118),"")</f>
        <v/>
      </c>
      <c r="E118" s="472" t="str">
        <f ca="1">IFERROR(INDEX(凭证录入!H:H,$AR118),$AR118)</f>
        <v/>
      </c>
      <c r="F118" s="473">
        <f ca="1">IF(OR($BG$2=0,$AR118=""),,IF($AR118="本月合计",IF(ROW()=$BG$3,SUM($F$6:$F117),SUM(INDIRECT("$F$"&amp;OFFSET($AU$3,,MATCH(ROW(),$AU$3:$BF$3,)-2)+2&amp;":$E"&amp;ROW()-1))),IF($AR118="本年累计",SUMIF($AR$6:$AR118,"本月合计",$F$6:$F117),INDEX(凭证录入!K:K,$AR118))))</f>
        <v>0</v>
      </c>
      <c r="G118" s="459" t="str">
        <f t="shared" ref="G118:Q133" ca="1" si="27">LEFT(RIGHT(TEXT($F118/1%," ￥0; ￥-0;"),18-COLUMN()))</f>
        <v/>
      </c>
      <c r="H118" s="460" t="str">
        <f t="shared" ca="1" si="27"/>
        <v/>
      </c>
      <c r="I118" s="460" t="str">
        <f t="shared" ca="1" si="27"/>
        <v/>
      </c>
      <c r="J118" s="460" t="str">
        <f t="shared" ca="1" si="27"/>
        <v/>
      </c>
      <c r="K118" s="460" t="str">
        <f t="shared" ca="1" si="27"/>
        <v/>
      </c>
      <c r="L118" s="460" t="str">
        <f t="shared" ca="1" si="27"/>
        <v/>
      </c>
      <c r="M118" s="460" t="str">
        <f t="shared" ca="1" si="27"/>
        <v/>
      </c>
      <c r="N118" s="460" t="str">
        <f t="shared" ca="1" si="27"/>
        <v/>
      </c>
      <c r="O118" s="461" t="str">
        <f t="shared" ca="1" si="27"/>
        <v/>
      </c>
      <c r="P118" s="474" t="str">
        <f t="shared" ca="1" si="27"/>
        <v/>
      </c>
      <c r="Q118" s="475" t="str">
        <f t="shared" ca="1" si="27"/>
        <v/>
      </c>
      <c r="R118" s="476">
        <f ca="1">IF(OR($BG$2=0,$AR118=""),,IF($AR118="本月合计",IF(ROW()=$BG$3,SUM($R$6:$R117),SUM(INDIRECT("$R$"&amp;OFFSET($AU$3,,MATCH(ROW(),$AU$3:$BF$3,)-2)+2&amp;":$R"&amp;ROW()-1))),IF($AR118="本年累计",SUMIF($AR$6:$AR118,"本月合计",$R$6:$R117),INDEX(凭证录入!L:L,$AR118))))</f>
        <v>0</v>
      </c>
      <c r="S118" s="459" t="str">
        <f t="shared" ref="S118:AC133" ca="1" si="28">LEFT(RIGHT(TEXT($R118/1%," ￥0; ￥-0;"),30-COLUMN()))</f>
        <v/>
      </c>
      <c r="T118" s="460" t="str">
        <f t="shared" ca="1" si="28"/>
        <v/>
      </c>
      <c r="U118" s="460" t="str">
        <f t="shared" ca="1" si="28"/>
        <v/>
      </c>
      <c r="V118" s="460" t="str">
        <f t="shared" ca="1" si="28"/>
        <v/>
      </c>
      <c r="W118" s="460" t="str">
        <f t="shared" ca="1" si="28"/>
        <v/>
      </c>
      <c r="X118" s="460" t="str">
        <f t="shared" ca="1" si="28"/>
        <v/>
      </c>
      <c r="Y118" s="460" t="str">
        <f t="shared" ca="1" si="28"/>
        <v/>
      </c>
      <c r="Z118" s="460" t="str">
        <f t="shared" ca="1" si="28"/>
        <v/>
      </c>
      <c r="AA118" s="461" t="str">
        <f t="shared" ca="1" si="28"/>
        <v/>
      </c>
      <c r="AB118" s="474" t="str">
        <f t="shared" ca="1" si="28"/>
        <v/>
      </c>
      <c r="AC118" s="475" t="str">
        <f t="shared" ca="1" si="28"/>
        <v/>
      </c>
      <c r="AD118" s="477" t="str">
        <f t="shared" ca="1" si="18"/>
        <v/>
      </c>
      <c r="AE118" s="478">
        <f t="shared" ca="1" si="19"/>
        <v>0</v>
      </c>
      <c r="AF118" s="459" t="str">
        <f t="shared" ca="1" si="26"/>
        <v/>
      </c>
      <c r="AG118" s="460" t="str">
        <f t="shared" ca="1" si="26"/>
        <v/>
      </c>
      <c r="AH118" s="460" t="str">
        <f t="shared" ca="1" si="26"/>
        <v/>
      </c>
      <c r="AI118" s="460" t="str">
        <f t="shared" ca="1" si="26"/>
        <v/>
      </c>
      <c r="AJ118" s="460" t="str">
        <f t="shared" ca="1" si="26"/>
        <v/>
      </c>
      <c r="AK118" s="460" t="str">
        <f t="shared" ca="1" si="26"/>
        <v/>
      </c>
      <c r="AL118" s="460" t="str">
        <f t="shared" ca="1" si="26"/>
        <v/>
      </c>
      <c r="AM118" s="460" t="str">
        <f t="shared" ca="1" si="26"/>
        <v/>
      </c>
      <c r="AN118" s="461" t="str">
        <f t="shared" ca="1" si="26"/>
        <v/>
      </c>
      <c r="AO118" s="474" t="str">
        <f t="shared" ca="1" si="26"/>
        <v/>
      </c>
      <c r="AP118" s="475" t="str">
        <f t="shared" ca="1" si="26"/>
        <v/>
      </c>
      <c r="AQ118" s="479" t="str">
        <f t="array" aca="1" ref="AQ118" ca="1">IF(ROW()-5&lt;=COUNTIF(科目编号,$AR$2),SMALL(IF(科目编号=$AR$2,ROW(科目编号),""),ROW()-5),"")</f>
        <v/>
      </c>
      <c r="AR118" s="480" t="str">
        <f ca="1">IF($BG$2=0,"",IF(AR117="本月合计","本年累计",IF(OR(ROW()=$AU$3,ROW()=$AV$3,ROW()=$AW$3,ROW()=$AX$3,ROW()=$AY$3,ROW()=$AZ$3,ROW()=$BA$3,ROW()=$BB$3,ROW()=$BC$3,ROW()=$BD$3,ROW()=$BE$3,ROW()=$BF$3),"本月合计",IF(ROW()&lt;7,$AQ$6,OFFSET($AQ$6,COUNT($AR$6:AR117),0)))))</f>
        <v/>
      </c>
    </row>
    <row r="119" spans="1:44">
      <c r="A119" s="469" t="str">
        <f ca="1">IFERROR(INDEX(凭证录入!A:A,$AR119),"")</f>
        <v/>
      </c>
      <c r="B119" s="469" t="str">
        <f ca="1">IFERROR(INDEX(凭证录入!B:B,$AR119),"")</f>
        <v/>
      </c>
      <c r="C119" s="470" t="str">
        <f ca="1">IFERROR(INDEX(凭证录入!G:G,$AR119),"")</f>
        <v/>
      </c>
      <c r="D119" s="471" t="str">
        <f ca="1">IFERROR(INDEX(凭证录入!F:F,$AR119),"")</f>
        <v/>
      </c>
      <c r="E119" s="472" t="str">
        <f ca="1">IFERROR(INDEX(凭证录入!H:H,$AR119),$AR119)</f>
        <v/>
      </c>
      <c r="F119" s="473">
        <f ca="1">IF(OR($BG$2=0,$AR119=""),,IF($AR119="本月合计",IF(ROW()=$BG$3,SUM($F$6:$F118),SUM(INDIRECT("$F$"&amp;OFFSET($AU$3,,MATCH(ROW(),$AU$3:$BF$3,)-2)+2&amp;":$E"&amp;ROW()-1))),IF($AR119="本年累计",SUMIF($AR$6:$AR119,"本月合计",$F$6:$F118),INDEX(凭证录入!K:K,$AR119))))</f>
        <v>0</v>
      </c>
      <c r="G119" s="459" t="str">
        <f t="shared" ca="1" si="27"/>
        <v/>
      </c>
      <c r="H119" s="460" t="str">
        <f t="shared" ca="1" si="27"/>
        <v/>
      </c>
      <c r="I119" s="460" t="str">
        <f t="shared" ca="1" si="27"/>
        <v/>
      </c>
      <c r="J119" s="460" t="str">
        <f t="shared" ca="1" si="27"/>
        <v/>
      </c>
      <c r="K119" s="460" t="str">
        <f t="shared" ca="1" si="27"/>
        <v/>
      </c>
      <c r="L119" s="460" t="str">
        <f t="shared" ca="1" si="27"/>
        <v/>
      </c>
      <c r="M119" s="460" t="str">
        <f t="shared" ca="1" si="27"/>
        <v/>
      </c>
      <c r="N119" s="460" t="str">
        <f t="shared" ca="1" si="27"/>
        <v/>
      </c>
      <c r="O119" s="461" t="str">
        <f t="shared" ca="1" si="27"/>
        <v/>
      </c>
      <c r="P119" s="474" t="str">
        <f t="shared" ca="1" si="27"/>
        <v/>
      </c>
      <c r="Q119" s="475" t="str">
        <f t="shared" ca="1" si="27"/>
        <v/>
      </c>
      <c r="R119" s="476">
        <f ca="1">IF(OR($BG$2=0,$AR119=""),,IF($AR119="本月合计",IF(ROW()=$BG$3,SUM($R$6:$R118),SUM(INDIRECT("$R$"&amp;OFFSET($AU$3,,MATCH(ROW(),$AU$3:$BF$3,)-2)+2&amp;":$R"&amp;ROW()-1))),IF($AR119="本年累计",SUMIF($AR$6:$AR119,"本月合计",$R$6:$R118),INDEX(凭证录入!L:L,$AR119))))</f>
        <v>0</v>
      </c>
      <c r="S119" s="459" t="str">
        <f t="shared" ca="1" si="28"/>
        <v/>
      </c>
      <c r="T119" s="460" t="str">
        <f t="shared" ca="1" si="28"/>
        <v/>
      </c>
      <c r="U119" s="460" t="str">
        <f t="shared" ca="1" si="28"/>
        <v/>
      </c>
      <c r="V119" s="460" t="str">
        <f t="shared" ca="1" si="28"/>
        <v/>
      </c>
      <c r="W119" s="460" t="str">
        <f t="shared" ca="1" si="28"/>
        <v/>
      </c>
      <c r="X119" s="460" t="str">
        <f t="shared" ca="1" si="28"/>
        <v/>
      </c>
      <c r="Y119" s="460" t="str">
        <f t="shared" ca="1" si="28"/>
        <v/>
      </c>
      <c r="Z119" s="460" t="str">
        <f t="shared" ca="1" si="28"/>
        <v/>
      </c>
      <c r="AA119" s="461" t="str">
        <f t="shared" ca="1" si="28"/>
        <v/>
      </c>
      <c r="AB119" s="474" t="str">
        <f t="shared" ca="1" si="28"/>
        <v/>
      </c>
      <c r="AC119" s="475" t="str">
        <f t="shared" ca="1" si="28"/>
        <v/>
      </c>
      <c r="AD119" s="477" t="str">
        <f t="shared" ca="1" si="18"/>
        <v/>
      </c>
      <c r="AE119" s="478">
        <f t="shared" ca="1" si="19"/>
        <v>0</v>
      </c>
      <c r="AF119" s="459" t="str">
        <f t="shared" ca="1" si="26"/>
        <v/>
      </c>
      <c r="AG119" s="460" t="str">
        <f t="shared" ca="1" si="26"/>
        <v/>
      </c>
      <c r="AH119" s="460" t="str">
        <f t="shared" ca="1" si="26"/>
        <v/>
      </c>
      <c r="AI119" s="460" t="str">
        <f t="shared" ca="1" si="26"/>
        <v/>
      </c>
      <c r="AJ119" s="460" t="str">
        <f t="shared" ca="1" si="26"/>
        <v/>
      </c>
      <c r="AK119" s="460" t="str">
        <f t="shared" ca="1" si="26"/>
        <v/>
      </c>
      <c r="AL119" s="460" t="str">
        <f t="shared" ca="1" si="26"/>
        <v/>
      </c>
      <c r="AM119" s="460" t="str">
        <f t="shared" ca="1" si="26"/>
        <v/>
      </c>
      <c r="AN119" s="461" t="str">
        <f t="shared" ca="1" si="26"/>
        <v/>
      </c>
      <c r="AO119" s="474" t="str">
        <f t="shared" ca="1" si="26"/>
        <v/>
      </c>
      <c r="AP119" s="475" t="str">
        <f t="shared" ca="1" si="26"/>
        <v/>
      </c>
      <c r="AQ119" s="479" t="str">
        <f t="array" aca="1" ref="AQ119" ca="1">IF(ROW()-5&lt;=COUNTIF(科目编号,$AR$2),SMALL(IF(科目编号=$AR$2,ROW(科目编号),""),ROW()-5),"")</f>
        <v/>
      </c>
      <c r="AR119" s="480" t="str">
        <f ca="1">IF($BG$2=0,"",IF(AR118="本月合计","本年累计",IF(OR(ROW()=$AU$3,ROW()=$AV$3,ROW()=$AW$3,ROW()=$AX$3,ROW()=$AY$3,ROW()=$AZ$3,ROW()=$BA$3,ROW()=$BB$3,ROW()=$BC$3,ROW()=$BD$3,ROW()=$BE$3,ROW()=$BF$3),"本月合计",IF(ROW()&lt;7,$AQ$6,OFFSET($AQ$6,COUNT($AR$6:AR118),0)))))</f>
        <v/>
      </c>
    </row>
    <row r="120" spans="1:44">
      <c r="A120" s="469" t="str">
        <f ca="1">IFERROR(INDEX(凭证录入!A:A,$AR120),"")</f>
        <v/>
      </c>
      <c r="B120" s="469" t="str">
        <f ca="1">IFERROR(INDEX(凭证录入!B:B,$AR120),"")</f>
        <v/>
      </c>
      <c r="C120" s="470" t="str">
        <f ca="1">IFERROR(INDEX(凭证录入!G:G,$AR120),"")</f>
        <v/>
      </c>
      <c r="D120" s="471" t="str">
        <f ca="1">IFERROR(INDEX(凭证录入!F:F,$AR120),"")</f>
        <v/>
      </c>
      <c r="E120" s="472" t="str">
        <f ca="1">IFERROR(INDEX(凭证录入!H:H,$AR120),$AR120)</f>
        <v/>
      </c>
      <c r="F120" s="473">
        <f ca="1">IF(OR($BG$2=0,$AR120=""),,IF($AR120="本月合计",IF(ROW()=$BG$3,SUM($F$6:$F119),SUM(INDIRECT("$F$"&amp;OFFSET($AU$3,,MATCH(ROW(),$AU$3:$BF$3,)-2)+2&amp;":$E"&amp;ROW()-1))),IF($AR120="本年累计",SUMIF($AR$6:$AR120,"本月合计",$F$6:$F119),INDEX(凭证录入!K:K,$AR120))))</f>
        <v>0</v>
      </c>
      <c r="G120" s="459" t="str">
        <f t="shared" ca="1" si="27"/>
        <v/>
      </c>
      <c r="H120" s="460" t="str">
        <f t="shared" ca="1" si="27"/>
        <v/>
      </c>
      <c r="I120" s="460" t="str">
        <f t="shared" ca="1" si="27"/>
        <v/>
      </c>
      <c r="J120" s="460" t="str">
        <f t="shared" ca="1" si="27"/>
        <v/>
      </c>
      <c r="K120" s="460" t="str">
        <f t="shared" ca="1" si="27"/>
        <v/>
      </c>
      <c r="L120" s="460" t="str">
        <f t="shared" ca="1" si="27"/>
        <v/>
      </c>
      <c r="M120" s="460" t="str">
        <f t="shared" ca="1" si="27"/>
        <v/>
      </c>
      <c r="N120" s="460" t="str">
        <f t="shared" ca="1" si="27"/>
        <v/>
      </c>
      <c r="O120" s="461" t="str">
        <f t="shared" ca="1" si="27"/>
        <v/>
      </c>
      <c r="P120" s="474" t="str">
        <f t="shared" ca="1" si="27"/>
        <v/>
      </c>
      <c r="Q120" s="475" t="str">
        <f t="shared" ca="1" si="27"/>
        <v/>
      </c>
      <c r="R120" s="476">
        <f ca="1">IF(OR($BG$2=0,$AR120=""),,IF($AR120="本月合计",IF(ROW()=$BG$3,SUM($R$6:$R119),SUM(INDIRECT("$R$"&amp;OFFSET($AU$3,,MATCH(ROW(),$AU$3:$BF$3,)-2)+2&amp;":$R"&amp;ROW()-1))),IF($AR120="本年累计",SUMIF($AR$6:$AR120,"本月合计",$R$6:$R119),INDEX(凭证录入!L:L,$AR120))))</f>
        <v>0</v>
      </c>
      <c r="S120" s="459" t="str">
        <f t="shared" ca="1" si="28"/>
        <v/>
      </c>
      <c r="T120" s="460" t="str">
        <f t="shared" ca="1" si="28"/>
        <v/>
      </c>
      <c r="U120" s="460" t="str">
        <f t="shared" ca="1" si="28"/>
        <v/>
      </c>
      <c r="V120" s="460" t="str">
        <f t="shared" ca="1" si="28"/>
        <v/>
      </c>
      <c r="W120" s="460" t="str">
        <f t="shared" ca="1" si="28"/>
        <v/>
      </c>
      <c r="X120" s="460" t="str">
        <f t="shared" ca="1" si="28"/>
        <v/>
      </c>
      <c r="Y120" s="460" t="str">
        <f t="shared" ca="1" si="28"/>
        <v/>
      </c>
      <c r="Z120" s="460" t="str">
        <f t="shared" ca="1" si="28"/>
        <v/>
      </c>
      <c r="AA120" s="461" t="str">
        <f t="shared" ca="1" si="28"/>
        <v/>
      </c>
      <c r="AB120" s="474" t="str">
        <f t="shared" ca="1" si="28"/>
        <v/>
      </c>
      <c r="AC120" s="475" t="str">
        <f t="shared" ca="1" si="28"/>
        <v/>
      </c>
      <c r="AD120" s="477" t="str">
        <f t="shared" ca="1" si="18"/>
        <v/>
      </c>
      <c r="AE120" s="478">
        <f t="shared" ca="1" si="19"/>
        <v>0</v>
      </c>
      <c r="AF120" s="459" t="str">
        <f t="shared" ca="1" si="26"/>
        <v/>
      </c>
      <c r="AG120" s="460" t="str">
        <f t="shared" ca="1" si="26"/>
        <v/>
      </c>
      <c r="AH120" s="460" t="str">
        <f t="shared" ca="1" si="26"/>
        <v/>
      </c>
      <c r="AI120" s="460" t="str">
        <f t="shared" ca="1" si="26"/>
        <v/>
      </c>
      <c r="AJ120" s="460" t="str">
        <f t="shared" ca="1" si="26"/>
        <v/>
      </c>
      <c r="AK120" s="460" t="str">
        <f t="shared" ca="1" si="26"/>
        <v/>
      </c>
      <c r="AL120" s="460" t="str">
        <f t="shared" ca="1" si="26"/>
        <v/>
      </c>
      <c r="AM120" s="460" t="str">
        <f t="shared" ca="1" si="26"/>
        <v/>
      </c>
      <c r="AN120" s="461" t="str">
        <f t="shared" ca="1" si="26"/>
        <v/>
      </c>
      <c r="AO120" s="474" t="str">
        <f t="shared" ca="1" si="26"/>
        <v/>
      </c>
      <c r="AP120" s="475" t="str">
        <f t="shared" ca="1" si="26"/>
        <v/>
      </c>
      <c r="AQ120" s="479" t="str">
        <f t="array" aca="1" ref="AQ120" ca="1">IF(ROW()-5&lt;=COUNTIF(科目编号,$AR$2),SMALL(IF(科目编号=$AR$2,ROW(科目编号),""),ROW()-5),"")</f>
        <v/>
      </c>
      <c r="AR120" s="480" t="str">
        <f ca="1">IF($BG$2=0,"",IF(AR119="本月合计","本年累计",IF(OR(ROW()=$AU$3,ROW()=$AV$3,ROW()=$AW$3,ROW()=$AX$3,ROW()=$AY$3,ROW()=$AZ$3,ROW()=$BA$3,ROW()=$BB$3,ROW()=$BC$3,ROW()=$BD$3,ROW()=$BE$3,ROW()=$BF$3),"本月合计",IF(ROW()&lt;7,$AQ$6,OFFSET($AQ$6,COUNT($AR$6:AR119),0)))))</f>
        <v/>
      </c>
    </row>
    <row r="121" spans="1:44">
      <c r="A121" s="469" t="str">
        <f ca="1">IFERROR(INDEX(凭证录入!A:A,$AR121),"")</f>
        <v/>
      </c>
      <c r="B121" s="469" t="str">
        <f ca="1">IFERROR(INDEX(凭证录入!B:B,$AR121),"")</f>
        <v/>
      </c>
      <c r="C121" s="470" t="str">
        <f ca="1">IFERROR(INDEX(凭证录入!G:G,$AR121),"")</f>
        <v/>
      </c>
      <c r="D121" s="471" t="str">
        <f ca="1">IFERROR(INDEX(凭证录入!F:F,$AR121),"")</f>
        <v/>
      </c>
      <c r="E121" s="472" t="str">
        <f ca="1">IFERROR(INDEX(凭证录入!H:H,$AR121),$AR121)</f>
        <v/>
      </c>
      <c r="F121" s="473">
        <f ca="1">IF(OR($BG$2=0,$AR121=""),,IF($AR121="本月合计",IF(ROW()=$BG$3,SUM($F$6:$F120),SUM(INDIRECT("$F$"&amp;OFFSET($AU$3,,MATCH(ROW(),$AU$3:$BF$3,)-2)+2&amp;":$E"&amp;ROW()-1))),IF($AR121="本年累计",SUMIF($AR$6:$AR121,"本月合计",$F$6:$F120),INDEX(凭证录入!K:K,$AR121))))</f>
        <v>0</v>
      </c>
      <c r="G121" s="459" t="str">
        <f t="shared" ca="1" si="27"/>
        <v/>
      </c>
      <c r="H121" s="460" t="str">
        <f t="shared" ca="1" si="27"/>
        <v/>
      </c>
      <c r="I121" s="460" t="str">
        <f t="shared" ca="1" si="27"/>
        <v/>
      </c>
      <c r="J121" s="460" t="str">
        <f t="shared" ca="1" si="27"/>
        <v/>
      </c>
      <c r="K121" s="460" t="str">
        <f t="shared" ca="1" si="27"/>
        <v/>
      </c>
      <c r="L121" s="460" t="str">
        <f t="shared" ca="1" si="27"/>
        <v/>
      </c>
      <c r="M121" s="460" t="str">
        <f t="shared" ca="1" si="27"/>
        <v/>
      </c>
      <c r="N121" s="460" t="str">
        <f t="shared" ca="1" si="27"/>
        <v/>
      </c>
      <c r="O121" s="461" t="str">
        <f t="shared" ca="1" si="27"/>
        <v/>
      </c>
      <c r="P121" s="474" t="str">
        <f t="shared" ca="1" si="27"/>
        <v/>
      </c>
      <c r="Q121" s="475" t="str">
        <f t="shared" ca="1" si="27"/>
        <v/>
      </c>
      <c r="R121" s="476">
        <f ca="1">IF(OR($BG$2=0,$AR121=""),,IF($AR121="本月合计",IF(ROW()=$BG$3,SUM($R$6:$R120),SUM(INDIRECT("$R$"&amp;OFFSET($AU$3,,MATCH(ROW(),$AU$3:$BF$3,)-2)+2&amp;":$R"&amp;ROW()-1))),IF($AR121="本年累计",SUMIF($AR$6:$AR121,"本月合计",$R$6:$R120),INDEX(凭证录入!L:L,$AR121))))</f>
        <v>0</v>
      </c>
      <c r="S121" s="459" t="str">
        <f t="shared" ca="1" si="28"/>
        <v/>
      </c>
      <c r="T121" s="460" t="str">
        <f t="shared" ca="1" si="28"/>
        <v/>
      </c>
      <c r="U121" s="460" t="str">
        <f t="shared" ca="1" si="28"/>
        <v/>
      </c>
      <c r="V121" s="460" t="str">
        <f t="shared" ca="1" si="28"/>
        <v/>
      </c>
      <c r="W121" s="460" t="str">
        <f t="shared" ca="1" si="28"/>
        <v/>
      </c>
      <c r="X121" s="460" t="str">
        <f t="shared" ca="1" si="28"/>
        <v/>
      </c>
      <c r="Y121" s="460" t="str">
        <f t="shared" ca="1" si="28"/>
        <v/>
      </c>
      <c r="Z121" s="460" t="str">
        <f t="shared" ca="1" si="28"/>
        <v/>
      </c>
      <c r="AA121" s="461" t="str">
        <f t="shared" ca="1" si="28"/>
        <v/>
      </c>
      <c r="AB121" s="474" t="str">
        <f t="shared" ca="1" si="28"/>
        <v/>
      </c>
      <c r="AC121" s="475" t="str">
        <f t="shared" ca="1" si="28"/>
        <v/>
      </c>
      <c r="AD121" s="477" t="str">
        <f t="shared" ca="1" si="18"/>
        <v/>
      </c>
      <c r="AE121" s="478">
        <f t="shared" ca="1" si="19"/>
        <v>0</v>
      </c>
      <c r="AF121" s="459" t="str">
        <f t="shared" ca="1" si="26"/>
        <v/>
      </c>
      <c r="AG121" s="460" t="str">
        <f t="shared" ca="1" si="26"/>
        <v/>
      </c>
      <c r="AH121" s="460" t="str">
        <f t="shared" ca="1" si="26"/>
        <v/>
      </c>
      <c r="AI121" s="460" t="str">
        <f t="shared" ca="1" si="26"/>
        <v/>
      </c>
      <c r="AJ121" s="460" t="str">
        <f t="shared" ca="1" si="26"/>
        <v/>
      </c>
      <c r="AK121" s="460" t="str">
        <f t="shared" ca="1" si="26"/>
        <v/>
      </c>
      <c r="AL121" s="460" t="str">
        <f t="shared" ca="1" si="26"/>
        <v/>
      </c>
      <c r="AM121" s="460" t="str">
        <f t="shared" ca="1" si="26"/>
        <v/>
      </c>
      <c r="AN121" s="461" t="str">
        <f t="shared" ca="1" si="26"/>
        <v/>
      </c>
      <c r="AO121" s="474" t="str">
        <f t="shared" ca="1" si="26"/>
        <v/>
      </c>
      <c r="AP121" s="475" t="str">
        <f t="shared" ca="1" si="26"/>
        <v/>
      </c>
      <c r="AQ121" s="479" t="str">
        <f t="array" aca="1" ref="AQ121" ca="1">IF(ROW()-5&lt;=COUNTIF(科目编号,$AR$2),SMALL(IF(科目编号=$AR$2,ROW(科目编号),""),ROW()-5),"")</f>
        <v/>
      </c>
      <c r="AR121" s="480" t="str">
        <f ca="1">IF($BG$2=0,"",IF(AR120="本月合计","本年累计",IF(OR(ROW()=$AU$3,ROW()=$AV$3,ROW()=$AW$3,ROW()=$AX$3,ROW()=$AY$3,ROW()=$AZ$3,ROW()=$BA$3,ROW()=$BB$3,ROW()=$BC$3,ROW()=$BD$3,ROW()=$BE$3,ROW()=$BF$3),"本月合计",IF(ROW()&lt;7,$AQ$6,OFFSET($AQ$6,COUNT($AR$6:AR120),0)))))</f>
        <v/>
      </c>
    </row>
    <row r="122" spans="1:44">
      <c r="A122" s="469" t="str">
        <f ca="1">IFERROR(INDEX(凭证录入!A:A,$AR122),"")</f>
        <v/>
      </c>
      <c r="B122" s="469" t="str">
        <f ca="1">IFERROR(INDEX(凭证录入!B:B,$AR122),"")</f>
        <v/>
      </c>
      <c r="C122" s="470" t="str">
        <f ca="1">IFERROR(INDEX(凭证录入!G:G,$AR122),"")</f>
        <v/>
      </c>
      <c r="D122" s="471" t="str">
        <f ca="1">IFERROR(INDEX(凭证录入!F:F,$AR122),"")</f>
        <v/>
      </c>
      <c r="E122" s="472" t="str">
        <f ca="1">IFERROR(INDEX(凭证录入!H:H,$AR122),$AR122)</f>
        <v/>
      </c>
      <c r="F122" s="473">
        <f ca="1">IF(OR($BG$2=0,$AR122=""),,IF($AR122="本月合计",IF(ROW()=$BG$3,SUM($F$6:$F121),SUM(INDIRECT("$F$"&amp;OFFSET($AU$3,,MATCH(ROW(),$AU$3:$BF$3,)-2)+2&amp;":$E"&amp;ROW()-1))),IF($AR122="本年累计",SUMIF($AR$6:$AR122,"本月合计",$F$6:$F121),INDEX(凭证录入!K:K,$AR122))))</f>
        <v>0</v>
      </c>
      <c r="G122" s="459" t="str">
        <f t="shared" ca="1" si="27"/>
        <v/>
      </c>
      <c r="H122" s="460" t="str">
        <f t="shared" ca="1" si="27"/>
        <v/>
      </c>
      <c r="I122" s="460" t="str">
        <f t="shared" ca="1" si="27"/>
        <v/>
      </c>
      <c r="J122" s="460" t="str">
        <f t="shared" ca="1" si="27"/>
        <v/>
      </c>
      <c r="K122" s="460" t="str">
        <f t="shared" ca="1" si="27"/>
        <v/>
      </c>
      <c r="L122" s="460" t="str">
        <f t="shared" ca="1" si="27"/>
        <v/>
      </c>
      <c r="M122" s="460" t="str">
        <f t="shared" ca="1" si="27"/>
        <v/>
      </c>
      <c r="N122" s="460" t="str">
        <f t="shared" ca="1" si="27"/>
        <v/>
      </c>
      <c r="O122" s="461" t="str">
        <f t="shared" ca="1" si="27"/>
        <v/>
      </c>
      <c r="P122" s="474" t="str">
        <f t="shared" ca="1" si="27"/>
        <v/>
      </c>
      <c r="Q122" s="475" t="str">
        <f t="shared" ca="1" si="27"/>
        <v/>
      </c>
      <c r="R122" s="476">
        <f ca="1">IF(OR($BG$2=0,$AR122=""),,IF($AR122="本月合计",IF(ROW()=$BG$3,SUM($R$6:$R121),SUM(INDIRECT("$R$"&amp;OFFSET($AU$3,,MATCH(ROW(),$AU$3:$BF$3,)-2)+2&amp;":$R"&amp;ROW()-1))),IF($AR122="本年累计",SUMIF($AR$6:$AR122,"本月合计",$R$6:$R121),INDEX(凭证录入!L:L,$AR122))))</f>
        <v>0</v>
      </c>
      <c r="S122" s="459" t="str">
        <f t="shared" ca="1" si="28"/>
        <v/>
      </c>
      <c r="T122" s="460" t="str">
        <f t="shared" ca="1" si="28"/>
        <v/>
      </c>
      <c r="U122" s="460" t="str">
        <f t="shared" ca="1" si="28"/>
        <v/>
      </c>
      <c r="V122" s="460" t="str">
        <f t="shared" ca="1" si="28"/>
        <v/>
      </c>
      <c r="W122" s="460" t="str">
        <f t="shared" ca="1" si="28"/>
        <v/>
      </c>
      <c r="X122" s="460" t="str">
        <f t="shared" ca="1" si="28"/>
        <v/>
      </c>
      <c r="Y122" s="460" t="str">
        <f t="shared" ca="1" si="28"/>
        <v/>
      </c>
      <c r="Z122" s="460" t="str">
        <f t="shared" ca="1" si="28"/>
        <v/>
      </c>
      <c r="AA122" s="461" t="str">
        <f t="shared" ca="1" si="28"/>
        <v/>
      </c>
      <c r="AB122" s="474" t="str">
        <f t="shared" ca="1" si="28"/>
        <v/>
      </c>
      <c r="AC122" s="475" t="str">
        <f t="shared" ca="1" si="28"/>
        <v/>
      </c>
      <c r="AD122" s="477" t="str">
        <f t="shared" ca="1" si="18"/>
        <v/>
      </c>
      <c r="AE122" s="478">
        <f t="shared" ca="1" si="19"/>
        <v>0</v>
      </c>
      <c r="AF122" s="459" t="str">
        <f t="shared" ca="1" si="26"/>
        <v/>
      </c>
      <c r="AG122" s="460" t="str">
        <f t="shared" ca="1" si="26"/>
        <v/>
      </c>
      <c r="AH122" s="460" t="str">
        <f t="shared" ca="1" si="26"/>
        <v/>
      </c>
      <c r="AI122" s="460" t="str">
        <f t="shared" ca="1" si="26"/>
        <v/>
      </c>
      <c r="AJ122" s="460" t="str">
        <f t="shared" ca="1" si="26"/>
        <v/>
      </c>
      <c r="AK122" s="460" t="str">
        <f t="shared" ca="1" si="26"/>
        <v/>
      </c>
      <c r="AL122" s="460" t="str">
        <f t="shared" ca="1" si="26"/>
        <v/>
      </c>
      <c r="AM122" s="460" t="str">
        <f t="shared" ca="1" si="26"/>
        <v/>
      </c>
      <c r="AN122" s="461" t="str">
        <f t="shared" ca="1" si="26"/>
        <v/>
      </c>
      <c r="AO122" s="474" t="str">
        <f t="shared" ca="1" si="26"/>
        <v/>
      </c>
      <c r="AP122" s="475" t="str">
        <f t="shared" ca="1" si="26"/>
        <v/>
      </c>
      <c r="AQ122" s="479" t="str">
        <f t="array" aca="1" ref="AQ122" ca="1">IF(ROW()-5&lt;=COUNTIF(科目编号,$AR$2),SMALL(IF(科目编号=$AR$2,ROW(科目编号),""),ROW()-5),"")</f>
        <v/>
      </c>
      <c r="AR122" s="480" t="str">
        <f ca="1">IF($BG$2=0,"",IF(AR121="本月合计","本年累计",IF(OR(ROW()=$AU$3,ROW()=$AV$3,ROW()=$AW$3,ROW()=$AX$3,ROW()=$AY$3,ROW()=$AZ$3,ROW()=$BA$3,ROW()=$BB$3,ROW()=$BC$3,ROW()=$BD$3,ROW()=$BE$3,ROW()=$BF$3),"本月合计",IF(ROW()&lt;7,$AQ$6,OFFSET($AQ$6,COUNT($AR$6:AR121),0)))))</f>
        <v/>
      </c>
    </row>
    <row r="123" spans="1:44">
      <c r="A123" s="469" t="str">
        <f ca="1">IFERROR(INDEX(凭证录入!A:A,$AR123),"")</f>
        <v/>
      </c>
      <c r="B123" s="469" t="str">
        <f ca="1">IFERROR(INDEX(凭证录入!B:B,$AR123),"")</f>
        <v/>
      </c>
      <c r="C123" s="470" t="str">
        <f ca="1">IFERROR(INDEX(凭证录入!G:G,$AR123),"")</f>
        <v/>
      </c>
      <c r="D123" s="471" t="str">
        <f ca="1">IFERROR(INDEX(凭证录入!F:F,$AR123),"")</f>
        <v/>
      </c>
      <c r="E123" s="472" t="str">
        <f ca="1">IFERROR(INDEX(凭证录入!H:H,$AR123),$AR123)</f>
        <v/>
      </c>
      <c r="F123" s="473">
        <f ca="1">IF(OR($BG$2=0,$AR123=""),,IF($AR123="本月合计",IF(ROW()=$BG$3,SUM($F$6:$F122),SUM(INDIRECT("$F$"&amp;OFFSET($AU$3,,MATCH(ROW(),$AU$3:$BF$3,)-2)+2&amp;":$E"&amp;ROW()-1))),IF($AR123="本年累计",SUMIF($AR$6:$AR123,"本月合计",$F$6:$F122),INDEX(凭证录入!K:K,$AR123))))</f>
        <v>0</v>
      </c>
      <c r="G123" s="459" t="str">
        <f t="shared" ca="1" si="27"/>
        <v/>
      </c>
      <c r="H123" s="460" t="str">
        <f t="shared" ca="1" si="27"/>
        <v/>
      </c>
      <c r="I123" s="460" t="str">
        <f t="shared" ca="1" si="27"/>
        <v/>
      </c>
      <c r="J123" s="460" t="str">
        <f t="shared" ca="1" si="27"/>
        <v/>
      </c>
      <c r="K123" s="460" t="str">
        <f t="shared" ca="1" si="27"/>
        <v/>
      </c>
      <c r="L123" s="460" t="str">
        <f t="shared" ca="1" si="27"/>
        <v/>
      </c>
      <c r="M123" s="460" t="str">
        <f t="shared" ca="1" si="27"/>
        <v/>
      </c>
      <c r="N123" s="460" t="str">
        <f t="shared" ca="1" si="27"/>
        <v/>
      </c>
      <c r="O123" s="461" t="str">
        <f t="shared" ca="1" si="27"/>
        <v/>
      </c>
      <c r="P123" s="474" t="str">
        <f t="shared" ca="1" si="27"/>
        <v/>
      </c>
      <c r="Q123" s="475" t="str">
        <f t="shared" ca="1" si="27"/>
        <v/>
      </c>
      <c r="R123" s="476">
        <f ca="1">IF(OR($BG$2=0,$AR123=""),,IF($AR123="本月合计",IF(ROW()=$BG$3,SUM($R$6:$R122),SUM(INDIRECT("$R$"&amp;OFFSET($AU$3,,MATCH(ROW(),$AU$3:$BF$3,)-2)+2&amp;":$R"&amp;ROW()-1))),IF($AR123="本年累计",SUMIF($AR$6:$AR123,"本月合计",$R$6:$R122),INDEX(凭证录入!L:L,$AR123))))</f>
        <v>0</v>
      </c>
      <c r="S123" s="459" t="str">
        <f t="shared" ca="1" si="28"/>
        <v/>
      </c>
      <c r="T123" s="460" t="str">
        <f t="shared" ca="1" si="28"/>
        <v/>
      </c>
      <c r="U123" s="460" t="str">
        <f t="shared" ca="1" si="28"/>
        <v/>
      </c>
      <c r="V123" s="460" t="str">
        <f t="shared" ca="1" si="28"/>
        <v/>
      </c>
      <c r="W123" s="460" t="str">
        <f t="shared" ca="1" si="28"/>
        <v/>
      </c>
      <c r="X123" s="460" t="str">
        <f t="shared" ca="1" si="28"/>
        <v/>
      </c>
      <c r="Y123" s="460" t="str">
        <f t="shared" ca="1" si="28"/>
        <v/>
      </c>
      <c r="Z123" s="460" t="str">
        <f t="shared" ca="1" si="28"/>
        <v/>
      </c>
      <c r="AA123" s="461" t="str">
        <f t="shared" ca="1" si="28"/>
        <v/>
      </c>
      <c r="AB123" s="474" t="str">
        <f t="shared" ca="1" si="28"/>
        <v/>
      </c>
      <c r="AC123" s="475" t="str">
        <f t="shared" ca="1" si="28"/>
        <v/>
      </c>
      <c r="AD123" s="477" t="str">
        <f t="shared" ca="1" si="18"/>
        <v/>
      </c>
      <c r="AE123" s="478">
        <f t="shared" ca="1" si="19"/>
        <v>0</v>
      </c>
      <c r="AF123" s="459" t="str">
        <f t="shared" ca="1" si="26"/>
        <v/>
      </c>
      <c r="AG123" s="460" t="str">
        <f t="shared" ca="1" si="26"/>
        <v/>
      </c>
      <c r="AH123" s="460" t="str">
        <f t="shared" ca="1" si="26"/>
        <v/>
      </c>
      <c r="AI123" s="460" t="str">
        <f t="shared" ca="1" si="26"/>
        <v/>
      </c>
      <c r="AJ123" s="460" t="str">
        <f t="shared" ca="1" si="26"/>
        <v/>
      </c>
      <c r="AK123" s="460" t="str">
        <f t="shared" ca="1" si="26"/>
        <v/>
      </c>
      <c r="AL123" s="460" t="str">
        <f t="shared" ca="1" si="26"/>
        <v/>
      </c>
      <c r="AM123" s="460" t="str">
        <f t="shared" ca="1" si="26"/>
        <v/>
      </c>
      <c r="AN123" s="461" t="str">
        <f t="shared" ca="1" si="26"/>
        <v/>
      </c>
      <c r="AO123" s="474" t="str">
        <f t="shared" ca="1" si="26"/>
        <v/>
      </c>
      <c r="AP123" s="475" t="str">
        <f t="shared" ca="1" si="26"/>
        <v/>
      </c>
      <c r="AQ123" s="479" t="str">
        <f t="array" aca="1" ref="AQ123" ca="1">IF(ROW()-5&lt;=COUNTIF(科目编号,$AR$2),SMALL(IF(科目编号=$AR$2,ROW(科目编号),""),ROW()-5),"")</f>
        <v/>
      </c>
      <c r="AR123" s="480" t="str">
        <f ca="1">IF($BG$2=0,"",IF(AR122="本月合计","本年累计",IF(OR(ROW()=$AU$3,ROW()=$AV$3,ROW()=$AW$3,ROW()=$AX$3,ROW()=$AY$3,ROW()=$AZ$3,ROW()=$BA$3,ROW()=$BB$3,ROW()=$BC$3,ROW()=$BD$3,ROW()=$BE$3,ROW()=$BF$3),"本月合计",IF(ROW()&lt;7,$AQ$6,OFFSET($AQ$6,COUNT($AR$6:AR122),0)))))</f>
        <v/>
      </c>
    </row>
    <row r="124" spans="1:44">
      <c r="A124" s="469" t="str">
        <f ca="1">IFERROR(INDEX(凭证录入!A:A,$AR124),"")</f>
        <v/>
      </c>
      <c r="B124" s="469" t="str">
        <f ca="1">IFERROR(INDEX(凭证录入!B:B,$AR124),"")</f>
        <v/>
      </c>
      <c r="C124" s="470" t="str">
        <f ca="1">IFERROR(INDEX(凭证录入!G:G,$AR124),"")</f>
        <v/>
      </c>
      <c r="D124" s="471" t="str">
        <f ca="1">IFERROR(INDEX(凭证录入!F:F,$AR124),"")</f>
        <v/>
      </c>
      <c r="E124" s="472" t="str">
        <f ca="1">IFERROR(INDEX(凭证录入!H:H,$AR124),$AR124)</f>
        <v/>
      </c>
      <c r="F124" s="473">
        <f ca="1">IF(OR($BG$2=0,$AR124=""),,IF($AR124="本月合计",IF(ROW()=$BG$3,SUM($F$6:$F123),SUM(INDIRECT("$F$"&amp;OFFSET($AU$3,,MATCH(ROW(),$AU$3:$BF$3,)-2)+2&amp;":$E"&amp;ROW()-1))),IF($AR124="本年累计",SUMIF($AR$6:$AR124,"本月合计",$F$6:$F123),INDEX(凭证录入!K:K,$AR124))))</f>
        <v>0</v>
      </c>
      <c r="G124" s="459" t="str">
        <f t="shared" ca="1" si="27"/>
        <v/>
      </c>
      <c r="H124" s="460" t="str">
        <f t="shared" ca="1" si="27"/>
        <v/>
      </c>
      <c r="I124" s="460" t="str">
        <f t="shared" ca="1" si="27"/>
        <v/>
      </c>
      <c r="J124" s="460" t="str">
        <f t="shared" ca="1" si="27"/>
        <v/>
      </c>
      <c r="K124" s="460" t="str">
        <f t="shared" ca="1" si="27"/>
        <v/>
      </c>
      <c r="L124" s="460" t="str">
        <f t="shared" ca="1" si="27"/>
        <v/>
      </c>
      <c r="M124" s="460" t="str">
        <f t="shared" ca="1" si="27"/>
        <v/>
      </c>
      <c r="N124" s="460" t="str">
        <f t="shared" ca="1" si="27"/>
        <v/>
      </c>
      <c r="O124" s="461" t="str">
        <f t="shared" ca="1" si="27"/>
        <v/>
      </c>
      <c r="P124" s="474" t="str">
        <f t="shared" ca="1" si="27"/>
        <v/>
      </c>
      <c r="Q124" s="475" t="str">
        <f t="shared" ca="1" si="27"/>
        <v/>
      </c>
      <c r="R124" s="476">
        <f ca="1">IF(OR($BG$2=0,$AR124=""),,IF($AR124="本月合计",IF(ROW()=$BG$3,SUM($R$6:$R123),SUM(INDIRECT("$R$"&amp;OFFSET($AU$3,,MATCH(ROW(),$AU$3:$BF$3,)-2)+2&amp;":$R"&amp;ROW()-1))),IF($AR124="本年累计",SUMIF($AR$6:$AR124,"本月合计",$R$6:$R123),INDEX(凭证录入!L:L,$AR124))))</f>
        <v>0</v>
      </c>
      <c r="S124" s="459" t="str">
        <f t="shared" ca="1" si="28"/>
        <v/>
      </c>
      <c r="T124" s="460" t="str">
        <f t="shared" ca="1" si="28"/>
        <v/>
      </c>
      <c r="U124" s="460" t="str">
        <f t="shared" ca="1" si="28"/>
        <v/>
      </c>
      <c r="V124" s="460" t="str">
        <f t="shared" ca="1" si="28"/>
        <v/>
      </c>
      <c r="W124" s="460" t="str">
        <f t="shared" ca="1" si="28"/>
        <v/>
      </c>
      <c r="X124" s="460" t="str">
        <f t="shared" ca="1" si="28"/>
        <v/>
      </c>
      <c r="Y124" s="460" t="str">
        <f t="shared" ca="1" si="28"/>
        <v/>
      </c>
      <c r="Z124" s="460" t="str">
        <f t="shared" ca="1" si="28"/>
        <v/>
      </c>
      <c r="AA124" s="461" t="str">
        <f t="shared" ca="1" si="28"/>
        <v/>
      </c>
      <c r="AB124" s="474" t="str">
        <f t="shared" ca="1" si="28"/>
        <v/>
      </c>
      <c r="AC124" s="475" t="str">
        <f t="shared" ca="1" si="28"/>
        <v/>
      </c>
      <c r="AD124" s="477" t="str">
        <f t="shared" ca="1" si="18"/>
        <v/>
      </c>
      <c r="AE124" s="478">
        <f t="shared" ca="1" si="19"/>
        <v>0</v>
      </c>
      <c r="AF124" s="459" t="str">
        <f t="shared" ca="1" si="26"/>
        <v/>
      </c>
      <c r="AG124" s="460" t="str">
        <f t="shared" ca="1" si="26"/>
        <v/>
      </c>
      <c r="AH124" s="460" t="str">
        <f t="shared" ca="1" si="26"/>
        <v/>
      </c>
      <c r="AI124" s="460" t="str">
        <f t="shared" ca="1" si="26"/>
        <v/>
      </c>
      <c r="AJ124" s="460" t="str">
        <f t="shared" ca="1" si="26"/>
        <v/>
      </c>
      <c r="AK124" s="460" t="str">
        <f t="shared" ca="1" si="26"/>
        <v/>
      </c>
      <c r="AL124" s="460" t="str">
        <f t="shared" ca="1" si="26"/>
        <v/>
      </c>
      <c r="AM124" s="460" t="str">
        <f t="shared" ca="1" si="26"/>
        <v/>
      </c>
      <c r="AN124" s="461" t="str">
        <f t="shared" ca="1" si="26"/>
        <v/>
      </c>
      <c r="AO124" s="474" t="str">
        <f t="shared" ca="1" si="26"/>
        <v/>
      </c>
      <c r="AP124" s="475" t="str">
        <f t="shared" ca="1" si="26"/>
        <v/>
      </c>
      <c r="AQ124" s="479" t="str">
        <f t="array" aca="1" ref="AQ124" ca="1">IF(ROW()-5&lt;=COUNTIF(科目编号,$AR$2),SMALL(IF(科目编号=$AR$2,ROW(科目编号),""),ROW()-5),"")</f>
        <v/>
      </c>
      <c r="AR124" s="480" t="str">
        <f ca="1">IF($BG$2=0,"",IF(AR123="本月合计","本年累计",IF(OR(ROW()=$AU$3,ROW()=$AV$3,ROW()=$AW$3,ROW()=$AX$3,ROW()=$AY$3,ROW()=$AZ$3,ROW()=$BA$3,ROW()=$BB$3,ROW()=$BC$3,ROW()=$BD$3,ROW()=$BE$3,ROW()=$BF$3),"本月合计",IF(ROW()&lt;7,$AQ$6,OFFSET($AQ$6,COUNT($AR$6:AR123),0)))))</f>
        <v/>
      </c>
    </row>
    <row r="125" spans="1:44">
      <c r="A125" s="469" t="str">
        <f ca="1">IFERROR(INDEX(凭证录入!A:A,$AR125),"")</f>
        <v/>
      </c>
      <c r="B125" s="469" t="str">
        <f ca="1">IFERROR(INDEX(凭证录入!B:B,$AR125),"")</f>
        <v/>
      </c>
      <c r="C125" s="470" t="str">
        <f ca="1">IFERROR(INDEX(凭证录入!G:G,$AR125),"")</f>
        <v/>
      </c>
      <c r="D125" s="471" t="str">
        <f ca="1">IFERROR(INDEX(凭证录入!F:F,$AR125),"")</f>
        <v/>
      </c>
      <c r="E125" s="472" t="str">
        <f ca="1">IFERROR(INDEX(凭证录入!H:H,$AR125),$AR125)</f>
        <v/>
      </c>
      <c r="F125" s="473">
        <f ca="1">IF(OR($BG$2=0,$AR125=""),,IF($AR125="本月合计",IF(ROW()=$BG$3,SUM($F$6:$F124),SUM(INDIRECT("$F$"&amp;OFFSET($AU$3,,MATCH(ROW(),$AU$3:$BF$3,)-2)+2&amp;":$E"&amp;ROW()-1))),IF($AR125="本年累计",SUMIF($AR$6:$AR125,"本月合计",$F$6:$F124),INDEX(凭证录入!K:K,$AR125))))</f>
        <v>0</v>
      </c>
      <c r="G125" s="459" t="str">
        <f t="shared" ca="1" si="27"/>
        <v/>
      </c>
      <c r="H125" s="460" t="str">
        <f t="shared" ca="1" si="27"/>
        <v/>
      </c>
      <c r="I125" s="460" t="str">
        <f t="shared" ca="1" si="27"/>
        <v/>
      </c>
      <c r="J125" s="460" t="str">
        <f t="shared" ca="1" si="27"/>
        <v/>
      </c>
      <c r="K125" s="460" t="str">
        <f t="shared" ca="1" si="27"/>
        <v/>
      </c>
      <c r="L125" s="460" t="str">
        <f t="shared" ca="1" si="27"/>
        <v/>
      </c>
      <c r="M125" s="460" t="str">
        <f t="shared" ca="1" si="27"/>
        <v/>
      </c>
      <c r="N125" s="460" t="str">
        <f t="shared" ca="1" si="27"/>
        <v/>
      </c>
      <c r="O125" s="461" t="str">
        <f t="shared" ca="1" si="27"/>
        <v/>
      </c>
      <c r="P125" s="474" t="str">
        <f t="shared" ca="1" si="27"/>
        <v/>
      </c>
      <c r="Q125" s="475" t="str">
        <f t="shared" ca="1" si="27"/>
        <v/>
      </c>
      <c r="R125" s="476">
        <f ca="1">IF(OR($BG$2=0,$AR125=""),,IF($AR125="本月合计",IF(ROW()=$BG$3,SUM($R$6:$R124),SUM(INDIRECT("$R$"&amp;OFFSET($AU$3,,MATCH(ROW(),$AU$3:$BF$3,)-2)+2&amp;":$R"&amp;ROW()-1))),IF($AR125="本年累计",SUMIF($AR$6:$AR125,"本月合计",$R$6:$R124),INDEX(凭证录入!L:L,$AR125))))</f>
        <v>0</v>
      </c>
      <c r="S125" s="459" t="str">
        <f t="shared" ca="1" si="28"/>
        <v/>
      </c>
      <c r="T125" s="460" t="str">
        <f t="shared" ca="1" si="28"/>
        <v/>
      </c>
      <c r="U125" s="460" t="str">
        <f t="shared" ca="1" si="28"/>
        <v/>
      </c>
      <c r="V125" s="460" t="str">
        <f t="shared" ca="1" si="28"/>
        <v/>
      </c>
      <c r="W125" s="460" t="str">
        <f t="shared" ca="1" si="28"/>
        <v/>
      </c>
      <c r="X125" s="460" t="str">
        <f t="shared" ca="1" si="28"/>
        <v/>
      </c>
      <c r="Y125" s="460" t="str">
        <f t="shared" ca="1" si="28"/>
        <v/>
      </c>
      <c r="Z125" s="460" t="str">
        <f t="shared" ca="1" si="28"/>
        <v/>
      </c>
      <c r="AA125" s="461" t="str">
        <f t="shared" ca="1" si="28"/>
        <v/>
      </c>
      <c r="AB125" s="474" t="str">
        <f t="shared" ca="1" si="28"/>
        <v/>
      </c>
      <c r="AC125" s="475" t="str">
        <f t="shared" ca="1" si="28"/>
        <v/>
      </c>
      <c r="AD125" s="477" t="str">
        <f t="shared" ca="1" si="18"/>
        <v/>
      </c>
      <c r="AE125" s="478">
        <f t="shared" ca="1" si="19"/>
        <v>0</v>
      </c>
      <c r="AF125" s="459" t="str">
        <f t="shared" ca="1" si="26"/>
        <v/>
      </c>
      <c r="AG125" s="460" t="str">
        <f t="shared" ca="1" si="26"/>
        <v/>
      </c>
      <c r="AH125" s="460" t="str">
        <f t="shared" ca="1" si="26"/>
        <v/>
      </c>
      <c r="AI125" s="460" t="str">
        <f t="shared" ca="1" si="26"/>
        <v/>
      </c>
      <c r="AJ125" s="460" t="str">
        <f t="shared" ca="1" si="26"/>
        <v/>
      </c>
      <c r="AK125" s="460" t="str">
        <f t="shared" ca="1" si="26"/>
        <v/>
      </c>
      <c r="AL125" s="460" t="str">
        <f t="shared" ca="1" si="26"/>
        <v/>
      </c>
      <c r="AM125" s="460" t="str">
        <f t="shared" ca="1" si="26"/>
        <v/>
      </c>
      <c r="AN125" s="461" t="str">
        <f t="shared" ca="1" si="26"/>
        <v/>
      </c>
      <c r="AO125" s="474" t="str">
        <f t="shared" ca="1" si="26"/>
        <v/>
      </c>
      <c r="AP125" s="475" t="str">
        <f t="shared" ca="1" si="26"/>
        <v/>
      </c>
      <c r="AQ125" s="479" t="str">
        <f t="array" aca="1" ref="AQ125" ca="1">IF(ROW()-5&lt;=COUNTIF(科目编号,$AR$2),SMALL(IF(科目编号=$AR$2,ROW(科目编号),""),ROW()-5),"")</f>
        <v/>
      </c>
      <c r="AR125" s="480" t="str">
        <f ca="1">IF($BG$2=0,"",IF(AR124="本月合计","本年累计",IF(OR(ROW()=$AU$3,ROW()=$AV$3,ROW()=$AW$3,ROW()=$AX$3,ROW()=$AY$3,ROW()=$AZ$3,ROW()=$BA$3,ROW()=$BB$3,ROW()=$BC$3,ROW()=$BD$3,ROW()=$BE$3,ROW()=$BF$3),"本月合计",IF(ROW()&lt;7,$AQ$6,OFFSET($AQ$6,COUNT($AR$6:AR124),0)))))</f>
        <v/>
      </c>
    </row>
    <row r="126" spans="1:44">
      <c r="A126" s="469" t="str">
        <f ca="1">IFERROR(INDEX(凭证录入!A:A,$AR126),"")</f>
        <v/>
      </c>
      <c r="B126" s="469" t="str">
        <f ca="1">IFERROR(INDEX(凭证录入!B:B,$AR126),"")</f>
        <v/>
      </c>
      <c r="C126" s="470" t="str">
        <f ca="1">IFERROR(INDEX(凭证录入!G:G,$AR126),"")</f>
        <v/>
      </c>
      <c r="D126" s="471" t="str">
        <f ca="1">IFERROR(INDEX(凭证录入!F:F,$AR126),"")</f>
        <v/>
      </c>
      <c r="E126" s="472" t="str">
        <f ca="1">IFERROR(INDEX(凭证录入!H:H,$AR126),$AR126)</f>
        <v/>
      </c>
      <c r="F126" s="473">
        <f ca="1">IF(OR($BG$2=0,$AR126=""),,IF($AR126="本月合计",IF(ROW()=$BG$3,SUM($F$6:$F125),SUM(INDIRECT("$F$"&amp;OFFSET($AU$3,,MATCH(ROW(),$AU$3:$BF$3,)-2)+2&amp;":$E"&amp;ROW()-1))),IF($AR126="本年累计",SUMIF($AR$6:$AR126,"本月合计",$F$6:$F125),INDEX(凭证录入!K:K,$AR126))))</f>
        <v>0</v>
      </c>
      <c r="G126" s="459" t="str">
        <f t="shared" ca="1" si="27"/>
        <v/>
      </c>
      <c r="H126" s="460" t="str">
        <f t="shared" ca="1" si="27"/>
        <v/>
      </c>
      <c r="I126" s="460" t="str">
        <f t="shared" ca="1" si="27"/>
        <v/>
      </c>
      <c r="J126" s="460" t="str">
        <f t="shared" ca="1" si="27"/>
        <v/>
      </c>
      <c r="K126" s="460" t="str">
        <f t="shared" ca="1" si="27"/>
        <v/>
      </c>
      <c r="L126" s="460" t="str">
        <f t="shared" ca="1" si="27"/>
        <v/>
      </c>
      <c r="M126" s="460" t="str">
        <f t="shared" ca="1" si="27"/>
        <v/>
      </c>
      <c r="N126" s="460" t="str">
        <f t="shared" ca="1" si="27"/>
        <v/>
      </c>
      <c r="O126" s="461" t="str">
        <f t="shared" ca="1" si="27"/>
        <v/>
      </c>
      <c r="P126" s="474" t="str">
        <f t="shared" ca="1" si="27"/>
        <v/>
      </c>
      <c r="Q126" s="475" t="str">
        <f t="shared" ca="1" si="27"/>
        <v/>
      </c>
      <c r="R126" s="476">
        <f ca="1">IF(OR($BG$2=0,$AR126=""),,IF($AR126="本月合计",IF(ROW()=$BG$3,SUM($R$6:$R125),SUM(INDIRECT("$R$"&amp;OFFSET($AU$3,,MATCH(ROW(),$AU$3:$BF$3,)-2)+2&amp;":$R"&amp;ROW()-1))),IF($AR126="本年累计",SUMIF($AR$6:$AR126,"本月合计",$R$6:$R125),INDEX(凭证录入!L:L,$AR126))))</f>
        <v>0</v>
      </c>
      <c r="S126" s="459" t="str">
        <f t="shared" ca="1" si="28"/>
        <v/>
      </c>
      <c r="T126" s="460" t="str">
        <f t="shared" ca="1" si="28"/>
        <v/>
      </c>
      <c r="U126" s="460" t="str">
        <f t="shared" ca="1" si="28"/>
        <v/>
      </c>
      <c r="V126" s="460" t="str">
        <f t="shared" ca="1" si="28"/>
        <v/>
      </c>
      <c r="W126" s="460" t="str">
        <f t="shared" ca="1" si="28"/>
        <v/>
      </c>
      <c r="X126" s="460" t="str">
        <f t="shared" ca="1" si="28"/>
        <v/>
      </c>
      <c r="Y126" s="460" t="str">
        <f t="shared" ca="1" si="28"/>
        <v/>
      </c>
      <c r="Z126" s="460" t="str">
        <f t="shared" ca="1" si="28"/>
        <v/>
      </c>
      <c r="AA126" s="461" t="str">
        <f t="shared" ca="1" si="28"/>
        <v/>
      </c>
      <c r="AB126" s="474" t="str">
        <f t="shared" ca="1" si="28"/>
        <v/>
      </c>
      <c r="AC126" s="475" t="str">
        <f t="shared" ca="1" si="28"/>
        <v/>
      </c>
      <c r="AD126" s="477" t="str">
        <f t="shared" ca="1" si="18"/>
        <v/>
      </c>
      <c r="AE126" s="478">
        <f t="shared" ca="1" si="19"/>
        <v>0</v>
      </c>
      <c r="AF126" s="459" t="str">
        <f t="shared" ca="1" si="26"/>
        <v/>
      </c>
      <c r="AG126" s="460" t="str">
        <f t="shared" ca="1" si="26"/>
        <v/>
      </c>
      <c r="AH126" s="460" t="str">
        <f t="shared" ca="1" si="26"/>
        <v/>
      </c>
      <c r="AI126" s="460" t="str">
        <f t="shared" ca="1" si="26"/>
        <v/>
      </c>
      <c r="AJ126" s="460" t="str">
        <f t="shared" ca="1" si="26"/>
        <v/>
      </c>
      <c r="AK126" s="460" t="str">
        <f t="shared" ca="1" si="26"/>
        <v/>
      </c>
      <c r="AL126" s="460" t="str">
        <f t="shared" ca="1" si="26"/>
        <v/>
      </c>
      <c r="AM126" s="460" t="str">
        <f t="shared" ca="1" si="26"/>
        <v/>
      </c>
      <c r="AN126" s="461" t="str">
        <f t="shared" ca="1" si="26"/>
        <v/>
      </c>
      <c r="AO126" s="474" t="str">
        <f t="shared" ca="1" si="26"/>
        <v/>
      </c>
      <c r="AP126" s="475" t="str">
        <f t="shared" ca="1" si="26"/>
        <v/>
      </c>
      <c r="AQ126" s="479" t="str">
        <f t="array" aca="1" ref="AQ126" ca="1">IF(ROW()-5&lt;=COUNTIF(科目编号,$AR$2),SMALL(IF(科目编号=$AR$2,ROW(科目编号),""),ROW()-5),"")</f>
        <v/>
      </c>
      <c r="AR126" s="480" t="str">
        <f ca="1">IF($BG$2=0,"",IF(AR125="本月合计","本年累计",IF(OR(ROW()=$AU$3,ROW()=$AV$3,ROW()=$AW$3,ROW()=$AX$3,ROW()=$AY$3,ROW()=$AZ$3,ROW()=$BA$3,ROW()=$BB$3,ROW()=$BC$3,ROW()=$BD$3,ROW()=$BE$3,ROW()=$BF$3),"本月合计",IF(ROW()&lt;7,$AQ$6,OFFSET($AQ$6,COUNT($AR$6:AR125),0)))))</f>
        <v/>
      </c>
    </row>
    <row r="127" spans="1:44">
      <c r="A127" s="469" t="str">
        <f ca="1">IFERROR(INDEX(凭证录入!A:A,$AR127),"")</f>
        <v/>
      </c>
      <c r="B127" s="469" t="str">
        <f ca="1">IFERROR(INDEX(凭证录入!B:B,$AR127),"")</f>
        <v/>
      </c>
      <c r="C127" s="470" t="str">
        <f ca="1">IFERROR(INDEX(凭证录入!G:G,$AR127),"")</f>
        <v/>
      </c>
      <c r="D127" s="471" t="str">
        <f ca="1">IFERROR(INDEX(凭证录入!F:F,$AR127),"")</f>
        <v/>
      </c>
      <c r="E127" s="472" t="str">
        <f ca="1">IFERROR(INDEX(凭证录入!H:H,$AR127),$AR127)</f>
        <v/>
      </c>
      <c r="F127" s="473">
        <f ca="1">IF(OR($BG$2=0,$AR127=""),,IF($AR127="本月合计",IF(ROW()=$BG$3,SUM($F$6:$F126),SUM(INDIRECT("$F$"&amp;OFFSET($AU$3,,MATCH(ROW(),$AU$3:$BF$3,)-2)+2&amp;":$E"&amp;ROW()-1))),IF($AR127="本年累计",SUMIF($AR$6:$AR127,"本月合计",$F$6:$F126),INDEX(凭证录入!K:K,$AR127))))</f>
        <v>0</v>
      </c>
      <c r="G127" s="459" t="str">
        <f t="shared" ca="1" si="27"/>
        <v/>
      </c>
      <c r="H127" s="460" t="str">
        <f t="shared" ca="1" si="27"/>
        <v/>
      </c>
      <c r="I127" s="460" t="str">
        <f t="shared" ca="1" si="27"/>
        <v/>
      </c>
      <c r="J127" s="460" t="str">
        <f t="shared" ca="1" si="27"/>
        <v/>
      </c>
      <c r="K127" s="460" t="str">
        <f t="shared" ca="1" si="27"/>
        <v/>
      </c>
      <c r="L127" s="460" t="str">
        <f t="shared" ca="1" si="27"/>
        <v/>
      </c>
      <c r="M127" s="460" t="str">
        <f t="shared" ca="1" si="27"/>
        <v/>
      </c>
      <c r="N127" s="460" t="str">
        <f t="shared" ca="1" si="27"/>
        <v/>
      </c>
      <c r="O127" s="461" t="str">
        <f t="shared" ca="1" si="27"/>
        <v/>
      </c>
      <c r="P127" s="474" t="str">
        <f t="shared" ca="1" si="27"/>
        <v/>
      </c>
      <c r="Q127" s="475" t="str">
        <f t="shared" ca="1" si="27"/>
        <v/>
      </c>
      <c r="R127" s="476">
        <f ca="1">IF(OR($BG$2=0,$AR127=""),,IF($AR127="本月合计",IF(ROW()=$BG$3,SUM($R$6:$R126),SUM(INDIRECT("$R$"&amp;OFFSET($AU$3,,MATCH(ROW(),$AU$3:$BF$3,)-2)+2&amp;":$R"&amp;ROW()-1))),IF($AR127="本年累计",SUMIF($AR$6:$AR127,"本月合计",$R$6:$R126),INDEX(凭证录入!L:L,$AR127))))</f>
        <v>0</v>
      </c>
      <c r="S127" s="459" t="str">
        <f t="shared" ca="1" si="28"/>
        <v/>
      </c>
      <c r="T127" s="460" t="str">
        <f t="shared" ca="1" si="28"/>
        <v/>
      </c>
      <c r="U127" s="460" t="str">
        <f t="shared" ca="1" si="28"/>
        <v/>
      </c>
      <c r="V127" s="460" t="str">
        <f t="shared" ca="1" si="28"/>
        <v/>
      </c>
      <c r="W127" s="460" t="str">
        <f t="shared" ca="1" si="28"/>
        <v/>
      </c>
      <c r="X127" s="460" t="str">
        <f t="shared" ca="1" si="28"/>
        <v/>
      </c>
      <c r="Y127" s="460" t="str">
        <f t="shared" ca="1" si="28"/>
        <v/>
      </c>
      <c r="Z127" s="460" t="str">
        <f t="shared" ca="1" si="28"/>
        <v/>
      </c>
      <c r="AA127" s="461" t="str">
        <f t="shared" ca="1" si="28"/>
        <v/>
      </c>
      <c r="AB127" s="474" t="str">
        <f t="shared" ca="1" si="28"/>
        <v/>
      </c>
      <c r="AC127" s="475" t="str">
        <f t="shared" ca="1" si="28"/>
        <v/>
      </c>
      <c r="AD127" s="477" t="str">
        <f t="shared" ca="1" si="18"/>
        <v/>
      </c>
      <c r="AE127" s="478">
        <f t="shared" ca="1" si="19"/>
        <v>0</v>
      </c>
      <c r="AF127" s="459" t="str">
        <f t="shared" ca="1" si="26"/>
        <v/>
      </c>
      <c r="AG127" s="460" t="str">
        <f t="shared" ca="1" si="26"/>
        <v/>
      </c>
      <c r="AH127" s="460" t="str">
        <f t="shared" ca="1" si="26"/>
        <v/>
      </c>
      <c r="AI127" s="460" t="str">
        <f t="shared" ca="1" si="26"/>
        <v/>
      </c>
      <c r="AJ127" s="460" t="str">
        <f t="shared" ca="1" si="26"/>
        <v/>
      </c>
      <c r="AK127" s="460" t="str">
        <f t="shared" ca="1" si="26"/>
        <v/>
      </c>
      <c r="AL127" s="460" t="str">
        <f t="shared" ca="1" si="26"/>
        <v/>
      </c>
      <c r="AM127" s="460" t="str">
        <f t="shared" ca="1" si="26"/>
        <v/>
      </c>
      <c r="AN127" s="461" t="str">
        <f t="shared" ca="1" si="26"/>
        <v/>
      </c>
      <c r="AO127" s="474" t="str">
        <f t="shared" ca="1" si="26"/>
        <v/>
      </c>
      <c r="AP127" s="475" t="str">
        <f t="shared" ca="1" si="26"/>
        <v/>
      </c>
      <c r="AQ127" s="479" t="str">
        <f t="array" aca="1" ref="AQ127" ca="1">IF(ROW()-5&lt;=COUNTIF(科目编号,$AR$2),SMALL(IF(科目编号=$AR$2,ROW(科目编号),""),ROW()-5),"")</f>
        <v/>
      </c>
      <c r="AR127" s="480" t="str">
        <f ca="1">IF($BG$2=0,"",IF(AR126="本月合计","本年累计",IF(OR(ROW()=$AU$3,ROW()=$AV$3,ROW()=$AW$3,ROW()=$AX$3,ROW()=$AY$3,ROW()=$AZ$3,ROW()=$BA$3,ROW()=$BB$3,ROW()=$BC$3,ROW()=$BD$3,ROW()=$BE$3,ROW()=$BF$3),"本月合计",IF(ROW()&lt;7,$AQ$6,OFFSET($AQ$6,COUNT($AR$6:AR126),0)))))</f>
        <v/>
      </c>
    </row>
    <row r="128" spans="1:44">
      <c r="A128" s="469" t="str">
        <f ca="1">IFERROR(INDEX(凭证录入!A:A,$AR128),"")</f>
        <v/>
      </c>
      <c r="B128" s="469" t="str">
        <f ca="1">IFERROR(INDEX(凭证录入!B:B,$AR128),"")</f>
        <v/>
      </c>
      <c r="C128" s="470" t="str">
        <f ca="1">IFERROR(INDEX(凭证录入!G:G,$AR128),"")</f>
        <v/>
      </c>
      <c r="D128" s="471" t="str">
        <f ca="1">IFERROR(INDEX(凭证录入!F:F,$AR128),"")</f>
        <v/>
      </c>
      <c r="E128" s="472" t="str">
        <f ca="1">IFERROR(INDEX(凭证录入!H:H,$AR128),$AR128)</f>
        <v/>
      </c>
      <c r="F128" s="473">
        <f ca="1">IF(OR($BG$2=0,$AR128=""),,IF($AR128="本月合计",IF(ROW()=$BG$3,SUM($F$6:$F127),SUM(INDIRECT("$F$"&amp;OFFSET($AU$3,,MATCH(ROW(),$AU$3:$BF$3,)-2)+2&amp;":$E"&amp;ROW()-1))),IF($AR128="本年累计",SUMIF($AR$6:$AR128,"本月合计",$F$6:$F127),INDEX(凭证录入!K:K,$AR128))))</f>
        <v>0</v>
      </c>
      <c r="G128" s="459" t="str">
        <f t="shared" ca="1" si="27"/>
        <v/>
      </c>
      <c r="H128" s="460" t="str">
        <f t="shared" ca="1" si="27"/>
        <v/>
      </c>
      <c r="I128" s="460" t="str">
        <f t="shared" ca="1" si="27"/>
        <v/>
      </c>
      <c r="J128" s="460" t="str">
        <f t="shared" ca="1" si="27"/>
        <v/>
      </c>
      <c r="K128" s="460" t="str">
        <f t="shared" ca="1" si="27"/>
        <v/>
      </c>
      <c r="L128" s="460" t="str">
        <f t="shared" ca="1" si="27"/>
        <v/>
      </c>
      <c r="M128" s="460" t="str">
        <f t="shared" ca="1" si="27"/>
        <v/>
      </c>
      <c r="N128" s="460" t="str">
        <f t="shared" ca="1" si="27"/>
        <v/>
      </c>
      <c r="O128" s="461" t="str">
        <f t="shared" ca="1" si="27"/>
        <v/>
      </c>
      <c r="P128" s="474" t="str">
        <f t="shared" ca="1" si="27"/>
        <v/>
      </c>
      <c r="Q128" s="475" t="str">
        <f t="shared" ca="1" si="27"/>
        <v/>
      </c>
      <c r="R128" s="476">
        <f ca="1">IF(OR($BG$2=0,$AR128=""),,IF($AR128="本月合计",IF(ROW()=$BG$3,SUM($R$6:$R127),SUM(INDIRECT("$R$"&amp;OFFSET($AU$3,,MATCH(ROW(),$AU$3:$BF$3,)-2)+2&amp;":$R"&amp;ROW()-1))),IF($AR128="本年累计",SUMIF($AR$6:$AR128,"本月合计",$R$6:$R127),INDEX(凭证录入!L:L,$AR128))))</f>
        <v>0</v>
      </c>
      <c r="S128" s="459" t="str">
        <f t="shared" ca="1" si="28"/>
        <v/>
      </c>
      <c r="T128" s="460" t="str">
        <f t="shared" ca="1" si="28"/>
        <v/>
      </c>
      <c r="U128" s="460" t="str">
        <f t="shared" ca="1" si="28"/>
        <v/>
      </c>
      <c r="V128" s="460" t="str">
        <f t="shared" ca="1" si="28"/>
        <v/>
      </c>
      <c r="W128" s="460" t="str">
        <f t="shared" ca="1" si="28"/>
        <v/>
      </c>
      <c r="X128" s="460" t="str">
        <f t="shared" ca="1" si="28"/>
        <v/>
      </c>
      <c r="Y128" s="460" t="str">
        <f t="shared" ca="1" si="28"/>
        <v/>
      </c>
      <c r="Z128" s="460" t="str">
        <f t="shared" ca="1" si="28"/>
        <v/>
      </c>
      <c r="AA128" s="461" t="str">
        <f t="shared" ca="1" si="28"/>
        <v/>
      </c>
      <c r="AB128" s="474" t="str">
        <f t="shared" ca="1" si="28"/>
        <v/>
      </c>
      <c r="AC128" s="475" t="str">
        <f t="shared" ca="1" si="28"/>
        <v/>
      </c>
      <c r="AD128" s="477" t="str">
        <f t="shared" ca="1" si="18"/>
        <v/>
      </c>
      <c r="AE128" s="478">
        <f t="shared" ca="1" si="19"/>
        <v>0</v>
      </c>
      <c r="AF128" s="459" t="str">
        <f t="shared" ca="1" si="26"/>
        <v/>
      </c>
      <c r="AG128" s="460" t="str">
        <f t="shared" ca="1" si="26"/>
        <v/>
      </c>
      <c r="AH128" s="460" t="str">
        <f t="shared" ca="1" si="26"/>
        <v/>
      </c>
      <c r="AI128" s="460" t="str">
        <f t="shared" ca="1" si="26"/>
        <v/>
      </c>
      <c r="AJ128" s="460" t="str">
        <f t="shared" ca="1" si="26"/>
        <v/>
      </c>
      <c r="AK128" s="460" t="str">
        <f t="shared" ca="1" si="26"/>
        <v/>
      </c>
      <c r="AL128" s="460" t="str">
        <f t="shared" ca="1" si="26"/>
        <v/>
      </c>
      <c r="AM128" s="460" t="str">
        <f t="shared" ca="1" si="26"/>
        <v/>
      </c>
      <c r="AN128" s="461" t="str">
        <f t="shared" ca="1" si="26"/>
        <v/>
      </c>
      <c r="AO128" s="474" t="str">
        <f t="shared" ca="1" si="26"/>
        <v/>
      </c>
      <c r="AP128" s="475" t="str">
        <f t="shared" ca="1" si="26"/>
        <v/>
      </c>
      <c r="AQ128" s="479" t="str">
        <f t="array" aca="1" ref="AQ128" ca="1">IF(ROW()-5&lt;=COUNTIF(科目编号,$AR$2),SMALL(IF(科目编号=$AR$2,ROW(科目编号),""),ROW()-5),"")</f>
        <v/>
      </c>
      <c r="AR128" s="480" t="str">
        <f ca="1">IF($BG$2=0,"",IF(AR127="本月合计","本年累计",IF(OR(ROW()=$AU$3,ROW()=$AV$3,ROW()=$AW$3,ROW()=$AX$3,ROW()=$AY$3,ROW()=$AZ$3,ROW()=$BA$3,ROW()=$BB$3,ROW()=$BC$3,ROW()=$BD$3,ROW()=$BE$3,ROW()=$BF$3),"本月合计",IF(ROW()&lt;7,$AQ$6,OFFSET($AQ$6,COUNT($AR$6:AR127),0)))))</f>
        <v/>
      </c>
    </row>
    <row r="129" spans="1:44">
      <c r="A129" s="469" t="str">
        <f ca="1">IFERROR(INDEX(凭证录入!A:A,$AR129),"")</f>
        <v/>
      </c>
      <c r="B129" s="469" t="str">
        <f ca="1">IFERROR(INDEX(凭证录入!B:B,$AR129),"")</f>
        <v/>
      </c>
      <c r="C129" s="470" t="str">
        <f ca="1">IFERROR(INDEX(凭证录入!G:G,$AR129),"")</f>
        <v/>
      </c>
      <c r="D129" s="471" t="str">
        <f ca="1">IFERROR(INDEX(凭证录入!F:F,$AR129),"")</f>
        <v/>
      </c>
      <c r="E129" s="472" t="str">
        <f ca="1">IFERROR(INDEX(凭证录入!H:H,$AR129),$AR129)</f>
        <v/>
      </c>
      <c r="F129" s="473">
        <f ca="1">IF(OR($BG$2=0,$AR129=""),,IF($AR129="本月合计",IF(ROW()=$BG$3,SUM($F$6:$F128),SUM(INDIRECT("$F$"&amp;OFFSET($AU$3,,MATCH(ROW(),$AU$3:$BF$3,)-2)+2&amp;":$E"&amp;ROW()-1))),IF($AR129="本年累计",SUMIF($AR$6:$AR129,"本月合计",$F$6:$F128),INDEX(凭证录入!K:K,$AR129))))</f>
        <v>0</v>
      </c>
      <c r="G129" s="459" t="str">
        <f t="shared" ca="1" si="27"/>
        <v/>
      </c>
      <c r="H129" s="460" t="str">
        <f t="shared" ca="1" si="27"/>
        <v/>
      </c>
      <c r="I129" s="460" t="str">
        <f t="shared" ca="1" si="27"/>
        <v/>
      </c>
      <c r="J129" s="460" t="str">
        <f t="shared" ca="1" si="27"/>
        <v/>
      </c>
      <c r="K129" s="460" t="str">
        <f t="shared" ca="1" si="27"/>
        <v/>
      </c>
      <c r="L129" s="460" t="str">
        <f t="shared" ca="1" si="27"/>
        <v/>
      </c>
      <c r="M129" s="460" t="str">
        <f t="shared" ca="1" si="27"/>
        <v/>
      </c>
      <c r="N129" s="460" t="str">
        <f t="shared" ca="1" si="27"/>
        <v/>
      </c>
      <c r="O129" s="461" t="str">
        <f t="shared" ca="1" si="27"/>
        <v/>
      </c>
      <c r="P129" s="474" t="str">
        <f t="shared" ca="1" si="27"/>
        <v/>
      </c>
      <c r="Q129" s="475" t="str">
        <f t="shared" ca="1" si="27"/>
        <v/>
      </c>
      <c r="R129" s="476">
        <f ca="1">IF(OR($BG$2=0,$AR129=""),,IF($AR129="本月合计",IF(ROW()=$BG$3,SUM($R$6:$R128),SUM(INDIRECT("$R$"&amp;OFFSET($AU$3,,MATCH(ROW(),$AU$3:$BF$3,)-2)+2&amp;":$R"&amp;ROW()-1))),IF($AR129="本年累计",SUMIF($AR$6:$AR129,"本月合计",$R$6:$R128),INDEX(凭证录入!L:L,$AR129))))</f>
        <v>0</v>
      </c>
      <c r="S129" s="459" t="str">
        <f t="shared" ca="1" si="28"/>
        <v/>
      </c>
      <c r="T129" s="460" t="str">
        <f t="shared" ca="1" si="28"/>
        <v/>
      </c>
      <c r="U129" s="460" t="str">
        <f t="shared" ca="1" si="28"/>
        <v/>
      </c>
      <c r="V129" s="460" t="str">
        <f t="shared" ca="1" si="28"/>
        <v/>
      </c>
      <c r="W129" s="460" t="str">
        <f t="shared" ca="1" si="28"/>
        <v/>
      </c>
      <c r="X129" s="460" t="str">
        <f t="shared" ca="1" si="28"/>
        <v/>
      </c>
      <c r="Y129" s="460" t="str">
        <f t="shared" ca="1" si="28"/>
        <v/>
      </c>
      <c r="Z129" s="460" t="str">
        <f t="shared" ca="1" si="28"/>
        <v/>
      </c>
      <c r="AA129" s="461" t="str">
        <f t="shared" ca="1" si="28"/>
        <v/>
      </c>
      <c r="AB129" s="474" t="str">
        <f t="shared" ca="1" si="28"/>
        <v/>
      </c>
      <c r="AC129" s="475" t="str">
        <f t="shared" ca="1" si="28"/>
        <v/>
      </c>
      <c r="AD129" s="477" t="str">
        <f t="shared" ca="1" si="18"/>
        <v/>
      </c>
      <c r="AE129" s="478">
        <f t="shared" ca="1" si="19"/>
        <v>0</v>
      </c>
      <c r="AF129" s="459" t="str">
        <f t="shared" ca="1" si="26"/>
        <v/>
      </c>
      <c r="AG129" s="460" t="str">
        <f t="shared" ca="1" si="26"/>
        <v/>
      </c>
      <c r="AH129" s="460" t="str">
        <f t="shared" ca="1" si="26"/>
        <v/>
      </c>
      <c r="AI129" s="460" t="str">
        <f t="shared" ca="1" si="26"/>
        <v/>
      </c>
      <c r="AJ129" s="460" t="str">
        <f t="shared" ca="1" si="26"/>
        <v/>
      </c>
      <c r="AK129" s="460" t="str">
        <f t="shared" ca="1" si="26"/>
        <v/>
      </c>
      <c r="AL129" s="460" t="str">
        <f t="shared" ca="1" si="26"/>
        <v/>
      </c>
      <c r="AM129" s="460" t="str">
        <f t="shared" ca="1" si="26"/>
        <v/>
      </c>
      <c r="AN129" s="461" t="str">
        <f t="shared" ca="1" si="26"/>
        <v/>
      </c>
      <c r="AO129" s="474" t="str">
        <f t="shared" ca="1" si="26"/>
        <v/>
      </c>
      <c r="AP129" s="475" t="str">
        <f t="shared" ca="1" si="26"/>
        <v/>
      </c>
      <c r="AQ129" s="479" t="str">
        <f t="array" aca="1" ref="AQ129" ca="1">IF(ROW()-5&lt;=COUNTIF(科目编号,$AR$2),SMALL(IF(科目编号=$AR$2,ROW(科目编号),""),ROW()-5),"")</f>
        <v/>
      </c>
      <c r="AR129" s="480" t="str">
        <f ca="1">IF($BG$2=0,"",IF(AR128="本月合计","本年累计",IF(OR(ROW()=$AU$3,ROW()=$AV$3,ROW()=$AW$3,ROW()=$AX$3,ROW()=$AY$3,ROW()=$AZ$3,ROW()=$BA$3,ROW()=$BB$3,ROW()=$BC$3,ROW()=$BD$3,ROW()=$BE$3,ROW()=$BF$3),"本月合计",IF(ROW()&lt;7,$AQ$6,OFFSET($AQ$6,COUNT($AR$6:AR128),0)))))</f>
        <v/>
      </c>
    </row>
    <row r="130" spans="1:44">
      <c r="A130" s="469" t="str">
        <f ca="1">IFERROR(INDEX(凭证录入!A:A,$AR130),"")</f>
        <v/>
      </c>
      <c r="B130" s="469" t="str">
        <f ca="1">IFERROR(INDEX(凭证录入!B:B,$AR130),"")</f>
        <v/>
      </c>
      <c r="C130" s="470" t="str">
        <f ca="1">IFERROR(INDEX(凭证录入!G:G,$AR130),"")</f>
        <v/>
      </c>
      <c r="D130" s="471" t="str">
        <f ca="1">IFERROR(INDEX(凭证录入!F:F,$AR130),"")</f>
        <v/>
      </c>
      <c r="E130" s="472" t="str">
        <f ca="1">IFERROR(INDEX(凭证录入!H:H,$AR130),$AR130)</f>
        <v/>
      </c>
      <c r="F130" s="473">
        <f ca="1">IF(OR($BG$2=0,$AR130=""),,IF($AR130="本月合计",IF(ROW()=$BG$3,SUM($F$6:$F129),SUM(INDIRECT("$F$"&amp;OFFSET($AU$3,,MATCH(ROW(),$AU$3:$BF$3,)-2)+2&amp;":$E"&amp;ROW()-1))),IF($AR130="本年累计",SUMIF($AR$6:$AR130,"本月合计",$F$6:$F129),INDEX(凭证录入!K:K,$AR130))))</f>
        <v>0</v>
      </c>
      <c r="G130" s="459" t="str">
        <f t="shared" ca="1" si="27"/>
        <v/>
      </c>
      <c r="H130" s="460" t="str">
        <f t="shared" ca="1" si="27"/>
        <v/>
      </c>
      <c r="I130" s="460" t="str">
        <f t="shared" ca="1" si="27"/>
        <v/>
      </c>
      <c r="J130" s="460" t="str">
        <f t="shared" ca="1" si="27"/>
        <v/>
      </c>
      <c r="K130" s="460" t="str">
        <f t="shared" ca="1" si="27"/>
        <v/>
      </c>
      <c r="L130" s="460" t="str">
        <f t="shared" ca="1" si="27"/>
        <v/>
      </c>
      <c r="M130" s="460" t="str">
        <f t="shared" ca="1" si="27"/>
        <v/>
      </c>
      <c r="N130" s="460" t="str">
        <f t="shared" ca="1" si="27"/>
        <v/>
      </c>
      <c r="O130" s="461" t="str">
        <f t="shared" ca="1" si="27"/>
        <v/>
      </c>
      <c r="P130" s="474" t="str">
        <f t="shared" ca="1" si="27"/>
        <v/>
      </c>
      <c r="Q130" s="475" t="str">
        <f t="shared" ca="1" si="27"/>
        <v/>
      </c>
      <c r="R130" s="476">
        <f ca="1">IF(OR($BG$2=0,$AR130=""),,IF($AR130="本月合计",IF(ROW()=$BG$3,SUM($R$6:$R129),SUM(INDIRECT("$R$"&amp;OFFSET($AU$3,,MATCH(ROW(),$AU$3:$BF$3,)-2)+2&amp;":$R"&amp;ROW()-1))),IF($AR130="本年累计",SUMIF($AR$6:$AR130,"本月合计",$R$6:$R129),INDEX(凭证录入!L:L,$AR130))))</f>
        <v>0</v>
      </c>
      <c r="S130" s="459" t="str">
        <f t="shared" ca="1" si="28"/>
        <v/>
      </c>
      <c r="T130" s="460" t="str">
        <f t="shared" ca="1" si="28"/>
        <v/>
      </c>
      <c r="U130" s="460" t="str">
        <f t="shared" ca="1" si="28"/>
        <v/>
      </c>
      <c r="V130" s="460" t="str">
        <f t="shared" ca="1" si="28"/>
        <v/>
      </c>
      <c r="W130" s="460" t="str">
        <f t="shared" ca="1" si="28"/>
        <v/>
      </c>
      <c r="X130" s="460" t="str">
        <f t="shared" ca="1" si="28"/>
        <v/>
      </c>
      <c r="Y130" s="460" t="str">
        <f t="shared" ca="1" si="28"/>
        <v/>
      </c>
      <c r="Z130" s="460" t="str">
        <f t="shared" ca="1" si="28"/>
        <v/>
      </c>
      <c r="AA130" s="461" t="str">
        <f t="shared" ca="1" si="28"/>
        <v/>
      </c>
      <c r="AB130" s="474" t="str">
        <f t="shared" ca="1" si="28"/>
        <v/>
      </c>
      <c r="AC130" s="475" t="str">
        <f t="shared" ca="1" si="28"/>
        <v/>
      </c>
      <c r="AD130" s="477" t="str">
        <f t="shared" ca="1" si="18"/>
        <v/>
      </c>
      <c r="AE130" s="478">
        <f t="shared" ca="1" si="19"/>
        <v>0</v>
      </c>
      <c r="AF130" s="459" t="str">
        <f t="shared" ca="1" si="26"/>
        <v/>
      </c>
      <c r="AG130" s="460" t="str">
        <f t="shared" ca="1" si="26"/>
        <v/>
      </c>
      <c r="AH130" s="460" t="str">
        <f t="shared" ca="1" si="26"/>
        <v/>
      </c>
      <c r="AI130" s="460" t="str">
        <f t="shared" ca="1" si="26"/>
        <v/>
      </c>
      <c r="AJ130" s="460" t="str">
        <f t="shared" ca="1" si="26"/>
        <v/>
      </c>
      <c r="AK130" s="460" t="str">
        <f t="shared" ca="1" si="26"/>
        <v/>
      </c>
      <c r="AL130" s="460" t="str">
        <f t="shared" ca="1" si="26"/>
        <v/>
      </c>
      <c r="AM130" s="460" t="str">
        <f t="shared" ca="1" si="26"/>
        <v/>
      </c>
      <c r="AN130" s="461" t="str">
        <f t="shared" ca="1" si="26"/>
        <v/>
      </c>
      <c r="AO130" s="474" t="str">
        <f t="shared" ca="1" si="26"/>
        <v/>
      </c>
      <c r="AP130" s="475" t="str">
        <f t="shared" ca="1" si="26"/>
        <v/>
      </c>
      <c r="AQ130" s="479" t="str">
        <f t="array" aca="1" ref="AQ130" ca="1">IF(ROW()-5&lt;=COUNTIF(科目编号,$AR$2),SMALL(IF(科目编号=$AR$2,ROW(科目编号),""),ROW()-5),"")</f>
        <v/>
      </c>
      <c r="AR130" s="480" t="str">
        <f ca="1">IF($BG$2=0,"",IF(AR129="本月合计","本年累计",IF(OR(ROW()=$AU$3,ROW()=$AV$3,ROW()=$AW$3,ROW()=$AX$3,ROW()=$AY$3,ROW()=$AZ$3,ROW()=$BA$3,ROW()=$BB$3,ROW()=$BC$3,ROW()=$BD$3,ROW()=$BE$3,ROW()=$BF$3),"本月合计",IF(ROW()&lt;7,$AQ$6,OFFSET($AQ$6,COUNT($AR$6:AR129),0)))))</f>
        <v/>
      </c>
    </row>
    <row r="131" spans="1:44">
      <c r="A131" s="469" t="str">
        <f ca="1">IFERROR(INDEX(凭证录入!A:A,$AR131),"")</f>
        <v/>
      </c>
      <c r="B131" s="469" t="str">
        <f ca="1">IFERROR(INDEX(凭证录入!B:B,$AR131),"")</f>
        <v/>
      </c>
      <c r="C131" s="470" t="str">
        <f ca="1">IFERROR(INDEX(凭证录入!G:G,$AR131),"")</f>
        <v/>
      </c>
      <c r="D131" s="471" t="str">
        <f ca="1">IFERROR(INDEX(凭证录入!F:F,$AR131),"")</f>
        <v/>
      </c>
      <c r="E131" s="472" t="str">
        <f ca="1">IFERROR(INDEX(凭证录入!H:H,$AR131),$AR131)</f>
        <v/>
      </c>
      <c r="F131" s="473">
        <f ca="1">IF(OR($BG$2=0,$AR131=""),,IF($AR131="本月合计",IF(ROW()=$BG$3,SUM($F$6:$F130),SUM(INDIRECT("$F$"&amp;OFFSET($AU$3,,MATCH(ROW(),$AU$3:$BF$3,)-2)+2&amp;":$E"&amp;ROW()-1))),IF($AR131="本年累计",SUMIF($AR$6:$AR131,"本月合计",$F$6:$F130),INDEX(凭证录入!K:K,$AR131))))</f>
        <v>0</v>
      </c>
      <c r="G131" s="459" t="str">
        <f t="shared" ca="1" si="27"/>
        <v/>
      </c>
      <c r="H131" s="460" t="str">
        <f t="shared" ca="1" si="27"/>
        <v/>
      </c>
      <c r="I131" s="460" t="str">
        <f t="shared" ca="1" si="27"/>
        <v/>
      </c>
      <c r="J131" s="460" t="str">
        <f t="shared" ca="1" si="27"/>
        <v/>
      </c>
      <c r="K131" s="460" t="str">
        <f t="shared" ca="1" si="27"/>
        <v/>
      </c>
      <c r="L131" s="460" t="str">
        <f t="shared" ca="1" si="27"/>
        <v/>
      </c>
      <c r="M131" s="460" t="str">
        <f t="shared" ca="1" si="27"/>
        <v/>
      </c>
      <c r="N131" s="460" t="str">
        <f t="shared" ca="1" si="27"/>
        <v/>
      </c>
      <c r="O131" s="461" t="str">
        <f t="shared" ca="1" si="27"/>
        <v/>
      </c>
      <c r="P131" s="474" t="str">
        <f t="shared" ca="1" si="27"/>
        <v/>
      </c>
      <c r="Q131" s="475" t="str">
        <f t="shared" ca="1" si="27"/>
        <v/>
      </c>
      <c r="R131" s="476">
        <f ca="1">IF(OR($BG$2=0,$AR131=""),,IF($AR131="本月合计",IF(ROW()=$BG$3,SUM($R$6:$R130),SUM(INDIRECT("$R$"&amp;OFFSET($AU$3,,MATCH(ROW(),$AU$3:$BF$3,)-2)+2&amp;":$R"&amp;ROW()-1))),IF($AR131="本年累计",SUMIF($AR$6:$AR131,"本月合计",$R$6:$R130),INDEX(凭证录入!L:L,$AR131))))</f>
        <v>0</v>
      </c>
      <c r="S131" s="459" t="str">
        <f t="shared" ca="1" si="28"/>
        <v/>
      </c>
      <c r="T131" s="460" t="str">
        <f t="shared" ca="1" si="28"/>
        <v/>
      </c>
      <c r="U131" s="460" t="str">
        <f t="shared" ca="1" si="28"/>
        <v/>
      </c>
      <c r="V131" s="460" t="str">
        <f t="shared" ca="1" si="28"/>
        <v/>
      </c>
      <c r="W131" s="460" t="str">
        <f t="shared" ca="1" si="28"/>
        <v/>
      </c>
      <c r="X131" s="460" t="str">
        <f t="shared" ca="1" si="28"/>
        <v/>
      </c>
      <c r="Y131" s="460" t="str">
        <f t="shared" ca="1" si="28"/>
        <v/>
      </c>
      <c r="Z131" s="460" t="str">
        <f t="shared" ca="1" si="28"/>
        <v/>
      </c>
      <c r="AA131" s="461" t="str">
        <f t="shared" ca="1" si="28"/>
        <v/>
      </c>
      <c r="AB131" s="474" t="str">
        <f t="shared" ca="1" si="28"/>
        <v/>
      </c>
      <c r="AC131" s="475" t="str">
        <f t="shared" ca="1" si="28"/>
        <v/>
      </c>
      <c r="AD131" s="477" t="str">
        <f t="shared" ca="1" si="18"/>
        <v/>
      </c>
      <c r="AE131" s="478">
        <f t="shared" ca="1" si="19"/>
        <v>0</v>
      </c>
      <c r="AF131" s="459" t="str">
        <f t="shared" ca="1" si="26"/>
        <v/>
      </c>
      <c r="AG131" s="460" t="str">
        <f t="shared" ca="1" si="26"/>
        <v/>
      </c>
      <c r="AH131" s="460" t="str">
        <f t="shared" ca="1" si="26"/>
        <v/>
      </c>
      <c r="AI131" s="460" t="str">
        <f t="shared" ca="1" si="26"/>
        <v/>
      </c>
      <c r="AJ131" s="460" t="str">
        <f t="shared" ca="1" si="26"/>
        <v/>
      </c>
      <c r="AK131" s="460" t="str">
        <f t="shared" ca="1" si="26"/>
        <v/>
      </c>
      <c r="AL131" s="460" t="str">
        <f t="shared" ca="1" si="26"/>
        <v/>
      </c>
      <c r="AM131" s="460" t="str">
        <f t="shared" ca="1" si="26"/>
        <v/>
      </c>
      <c r="AN131" s="461" t="str">
        <f t="shared" ca="1" si="26"/>
        <v/>
      </c>
      <c r="AO131" s="474" t="str">
        <f t="shared" ca="1" si="26"/>
        <v/>
      </c>
      <c r="AP131" s="475" t="str">
        <f t="shared" ca="1" si="26"/>
        <v/>
      </c>
      <c r="AQ131" s="479" t="str">
        <f t="array" aca="1" ref="AQ131" ca="1">IF(ROW()-5&lt;=COUNTIF(科目编号,$AR$2),SMALL(IF(科目编号=$AR$2,ROW(科目编号),""),ROW()-5),"")</f>
        <v/>
      </c>
      <c r="AR131" s="480" t="str">
        <f ca="1">IF($BG$2=0,"",IF(AR130="本月合计","本年累计",IF(OR(ROW()=$AU$3,ROW()=$AV$3,ROW()=$AW$3,ROW()=$AX$3,ROW()=$AY$3,ROW()=$AZ$3,ROW()=$BA$3,ROW()=$BB$3,ROW()=$BC$3,ROW()=$BD$3,ROW()=$BE$3,ROW()=$BF$3),"本月合计",IF(ROW()&lt;7,$AQ$6,OFFSET($AQ$6,COUNT($AR$6:AR130),0)))))</f>
        <v/>
      </c>
    </row>
    <row r="132" spans="1:44">
      <c r="A132" s="469" t="str">
        <f ca="1">IFERROR(INDEX(凭证录入!A:A,$AR132),"")</f>
        <v/>
      </c>
      <c r="B132" s="469" t="str">
        <f ca="1">IFERROR(INDEX(凭证录入!B:B,$AR132),"")</f>
        <v/>
      </c>
      <c r="C132" s="470" t="str">
        <f ca="1">IFERROR(INDEX(凭证录入!G:G,$AR132),"")</f>
        <v/>
      </c>
      <c r="D132" s="471" t="str">
        <f ca="1">IFERROR(INDEX(凭证录入!F:F,$AR132),"")</f>
        <v/>
      </c>
      <c r="E132" s="472" t="str">
        <f ca="1">IFERROR(INDEX(凭证录入!H:H,$AR132),$AR132)</f>
        <v/>
      </c>
      <c r="F132" s="473">
        <f ca="1">IF(OR($BG$2=0,$AR132=""),,IF($AR132="本月合计",IF(ROW()=$BG$3,SUM($F$6:$F131),SUM(INDIRECT("$F$"&amp;OFFSET($AU$3,,MATCH(ROW(),$AU$3:$BF$3,)-2)+2&amp;":$E"&amp;ROW()-1))),IF($AR132="本年累计",SUMIF($AR$6:$AR132,"本月合计",$F$6:$F131),INDEX(凭证录入!K:K,$AR132))))</f>
        <v>0</v>
      </c>
      <c r="G132" s="459" t="str">
        <f t="shared" ca="1" si="27"/>
        <v/>
      </c>
      <c r="H132" s="460" t="str">
        <f t="shared" ca="1" si="27"/>
        <v/>
      </c>
      <c r="I132" s="460" t="str">
        <f t="shared" ca="1" si="27"/>
        <v/>
      </c>
      <c r="J132" s="460" t="str">
        <f t="shared" ca="1" si="27"/>
        <v/>
      </c>
      <c r="K132" s="460" t="str">
        <f t="shared" ca="1" si="27"/>
        <v/>
      </c>
      <c r="L132" s="460" t="str">
        <f t="shared" ca="1" si="27"/>
        <v/>
      </c>
      <c r="M132" s="460" t="str">
        <f t="shared" ca="1" si="27"/>
        <v/>
      </c>
      <c r="N132" s="460" t="str">
        <f t="shared" ca="1" si="27"/>
        <v/>
      </c>
      <c r="O132" s="461" t="str">
        <f t="shared" ca="1" si="27"/>
        <v/>
      </c>
      <c r="P132" s="474" t="str">
        <f t="shared" ca="1" si="27"/>
        <v/>
      </c>
      <c r="Q132" s="475" t="str">
        <f t="shared" ca="1" si="27"/>
        <v/>
      </c>
      <c r="R132" s="476">
        <f ca="1">IF(OR($BG$2=0,$AR132=""),,IF($AR132="本月合计",IF(ROW()=$BG$3,SUM($R$6:$R131),SUM(INDIRECT("$R$"&amp;OFFSET($AU$3,,MATCH(ROW(),$AU$3:$BF$3,)-2)+2&amp;":$R"&amp;ROW()-1))),IF($AR132="本年累计",SUMIF($AR$6:$AR132,"本月合计",$R$6:$R131),INDEX(凭证录入!L:L,$AR132))))</f>
        <v>0</v>
      </c>
      <c r="S132" s="459" t="str">
        <f t="shared" ca="1" si="28"/>
        <v/>
      </c>
      <c r="T132" s="460" t="str">
        <f t="shared" ca="1" si="28"/>
        <v/>
      </c>
      <c r="U132" s="460" t="str">
        <f t="shared" ca="1" si="28"/>
        <v/>
      </c>
      <c r="V132" s="460" t="str">
        <f t="shared" ca="1" si="28"/>
        <v/>
      </c>
      <c r="W132" s="460" t="str">
        <f t="shared" ca="1" si="28"/>
        <v/>
      </c>
      <c r="X132" s="460" t="str">
        <f t="shared" ca="1" si="28"/>
        <v/>
      </c>
      <c r="Y132" s="460" t="str">
        <f t="shared" ca="1" si="28"/>
        <v/>
      </c>
      <c r="Z132" s="460" t="str">
        <f t="shared" ca="1" si="28"/>
        <v/>
      </c>
      <c r="AA132" s="461" t="str">
        <f t="shared" ca="1" si="28"/>
        <v/>
      </c>
      <c r="AB132" s="474" t="str">
        <f t="shared" ca="1" si="28"/>
        <v/>
      </c>
      <c r="AC132" s="475" t="str">
        <f t="shared" ca="1" si="28"/>
        <v/>
      </c>
      <c r="AD132" s="477" t="str">
        <f t="shared" ca="1" si="18"/>
        <v/>
      </c>
      <c r="AE132" s="478">
        <f t="shared" ca="1" si="19"/>
        <v>0</v>
      </c>
      <c r="AF132" s="459" t="str">
        <f t="shared" ca="1" si="26"/>
        <v/>
      </c>
      <c r="AG132" s="460" t="str">
        <f t="shared" ca="1" si="26"/>
        <v/>
      </c>
      <c r="AH132" s="460" t="str">
        <f t="shared" ca="1" si="26"/>
        <v/>
      </c>
      <c r="AI132" s="460" t="str">
        <f t="shared" ca="1" si="26"/>
        <v/>
      </c>
      <c r="AJ132" s="460" t="str">
        <f t="shared" ca="1" si="26"/>
        <v/>
      </c>
      <c r="AK132" s="460" t="str">
        <f t="shared" ca="1" si="26"/>
        <v/>
      </c>
      <c r="AL132" s="460" t="str">
        <f t="shared" ca="1" si="26"/>
        <v/>
      </c>
      <c r="AM132" s="460" t="str">
        <f t="shared" ca="1" si="26"/>
        <v/>
      </c>
      <c r="AN132" s="461" t="str">
        <f t="shared" ca="1" si="26"/>
        <v/>
      </c>
      <c r="AO132" s="474" t="str">
        <f t="shared" ca="1" si="26"/>
        <v/>
      </c>
      <c r="AP132" s="475" t="str">
        <f t="shared" ca="1" si="26"/>
        <v/>
      </c>
      <c r="AQ132" s="479" t="str">
        <f t="array" aca="1" ref="AQ132" ca="1">IF(ROW()-5&lt;=COUNTIF(科目编号,$AR$2),SMALL(IF(科目编号=$AR$2,ROW(科目编号),""),ROW()-5),"")</f>
        <v/>
      </c>
      <c r="AR132" s="480" t="str">
        <f ca="1">IF($BG$2=0,"",IF(AR131="本月合计","本年累计",IF(OR(ROW()=$AU$3,ROW()=$AV$3,ROW()=$AW$3,ROW()=$AX$3,ROW()=$AY$3,ROW()=$AZ$3,ROW()=$BA$3,ROW()=$BB$3,ROW()=$BC$3,ROW()=$BD$3,ROW()=$BE$3,ROW()=$BF$3),"本月合计",IF(ROW()&lt;7,$AQ$6,OFFSET($AQ$6,COUNT($AR$6:AR131),0)))))</f>
        <v/>
      </c>
    </row>
    <row r="133" spans="1:44">
      <c r="A133" s="469" t="str">
        <f ca="1">IFERROR(INDEX(凭证录入!A:A,$AR133),"")</f>
        <v/>
      </c>
      <c r="B133" s="469" t="str">
        <f ca="1">IFERROR(INDEX(凭证录入!B:B,$AR133),"")</f>
        <v/>
      </c>
      <c r="C133" s="470" t="str">
        <f ca="1">IFERROR(INDEX(凭证录入!G:G,$AR133),"")</f>
        <v/>
      </c>
      <c r="D133" s="471" t="str">
        <f ca="1">IFERROR(INDEX(凭证录入!F:F,$AR133),"")</f>
        <v/>
      </c>
      <c r="E133" s="472" t="str">
        <f ca="1">IFERROR(INDEX(凭证录入!H:H,$AR133),$AR133)</f>
        <v/>
      </c>
      <c r="F133" s="473">
        <f ca="1">IF(OR($BG$2=0,$AR133=""),,IF($AR133="本月合计",IF(ROW()=$BG$3,SUM($F$6:$F132),SUM(INDIRECT("$F$"&amp;OFFSET($AU$3,,MATCH(ROW(),$AU$3:$BF$3,)-2)+2&amp;":$E"&amp;ROW()-1))),IF($AR133="本年累计",SUMIF($AR$6:$AR133,"本月合计",$F$6:$F132),INDEX(凭证录入!K:K,$AR133))))</f>
        <v>0</v>
      </c>
      <c r="G133" s="459" t="str">
        <f t="shared" ca="1" si="27"/>
        <v/>
      </c>
      <c r="H133" s="460" t="str">
        <f t="shared" ca="1" si="27"/>
        <v/>
      </c>
      <c r="I133" s="460" t="str">
        <f t="shared" ca="1" si="27"/>
        <v/>
      </c>
      <c r="J133" s="460" t="str">
        <f t="shared" ca="1" si="27"/>
        <v/>
      </c>
      <c r="K133" s="460" t="str">
        <f t="shared" ca="1" si="27"/>
        <v/>
      </c>
      <c r="L133" s="460" t="str">
        <f t="shared" ca="1" si="27"/>
        <v/>
      </c>
      <c r="M133" s="460" t="str">
        <f t="shared" ca="1" si="27"/>
        <v/>
      </c>
      <c r="N133" s="460" t="str">
        <f t="shared" ca="1" si="27"/>
        <v/>
      </c>
      <c r="O133" s="461" t="str">
        <f t="shared" ca="1" si="27"/>
        <v/>
      </c>
      <c r="P133" s="474" t="str">
        <f t="shared" ca="1" si="27"/>
        <v/>
      </c>
      <c r="Q133" s="475" t="str">
        <f t="shared" ca="1" si="27"/>
        <v/>
      </c>
      <c r="R133" s="476">
        <f ca="1">IF(OR($BG$2=0,$AR133=""),,IF($AR133="本月合计",IF(ROW()=$BG$3,SUM($R$6:$R132),SUM(INDIRECT("$R$"&amp;OFFSET($AU$3,,MATCH(ROW(),$AU$3:$BF$3,)-2)+2&amp;":$R"&amp;ROW()-1))),IF($AR133="本年累计",SUMIF($AR$6:$AR133,"本月合计",$R$6:$R132),INDEX(凭证录入!L:L,$AR133))))</f>
        <v>0</v>
      </c>
      <c r="S133" s="459" t="str">
        <f t="shared" ca="1" si="28"/>
        <v/>
      </c>
      <c r="T133" s="460" t="str">
        <f t="shared" ca="1" si="28"/>
        <v/>
      </c>
      <c r="U133" s="460" t="str">
        <f t="shared" ca="1" si="28"/>
        <v/>
      </c>
      <c r="V133" s="460" t="str">
        <f t="shared" ca="1" si="28"/>
        <v/>
      </c>
      <c r="W133" s="460" t="str">
        <f t="shared" ca="1" si="28"/>
        <v/>
      </c>
      <c r="X133" s="460" t="str">
        <f t="shared" ca="1" si="28"/>
        <v/>
      </c>
      <c r="Y133" s="460" t="str">
        <f t="shared" ca="1" si="28"/>
        <v/>
      </c>
      <c r="Z133" s="460" t="str">
        <f t="shared" ca="1" si="28"/>
        <v/>
      </c>
      <c r="AA133" s="461" t="str">
        <f t="shared" ca="1" si="28"/>
        <v/>
      </c>
      <c r="AB133" s="474" t="str">
        <f t="shared" ca="1" si="28"/>
        <v/>
      </c>
      <c r="AC133" s="475" t="str">
        <f t="shared" ca="1" si="28"/>
        <v/>
      </c>
      <c r="AD133" s="477" t="str">
        <f t="shared" ca="1" si="18"/>
        <v/>
      </c>
      <c r="AE133" s="478">
        <f t="shared" ca="1" si="19"/>
        <v>0</v>
      </c>
      <c r="AF133" s="459" t="str">
        <f t="shared" ref="AF133:AP148" ca="1" si="29">LEFT(RIGHT(TEXT($AE133/1%," ￥0; ￥-0;"),43-COLUMN()))</f>
        <v/>
      </c>
      <c r="AG133" s="460" t="str">
        <f t="shared" ca="1" si="29"/>
        <v/>
      </c>
      <c r="AH133" s="460" t="str">
        <f t="shared" ca="1" si="29"/>
        <v/>
      </c>
      <c r="AI133" s="460" t="str">
        <f t="shared" ca="1" si="29"/>
        <v/>
      </c>
      <c r="AJ133" s="460" t="str">
        <f t="shared" ca="1" si="29"/>
        <v/>
      </c>
      <c r="AK133" s="460" t="str">
        <f t="shared" ca="1" si="29"/>
        <v/>
      </c>
      <c r="AL133" s="460" t="str">
        <f t="shared" ca="1" si="29"/>
        <v/>
      </c>
      <c r="AM133" s="460" t="str">
        <f t="shared" ca="1" si="29"/>
        <v/>
      </c>
      <c r="AN133" s="461" t="str">
        <f t="shared" ca="1" si="29"/>
        <v/>
      </c>
      <c r="AO133" s="474" t="str">
        <f t="shared" ca="1" si="29"/>
        <v/>
      </c>
      <c r="AP133" s="475" t="str">
        <f t="shared" ca="1" si="29"/>
        <v/>
      </c>
      <c r="AQ133" s="479" t="str">
        <f t="array" aca="1" ref="AQ133" ca="1">IF(ROW()-5&lt;=COUNTIF(科目编号,$AR$2),SMALL(IF(科目编号=$AR$2,ROW(科目编号),""),ROW()-5),"")</f>
        <v/>
      </c>
      <c r="AR133" s="480" t="str">
        <f ca="1">IF($BG$2=0,"",IF(AR132="本月合计","本年累计",IF(OR(ROW()=$AU$3,ROW()=$AV$3,ROW()=$AW$3,ROW()=$AX$3,ROW()=$AY$3,ROW()=$AZ$3,ROW()=$BA$3,ROW()=$BB$3,ROW()=$BC$3,ROW()=$BD$3,ROW()=$BE$3,ROW()=$BF$3),"本月合计",IF(ROW()&lt;7,$AQ$6,OFFSET($AQ$6,COUNT($AR$6:AR132),0)))))</f>
        <v/>
      </c>
    </row>
    <row r="134" spans="1:44">
      <c r="A134" s="469" t="str">
        <f ca="1">IFERROR(INDEX(凭证录入!A:A,$AR134),"")</f>
        <v/>
      </c>
      <c r="B134" s="469" t="str">
        <f ca="1">IFERROR(INDEX(凭证录入!B:B,$AR134),"")</f>
        <v/>
      </c>
      <c r="C134" s="470" t="str">
        <f ca="1">IFERROR(INDEX(凭证录入!G:G,$AR134),"")</f>
        <v/>
      </c>
      <c r="D134" s="471" t="str">
        <f ca="1">IFERROR(INDEX(凭证录入!F:F,$AR134),"")</f>
        <v/>
      </c>
      <c r="E134" s="472" t="str">
        <f ca="1">IFERROR(INDEX(凭证录入!H:H,$AR134),$AR134)</f>
        <v/>
      </c>
      <c r="F134" s="473">
        <f ca="1">IF(OR($BG$2=0,$AR134=""),,IF($AR134="本月合计",IF(ROW()=$BG$3,SUM($F$6:$F133),SUM(INDIRECT("$F$"&amp;OFFSET($AU$3,,MATCH(ROW(),$AU$3:$BF$3,)-2)+2&amp;":$E"&amp;ROW()-1))),IF($AR134="本年累计",SUMIF($AR$6:$AR134,"本月合计",$F$6:$F133),INDEX(凭证录入!K:K,$AR134))))</f>
        <v>0</v>
      </c>
      <c r="G134" s="459" t="str">
        <f t="shared" ref="G134:Q149" ca="1" si="30">LEFT(RIGHT(TEXT($F134/1%," ￥0; ￥-0;"),18-COLUMN()))</f>
        <v/>
      </c>
      <c r="H134" s="460" t="str">
        <f t="shared" ca="1" si="30"/>
        <v/>
      </c>
      <c r="I134" s="460" t="str">
        <f t="shared" ca="1" si="30"/>
        <v/>
      </c>
      <c r="J134" s="460" t="str">
        <f t="shared" ca="1" si="30"/>
        <v/>
      </c>
      <c r="K134" s="460" t="str">
        <f t="shared" ca="1" si="30"/>
        <v/>
      </c>
      <c r="L134" s="460" t="str">
        <f t="shared" ca="1" si="30"/>
        <v/>
      </c>
      <c r="M134" s="460" t="str">
        <f t="shared" ca="1" si="30"/>
        <v/>
      </c>
      <c r="N134" s="460" t="str">
        <f t="shared" ca="1" si="30"/>
        <v/>
      </c>
      <c r="O134" s="461" t="str">
        <f t="shared" ca="1" si="30"/>
        <v/>
      </c>
      <c r="P134" s="474" t="str">
        <f t="shared" ca="1" si="30"/>
        <v/>
      </c>
      <c r="Q134" s="475" t="str">
        <f t="shared" ca="1" si="30"/>
        <v/>
      </c>
      <c r="R134" s="476">
        <f ca="1">IF(OR($BG$2=0,$AR134=""),,IF($AR134="本月合计",IF(ROW()=$BG$3,SUM($R$6:$R133),SUM(INDIRECT("$R$"&amp;OFFSET($AU$3,,MATCH(ROW(),$AU$3:$BF$3,)-2)+2&amp;":$R"&amp;ROW()-1))),IF($AR134="本年累计",SUMIF($AR$6:$AR134,"本月合计",$R$6:$R133),INDEX(凭证录入!L:L,$AR134))))</f>
        <v>0</v>
      </c>
      <c r="S134" s="459" t="str">
        <f t="shared" ref="S134:AC149" ca="1" si="31">LEFT(RIGHT(TEXT($R134/1%," ￥0; ￥-0;"),30-COLUMN()))</f>
        <v/>
      </c>
      <c r="T134" s="460" t="str">
        <f t="shared" ca="1" si="31"/>
        <v/>
      </c>
      <c r="U134" s="460" t="str">
        <f t="shared" ca="1" si="31"/>
        <v/>
      </c>
      <c r="V134" s="460" t="str">
        <f t="shared" ca="1" si="31"/>
        <v/>
      </c>
      <c r="W134" s="460" t="str">
        <f t="shared" ca="1" si="31"/>
        <v/>
      </c>
      <c r="X134" s="460" t="str">
        <f t="shared" ca="1" si="31"/>
        <v/>
      </c>
      <c r="Y134" s="460" t="str">
        <f t="shared" ca="1" si="31"/>
        <v/>
      </c>
      <c r="Z134" s="460" t="str">
        <f t="shared" ca="1" si="31"/>
        <v/>
      </c>
      <c r="AA134" s="461" t="str">
        <f t="shared" ca="1" si="31"/>
        <v/>
      </c>
      <c r="AB134" s="474" t="str">
        <f t="shared" ca="1" si="31"/>
        <v/>
      </c>
      <c r="AC134" s="475" t="str">
        <f t="shared" ca="1" si="31"/>
        <v/>
      </c>
      <c r="AD134" s="477" t="str">
        <f t="shared" ref="AD134:AD197" ca="1" si="32">IF(OR($BG$2=0,$AR134="",$AR134="本月合计",$AR134="本年累计"),"",IF(OR(AND($AD133="",$AE133="",$AD131&lt;&gt;"借",$AD131&lt;&gt;"贷",($F134-$R134)&gt;=0),AND($AD133="",$AE133&lt;&gt;"",$AD131="借",($AE132+$F134-$R134)&gt;=0),AND($AD133="",$AE133&lt;&gt;"",$AD131="贷",(-$AE132+$F134-$R134)&gt;=0),AND($AD133="借",($AE133+$F134-$R134)&gt;=0),AND($AD133="贷",(-$AE133+$F134-$R134)&gt;=0),),"借","贷"))</f>
        <v/>
      </c>
      <c r="AE134" s="478">
        <f t="shared" ref="AE134:AE197" ca="1" si="33">IF(OR($BG$2=0,$AR134=""),,IF(OR($AR134="本月合计",$AR134="本年累计"),$AE133,IF(OR(AD133="借",AND(AD133="",AD132="",AD131="借")),ABS(AE133+F134-R134),ABS(-AE133+F134-R134))))</f>
        <v>0</v>
      </c>
      <c r="AF134" s="459" t="str">
        <f t="shared" ca="1" si="29"/>
        <v/>
      </c>
      <c r="AG134" s="460" t="str">
        <f t="shared" ca="1" si="29"/>
        <v/>
      </c>
      <c r="AH134" s="460" t="str">
        <f t="shared" ca="1" si="29"/>
        <v/>
      </c>
      <c r="AI134" s="460" t="str">
        <f t="shared" ca="1" si="29"/>
        <v/>
      </c>
      <c r="AJ134" s="460" t="str">
        <f t="shared" ca="1" si="29"/>
        <v/>
      </c>
      <c r="AK134" s="460" t="str">
        <f t="shared" ca="1" si="29"/>
        <v/>
      </c>
      <c r="AL134" s="460" t="str">
        <f t="shared" ca="1" si="29"/>
        <v/>
      </c>
      <c r="AM134" s="460" t="str">
        <f t="shared" ca="1" si="29"/>
        <v/>
      </c>
      <c r="AN134" s="461" t="str">
        <f t="shared" ca="1" si="29"/>
        <v/>
      </c>
      <c r="AO134" s="474" t="str">
        <f t="shared" ca="1" si="29"/>
        <v/>
      </c>
      <c r="AP134" s="475" t="str">
        <f t="shared" ca="1" si="29"/>
        <v/>
      </c>
      <c r="AQ134" s="479" t="str">
        <f t="array" aca="1" ref="AQ134" ca="1">IF(ROW()-5&lt;=COUNTIF(科目编号,$AR$2),SMALL(IF(科目编号=$AR$2,ROW(科目编号),""),ROW()-5),"")</f>
        <v/>
      </c>
      <c r="AR134" s="480" t="str">
        <f ca="1">IF($BG$2=0,"",IF(AR133="本月合计","本年累计",IF(OR(ROW()=$AU$3,ROW()=$AV$3,ROW()=$AW$3,ROW()=$AX$3,ROW()=$AY$3,ROW()=$AZ$3,ROW()=$BA$3,ROW()=$BB$3,ROW()=$BC$3,ROW()=$BD$3,ROW()=$BE$3,ROW()=$BF$3),"本月合计",IF(ROW()&lt;7,$AQ$6,OFFSET($AQ$6,COUNT($AR$6:AR133),0)))))</f>
        <v/>
      </c>
    </row>
    <row r="135" spans="1:44">
      <c r="A135" s="469" t="str">
        <f ca="1">IFERROR(INDEX(凭证录入!A:A,$AR135),"")</f>
        <v/>
      </c>
      <c r="B135" s="469" t="str">
        <f ca="1">IFERROR(INDEX(凭证录入!B:B,$AR135),"")</f>
        <v/>
      </c>
      <c r="C135" s="470" t="str">
        <f ca="1">IFERROR(INDEX(凭证录入!G:G,$AR135),"")</f>
        <v/>
      </c>
      <c r="D135" s="471" t="str">
        <f ca="1">IFERROR(INDEX(凭证录入!F:F,$AR135),"")</f>
        <v/>
      </c>
      <c r="E135" s="472" t="str">
        <f ca="1">IFERROR(INDEX(凭证录入!H:H,$AR135),$AR135)</f>
        <v/>
      </c>
      <c r="F135" s="473">
        <f ca="1">IF(OR($BG$2=0,$AR135=""),,IF($AR135="本月合计",IF(ROW()=$BG$3,SUM($F$6:$F134),SUM(INDIRECT("$F$"&amp;OFFSET($AU$3,,MATCH(ROW(),$AU$3:$BF$3,)-2)+2&amp;":$E"&amp;ROW()-1))),IF($AR135="本年累计",SUMIF($AR$6:$AR135,"本月合计",$F$6:$F134),INDEX(凭证录入!K:K,$AR135))))</f>
        <v>0</v>
      </c>
      <c r="G135" s="459" t="str">
        <f t="shared" ca="1" si="30"/>
        <v/>
      </c>
      <c r="H135" s="460" t="str">
        <f t="shared" ca="1" si="30"/>
        <v/>
      </c>
      <c r="I135" s="460" t="str">
        <f t="shared" ca="1" si="30"/>
        <v/>
      </c>
      <c r="J135" s="460" t="str">
        <f t="shared" ca="1" si="30"/>
        <v/>
      </c>
      <c r="K135" s="460" t="str">
        <f t="shared" ca="1" si="30"/>
        <v/>
      </c>
      <c r="L135" s="460" t="str">
        <f t="shared" ca="1" si="30"/>
        <v/>
      </c>
      <c r="M135" s="460" t="str">
        <f t="shared" ca="1" si="30"/>
        <v/>
      </c>
      <c r="N135" s="460" t="str">
        <f t="shared" ca="1" si="30"/>
        <v/>
      </c>
      <c r="O135" s="461" t="str">
        <f t="shared" ca="1" si="30"/>
        <v/>
      </c>
      <c r="P135" s="474" t="str">
        <f t="shared" ca="1" si="30"/>
        <v/>
      </c>
      <c r="Q135" s="475" t="str">
        <f t="shared" ca="1" si="30"/>
        <v/>
      </c>
      <c r="R135" s="476">
        <f ca="1">IF(OR($BG$2=0,$AR135=""),,IF($AR135="本月合计",IF(ROW()=$BG$3,SUM($R$6:$R134),SUM(INDIRECT("$R$"&amp;OFFSET($AU$3,,MATCH(ROW(),$AU$3:$BF$3,)-2)+2&amp;":$R"&amp;ROW()-1))),IF($AR135="本年累计",SUMIF($AR$6:$AR135,"本月合计",$R$6:$R134),INDEX(凭证录入!L:L,$AR135))))</f>
        <v>0</v>
      </c>
      <c r="S135" s="459" t="str">
        <f t="shared" ca="1" si="31"/>
        <v/>
      </c>
      <c r="T135" s="460" t="str">
        <f t="shared" ca="1" si="31"/>
        <v/>
      </c>
      <c r="U135" s="460" t="str">
        <f t="shared" ca="1" si="31"/>
        <v/>
      </c>
      <c r="V135" s="460" t="str">
        <f t="shared" ca="1" si="31"/>
        <v/>
      </c>
      <c r="W135" s="460" t="str">
        <f t="shared" ca="1" si="31"/>
        <v/>
      </c>
      <c r="X135" s="460" t="str">
        <f t="shared" ca="1" si="31"/>
        <v/>
      </c>
      <c r="Y135" s="460" t="str">
        <f t="shared" ca="1" si="31"/>
        <v/>
      </c>
      <c r="Z135" s="460" t="str">
        <f t="shared" ca="1" si="31"/>
        <v/>
      </c>
      <c r="AA135" s="461" t="str">
        <f t="shared" ca="1" si="31"/>
        <v/>
      </c>
      <c r="AB135" s="474" t="str">
        <f t="shared" ca="1" si="31"/>
        <v/>
      </c>
      <c r="AC135" s="475" t="str">
        <f t="shared" ca="1" si="31"/>
        <v/>
      </c>
      <c r="AD135" s="477" t="str">
        <f t="shared" ca="1" si="32"/>
        <v/>
      </c>
      <c r="AE135" s="478">
        <f t="shared" ca="1" si="33"/>
        <v>0</v>
      </c>
      <c r="AF135" s="459" t="str">
        <f t="shared" ca="1" si="29"/>
        <v/>
      </c>
      <c r="AG135" s="460" t="str">
        <f t="shared" ca="1" si="29"/>
        <v/>
      </c>
      <c r="AH135" s="460" t="str">
        <f t="shared" ca="1" si="29"/>
        <v/>
      </c>
      <c r="AI135" s="460" t="str">
        <f t="shared" ca="1" si="29"/>
        <v/>
      </c>
      <c r="AJ135" s="460" t="str">
        <f t="shared" ca="1" si="29"/>
        <v/>
      </c>
      <c r="AK135" s="460" t="str">
        <f t="shared" ca="1" si="29"/>
        <v/>
      </c>
      <c r="AL135" s="460" t="str">
        <f t="shared" ca="1" si="29"/>
        <v/>
      </c>
      <c r="AM135" s="460" t="str">
        <f t="shared" ca="1" si="29"/>
        <v/>
      </c>
      <c r="AN135" s="461" t="str">
        <f t="shared" ca="1" si="29"/>
        <v/>
      </c>
      <c r="AO135" s="474" t="str">
        <f t="shared" ca="1" si="29"/>
        <v/>
      </c>
      <c r="AP135" s="475" t="str">
        <f t="shared" ca="1" si="29"/>
        <v/>
      </c>
      <c r="AQ135" s="479" t="str">
        <f t="array" aca="1" ref="AQ135" ca="1">IF(ROW()-5&lt;=COUNTIF(科目编号,$AR$2),SMALL(IF(科目编号=$AR$2,ROW(科目编号),""),ROW()-5),"")</f>
        <v/>
      </c>
      <c r="AR135" s="480" t="str">
        <f ca="1">IF($BG$2=0,"",IF(AR134="本月合计","本年累计",IF(OR(ROW()=$AU$3,ROW()=$AV$3,ROW()=$AW$3,ROW()=$AX$3,ROW()=$AY$3,ROW()=$AZ$3,ROW()=$BA$3,ROW()=$BB$3,ROW()=$BC$3,ROW()=$BD$3,ROW()=$BE$3,ROW()=$BF$3),"本月合计",IF(ROW()&lt;7,$AQ$6,OFFSET($AQ$6,COUNT($AR$6:AR134),0)))))</f>
        <v/>
      </c>
    </row>
    <row r="136" spans="1:44">
      <c r="A136" s="469" t="str">
        <f ca="1">IFERROR(INDEX(凭证录入!A:A,$AR136),"")</f>
        <v/>
      </c>
      <c r="B136" s="469" t="str">
        <f ca="1">IFERROR(INDEX(凭证录入!B:B,$AR136),"")</f>
        <v/>
      </c>
      <c r="C136" s="470" t="str">
        <f ca="1">IFERROR(INDEX(凭证录入!G:G,$AR136),"")</f>
        <v/>
      </c>
      <c r="D136" s="471" t="str">
        <f ca="1">IFERROR(INDEX(凭证录入!F:F,$AR136),"")</f>
        <v/>
      </c>
      <c r="E136" s="472" t="str">
        <f ca="1">IFERROR(INDEX(凭证录入!H:H,$AR136),$AR136)</f>
        <v/>
      </c>
      <c r="F136" s="473">
        <f ca="1">IF(OR($BG$2=0,$AR136=""),,IF($AR136="本月合计",IF(ROW()=$BG$3,SUM($F$6:$F135),SUM(INDIRECT("$F$"&amp;OFFSET($AU$3,,MATCH(ROW(),$AU$3:$BF$3,)-2)+2&amp;":$E"&amp;ROW()-1))),IF($AR136="本年累计",SUMIF($AR$6:$AR136,"本月合计",$F$6:$F135),INDEX(凭证录入!K:K,$AR136))))</f>
        <v>0</v>
      </c>
      <c r="G136" s="459" t="str">
        <f t="shared" ca="1" si="30"/>
        <v/>
      </c>
      <c r="H136" s="460" t="str">
        <f t="shared" ca="1" si="30"/>
        <v/>
      </c>
      <c r="I136" s="460" t="str">
        <f t="shared" ca="1" si="30"/>
        <v/>
      </c>
      <c r="J136" s="460" t="str">
        <f t="shared" ca="1" si="30"/>
        <v/>
      </c>
      <c r="K136" s="460" t="str">
        <f t="shared" ca="1" si="30"/>
        <v/>
      </c>
      <c r="L136" s="460" t="str">
        <f t="shared" ca="1" si="30"/>
        <v/>
      </c>
      <c r="M136" s="460" t="str">
        <f t="shared" ca="1" si="30"/>
        <v/>
      </c>
      <c r="N136" s="460" t="str">
        <f t="shared" ca="1" si="30"/>
        <v/>
      </c>
      <c r="O136" s="461" t="str">
        <f t="shared" ca="1" si="30"/>
        <v/>
      </c>
      <c r="P136" s="474" t="str">
        <f t="shared" ca="1" si="30"/>
        <v/>
      </c>
      <c r="Q136" s="475" t="str">
        <f t="shared" ca="1" si="30"/>
        <v/>
      </c>
      <c r="R136" s="476">
        <f ca="1">IF(OR($BG$2=0,$AR136=""),,IF($AR136="本月合计",IF(ROW()=$BG$3,SUM($R$6:$R135),SUM(INDIRECT("$R$"&amp;OFFSET($AU$3,,MATCH(ROW(),$AU$3:$BF$3,)-2)+2&amp;":$R"&amp;ROW()-1))),IF($AR136="本年累计",SUMIF($AR$6:$AR136,"本月合计",$R$6:$R135),INDEX(凭证录入!L:L,$AR136))))</f>
        <v>0</v>
      </c>
      <c r="S136" s="459" t="str">
        <f t="shared" ca="1" si="31"/>
        <v/>
      </c>
      <c r="T136" s="460" t="str">
        <f t="shared" ca="1" si="31"/>
        <v/>
      </c>
      <c r="U136" s="460" t="str">
        <f t="shared" ca="1" si="31"/>
        <v/>
      </c>
      <c r="V136" s="460" t="str">
        <f t="shared" ca="1" si="31"/>
        <v/>
      </c>
      <c r="W136" s="460" t="str">
        <f t="shared" ca="1" si="31"/>
        <v/>
      </c>
      <c r="X136" s="460" t="str">
        <f t="shared" ca="1" si="31"/>
        <v/>
      </c>
      <c r="Y136" s="460" t="str">
        <f t="shared" ca="1" si="31"/>
        <v/>
      </c>
      <c r="Z136" s="460" t="str">
        <f t="shared" ca="1" si="31"/>
        <v/>
      </c>
      <c r="AA136" s="461" t="str">
        <f t="shared" ca="1" si="31"/>
        <v/>
      </c>
      <c r="AB136" s="474" t="str">
        <f t="shared" ca="1" si="31"/>
        <v/>
      </c>
      <c r="AC136" s="475" t="str">
        <f t="shared" ca="1" si="31"/>
        <v/>
      </c>
      <c r="AD136" s="477" t="str">
        <f t="shared" ca="1" si="32"/>
        <v/>
      </c>
      <c r="AE136" s="478">
        <f t="shared" ca="1" si="33"/>
        <v>0</v>
      </c>
      <c r="AF136" s="459" t="str">
        <f t="shared" ca="1" si="29"/>
        <v/>
      </c>
      <c r="AG136" s="460" t="str">
        <f t="shared" ca="1" si="29"/>
        <v/>
      </c>
      <c r="AH136" s="460" t="str">
        <f t="shared" ca="1" si="29"/>
        <v/>
      </c>
      <c r="AI136" s="460" t="str">
        <f t="shared" ca="1" si="29"/>
        <v/>
      </c>
      <c r="AJ136" s="460" t="str">
        <f t="shared" ca="1" si="29"/>
        <v/>
      </c>
      <c r="AK136" s="460" t="str">
        <f t="shared" ca="1" si="29"/>
        <v/>
      </c>
      <c r="AL136" s="460" t="str">
        <f t="shared" ca="1" si="29"/>
        <v/>
      </c>
      <c r="AM136" s="460" t="str">
        <f t="shared" ca="1" si="29"/>
        <v/>
      </c>
      <c r="AN136" s="461" t="str">
        <f t="shared" ca="1" si="29"/>
        <v/>
      </c>
      <c r="AO136" s="474" t="str">
        <f t="shared" ca="1" si="29"/>
        <v/>
      </c>
      <c r="AP136" s="475" t="str">
        <f t="shared" ca="1" si="29"/>
        <v/>
      </c>
      <c r="AQ136" s="479" t="str">
        <f t="array" aca="1" ref="AQ136" ca="1">IF(ROW()-5&lt;=COUNTIF(科目编号,$AR$2),SMALL(IF(科目编号=$AR$2,ROW(科目编号),""),ROW()-5),"")</f>
        <v/>
      </c>
      <c r="AR136" s="480" t="str">
        <f ca="1">IF($BG$2=0,"",IF(AR135="本月合计","本年累计",IF(OR(ROW()=$AU$3,ROW()=$AV$3,ROW()=$AW$3,ROW()=$AX$3,ROW()=$AY$3,ROW()=$AZ$3,ROW()=$BA$3,ROW()=$BB$3,ROW()=$BC$3,ROW()=$BD$3,ROW()=$BE$3,ROW()=$BF$3),"本月合计",IF(ROW()&lt;7,$AQ$6,OFFSET($AQ$6,COUNT($AR$6:AR135),0)))))</f>
        <v/>
      </c>
    </row>
    <row r="137" spans="1:44">
      <c r="A137" s="469" t="str">
        <f ca="1">IFERROR(INDEX(凭证录入!A:A,$AR137),"")</f>
        <v/>
      </c>
      <c r="B137" s="469" t="str">
        <f ca="1">IFERROR(INDEX(凭证录入!B:B,$AR137),"")</f>
        <v/>
      </c>
      <c r="C137" s="470" t="str">
        <f ca="1">IFERROR(INDEX(凭证录入!G:G,$AR137),"")</f>
        <v/>
      </c>
      <c r="D137" s="471" t="str">
        <f ca="1">IFERROR(INDEX(凭证录入!F:F,$AR137),"")</f>
        <v/>
      </c>
      <c r="E137" s="472" t="str">
        <f ca="1">IFERROR(INDEX(凭证录入!H:H,$AR137),$AR137)</f>
        <v/>
      </c>
      <c r="F137" s="473">
        <f ca="1">IF(OR($BG$2=0,$AR137=""),,IF($AR137="本月合计",IF(ROW()=$BG$3,SUM($F$6:$F136),SUM(INDIRECT("$F$"&amp;OFFSET($AU$3,,MATCH(ROW(),$AU$3:$BF$3,)-2)+2&amp;":$E"&amp;ROW()-1))),IF($AR137="本年累计",SUMIF($AR$6:$AR137,"本月合计",$F$6:$F136),INDEX(凭证录入!K:K,$AR137))))</f>
        <v>0</v>
      </c>
      <c r="G137" s="459" t="str">
        <f t="shared" ca="1" si="30"/>
        <v/>
      </c>
      <c r="H137" s="460" t="str">
        <f t="shared" ca="1" si="30"/>
        <v/>
      </c>
      <c r="I137" s="460" t="str">
        <f t="shared" ca="1" si="30"/>
        <v/>
      </c>
      <c r="J137" s="460" t="str">
        <f t="shared" ca="1" si="30"/>
        <v/>
      </c>
      <c r="K137" s="460" t="str">
        <f t="shared" ca="1" si="30"/>
        <v/>
      </c>
      <c r="L137" s="460" t="str">
        <f t="shared" ca="1" si="30"/>
        <v/>
      </c>
      <c r="M137" s="460" t="str">
        <f t="shared" ca="1" si="30"/>
        <v/>
      </c>
      <c r="N137" s="460" t="str">
        <f t="shared" ca="1" si="30"/>
        <v/>
      </c>
      <c r="O137" s="461" t="str">
        <f t="shared" ca="1" si="30"/>
        <v/>
      </c>
      <c r="P137" s="474" t="str">
        <f t="shared" ca="1" si="30"/>
        <v/>
      </c>
      <c r="Q137" s="475" t="str">
        <f t="shared" ca="1" si="30"/>
        <v/>
      </c>
      <c r="R137" s="476">
        <f ca="1">IF(OR($BG$2=0,$AR137=""),,IF($AR137="本月合计",IF(ROW()=$BG$3,SUM($R$6:$R136),SUM(INDIRECT("$R$"&amp;OFFSET($AU$3,,MATCH(ROW(),$AU$3:$BF$3,)-2)+2&amp;":$R"&amp;ROW()-1))),IF($AR137="本年累计",SUMIF($AR$6:$AR137,"本月合计",$R$6:$R136),INDEX(凭证录入!L:L,$AR137))))</f>
        <v>0</v>
      </c>
      <c r="S137" s="459" t="str">
        <f t="shared" ca="1" si="31"/>
        <v/>
      </c>
      <c r="T137" s="460" t="str">
        <f t="shared" ca="1" si="31"/>
        <v/>
      </c>
      <c r="U137" s="460" t="str">
        <f t="shared" ca="1" si="31"/>
        <v/>
      </c>
      <c r="V137" s="460" t="str">
        <f t="shared" ca="1" si="31"/>
        <v/>
      </c>
      <c r="W137" s="460" t="str">
        <f t="shared" ca="1" si="31"/>
        <v/>
      </c>
      <c r="X137" s="460" t="str">
        <f t="shared" ca="1" si="31"/>
        <v/>
      </c>
      <c r="Y137" s="460" t="str">
        <f t="shared" ca="1" si="31"/>
        <v/>
      </c>
      <c r="Z137" s="460" t="str">
        <f t="shared" ca="1" si="31"/>
        <v/>
      </c>
      <c r="AA137" s="461" t="str">
        <f t="shared" ca="1" si="31"/>
        <v/>
      </c>
      <c r="AB137" s="474" t="str">
        <f t="shared" ca="1" si="31"/>
        <v/>
      </c>
      <c r="AC137" s="475" t="str">
        <f t="shared" ca="1" si="31"/>
        <v/>
      </c>
      <c r="AD137" s="477" t="str">
        <f t="shared" ca="1" si="32"/>
        <v/>
      </c>
      <c r="AE137" s="478">
        <f t="shared" ca="1" si="33"/>
        <v>0</v>
      </c>
      <c r="AF137" s="459" t="str">
        <f t="shared" ca="1" si="29"/>
        <v/>
      </c>
      <c r="AG137" s="460" t="str">
        <f t="shared" ca="1" si="29"/>
        <v/>
      </c>
      <c r="AH137" s="460" t="str">
        <f t="shared" ca="1" si="29"/>
        <v/>
      </c>
      <c r="AI137" s="460" t="str">
        <f t="shared" ca="1" si="29"/>
        <v/>
      </c>
      <c r="AJ137" s="460" t="str">
        <f t="shared" ca="1" si="29"/>
        <v/>
      </c>
      <c r="AK137" s="460" t="str">
        <f t="shared" ca="1" si="29"/>
        <v/>
      </c>
      <c r="AL137" s="460" t="str">
        <f t="shared" ca="1" si="29"/>
        <v/>
      </c>
      <c r="AM137" s="460" t="str">
        <f t="shared" ca="1" si="29"/>
        <v/>
      </c>
      <c r="AN137" s="461" t="str">
        <f t="shared" ca="1" si="29"/>
        <v/>
      </c>
      <c r="AO137" s="474" t="str">
        <f t="shared" ca="1" si="29"/>
        <v/>
      </c>
      <c r="AP137" s="475" t="str">
        <f t="shared" ca="1" si="29"/>
        <v/>
      </c>
      <c r="AQ137" s="479" t="str">
        <f t="array" aca="1" ref="AQ137" ca="1">IF(ROW()-5&lt;=COUNTIF(科目编号,$AR$2),SMALL(IF(科目编号=$AR$2,ROW(科目编号),""),ROW()-5),"")</f>
        <v/>
      </c>
      <c r="AR137" s="480" t="str">
        <f ca="1">IF($BG$2=0,"",IF(AR136="本月合计","本年累计",IF(OR(ROW()=$AU$3,ROW()=$AV$3,ROW()=$AW$3,ROW()=$AX$3,ROW()=$AY$3,ROW()=$AZ$3,ROW()=$BA$3,ROW()=$BB$3,ROW()=$BC$3,ROW()=$BD$3,ROW()=$BE$3,ROW()=$BF$3),"本月合计",IF(ROW()&lt;7,$AQ$6,OFFSET($AQ$6,COUNT($AR$6:AR136),0)))))</f>
        <v/>
      </c>
    </row>
    <row r="138" spans="1:44">
      <c r="A138" s="469" t="str">
        <f ca="1">IFERROR(INDEX(凭证录入!A:A,$AR138),"")</f>
        <v/>
      </c>
      <c r="B138" s="469" t="str">
        <f ca="1">IFERROR(INDEX(凭证录入!B:B,$AR138),"")</f>
        <v/>
      </c>
      <c r="C138" s="470" t="str">
        <f ca="1">IFERROR(INDEX(凭证录入!G:G,$AR138),"")</f>
        <v/>
      </c>
      <c r="D138" s="471" t="str">
        <f ca="1">IFERROR(INDEX(凭证录入!F:F,$AR138),"")</f>
        <v/>
      </c>
      <c r="E138" s="472" t="str">
        <f ca="1">IFERROR(INDEX(凭证录入!H:H,$AR138),$AR138)</f>
        <v/>
      </c>
      <c r="F138" s="473">
        <f ca="1">IF(OR($BG$2=0,$AR138=""),,IF($AR138="本月合计",IF(ROW()=$BG$3,SUM($F$6:$F137),SUM(INDIRECT("$F$"&amp;OFFSET($AU$3,,MATCH(ROW(),$AU$3:$BF$3,)-2)+2&amp;":$E"&amp;ROW()-1))),IF($AR138="本年累计",SUMIF($AR$6:$AR138,"本月合计",$F$6:$F137),INDEX(凭证录入!K:K,$AR138))))</f>
        <v>0</v>
      </c>
      <c r="G138" s="459" t="str">
        <f t="shared" ca="1" si="30"/>
        <v/>
      </c>
      <c r="H138" s="460" t="str">
        <f t="shared" ca="1" si="30"/>
        <v/>
      </c>
      <c r="I138" s="460" t="str">
        <f t="shared" ca="1" si="30"/>
        <v/>
      </c>
      <c r="J138" s="460" t="str">
        <f t="shared" ca="1" si="30"/>
        <v/>
      </c>
      <c r="K138" s="460" t="str">
        <f t="shared" ca="1" si="30"/>
        <v/>
      </c>
      <c r="L138" s="460" t="str">
        <f t="shared" ca="1" si="30"/>
        <v/>
      </c>
      <c r="M138" s="460" t="str">
        <f t="shared" ca="1" si="30"/>
        <v/>
      </c>
      <c r="N138" s="460" t="str">
        <f t="shared" ca="1" si="30"/>
        <v/>
      </c>
      <c r="O138" s="461" t="str">
        <f t="shared" ca="1" si="30"/>
        <v/>
      </c>
      <c r="P138" s="474" t="str">
        <f t="shared" ca="1" si="30"/>
        <v/>
      </c>
      <c r="Q138" s="475" t="str">
        <f t="shared" ca="1" si="30"/>
        <v/>
      </c>
      <c r="R138" s="476">
        <f ca="1">IF(OR($BG$2=0,$AR138=""),,IF($AR138="本月合计",IF(ROW()=$BG$3,SUM($R$6:$R137),SUM(INDIRECT("$R$"&amp;OFFSET($AU$3,,MATCH(ROW(),$AU$3:$BF$3,)-2)+2&amp;":$R"&amp;ROW()-1))),IF($AR138="本年累计",SUMIF($AR$6:$AR138,"本月合计",$R$6:$R137),INDEX(凭证录入!L:L,$AR138))))</f>
        <v>0</v>
      </c>
      <c r="S138" s="459" t="str">
        <f t="shared" ca="1" si="31"/>
        <v/>
      </c>
      <c r="T138" s="460" t="str">
        <f t="shared" ca="1" si="31"/>
        <v/>
      </c>
      <c r="U138" s="460" t="str">
        <f t="shared" ca="1" si="31"/>
        <v/>
      </c>
      <c r="V138" s="460" t="str">
        <f t="shared" ca="1" si="31"/>
        <v/>
      </c>
      <c r="W138" s="460" t="str">
        <f t="shared" ca="1" si="31"/>
        <v/>
      </c>
      <c r="X138" s="460" t="str">
        <f t="shared" ca="1" si="31"/>
        <v/>
      </c>
      <c r="Y138" s="460" t="str">
        <f t="shared" ca="1" si="31"/>
        <v/>
      </c>
      <c r="Z138" s="460" t="str">
        <f t="shared" ca="1" si="31"/>
        <v/>
      </c>
      <c r="AA138" s="461" t="str">
        <f t="shared" ca="1" si="31"/>
        <v/>
      </c>
      <c r="AB138" s="474" t="str">
        <f t="shared" ca="1" si="31"/>
        <v/>
      </c>
      <c r="AC138" s="475" t="str">
        <f t="shared" ca="1" si="31"/>
        <v/>
      </c>
      <c r="AD138" s="477" t="str">
        <f t="shared" ca="1" si="32"/>
        <v/>
      </c>
      <c r="AE138" s="478">
        <f t="shared" ca="1" si="33"/>
        <v>0</v>
      </c>
      <c r="AF138" s="459" t="str">
        <f t="shared" ca="1" si="29"/>
        <v/>
      </c>
      <c r="AG138" s="460" t="str">
        <f t="shared" ca="1" si="29"/>
        <v/>
      </c>
      <c r="AH138" s="460" t="str">
        <f t="shared" ca="1" si="29"/>
        <v/>
      </c>
      <c r="AI138" s="460" t="str">
        <f t="shared" ca="1" si="29"/>
        <v/>
      </c>
      <c r="AJ138" s="460" t="str">
        <f t="shared" ca="1" si="29"/>
        <v/>
      </c>
      <c r="AK138" s="460" t="str">
        <f t="shared" ca="1" si="29"/>
        <v/>
      </c>
      <c r="AL138" s="460" t="str">
        <f t="shared" ca="1" si="29"/>
        <v/>
      </c>
      <c r="AM138" s="460" t="str">
        <f t="shared" ca="1" si="29"/>
        <v/>
      </c>
      <c r="AN138" s="461" t="str">
        <f t="shared" ca="1" si="29"/>
        <v/>
      </c>
      <c r="AO138" s="474" t="str">
        <f t="shared" ca="1" si="29"/>
        <v/>
      </c>
      <c r="AP138" s="475" t="str">
        <f t="shared" ca="1" si="29"/>
        <v/>
      </c>
      <c r="AQ138" s="479" t="str">
        <f t="array" aca="1" ref="AQ138" ca="1">IF(ROW()-5&lt;=COUNTIF(科目编号,$AR$2),SMALL(IF(科目编号=$AR$2,ROW(科目编号),""),ROW()-5),"")</f>
        <v/>
      </c>
      <c r="AR138" s="480" t="str">
        <f ca="1">IF($BG$2=0,"",IF(AR137="本月合计","本年累计",IF(OR(ROW()=$AU$3,ROW()=$AV$3,ROW()=$AW$3,ROW()=$AX$3,ROW()=$AY$3,ROW()=$AZ$3,ROW()=$BA$3,ROW()=$BB$3,ROW()=$BC$3,ROW()=$BD$3,ROW()=$BE$3,ROW()=$BF$3),"本月合计",IF(ROW()&lt;7,$AQ$6,OFFSET($AQ$6,COUNT($AR$6:AR137),0)))))</f>
        <v/>
      </c>
    </row>
    <row r="139" spans="1:44">
      <c r="A139" s="469" t="str">
        <f ca="1">IFERROR(INDEX(凭证录入!A:A,$AR139),"")</f>
        <v/>
      </c>
      <c r="B139" s="469" t="str">
        <f ca="1">IFERROR(INDEX(凭证录入!B:B,$AR139),"")</f>
        <v/>
      </c>
      <c r="C139" s="470" t="str">
        <f ca="1">IFERROR(INDEX(凭证录入!G:G,$AR139),"")</f>
        <v/>
      </c>
      <c r="D139" s="471" t="str">
        <f ca="1">IFERROR(INDEX(凭证录入!F:F,$AR139),"")</f>
        <v/>
      </c>
      <c r="E139" s="472" t="str">
        <f ca="1">IFERROR(INDEX(凭证录入!H:H,$AR139),$AR139)</f>
        <v/>
      </c>
      <c r="F139" s="473">
        <f ca="1">IF(OR($BG$2=0,$AR139=""),,IF($AR139="本月合计",IF(ROW()=$BG$3,SUM($F$6:$F138),SUM(INDIRECT("$F$"&amp;OFFSET($AU$3,,MATCH(ROW(),$AU$3:$BF$3,)-2)+2&amp;":$E"&amp;ROW()-1))),IF($AR139="本年累计",SUMIF($AR$6:$AR139,"本月合计",$F$6:$F138),INDEX(凭证录入!K:K,$AR139))))</f>
        <v>0</v>
      </c>
      <c r="G139" s="459" t="str">
        <f t="shared" ca="1" si="30"/>
        <v/>
      </c>
      <c r="H139" s="460" t="str">
        <f t="shared" ca="1" si="30"/>
        <v/>
      </c>
      <c r="I139" s="460" t="str">
        <f t="shared" ca="1" si="30"/>
        <v/>
      </c>
      <c r="J139" s="460" t="str">
        <f t="shared" ca="1" si="30"/>
        <v/>
      </c>
      <c r="K139" s="460" t="str">
        <f t="shared" ca="1" si="30"/>
        <v/>
      </c>
      <c r="L139" s="460" t="str">
        <f t="shared" ca="1" si="30"/>
        <v/>
      </c>
      <c r="M139" s="460" t="str">
        <f t="shared" ca="1" si="30"/>
        <v/>
      </c>
      <c r="N139" s="460" t="str">
        <f t="shared" ca="1" si="30"/>
        <v/>
      </c>
      <c r="O139" s="461" t="str">
        <f t="shared" ca="1" si="30"/>
        <v/>
      </c>
      <c r="P139" s="474" t="str">
        <f t="shared" ca="1" si="30"/>
        <v/>
      </c>
      <c r="Q139" s="475" t="str">
        <f t="shared" ca="1" si="30"/>
        <v/>
      </c>
      <c r="R139" s="476">
        <f ca="1">IF(OR($BG$2=0,$AR139=""),,IF($AR139="本月合计",IF(ROW()=$BG$3,SUM($R$6:$R138),SUM(INDIRECT("$R$"&amp;OFFSET($AU$3,,MATCH(ROW(),$AU$3:$BF$3,)-2)+2&amp;":$R"&amp;ROW()-1))),IF($AR139="本年累计",SUMIF($AR$6:$AR139,"本月合计",$R$6:$R138),INDEX(凭证录入!L:L,$AR139))))</f>
        <v>0</v>
      </c>
      <c r="S139" s="459" t="str">
        <f t="shared" ca="1" si="31"/>
        <v/>
      </c>
      <c r="T139" s="460" t="str">
        <f t="shared" ca="1" si="31"/>
        <v/>
      </c>
      <c r="U139" s="460" t="str">
        <f t="shared" ca="1" si="31"/>
        <v/>
      </c>
      <c r="V139" s="460" t="str">
        <f t="shared" ca="1" si="31"/>
        <v/>
      </c>
      <c r="W139" s="460" t="str">
        <f t="shared" ca="1" si="31"/>
        <v/>
      </c>
      <c r="X139" s="460" t="str">
        <f t="shared" ca="1" si="31"/>
        <v/>
      </c>
      <c r="Y139" s="460" t="str">
        <f t="shared" ca="1" si="31"/>
        <v/>
      </c>
      <c r="Z139" s="460" t="str">
        <f t="shared" ca="1" si="31"/>
        <v/>
      </c>
      <c r="AA139" s="461" t="str">
        <f t="shared" ca="1" si="31"/>
        <v/>
      </c>
      <c r="AB139" s="474" t="str">
        <f t="shared" ca="1" si="31"/>
        <v/>
      </c>
      <c r="AC139" s="475" t="str">
        <f t="shared" ca="1" si="31"/>
        <v/>
      </c>
      <c r="AD139" s="477" t="str">
        <f t="shared" ca="1" si="32"/>
        <v/>
      </c>
      <c r="AE139" s="478">
        <f t="shared" ca="1" si="33"/>
        <v>0</v>
      </c>
      <c r="AF139" s="459" t="str">
        <f t="shared" ca="1" si="29"/>
        <v/>
      </c>
      <c r="AG139" s="460" t="str">
        <f t="shared" ca="1" si="29"/>
        <v/>
      </c>
      <c r="AH139" s="460" t="str">
        <f t="shared" ca="1" si="29"/>
        <v/>
      </c>
      <c r="AI139" s="460" t="str">
        <f t="shared" ca="1" si="29"/>
        <v/>
      </c>
      <c r="AJ139" s="460" t="str">
        <f t="shared" ca="1" si="29"/>
        <v/>
      </c>
      <c r="AK139" s="460" t="str">
        <f t="shared" ca="1" si="29"/>
        <v/>
      </c>
      <c r="AL139" s="460" t="str">
        <f t="shared" ca="1" si="29"/>
        <v/>
      </c>
      <c r="AM139" s="460" t="str">
        <f t="shared" ca="1" si="29"/>
        <v/>
      </c>
      <c r="AN139" s="461" t="str">
        <f t="shared" ca="1" si="29"/>
        <v/>
      </c>
      <c r="AO139" s="474" t="str">
        <f t="shared" ca="1" si="29"/>
        <v/>
      </c>
      <c r="AP139" s="475" t="str">
        <f t="shared" ca="1" si="29"/>
        <v/>
      </c>
      <c r="AQ139" s="479" t="str">
        <f t="array" aca="1" ref="AQ139" ca="1">IF(ROW()-5&lt;=COUNTIF(科目编号,$AR$2),SMALL(IF(科目编号=$AR$2,ROW(科目编号),""),ROW()-5),"")</f>
        <v/>
      </c>
      <c r="AR139" s="480" t="str">
        <f ca="1">IF($BG$2=0,"",IF(AR138="本月合计","本年累计",IF(OR(ROW()=$AU$3,ROW()=$AV$3,ROW()=$AW$3,ROW()=$AX$3,ROW()=$AY$3,ROW()=$AZ$3,ROW()=$BA$3,ROW()=$BB$3,ROW()=$BC$3,ROW()=$BD$3,ROW()=$BE$3,ROW()=$BF$3),"本月合计",IF(ROW()&lt;7,$AQ$6,OFFSET($AQ$6,COUNT($AR$6:AR138),0)))))</f>
        <v/>
      </c>
    </row>
    <row r="140" spans="1:44">
      <c r="A140" s="469" t="str">
        <f ca="1">IFERROR(INDEX(凭证录入!A:A,$AR140),"")</f>
        <v/>
      </c>
      <c r="B140" s="469" t="str">
        <f ca="1">IFERROR(INDEX(凭证录入!B:B,$AR140),"")</f>
        <v/>
      </c>
      <c r="C140" s="470" t="str">
        <f ca="1">IFERROR(INDEX(凭证录入!G:G,$AR140),"")</f>
        <v/>
      </c>
      <c r="D140" s="471" t="str">
        <f ca="1">IFERROR(INDEX(凭证录入!F:F,$AR140),"")</f>
        <v/>
      </c>
      <c r="E140" s="472" t="str">
        <f ca="1">IFERROR(INDEX(凭证录入!H:H,$AR140),$AR140)</f>
        <v/>
      </c>
      <c r="F140" s="473">
        <f ca="1">IF(OR($BG$2=0,$AR140=""),,IF($AR140="本月合计",IF(ROW()=$BG$3,SUM($F$6:$F139),SUM(INDIRECT("$F$"&amp;OFFSET($AU$3,,MATCH(ROW(),$AU$3:$BF$3,)-2)+2&amp;":$E"&amp;ROW()-1))),IF($AR140="本年累计",SUMIF($AR$6:$AR140,"本月合计",$F$6:$F139),INDEX(凭证录入!K:K,$AR140))))</f>
        <v>0</v>
      </c>
      <c r="G140" s="459" t="str">
        <f t="shared" ca="1" si="30"/>
        <v/>
      </c>
      <c r="H140" s="460" t="str">
        <f t="shared" ca="1" si="30"/>
        <v/>
      </c>
      <c r="I140" s="460" t="str">
        <f t="shared" ca="1" si="30"/>
        <v/>
      </c>
      <c r="J140" s="460" t="str">
        <f t="shared" ca="1" si="30"/>
        <v/>
      </c>
      <c r="K140" s="460" t="str">
        <f t="shared" ca="1" si="30"/>
        <v/>
      </c>
      <c r="L140" s="460" t="str">
        <f t="shared" ca="1" si="30"/>
        <v/>
      </c>
      <c r="M140" s="460" t="str">
        <f t="shared" ca="1" si="30"/>
        <v/>
      </c>
      <c r="N140" s="460" t="str">
        <f t="shared" ca="1" si="30"/>
        <v/>
      </c>
      <c r="O140" s="461" t="str">
        <f t="shared" ca="1" si="30"/>
        <v/>
      </c>
      <c r="P140" s="474" t="str">
        <f t="shared" ca="1" si="30"/>
        <v/>
      </c>
      <c r="Q140" s="475" t="str">
        <f t="shared" ca="1" si="30"/>
        <v/>
      </c>
      <c r="R140" s="476">
        <f ca="1">IF(OR($BG$2=0,$AR140=""),,IF($AR140="本月合计",IF(ROW()=$BG$3,SUM($R$6:$R139),SUM(INDIRECT("$R$"&amp;OFFSET($AU$3,,MATCH(ROW(),$AU$3:$BF$3,)-2)+2&amp;":$R"&amp;ROW()-1))),IF($AR140="本年累计",SUMIF($AR$6:$AR140,"本月合计",$R$6:$R139),INDEX(凭证录入!L:L,$AR140))))</f>
        <v>0</v>
      </c>
      <c r="S140" s="459" t="str">
        <f t="shared" ca="1" si="31"/>
        <v/>
      </c>
      <c r="T140" s="460" t="str">
        <f t="shared" ca="1" si="31"/>
        <v/>
      </c>
      <c r="U140" s="460" t="str">
        <f t="shared" ca="1" si="31"/>
        <v/>
      </c>
      <c r="V140" s="460" t="str">
        <f t="shared" ca="1" si="31"/>
        <v/>
      </c>
      <c r="W140" s="460" t="str">
        <f t="shared" ca="1" si="31"/>
        <v/>
      </c>
      <c r="X140" s="460" t="str">
        <f t="shared" ca="1" si="31"/>
        <v/>
      </c>
      <c r="Y140" s="460" t="str">
        <f t="shared" ca="1" si="31"/>
        <v/>
      </c>
      <c r="Z140" s="460" t="str">
        <f t="shared" ca="1" si="31"/>
        <v/>
      </c>
      <c r="AA140" s="461" t="str">
        <f t="shared" ca="1" si="31"/>
        <v/>
      </c>
      <c r="AB140" s="474" t="str">
        <f t="shared" ca="1" si="31"/>
        <v/>
      </c>
      <c r="AC140" s="475" t="str">
        <f t="shared" ca="1" si="31"/>
        <v/>
      </c>
      <c r="AD140" s="477" t="str">
        <f t="shared" ca="1" si="32"/>
        <v/>
      </c>
      <c r="AE140" s="478">
        <f t="shared" ca="1" si="33"/>
        <v>0</v>
      </c>
      <c r="AF140" s="459" t="str">
        <f t="shared" ca="1" si="29"/>
        <v/>
      </c>
      <c r="AG140" s="460" t="str">
        <f t="shared" ca="1" si="29"/>
        <v/>
      </c>
      <c r="AH140" s="460" t="str">
        <f t="shared" ca="1" si="29"/>
        <v/>
      </c>
      <c r="AI140" s="460" t="str">
        <f t="shared" ca="1" si="29"/>
        <v/>
      </c>
      <c r="AJ140" s="460" t="str">
        <f t="shared" ca="1" si="29"/>
        <v/>
      </c>
      <c r="AK140" s="460" t="str">
        <f t="shared" ca="1" si="29"/>
        <v/>
      </c>
      <c r="AL140" s="460" t="str">
        <f t="shared" ca="1" si="29"/>
        <v/>
      </c>
      <c r="AM140" s="460" t="str">
        <f t="shared" ca="1" si="29"/>
        <v/>
      </c>
      <c r="AN140" s="461" t="str">
        <f t="shared" ca="1" si="29"/>
        <v/>
      </c>
      <c r="AO140" s="474" t="str">
        <f t="shared" ca="1" si="29"/>
        <v/>
      </c>
      <c r="AP140" s="475" t="str">
        <f t="shared" ca="1" si="29"/>
        <v/>
      </c>
      <c r="AQ140" s="479" t="str">
        <f t="array" aca="1" ref="AQ140" ca="1">IF(ROW()-5&lt;=COUNTIF(科目编号,$AR$2),SMALL(IF(科目编号=$AR$2,ROW(科目编号),""),ROW()-5),"")</f>
        <v/>
      </c>
      <c r="AR140" s="480" t="str">
        <f ca="1">IF($BG$2=0,"",IF(AR139="本月合计","本年累计",IF(OR(ROW()=$AU$3,ROW()=$AV$3,ROW()=$AW$3,ROW()=$AX$3,ROW()=$AY$3,ROW()=$AZ$3,ROW()=$BA$3,ROW()=$BB$3,ROW()=$BC$3,ROW()=$BD$3,ROW()=$BE$3,ROW()=$BF$3),"本月合计",IF(ROW()&lt;7,$AQ$6,OFFSET($AQ$6,COUNT($AR$6:AR139),0)))))</f>
        <v/>
      </c>
    </row>
    <row r="141" spans="1:44">
      <c r="A141" s="469" t="str">
        <f ca="1">IFERROR(INDEX(凭证录入!A:A,$AR141),"")</f>
        <v/>
      </c>
      <c r="B141" s="469" t="str">
        <f ca="1">IFERROR(INDEX(凭证录入!B:B,$AR141),"")</f>
        <v/>
      </c>
      <c r="C141" s="470" t="str">
        <f ca="1">IFERROR(INDEX(凭证录入!G:G,$AR141),"")</f>
        <v/>
      </c>
      <c r="D141" s="471" t="str">
        <f ca="1">IFERROR(INDEX(凭证录入!F:F,$AR141),"")</f>
        <v/>
      </c>
      <c r="E141" s="472" t="str">
        <f ca="1">IFERROR(INDEX(凭证录入!H:H,$AR141),$AR141)</f>
        <v/>
      </c>
      <c r="F141" s="473">
        <f ca="1">IF(OR($BG$2=0,$AR141=""),,IF($AR141="本月合计",IF(ROW()=$BG$3,SUM($F$6:$F140),SUM(INDIRECT("$F$"&amp;OFFSET($AU$3,,MATCH(ROW(),$AU$3:$BF$3,)-2)+2&amp;":$E"&amp;ROW()-1))),IF($AR141="本年累计",SUMIF($AR$6:$AR141,"本月合计",$F$6:$F140),INDEX(凭证录入!K:K,$AR141))))</f>
        <v>0</v>
      </c>
      <c r="G141" s="459" t="str">
        <f t="shared" ca="1" si="30"/>
        <v/>
      </c>
      <c r="H141" s="460" t="str">
        <f t="shared" ca="1" si="30"/>
        <v/>
      </c>
      <c r="I141" s="460" t="str">
        <f t="shared" ca="1" si="30"/>
        <v/>
      </c>
      <c r="J141" s="460" t="str">
        <f t="shared" ca="1" si="30"/>
        <v/>
      </c>
      <c r="K141" s="460" t="str">
        <f t="shared" ca="1" si="30"/>
        <v/>
      </c>
      <c r="L141" s="460" t="str">
        <f t="shared" ca="1" si="30"/>
        <v/>
      </c>
      <c r="M141" s="460" t="str">
        <f t="shared" ca="1" si="30"/>
        <v/>
      </c>
      <c r="N141" s="460" t="str">
        <f t="shared" ca="1" si="30"/>
        <v/>
      </c>
      <c r="O141" s="461" t="str">
        <f t="shared" ca="1" si="30"/>
        <v/>
      </c>
      <c r="P141" s="474" t="str">
        <f t="shared" ca="1" si="30"/>
        <v/>
      </c>
      <c r="Q141" s="475" t="str">
        <f t="shared" ca="1" si="30"/>
        <v/>
      </c>
      <c r="R141" s="476">
        <f ca="1">IF(OR($BG$2=0,$AR141=""),,IF($AR141="本月合计",IF(ROW()=$BG$3,SUM($R$6:$R140),SUM(INDIRECT("$R$"&amp;OFFSET($AU$3,,MATCH(ROW(),$AU$3:$BF$3,)-2)+2&amp;":$R"&amp;ROW()-1))),IF($AR141="本年累计",SUMIF($AR$6:$AR141,"本月合计",$R$6:$R140),INDEX(凭证录入!L:L,$AR141))))</f>
        <v>0</v>
      </c>
      <c r="S141" s="459" t="str">
        <f t="shared" ca="1" si="31"/>
        <v/>
      </c>
      <c r="T141" s="460" t="str">
        <f t="shared" ca="1" si="31"/>
        <v/>
      </c>
      <c r="U141" s="460" t="str">
        <f t="shared" ca="1" si="31"/>
        <v/>
      </c>
      <c r="V141" s="460" t="str">
        <f t="shared" ca="1" si="31"/>
        <v/>
      </c>
      <c r="W141" s="460" t="str">
        <f t="shared" ca="1" si="31"/>
        <v/>
      </c>
      <c r="X141" s="460" t="str">
        <f t="shared" ca="1" si="31"/>
        <v/>
      </c>
      <c r="Y141" s="460" t="str">
        <f t="shared" ca="1" si="31"/>
        <v/>
      </c>
      <c r="Z141" s="460" t="str">
        <f t="shared" ca="1" si="31"/>
        <v/>
      </c>
      <c r="AA141" s="461" t="str">
        <f t="shared" ca="1" si="31"/>
        <v/>
      </c>
      <c r="AB141" s="474" t="str">
        <f t="shared" ca="1" si="31"/>
        <v/>
      </c>
      <c r="AC141" s="475" t="str">
        <f t="shared" ca="1" si="31"/>
        <v/>
      </c>
      <c r="AD141" s="477" t="str">
        <f t="shared" ca="1" si="32"/>
        <v/>
      </c>
      <c r="AE141" s="478">
        <f t="shared" ca="1" si="33"/>
        <v>0</v>
      </c>
      <c r="AF141" s="459" t="str">
        <f t="shared" ca="1" si="29"/>
        <v/>
      </c>
      <c r="AG141" s="460" t="str">
        <f t="shared" ca="1" si="29"/>
        <v/>
      </c>
      <c r="AH141" s="460" t="str">
        <f t="shared" ca="1" si="29"/>
        <v/>
      </c>
      <c r="AI141" s="460" t="str">
        <f t="shared" ca="1" si="29"/>
        <v/>
      </c>
      <c r="AJ141" s="460" t="str">
        <f t="shared" ca="1" si="29"/>
        <v/>
      </c>
      <c r="AK141" s="460" t="str">
        <f t="shared" ca="1" si="29"/>
        <v/>
      </c>
      <c r="AL141" s="460" t="str">
        <f t="shared" ca="1" si="29"/>
        <v/>
      </c>
      <c r="AM141" s="460" t="str">
        <f t="shared" ca="1" si="29"/>
        <v/>
      </c>
      <c r="AN141" s="461" t="str">
        <f t="shared" ca="1" si="29"/>
        <v/>
      </c>
      <c r="AO141" s="474" t="str">
        <f t="shared" ca="1" si="29"/>
        <v/>
      </c>
      <c r="AP141" s="475" t="str">
        <f t="shared" ca="1" si="29"/>
        <v/>
      </c>
      <c r="AQ141" s="479" t="str">
        <f t="array" aca="1" ref="AQ141" ca="1">IF(ROW()-5&lt;=COUNTIF(科目编号,$AR$2),SMALL(IF(科目编号=$AR$2,ROW(科目编号),""),ROW()-5),"")</f>
        <v/>
      </c>
      <c r="AR141" s="480" t="str">
        <f ca="1">IF($BG$2=0,"",IF(AR140="本月合计","本年累计",IF(OR(ROW()=$AU$3,ROW()=$AV$3,ROW()=$AW$3,ROW()=$AX$3,ROW()=$AY$3,ROW()=$AZ$3,ROW()=$BA$3,ROW()=$BB$3,ROW()=$BC$3,ROW()=$BD$3,ROW()=$BE$3,ROW()=$BF$3),"本月合计",IF(ROW()&lt;7,$AQ$6,OFFSET($AQ$6,COUNT($AR$6:AR140),0)))))</f>
        <v/>
      </c>
    </row>
    <row r="142" spans="1:44">
      <c r="A142" s="469" t="str">
        <f ca="1">IFERROR(INDEX(凭证录入!A:A,$AR142),"")</f>
        <v/>
      </c>
      <c r="B142" s="469" t="str">
        <f ca="1">IFERROR(INDEX(凭证录入!B:B,$AR142),"")</f>
        <v/>
      </c>
      <c r="C142" s="470" t="str">
        <f ca="1">IFERROR(INDEX(凭证录入!G:G,$AR142),"")</f>
        <v/>
      </c>
      <c r="D142" s="471" t="str">
        <f ca="1">IFERROR(INDEX(凭证录入!F:F,$AR142),"")</f>
        <v/>
      </c>
      <c r="E142" s="472" t="str">
        <f ca="1">IFERROR(INDEX(凭证录入!H:H,$AR142),$AR142)</f>
        <v/>
      </c>
      <c r="F142" s="473">
        <f ca="1">IF(OR($BG$2=0,$AR142=""),,IF($AR142="本月合计",IF(ROW()=$BG$3,SUM($F$6:$F141),SUM(INDIRECT("$F$"&amp;OFFSET($AU$3,,MATCH(ROW(),$AU$3:$BF$3,)-2)+2&amp;":$E"&amp;ROW()-1))),IF($AR142="本年累计",SUMIF($AR$6:$AR142,"本月合计",$F$6:$F141),INDEX(凭证录入!K:K,$AR142))))</f>
        <v>0</v>
      </c>
      <c r="G142" s="459" t="str">
        <f t="shared" ca="1" si="30"/>
        <v/>
      </c>
      <c r="H142" s="460" t="str">
        <f t="shared" ca="1" si="30"/>
        <v/>
      </c>
      <c r="I142" s="460" t="str">
        <f t="shared" ca="1" si="30"/>
        <v/>
      </c>
      <c r="J142" s="460" t="str">
        <f t="shared" ca="1" si="30"/>
        <v/>
      </c>
      <c r="K142" s="460" t="str">
        <f t="shared" ca="1" si="30"/>
        <v/>
      </c>
      <c r="L142" s="460" t="str">
        <f t="shared" ca="1" si="30"/>
        <v/>
      </c>
      <c r="M142" s="460" t="str">
        <f t="shared" ca="1" si="30"/>
        <v/>
      </c>
      <c r="N142" s="460" t="str">
        <f t="shared" ca="1" si="30"/>
        <v/>
      </c>
      <c r="O142" s="461" t="str">
        <f t="shared" ca="1" si="30"/>
        <v/>
      </c>
      <c r="P142" s="474" t="str">
        <f t="shared" ca="1" si="30"/>
        <v/>
      </c>
      <c r="Q142" s="475" t="str">
        <f t="shared" ca="1" si="30"/>
        <v/>
      </c>
      <c r="R142" s="476">
        <f ca="1">IF(OR($BG$2=0,$AR142=""),,IF($AR142="本月合计",IF(ROW()=$BG$3,SUM($R$6:$R141),SUM(INDIRECT("$R$"&amp;OFFSET($AU$3,,MATCH(ROW(),$AU$3:$BF$3,)-2)+2&amp;":$R"&amp;ROW()-1))),IF($AR142="本年累计",SUMIF($AR$6:$AR142,"本月合计",$R$6:$R141),INDEX(凭证录入!L:L,$AR142))))</f>
        <v>0</v>
      </c>
      <c r="S142" s="459" t="str">
        <f t="shared" ca="1" si="31"/>
        <v/>
      </c>
      <c r="T142" s="460" t="str">
        <f t="shared" ca="1" si="31"/>
        <v/>
      </c>
      <c r="U142" s="460" t="str">
        <f t="shared" ca="1" si="31"/>
        <v/>
      </c>
      <c r="V142" s="460" t="str">
        <f t="shared" ca="1" si="31"/>
        <v/>
      </c>
      <c r="W142" s="460" t="str">
        <f t="shared" ca="1" si="31"/>
        <v/>
      </c>
      <c r="X142" s="460" t="str">
        <f t="shared" ca="1" si="31"/>
        <v/>
      </c>
      <c r="Y142" s="460" t="str">
        <f t="shared" ca="1" si="31"/>
        <v/>
      </c>
      <c r="Z142" s="460" t="str">
        <f t="shared" ca="1" si="31"/>
        <v/>
      </c>
      <c r="AA142" s="461" t="str">
        <f t="shared" ca="1" si="31"/>
        <v/>
      </c>
      <c r="AB142" s="474" t="str">
        <f t="shared" ca="1" si="31"/>
        <v/>
      </c>
      <c r="AC142" s="475" t="str">
        <f t="shared" ca="1" si="31"/>
        <v/>
      </c>
      <c r="AD142" s="477" t="str">
        <f t="shared" ca="1" si="32"/>
        <v/>
      </c>
      <c r="AE142" s="478">
        <f t="shared" ca="1" si="33"/>
        <v>0</v>
      </c>
      <c r="AF142" s="459" t="str">
        <f t="shared" ca="1" si="29"/>
        <v/>
      </c>
      <c r="AG142" s="460" t="str">
        <f t="shared" ca="1" si="29"/>
        <v/>
      </c>
      <c r="AH142" s="460" t="str">
        <f t="shared" ca="1" si="29"/>
        <v/>
      </c>
      <c r="AI142" s="460" t="str">
        <f t="shared" ca="1" si="29"/>
        <v/>
      </c>
      <c r="AJ142" s="460" t="str">
        <f t="shared" ca="1" si="29"/>
        <v/>
      </c>
      <c r="AK142" s="460" t="str">
        <f t="shared" ca="1" si="29"/>
        <v/>
      </c>
      <c r="AL142" s="460" t="str">
        <f t="shared" ca="1" si="29"/>
        <v/>
      </c>
      <c r="AM142" s="460" t="str">
        <f t="shared" ca="1" si="29"/>
        <v/>
      </c>
      <c r="AN142" s="461" t="str">
        <f t="shared" ca="1" si="29"/>
        <v/>
      </c>
      <c r="AO142" s="474" t="str">
        <f t="shared" ca="1" si="29"/>
        <v/>
      </c>
      <c r="AP142" s="475" t="str">
        <f t="shared" ca="1" si="29"/>
        <v/>
      </c>
      <c r="AQ142" s="479" t="str">
        <f t="array" aca="1" ref="AQ142" ca="1">IF(ROW()-5&lt;=COUNTIF(科目编号,$AR$2),SMALL(IF(科目编号=$AR$2,ROW(科目编号),""),ROW()-5),"")</f>
        <v/>
      </c>
      <c r="AR142" s="480" t="str">
        <f ca="1">IF($BG$2=0,"",IF(AR141="本月合计","本年累计",IF(OR(ROW()=$AU$3,ROW()=$AV$3,ROW()=$AW$3,ROW()=$AX$3,ROW()=$AY$3,ROW()=$AZ$3,ROW()=$BA$3,ROW()=$BB$3,ROW()=$BC$3,ROW()=$BD$3,ROW()=$BE$3,ROW()=$BF$3),"本月合计",IF(ROW()&lt;7,$AQ$6,OFFSET($AQ$6,COUNT($AR$6:AR141),0)))))</f>
        <v/>
      </c>
    </row>
    <row r="143" spans="1:44">
      <c r="A143" s="469" t="str">
        <f ca="1">IFERROR(INDEX(凭证录入!A:A,$AR143),"")</f>
        <v/>
      </c>
      <c r="B143" s="469" t="str">
        <f ca="1">IFERROR(INDEX(凭证录入!B:B,$AR143),"")</f>
        <v/>
      </c>
      <c r="C143" s="470" t="str">
        <f ca="1">IFERROR(INDEX(凭证录入!G:G,$AR143),"")</f>
        <v/>
      </c>
      <c r="D143" s="471" t="str">
        <f ca="1">IFERROR(INDEX(凭证录入!F:F,$AR143),"")</f>
        <v/>
      </c>
      <c r="E143" s="472" t="str">
        <f ca="1">IFERROR(INDEX(凭证录入!H:H,$AR143),$AR143)</f>
        <v/>
      </c>
      <c r="F143" s="473">
        <f ca="1">IF(OR($BG$2=0,$AR143=""),,IF($AR143="本月合计",IF(ROW()=$BG$3,SUM($F$6:$F142),SUM(INDIRECT("$F$"&amp;OFFSET($AU$3,,MATCH(ROW(),$AU$3:$BF$3,)-2)+2&amp;":$E"&amp;ROW()-1))),IF($AR143="本年累计",SUMIF($AR$6:$AR143,"本月合计",$F$6:$F142),INDEX(凭证录入!K:K,$AR143))))</f>
        <v>0</v>
      </c>
      <c r="G143" s="459" t="str">
        <f t="shared" ca="1" si="30"/>
        <v/>
      </c>
      <c r="H143" s="460" t="str">
        <f t="shared" ca="1" si="30"/>
        <v/>
      </c>
      <c r="I143" s="460" t="str">
        <f t="shared" ca="1" si="30"/>
        <v/>
      </c>
      <c r="J143" s="460" t="str">
        <f t="shared" ca="1" si="30"/>
        <v/>
      </c>
      <c r="K143" s="460" t="str">
        <f t="shared" ca="1" si="30"/>
        <v/>
      </c>
      <c r="L143" s="460" t="str">
        <f t="shared" ca="1" si="30"/>
        <v/>
      </c>
      <c r="M143" s="460" t="str">
        <f t="shared" ca="1" si="30"/>
        <v/>
      </c>
      <c r="N143" s="460" t="str">
        <f t="shared" ca="1" si="30"/>
        <v/>
      </c>
      <c r="O143" s="461" t="str">
        <f t="shared" ca="1" si="30"/>
        <v/>
      </c>
      <c r="P143" s="474" t="str">
        <f t="shared" ca="1" si="30"/>
        <v/>
      </c>
      <c r="Q143" s="475" t="str">
        <f t="shared" ca="1" si="30"/>
        <v/>
      </c>
      <c r="R143" s="476">
        <f ca="1">IF(OR($BG$2=0,$AR143=""),,IF($AR143="本月合计",IF(ROW()=$BG$3,SUM($R$6:$R142),SUM(INDIRECT("$R$"&amp;OFFSET($AU$3,,MATCH(ROW(),$AU$3:$BF$3,)-2)+2&amp;":$R"&amp;ROW()-1))),IF($AR143="本年累计",SUMIF($AR$6:$AR143,"本月合计",$R$6:$R142),INDEX(凭证录入!L:L,$AR143))))</f>
        <v>0</v>
      </c>
      <c r="S143" s="459" t="str">
        <f t="shared" ca="1" si="31"/>
        <v/>
      </c>
      <c r="T143" s="460" t="str">
        <f t="shared" ca="1" si="31"/>
        <v/>
      </c>
      <c r="U143" s="460" t="str">
        <f t="shared" ca="1" si="31"/>
        <v/>
      </c>
      <c r="V143" s="460" t="str">
        <f t="shared" ca="1" si="31"/>
        <v/>
      </c>
      <c r="W143" s="460" t="str">
        <f t="shared" ca="1" si="31"/>
        <v/>
      </c>
      <c r="X143" s="460" t="str">
        <f t="shared" ca="1" si="31"/>
        <v/>
      </c>
      <c r="Y143" s="460" t="str">
        <f t="shared" ca="1" si="31"/>
        <v/>
      </c>
      <c r="Z143" s="460" t="str">
        <f t="shared" ca="1" si="31"/>
        <v/>
      </c>
      <c r="AA143" s="461" t="str">
        <f t="shared" ca="1" si="31"/>
        <v/>
      </c>
      <c r="AB143" s="474" t="str">
        <f t="shared" ca="1" si="31"/>
        <v/>
      </c>
      <c r="AC143" s="475" t="str">
        <f t="shared" ca="1" si="31"/>
        <v/>
      </c>
      <c r="AD143" s="477" t="str">
        <f t="shared" ca="1" si="32"/>
        <v/>
      </c>
      <c r="AE143" s="478">
        <f t="shared" ca="1" si="33"/>
        <v>0</v>
      </c>
      <c r="AF143" s="459" t="str">
        <f t="shared" ca="1" si="29"/>
        <v/>
      </c>
      <c r="AG143" s="460" t="str">
        <f t="shared" ca="1" si="29"/>
        <v/>
      </c>
      <c r="AH143" s="460" t="str">
        <f t="shared" ca="1" si="29"/>
        <v/>
      </c>
      <c r="AI143" s="460" t="str">
        <f t="shared" ca="1" si="29"/>
        <v/>
      </c>
      <c r="AJ143" s="460" t="str">
        <f t="shared" ca="1" si="29"/>
        <v/>
      </c>
      <c r="AK143" s="460" t="str">
        <f t="shared" ca="1" si="29"/>
        <v/>
      </c>
      <c r="AL143" s="460" t="str">
        <f t="shared" ca="1" si="29"/>
        <v/>
      </c>
      <c r="AM143" s="460" t="str">
        <f t="shared" ca="1" si="29"/>
        <v/>
      </c>
      <c r="AN143" s="461" t="str">
        <f t="shared" ca="1" si="29"/>
        <v/>
      </c>
      <c r="AO143" s="474" t="str">
        <f t="shared" ca="1" si="29"/>
        <v/>
      </c>
      <c r="AP143" s="475" t="str">
        <f t="shared" ca="1" si="29"/>
        <v/>
      </c>
      <c r="AQ143" s="479" t="str">
        <f t="array" aca="1" ref="AQ143" ca="1">IF(ROW()-5&lt;=COUNTIF(科目编号,$AR$2),SMALL(IF(科目编号=$AR$2,ROW(科目编号),""),ROW()-5),"")</f>
        <v/>
      </c>
      <c r="AR143" s="480" t="str">
        <f ca="1">IF($BG$2=0,"",IF(AR142="本月合计","本年累计",IF(OR(ROW()=$AU$3,ROW()=$AV$3,ROW()=$AW$3,ROW()=$AX$3,ROW()=$AY$3,ROW()=$AZ$3,ROW()=$BA$3,ROW()=$BB$3,ROW()=$BC$3,ROW()=$BD$3,ROW()=$BE$3,ROW()=$BF$3),"本月合计",IF(ROW()&lt;7,$AQ$6,OFFSET($AQ$6,COUNT($AR$6:AR142),0)))))</f>
        <v/>
      </c>
    </row>
    <row r="144" spans="1:44">
      <c r="A144" s="469" t="str">
        <f ca="1">IFERROR(INDEX(凭证录入!A:A,$AR144),"")</f>
        <v/>
      </c>
      <c r="B144" s="469" t="str">
        <f ca="1">IFERROR(INDEX(凭证录入!B:B,$AR144),"")</f>
        <v/>
      </c>
      <c r="C144" s="470" t="str">
        <f ca="1">IFERROR(INDEX(凭证录入!G:G,$AR144),"")</f>
        <v/>
      </c>
      <c r="D144" s="471" t="str">
        <f ca="1">IFERROR(INDEX(凭证录入!F:F,$AR144),"")</f>
        <v/>
      </c>
      <c r="E144" s="472" t="str">
        <f ca="1">IFERROR(INDEX(凭证录入!H:H,$AR144),$AR144)</f>
        <v/>
      </c>
      <c r="F144" s="473">
        <f ca="1">IF(OR($BG$2=0,$AR144=""),,IF($AR144="本月合计",IF(ROW()=$BG$3,SUM($F$6:$F143),SUM(INDIRECT("$F$"&amp;OFFSET($AU$3,,MATCH(ROW(),$AU$3:$BF$3,)-2)+2&amp;":$E"&amp;ROW()-1))),IF($AR144="本年累计",SUMIF($AR$6:$AR144,"本月合计",$F$6:$F143),INDEX(凭证录入!K:K,$AR144))))</f>
        <v>0</v>
      </c>
      <c r="G144" s="459" t="str">
        <f t="shared" ca="1" si="30"/>
        <v/>
      </c>
      <c r="H144" s="460" t="str">
        <f t="shared" ca="1" si="30"/>
        <v/>
      </c>
      <c r="I144" s="460" t="str">
        <f t="shared" ca="1" si="30"/>
        <v/>
      </c>
      <c r="J144" s="460" t="str">
        <f t="shared" ca="1" si="30"/>
        <v/>
      </c>
      <c r="K144" s="460" t="str">
        <f t="shared" ca="1" si="30"/>
        <v/>
      </c>
      <c r="L144" s="460" t="str">
        <f t="shared" ca="1" si="30"/>
        <v/>
      </c>
      <c r="M144" s="460" t="str">
        <f t="shared" ca="1" si="30"/>
        <v/>
      </c>
      <c r="N144" s="460" t="str">
        <f t="shared" ca="1" si="30"/>
        <v/>
      </c>
      <c r="O144" s="461" t="str">
        <f t="shared" ca="1" si="30"/>
        <v/>
      </c>
      <c r="P144" s="474" t="str">
        <f t="shared" ca="1" si="30"/>
        <v/>
      </c>
      <c r="Q144" s="475" t="str">
        <f t="shared" ca="1" si="30"/>
        <v/>
      </c>
      <c r="R144" s="476">
        <f ca="1">IF(OR($BG$2=0,$AR144=""),,IF($AR144="本月合计",IF(ROW()=$BG$3,SUM($R$6:$R143),SUM(INDIRECT("$R$"&amp;OFFSET($AU$3,,MATCH(ROW(),$AU$3:$BF$3,)-2)+2&amp;":$R"&amp;ROW()-1))),IF($AR144="本年累计",SUMIF($AR$6:$AR144,"本月合计",$R$6:$R143),INDEX(凭证录入!L:L,$AR144))))</f>
        <v>0</v>
      </c>
      <c r="S144" s="459" t="str">
        <f t="shared" ca="1" si="31"/>
        <v/>
      </c>
      <c r="T144" s="460" t="str">
        <f t="shared" ca="1" si="31"/>
        <v/>
      </c>
      <c r="U144" s="460" t="str">
        <f t="shared" ca="1" si="31"/>
        <v/>
      </c>
      <c r="V144" s="460" t="str">
        <f t="shared" ca="1" si="31"/>
        <v/>
      </c>
      <c r="W144" s="460" t="str">
        <f t="shared" ca="1" si="31"/>
        <v/>
      </c>
      <c r="X144" s="460" t="str">
        <f t="shared" ca="1" si="31"/>
        <v/>
      </c>
      <c r="Y144" s="460" t="str">
        <f t="shared" ca="1" si="31"/>
        <v/>
      </c>
      <c r="Z144" s="460" t="str">
        <f t="shared" ca="1" si="31"/>
        <v/>
      </c>
      <c r="AA144" s="461" t="str">
        <f t="shared" ca="1" si="31"/>
        <v/>
      </c>
      <c r="AB144" s="474" t="str">
        <f t="shared" ca="1" si="31"/>
        <v/>
      </c>
      <c r="AC144" s="475" t="str">
        <f t="shared" ca="1" si="31"/>
        <v/>
      </c>
      <c r="AD144" s="477" t="str">
        <f t="shared" ca="1" si="32"/>
        <v/>
      </c>
      <c r="AE144" s="478">
        <f t="shared" ca="1" si="33"/>
        <v>0</v>
      </c>
      <c r="AF144" s="459" t="str">
        <f t="shared" ca="1" si="29"/>
        <v/>
      </c>
      <c r="AG144" s="460" t="str">
        <f t="shared" ca="1" si="29"/>
        <v/>
      </c>
      <c r="AH144" s="460" t="str">
        <f t="shared" ca="1" si="29"/>
        <v/>
      </c>
      <c r="AI144" s="460" t="str">
        <f t="shared" ca="1" si="29"/>
        <v/>
      </c>
      <c r="AJ144" s="460" t="str">
        <f t="shared" ca="1" si="29"/>
        <v/>
      </c>
      <c r="AK144" s="460" t="str">
        <f t="shared" ca="1" si="29"/>
        <v/>
      </c>
      <c r="AL144" s="460" t="str">
        <f t="shared" ca="1" si="29"/>
        <v/>
      </c>
      <c r="AM144" s="460" t="str">
        <f t="shared" ca="1" si="29"/>
        <v/>
      </c>
      <c r="AN144" s="461" t="str">
        <f t="shared" ca="1" si="29"/>
        <v/>
      </c>
      <c r="AO144" s="474" t="str">
        <f t="shared" ca="1" si="29"/>
        <v/>
      </c>
      <c r="AP144" s="475" t="str">
        <f t="shared" ca="1" si="29"/>
        <v/>
      </c>
      <c r="AQ144" s="479" t="str">
        <f t="array" aca="1" ref="AQ144" ca="1">IF(ROW()-5&lt;=COUNTIF(科目编号,$AR$2),SMALL(IF(科目编号=$AR$2,ROW(科目编号),""),ROW()-5),"")</f>
        <v/>
      </c>
      <c r="AR144" s="480" t="str">
        <f ca="1">IF($BG$2=0,"",IF(AR143="本月合计","本年累计",IF(OR(ROW()=$AU$3,ROW()=$AV$3,ROW()=$AW$3,ROW()=$AX$3,ROW()=$AY$3,ROW()=$AZ$3,ROW()=$BA$3,ROW()=$BB$3,ROW()=$BC$3,ROW()=$BD$3,ROW()=$BE$3,ROW()=$BF$3),"本月合计",IF(ROW()&lt;7,$AQ$6,OFFSET($AQ$6,COUNT($AR$6:AR143),0)))))</f>
        <v/>
      </c>
    </row>
    <row r="145" spans="1:44">
      <c r="A145" s="469" t="str">
        <f ca="1">IFERROR(INDEX(凭证录入!A:A,$AR145),"")</f>
        <v/>
      </c>
      <c r="B145" s="469" t="str">
        <f ca="1">IFERROR(INDEX(凭证录入!B:B,$AR145),"")</f>
        <v/>
      </c>
      <c r="C145" s="470" t="str">
        <f ca="1">IFERROR(INDEX(凭证录入!G:G,$AR145),"")</f>
        <v/>
      </c>
      <c r="D145" s="471" t="str">
        <f ca="1">IFERROR(INDEX(凭证录入!F:F,$AR145),"")</f>
        <v/>
      </c>
      <c r="E145" s="472" t="str">
        <f ca="1">IFERROR(INDEX(凭证录入!H:H,$AR145),$AR145)</f>
        <v/>
      </c>
      <c r="F145" s="473">
        <f ca="1">IF(OR($BG$2=0,$AR145=""),,IF($AR145="本月合计",IF(ROW()=$BG$3,SUM($F$6:$F144),SUM(INDIRECT("$F$"&amp;OFFSET($AU$3,,MATCH(ROW(),$AU$3:$BF$3,)-2)+2&amp;":$E"&amp;ROW()-1))),IF($AR145="本年累计",SUMIF($AR$6:$AR145,"本月合计",$F$6:$F144),INDEX(凭证录入!K:K,$AR145))))</f>
        <v>0</v>
      </c>
      <c r="G145" s="459" t="str">
        <f t="shared" ca="1" si="30"/>
        <v/>
      </c>
      <c r="H145" s="460" t="str">
        <f t="shared" ca="1" si="30"/>
        <v/>
      </c>
      <c r="I145" s="460" t="str">
        <f t="shared" ca="1" si="30"/>
        <v/>
      </c>
      <c r="J145" s="460" t="str">
        <f t="shared" ca="1" si="30"/>
        <v/>
      </c>
      <c r="K145" s="460" t="str">
        <f t="shared" ca="1" si="30"/>
        <v/>
      </c>
      <c r="L145" s="460" t="str">
        <f t="shared" ca="1" si="30"/>
        <v/>
      </c>
      <c r="M145" s="460" t="str">
        <f t="shared" ca="1" si="30"/>
        <v/>
      </c>
      <c r="N145" s="460" t="str">
        <f t="shared" ca="1" si="30"/>
        <v/>
      </c>
      <c r="O145" s="461" t="str">
        <f t="shared" ca="1" si="30"/>
        <v/>
      </c>
      <c r="P145" s="474" t="str">
        <f t="shared" ca="1" si="30"/>
        <v/>
      </c>
      <c r="Q145" s="475" t="str">
        <f t="shared" ca="1" si="30"/>
        <v/>
      </c>
      <c r="R145" s="476">
        <f ca="1">IF(OR($BG$2=0,$AR145=""),,IF($AR145="本月合计",IF(ROW()=$BG$3,SUM($R$6:$R144),SUM(INDIRECT("$R$"&amp;OFFSET($AU$3,,MATCH(ROW(),$AU$3:$BF$3,)-2)+2&amp;":$R"&amp;ROW()-1))),IF($AR145="本年累计",SUMIF($AR$6:$AR145,"本月合计",$R$6:$R144),INDEX(凭证录入!L:L,$AR145))))</f>
        <v>0</v>
      </c>
      <c r="S145" s="459" t="str">
        <f t="shared" ca="1" si="31"/>
        <v/>
      </c>
      <c r="T145" s="460" t="str">
        <f t="shared" ca="1" si="31"/>
        <v/>
      </c>
      <c r="U145" s="460" t="str">
        <f t="shared" ca="1" si="31"/>
        <v/>
      </c>
      <c r="V145" s="460" t="str">
        <f t="shared" ca="1" si="31"/>
        <v/>
      </c>
      <c r="W145" s="460" t="str">
        <f t="shared" ca="1" si="31"/>
        <v/>
      </c>
      <c r="X145" s="460" t="str">
        <f t="shared" ca="1" si="31"/>
        <v/>
      </c>
      <c r="Y145" s="460" t="str">
        <f t="shared" ca="1" si="31"/>
        <v/>
      </c>
      <c r="Z145" s="460" t="str">
        <f t="shared" ca="1" si="31"/>
        <v/>
      </c>
      <c r="AA145" s="461" t="str">
        <f t="shared" ca="1" si="31"/>
        <v/>
      </c>
      <c r="AB145" s="474" t="str">
        <f t="shared" ca="1" si="31"/>
        <v/>
      </c>
      <c r="AC145" s="475" t="str">
        <f t="shared" ca="1" si="31"/>
        <v/>
      </c>
      <c r="AD145" s="477" t="str">
        <f t="shared" ca="1" si="32"/>
        <v/>
      </c>
      <c r="AE145" s="478">
        <f t="shared" ca="1" si="33"/>
        <v>0</v>
      </c>
      <c r="AF145" s="459" t="str">
        <f t="shared" ca="1" si="29"/>
        <v/>
      </c>
      <c r="AG145" s="460" t="str">
        <f t="shared" ca="1" si="29"/>
        <v/>
      </c>
      <c r="AH145" s="460" t="str">
        <f t="shared" ca="1" si="29"/>
        <v/>
      </c>
      <c r="AI145" s="460" t="str">
        <f t="shared" ca="1" si="29"/>
        <v/>
      </c>
      <c r="AJ145" s="460" t="str">
        <f t="shared" ca="1" si="29"/>
        <v/>
      </c>
      <c r="AK145" s="460" t="str">
        <f t="shared" ca="1" si="29"/>
        <v/>
      </c>
      <c r="AL145" s="460" t="str">
        <f t="shared" ca="1" si="29"/>
        <v/>
      </c>
      <c r="AM145" s="460" t="str">
        <f t="shared" ca="1" si="29"/>
        <v/>
      </c>
      <c r="AN145" s="461" t="str">
        <f t="shared" ca="1" si="29"/>
        <v/>
      </c>
      <c r="AO145" s="474" t="str">
        <f t="shared" ca="1" si="29"/>
        <v/>
      </c>
      <c r="AP145" s="475" t="str">
        <f t="shared" ca="1" si="29"/>
        <v/>
      </c>
      <c r="AQ145" s="479" t="str">
        <f t="array" aca="1" ref="AQ145" ca="1">IF(ROW()-5&lt;=COUNTIF(科目编号,$AR$2),SMALL(IF(科目编号=$AR$2,ROW(科目编号),""),ROW()-5),"")</f>
        <v/>
      </c>
      <c r="AR145" s="480" t="str">
        <f ca="1">IF($BG$2=0,"",IF(AR144="本月合计","本年累计",IF(OR(ROW()=$AU$3,ROW()=$AV$3,ROW()=$AW$3,ROW()=$AX$3,ROW()=$AY$3,ROW()=$AZ$3,ROW()=$BA$3,ROW()=$BB$3,ROW()=$BC$3,ROW()=$BD$3,ROW()=$BE$3,ROW()=$BF$3),"本月合计",IF(ROW()&lt;7,$AQ$6,OFFSET($AQ$6,COUNT($AR$6:AR144),0)))))</f>
        <v/>
      </c>
    </row>
    <row r="146" spans="1:44">
      <c r="A146" s="469" t="str">
        <f ca="1">IFERROR(INDEX(凭证录入!A:A,$AR146),"")</f>
        <v/>
      </c>
      <c r="B146" s="469" t="str">
        <f ca="1">IFERROR(INDEX(凭证录入!B:B,$AR146),"")</f>
        <v/>
      </c>
      <c r="C146" s="470" t="str">
        <f ca="1">IFERROR(INDEX(凭证录入!G:G,$AR146),"")</f>
        <v/>
      </c>
      <c r="D146" s="471" t="str">
        <f ca="1">IFERROR(INDEX(凭证录入!F:F,$AR146),"")</f>
        <v/>
      </c>
      <c r="E146" s="472" t="str">
        <f ca="1">IFERROR(INDEX(凭证录入!H:H,$AR146),$AR146)</f>
        <v/>
      </c>
      <c r="F146" s="473">
        <f ca="1">IF(OR($BG$2=0,$AR146=""),,IF($AR146="本月合计",IF(ROW()=$BG$3,SUM($F$6:$F145),SUM(INDIRECT("$F$"&amp;OFFSET($AU$3,,MATCH(ROW(),$AU$3:$BF$3,)-2)+2&amp;":$E"&amp;ROW()-1))),IF($AR146="本年累计",SUMIF($AR$6:$AR146,"本月合计",$F$6:$F145),INDEX(凭证录入!K:K,$AR146))))</f>
        <v>0</v>
      </c>
      <c r="G146" s="459" t="str">
        <f t="shared" ca="1" si="30"/>
        <v/>
      </c>
      <c r="H146" s="460" t="str">
        <f t="shared" ca="1" si="30"/>
        <v/>
      </c>
      <c r="I146" s="460" t="str">
        <f t="shared" ca="1" si="30"/>
        <v/>
      </c>
      <c r="J146" s="460" t="str">
        <f t="shared" ca="1" si="30"/>
        <v/>
      </c>
      <c r="K146" s="460" t="str">
        <f t="shared" ca="1" si="30"/>
        <v/>
      </c>
      <c r="L146" s="460" t="str">
        <f t="shared" ca="1" si="30"/>
        <v/>
      </c>
      <c r="M146" s="460" t="str">
        <f t="shared" ca="1" si="30"/>
        <v/>
      </c>
      <c r="N146" s="460" t="str">
        <f t="shared" ca="1" si="30"/>
        <v/>
      </c>
      <c r="O146" s="461" t="str">
        <f t="shared" ca="1" si="30"/>
        <v/>
      </c>
      <c r="P146" s="474" t="str">
        <f t="shared" ca="1" si="30"/>
        <v/>
      </c>
      <c r="Q146" s="475" t="str">
        <f t="shared" ca="1" si="30"/>
        <v/>
      </c>
      <c r="R146" s="476">
        <f ca="1">IF(OR($BG$2=0,$AR146=""),,IF($AR146="本月合计",IF(ROW()=$BG$3,SUM($R$6:$R145),SUM(INDIRECT("$R$"&amp;OFFSET($AU$3,,MATCH(ROW(),$AU$3:$BF$3,)-2)+2&amp;":$R"&amp;ROW()-1))),IF($AR146="本年累计",SUMIF($AR$6:$AR146,"本月合计",$R$6:$R145),INDEX(凭证录入!L:L,$AR146))))</f>
        <v>0</v>
      </c>
      <c r="S146" s="459" t="str">
        <f t="shared" ca="1" si="31"/>
        <v/>
      </c>
      <c r="T146" s="460" t="str">
        <f t="shared" ca="1" si="31"/>
        <v/>
      </c>
      <c r="U146" s="460" t="str">
        <f t="shared" ca="1" si="31"/>
        <v/>
      </c>
      <c r="V146" s="460" t="str">
        <f t="shared" ca="1" si="31"/>
        <v/>
      </c>
      <c r="W146" s="460" t="str">
        <f t="shared" ca="1" si="31"/>
        <v/>
      </c>
      <c r="X146" s="460" t="str">
        <f t="shared" ca="1" si="31"/>
        <v/>
      </c>
      <c r="Y146" s="460" t="str">
        <f t="shared" ca="1" si="31"/>
        <v/>
      </c>
      <c r="Z146" s="460" t="str">
        <f t="shared" ca="1" si="31"/>
        <v/>
      </c>
      <c r="AA146" s="461" t="str">
        <f t="shared" ca="1" si="31"/>
        <v/>
      </c>
      <c r="AB146" s="474" t="str">
        <f t="shared" ca="1" si="31"/>
        <v/>
      </c>
      <c r="AC146" s="475" t="str">
        <f t="shared" ca="1" si="31"/>
        <v/>
      </c>
      <c r="AD146" s="477" t="str">
        <f t="shared" ca="1" si="32"/>
        <v/>
      </c>
      <c r="AE146" s="478">
        <f t="shared" ca="1" si="33"/>
        <v>0</v>
      </c>
      <c r="AF146" s="459" t="str">
        <f t="shared" ca="1" si="29"/>
        <v/>
      </c>
      <c r="AG146" s="460" t="str">
        <f t="shared" ca="1" si="29"/>
        <v/>
      </c>
      <c r="AH146" s="460" t="str">
        <f t="shared" ca="1" si="29"/>
        <v/>
      </c>
      <c r="AI146" s="460" t="str">
        <f t="shared" ca="1" si="29"/>
        <v/>
      </c>
      <c r="AJ146" s="460" t="str">
        <f t="shared" ca="1" si="29"/>
        <v/>
      </c>
      <c r="AK146" s="460" t="str">
        <f t="shared" ca="1" si="29"/>
        <v/>
      </c>
      <c r="AL146" s="460" t="str">
        <f t="shared" ca="1" si="29"/>
        <v/>
      </c>
      <c r="AM146" s="460" t="str">
        <f t="shared" ca="1" si="29"/>
        <v/>
      </c>
      <c r="AN146" s="461" t="str">
        <f t="shared" ca="1" si="29"/>
        <v/>
      </c>
      <c r="AO146" s="474" t="str">
        <f t="shared" ca="1" si="29"/>
        <v/>
      </c>
      <c r="AP146" s="475" t="str">
        <f t="shared" ca="1" si="29"/>
        <v/>
      </c>
      <c r="AQ146" s="479" t="str">
        <f t="array" aca="1" ref="AQ146" ca="1">IF(ROW()-5&lt;=COUNTIF(科目编号,$AR$2),SMALL(IF(科目编号=$AR$2,ROW(科目编号),""),ROW()-5),"")</f>
        <v/>
      </c>
      <c r="AR146" s="480" t="str">
        <f ca="1">IF($BG$2=0,"",IF(AR145="本月合计","本年累计",IF(OR(ROW()=$AU$3,ROW()=$AV$3,ROW()=$AW$3,ROW()=$AX$3,ROW()=$AY$3,ROW()=$AZ$3,ROW()=$BA$3,ROW()=$BB$3,ROW()=$BC$3,ROW()=$BD$3,ROW()=$BE$3,ROW()=$BF$3),"本月合计",IF(ROW()&lt;7,$AQ$6,OFFSET($AQ$6,COUNT($AR$6:AR145),0)))))</f>
        <v/>
      </c>
    </row>
    <row r="147" spans="1:44">
      <c r="A147" s="469" t="str">
        <f ca="1">IFERROR(INDEX(凭证录入!A:A,$AR147),"")</f>
        <v/>
      </c>
      <c r="B147" s="469" t="str">
        <f ca="1">IFERROR(INDEX(凭证录入!B:B,$AR147),"")</f>
        <v/>
      </c>
      <c r="C147" s="470" t="str">
        <f ca="1">IFERROR(INDEX(凭证录入!G:G,$AR147),"")</f>
        <v/>
      </c>
      <c r="D147" s="471" t="str">
        <f ca="1">IFERROR(INDEX(凭证录入!F:F,$AR147),"")</f>
        <v/>
      </c>
      <c r="E147" s="472" t="str">
        <f ca="1">IFERROR(INDEX(凭证录入!H:H,$AR147),$AR147)</f>
        <v/>
      </c>
      <c r="F147" s="473">
        <f ca="1">IF(OR($BG$2=0,$AR147=""),,IF($AR147="本月合计",IF(ROW()=$BG$3,SUM($F$6:$F146),SUM(INDIRECT("$F$"&amp;OFFSET($AU$3,,MATCH(ROW(),$AU$3:$BF$3,)-2)+2&amp;":$E"&amp;ROW()-1))),IF($AR147="本年累计",SUMIF($AR$6:$AR147,"本月合计",$F$6:$F146),INDEX(凭证录入!K:K,$AR147))))</f>
        <v>0</v>
      </c>
      <c r="G147" s="459" t="str">
        <f t="shared" ca="1" si="30"/>
        <v/>
      </c>
      <c r="H147" s="460" t="str">
        <f t="shared" ca="1" si="30"/>
        <v/>
      </c>
      <c r="I147" s="460" t="str">
        <f t="shared" ca="1" si="30"/>
        <v/>
      </c>
      <c r="J147" s="460" t="str">
        <f t="shared" ca="1" si="30"/>
        <v/>
      </c>
      <c r="K147" s="460" t="str">
        <f t="shared" ca="1" si="30"/>
        <v/>
      </c>
      <c r="L147" s="460" t="str">
        <f t="shared" ca="1" si="30"/>
        <v/>
      </c>
      <c r="M147" s="460" t="str">
        <f t="shared" ca="1" si="30"/>
        <v/>
      </c>
      <c r="N147" s="460" t="str">
        <f t="shared" ca="1" si="30"/>
        <v/>
      </c>
      <c r="O147" s="461" t="str">
        <f t="shared" ca="1" si="30"/>
        <v/>
      </c>
      <c r="P147" s="474" t="str">
        <f t="shared" ca="1" si="30"/>
        <v/>
      </c>
      <c r="Q147" s="475" t="str">
        <f t="shared" ca="1" si="30"/>
        <v/>
      </c>
      <c r="R147" s="476">
        <f ca="1">IF(OR($BG$2=0,$AR147=""),,IF($AR147="本月合计",IF(ROW()=$BG$3,SUM($R$6:$R146),SUM(INDIRECT("$R$"&amp;OFFSET($AU$3,,MATCH(ROW(),$AU$3:$BF$3,)-2)+2&amp;":$R"&amp;ROW()-1))),IF($AR147="本年累计",SUMIF($AR$6:$AR147,"本月合计",$R$6:$R146),INDEX(凭证录入!L:L,$AR147))))</f>
        <v>0</v>
      </c>
      <c r="S147" s="459" t="str">
        <f t="shared" ca="1" si="31"/>
        <v/>
      </c>
      <c r="T147" s="460" t="str">
        <f t="shared" ca="1" si="31"/>
        <v/>
      </c>
      <c r="U147" s="460" t="str">
        <f t="shared" ca="1" si="31"/>
        <v/>
      </c>
      <c r="V147" s="460" t="str">
        <f t="shared" ca="1" si="31"/>
        <v/>
      </c>
      <c r="W147" s="460" t="str">
        <f t="shared" ca="1" si="31"/>
        <v/>
      </c>
      <c r="X147" s="460" t="str">
        <f t="shared" ca="1" si="31"/>
        <v/>
      </c>
      <c r="Y147" s="460" t="str">
        <f t="shared" ca="1" si="31"/>
        <v/>
      </c>
      <c r="Z147" s="460" t="str">
        <f t="shared" ca="1" si="31"/>
        <v/>
      </c>
      <c r="AA147" s="461" t="str">
        <f t="shared" ca="1" si="31"/>
        <v/>
      </c>
      <c r="AB147" s="474" t="str">
        <f t="shared" ca="1" si="31"/>
        <v/>
      </c>
      <c r="AC147" s="475" t="str">
        <f t="shared" ca="1" si="31"/>
        <v/>
      </c>
      <c r="AD147" s="477" t="str">
        <f t="shared" ca="1" si="32"/>
        <v/>
      </c>
      <c r="AE147" s="478">
        <f t="shared" ca="1" si="33"/>
        <v>0</v>
      </c>
      <c r="AF147" s="459" t="str">
        <f t="shared" ca="1" si="29"/>
        <v/>
      </c>
      <c r="AG147" s="460" t="str">
        <f t="shared" ca="1" si="29"/>
        <v/>
      </c>
      <c r="AH147" s="460" t="str">
        <f t="shared" ca="1" si="29"/>
        <v/>
      </c>
      <c r="AI147" s="460" t="str">
        <f t="shared" ca="1" si="29"/>
        <v/>
      </c>
      <c r="AJ147" s="460" t="str">
        <f t="shared" ca="1" si="29"/>
        <v/>
      </c>
      <c r="AK147" s="460" t="str">
        <f t="shared" ca="1" si="29"/>
        <v/>
      </c>
      <c r="AL147" s="460" t="str">
        <f t="shared" ca="1" si="29"/>
        <v/>
      </c>
      <c r="AM147" s="460" t="str">
        <f t="shared" ca="1" si="29"/>
        <v/>
      </c>
      <c r="AN147" s="461" t="str">
        <f t="shared" ca="1" si="29"/>
        <v/>
      </c>
      <c r="AO147" s="474" t="str">
        <f t="shared" ca="1" si="29"/>
        <v/>
      </c>
      <c r="AP147" s="475" t="str">
        <f t="shared" ca="1" si="29"/>
        <v/>
      </c>
      <c r="AQ147" s="479" t="str">
        <f t="array" aca="1" ref="AQ147" ca="1">IF(ROW()-5&lt;=COUNTIF(科目编号,$AR$2),SMALL(IF(科目编号=$AR$2,ROW(科目编号),""),ROW()-5),"")</f>
        <v/>
      </c>
      <c r="AR147" s="480" t="str">
        <f ca="1">IF($BG$2=0,"",IF(AR146="本月合计","本年累计",IF(OR(ROW()=$AU$3,ROW()=$AV$3,ROW()=$AW$3,ROW()=$AX$3,ROW()=$AY$3,ROW()=$AZ$3,ROW()=$BA$3,ROW()=$BB$3,ROW()=$BC$3,ROW()=$BD$3,ROW()=$BE$3,ROW()=$BF$3),"本月合计",IF(ROW()&lt;7,$AQ$6,OFFSET($AQ$6,COUNT($AR$6:AR146),0)))))</f>
        <v/>
      </c>
    </row>
    <row r="148" spans="1:44">
      <c r="A148" s="469" t="str">
        <f ca="1">IFERROR(INDEX(凭证录入!A:A,$AR148),"")</f>
        <v/>
      </c>
      <c r="B148" s="469" t="str">
        <f ca="1">IFERROR(INDEX(凭证录入!B:B,$AR148),"")</f>
        <v/>
      </c>
      <c r="C148" s="470" t="str">
        <f ca="1">IFERROR(INDEX(凭证录入!G:G,$AR148),"")</f>
        <v/>
      </c>
      <c r="D148" s="471" t="str">
        <f ca="1">IFERROR(INDEX(凭证录入!F:F,$AR148),"")</f>
        <v/>
      </c>
      <c r="E148" s="472" t="str">
        <f ca="1">IFERROR(INDEX(凭证录入!H:H,$AR148),$AR148)</f>
        <v/>
      </c>
      <c r="F148" s="473">
        <f ca="1">IF(OR($BG$2=0,$AR148=""),,IF($AR148="本月合计",IF(ROW()=$BG$3,SUM($F$6:$F147),SUM(INDIRECT("$F$"&amp;OFFSET($AU$3,,MATCH(ROW(),$AU$3:$BF$3,)-2)+2&amp;":$E"&amp;ROW()-1))),IF($AR148="本年累计",SUMIF($AR$6:$AR148,"本月合计",$F$6:$F147),INDEX(凭证录入!K:K,$AR148))))</f>
        <v>0</v>
      </c>
      <c r="G148" s="459" t="str">
        <f t="shared" ca="1" si="30"/>
        <v/>
      </c>
      <c r="H148" s="460" t="str">
        <f t="shared" ca="1" si="30"/>
        <v/>
      </c>
      <c r="I148" s="460" t="str">
        <f t="shared" ca="1" si="30"/>
        <v/>
      </c>
      <c r="J148" s="460" t="str">
        <f t="shared" ca="1" si="30"/>
        <v/>
      </c>
      <c r="K148" s="460" t="str">
        <f t="shared" ca="1" si="30"/>
        <v/>
      </c>
      <c r="L148" s="460" t="str">
        <f t="shared" ca="1" si="30"/>
        <v/>
      </c>
      <c r="M148" s="460" t="str">
        <f t="shared" ca="1" si="30"/>
        <v/>
      </c>
      <c r="N148" s="460" t="str">
        <f t="shared" ca="1" si="30"/>
        <v/>
      </c>
      <c r="O148" s="461" t="str">
        <f t="shared" ca="1" si="30"/>
        <v/>
      </c>
      <c r="P148" s="474" t="str">
        <f t="shared" ca="1" si="30"/>
        <v/>
      </c>
      <c r="Q148" s="475" t="str">
        <f t="shared" ca="1" si="30"/>
        <v/>
      </c>
      <c r="R148" s="476">
        <f ca="1">IF(OR($BG$2=0,$AR148=""),,IF($AR148="本月合计",IF(ROW()=$BG$3,SUM($R$6:$R147),SUM(INDIRECT("$R$"&amp;OFFSET($AU$3,,MATCH(ROW(),$AU$3:$BF$3,)-2)+2&amp;":$R"&amp;ROW()-1))),IF($AR148="本年累计",SUMIF($AR$6:$AR148,"本月合计",$R$6:$R147),INDEX(凭证录入!L:L,$AR148))))</f>
        <v>0</v>
      </c>
      <c r="S148" s="459" t="str">
        <f t="shared" ca="1" si="31"/>
        <v/>
      </c>
      <c r="T148" s="460" t="str">
        <f t="shared" ca="1" si="31"/>
        <v/>
      </c>
      <c r="U148" s="460" t="str">
        <f t="shared" ca="1" si="31"/>
        <v/>
      </c>
      <c r="V148" s="460" t="str">
        <f t="shared" ca="1" si="31"/>
        <v/>
      </c>
      <c r="W148" s="460" t="str">
        <f t="shared" ca="1" si="31"/>
        <v/>
      </c>
      <c r="X148" s="460" t="str">
        <f t="shared" ca="1" si="31"/>
        <v/>
      </c>
      <c r="Y148" s="460" t="str">
        <f t="shared" ca="1" si="31"/>
        <v/>
      </c>
      <c r="Z148" s="460" t="str">
        <f t="shared" ca="1" si="31"/>
        <v/>
      </c>
      <c r="AA148" s="461" t="str">
        <f t="shared" ca="1" si="31"/>
        <v/>
      </c>
      <c r="AB148" s="474" t="str">
        <f t="shared" ca="1" si="31"/>
        <v/>
      </c>
      <c r="AC148" s="475" t="str">
        <f t="shared" ca="1" si="31"/>
        <v/>
      </c>
      <c r="AD148" s="477" t="str">
        <f t="shared" ca="1" si="32"/>
        <v/>
      </c>
      <c r="AE148" s="478">
        <f t="shared" ca="1" si="33"/>
        <v>0</v>
      </c>
      <c r="AF148" s="459" t="str">
        <f t="shared" ca="1" si="29"/>
        <v/>
      </c>
      <c r="AG148" s="460" t="str">
        <f t="shared" ca="1" si="29"/>
        <v/>
      </c>
      <c r="AH148" s="460" t="str">
        <f t="shared" ca="1" si="29"/>
        <v/>
      </c>
      <c r="AI148" s="460" t="str">
        <f t="shared" ca="1" si="29"/>
        <v/>
      </c>
      <c r="AJ148" s="460" t="str">
        <f t="shared" ca="1" si="29"/>
        <v/>
      </c>
      <c r="AK148" s="460" t="str">
        <f t="shared" ca="1" si="29"/>
        <v/>
      </c>
      <c r="AL148" s="460" t="str">
        <f t="shared" ca="1" si="29"/>
        <v/>
      </c>
      <c r="AM148" s="460" t="str">
        <f t="shared" ca="1" si="29"/>
        <v/>
      </c>
      <c r="AN148" s="461" t="str">
        <f t="shared" ca="1" si="29"/>
        <v/>
      </c>
      <c r="AO148" s="474" t="str">
        <f t="shared" ca="1" si="29"/>
        <v/>
      </c>
      <c r="AP148" s="475" t="str">
        <f t="shared" ca="1" si="29"/>
        <v/>
      </c>
      <c r="AQ148" s="479" t="str">
        <f t="array" aca="1" ref="AQ148" ca="1">IF(ROW()-5&lt;=COUNTIF(科目编号,$AR$2),SMALL(IF(科目编号=$AR$2,ROW(科目编号),""),ROW()-5),"")</f>
        <v/>
      </c>
      <c r="AR148" s="480" t="str">
        <f ca="1">IF($BG$2=0,"",IF(AR147="本月合计","本年累计",IF(OR(ROW()=$AU$3,ROW()=$AV$3,ROW()=$AW$3,ROW()=$AX$3,ROW()=$AY$3,ROW()=$AZ$3,ROW()=$BA$3,ROW()=$BB$3,ROW()=$BC$3,ROW()=$BD$3,ROW()=$BE$3,ROW()=$BF$3),"本月合计",IF(ROW()&lt;7,$AQ$6,OFFSET($AQ$6,COUNT($AR$6:AR147),0)))))</f>
        <v/>
      </c>
    </row>
    <row r="149" spans="1:44">
      <c r="A149" s="469" t="str">
        <f ca="1">IFERROR(INDEX(凭证录入!A:A,$AR149),"")</f>
        <v/>
      </c>
      <c r="B149" s="469" t="str">
        <f ca="1">IFERROR(INDEX(凭证录入!B:B,$AR149),"")</f>
        <v/>
      </c>
      <c r="C149" s="470" t="str">
        <f ca="1">IFERROR(INDEX(凭证录入!G:G,$AR149),"")</f>
        <v/>
      </c>
      <c r="D149" s="471" t="str">
        <f ca="1">IFERROR(INDEX(凭证录入!F:F,$AR149),"")</f>
        <v/>
      </c>
      <c r="E149" s="472" t="str">
        <f ca="1">IFERROR(INDEX(凭证录入!H:H,$AR149),$AR149)</f>
        <v/>
      </c>
      <c r="F149" s="473">
        <f ca="1">IF(OR($BG$2=0,$AR149=""),,IF($AR149="本月合计",IF(ROW()=$BG$3,SUM($F$6:$F148),SUM(INDIRECT("$F$"&amp;OFFSET($AU$3,,MATCH(ROW(),$AU$3:$BF$3,)-2)+2&amp;":$E"&amp;ROW()-1))),IF($AR149="本年累计",SUMIF($AR$6:$AR149,"本月合计",$F$6:$F148),INDEX(凭证录入!K:K,$AR149))))</f>
        <v>0</v>
      </c>
      <c r="G149" s="459" t="str">
        <f t="shared" ca="1" si="30"/>
        <v/>
      </c>
      <c r="H149" s="460" t="str">
        <f t="shared" ca="1" si="30"/>
        <v/>
      </c>
      <c r="I149" s="460" t="str">
        <f t="shared" ca="1" si="30"/>
        <v/>
      </c>
      <c r="J149" s="460" t="str">
        <f t="shared" ca="1" si="30"/>
        <v/>
      </c>
      <c r="K149" s="460" t="str">
        <f t="shared" ca="1" si="30"/>
        <v/>
      </c>
      <c r="L149" s="460" t="str">
        <f t="shared" ca="1" si="30"/>
        <v/>
      </c>
      <c r="M149" s="460" t="str">
        <f t="shared" ca="1" si="30"/>
        <v/>
      </c>
      <c r="N149" s="460" t="str">
        <f t="shared" ca="1" si="30"/>
        <v/>
      </c>
      <c r="O149" s="461" t="str">
        <f t="shared" ca="1" si="30"/>
        <v/>
      </c>
      <c r="P149" s="474" t="str">
        <f t="shared" ca="1" si="30"/>
        <v/>
      </c>
      <c r="Q149" s="475" t="str">
        <f t="shared" ca="1" si="30"/>
        <v/>
      </c>
      <c r="R149" s="476">
        <f ca="1">IF(OR($BG$2=0,$AR149=""),,IF($AR149="本月合计",IF(ROW()=$BG$3,SUM($R$6:$R148),SUM(INDIRECT("$R$"&amp;OFFSET($AU$3,,MATCH(ROW(),$AU$3:$BF$3,)-2)+2&amp;":$R"&amp;ROW()-1))),IF($AR149="本年累计",SUMIF($AR$6:$AR149,"本月合计",$R$6:$R148),INDEX(凭证录入!L:L,$AR149))))</f>
        <v>0</v>
      </c>
      <c r="S149" s="459" t="str">
        <f t="shared" ca="1" si="31"/>
        <v/>
      </c>
      <c r="T149" s="460" t="str">
        <f t="shared" ca="1" si="31"/>
        <v/>
      </c>
      <c r="U149" s="460" t="str">
        <f t="shared" ca="1" si="31"/>
        <v/>
      </c>
      <c r="V149" s="460" t="str">
        <f t="shared" ca="1" si="31"/>
        <v/>
      </c>
      <c r="W149" s="460" t="str">
        <f t="shared" ca="1" si="31"/>
        <v/>
      </c>
      <c r="X149" s="460" t="str">
        <f t="shared" ca="1" si="31"/>
        <v/>
      </c>
      <c r="Y149" s="460" t="str">
        <f t="shared" ca="1" si="31"/>
        <v/>
      </c>
      <c r="Z149" s="460" t="str">
        <f t="shared" ca="1" si="31"/>
        <v/>
      </c>
      <c r="AA149" s="461" t="str">
        <f t="shared" ca="1" si="31"/>
        <v/>
      </c>
      <c r="AB149" s="474" t="str">
        <f t="shared" ca="1" si="31"/>
        <v/>
      </c>
      <c r="AC149" s="475" t="str">
        <f t="shared" ca="1" si="31"/>
        <v/>
      </c>
      <c r="AD149" s="477" t="str">
        <f t="shared" ca="1" si="32"/>
        <v/>
      </c>
      <c r="AE149" s="478">
        <f t="shared" ca="1" si="33"/>
        <v>0</v>
      </c>
      <c r="AF149" s="459" t="str">
        <f t="shared" ref="AF149:AP164" ca="1" si="34">LEFT(RIGHT(TEXT($AE149/1%," ￥0; ￥-0;"),43-COLUMN()))</f>
        <v/>
      </c>
      <c r="AG149" s="460" t="str">
        <f t="shared" ca="1" si="34"/>
        <v/>
      </c>
      <c r="AH149" s="460" t="str">
        <f t="shared" ca="1" si="34"/>
        <v/>
      </c>
      <c r="AI149" s="460" t="str">
        <f t="shared" ca="1" si="34"/>
        <v/>
      </c>
      <c r="AJ149" s="460" t="str">
        <f t="shared" ca="1" si="34"/>
        <v/>
      </c>
      <c r="AK149" s="460" t="str">
        <f t="shared" ca="1" si="34"/>
        <v/>
      </c>
      <c r="AL149" s="460" t="str">
        <f t="shared" ca="1" si="34"/>
        <v/>
      </c>
      <c r="AM149" s="460" t="str">
        <f t="shared" ca="1" si="34"/>
        <v/>
      </c>
      <c r="AN149" s="461" t="str">
        <f t="shared" ca="1" si="34"/>
        <v/>
      </c>
      <c r="AO149" s="474" t="str">
        <f t="shared" ca="1" si="34"/>
        <v/>
      </c>
      <c r="AP149" s="475" t="str">
        <f t="shared" ca="1" si="34"/>
        <v/>
      </c>
      <c r="AQ149" s="479" t="str">
        <f t="array" aca="1" ref="AQ149" ca="1">IF(ROW()-5&lt;=COUNTIF(科目编号,$AR$2),SMALL(IF(科目编号=$AR$2,ROW(科目编号),""),ROW()-5),"")</f>
        <v/>
      </c>
      <c r="AR149" s="480" t="str">
        <f ca="1">IF($BG$2=0,"",IF(AR148="本月合计","本年累计",IF(OR(ROW()=$AU$3,ROW()=$AV$3,ROW()=$AW$3,ROW()=$AX$3,ROW()=$AY$3,ROW()=$AZ$3,ROW()=$BA$3,ROW()=$BB$3,ROW()=$BC$3,ROW()=$BD$3,ROW()=$BE$3,ROW()=$BF$3),"本月合计",IF(ROW()&lt;7,$AQ$6,OFFSET($AQ$6,COUNT($AR$6:AR148),0)))))</f>
        <v/>
      </c>
    </row>
    <row r="150" spans="1:44">
      <c r="A150" s="469" t="str">
        <f ca="1">IFERROR(INDEX(凭证录入!A:A,$AR150),"")</f>
        <v/>
      </c>
      <c r="B150" s="469" t="str">
        <f ca="1">IFERROR(INDEX(凭证录入!B:B,$AR150),"")</f>
        <v/>
      </c>
      <c r="C150" s="470" t="str">
        <f ca="1">IFERROR(INDEX(凭证录入!G:G,$AR150),"")</f>
        <v/>
      </c>
      <c r="D150" s="471" t="str">
        <f ca="1">IFERROR(INDEX(凭证录入!F:F,$AR150),"")</f>
        <v/>
      </c>
      <c r="E150" s="472" t="str">
        <f ca="1">IFERROR(INDEX(凭证录入!H:H,$AR150),$AR150)</f>
        <v/>
      </c>
      <c r="F150" s="473">
        <f ca="1">IF(OR($BG$2=0,$AR150=""),,IF($AR150="本月合计",IF(ROW()=$BG$3,SUM($F$6:$F149),SUM(INDIRECT("$F$"&amp;OFFSET($AU$3,,MATCH(ROW(),$AU$3:$BF$3,)-2)+2&amp;":$E"&amp;ROW()-1))),IF($AR150="本年累计",SUMIF($AR$6:$AR150,"本月合计",$F$6:$F149),INDEX(凭证录入!K:K,$AR150))))</f>
        <v>0</v>
      </c>
      <c r="G150" s="459" t="str">
        <f t="shared" ref="G150:Q165" ca="1" si="35">LEFT(RIGHT(TEXT($F150/1%," ￥0; ￥-0;"),18-COLUMN()))</f>
        <v/>
      </c>
      <c r="H150" s="460" t="str">
        <f t="shared" ca="1" si="35"/>
        <v/>
      </c>
      <c r="I150" s="460" t="str">
        <f t="shared" ca="1" si="35"/>
        <v/>
      </c>
      <c r="J150" s="460" t="str">
        <f t="shared" ca="1" si="35"/>
        <v/>
      </c>
      <c r="K150" s="460" t="str">
        <f t="shared" ca="1" si="35"/>
        <v/>
      </c>
      <c r="L150" s="460" t="str">
        <f t="shared" ca="1" si="35"/>
        <v/>
      </c>
      <c r="M150" s="460" t="str">
        <f t="shared" ca="1" si="35"/>
        <v/>
      </c>
      <c r="N150" s="460" t="str">
        <f t="shared" ca="1" si="35"/>
        <v/>
      </c>
      <c r="O150" s="461" t="str">
        <f t="shared" ca="1" si="35"/>
        <v/>
      </c>
      <c r="P150" s="474" t="str">
        <f t="shared" ca="1" si="35"/>
        <v/>
      </c>
      <c r="Q150" s="475" t="str">
        <f t="shared" ca="1" si="35"/>
        <v/>
      </c>
      <c r="R150" s="476">
        <f ca="1">IF(OR($BG$2=0,$AR150=""),,IF($AR150="本月合计",IF(ROW()=$BG$3,SUM($R$6:$R149),SUM(INDIRECT("$R$"&amp;OFFSET($AU$3,,MATCH(ROW(),$AU$3:$BF$3,)-2)+2&amp;":$R"&amp;ROW()-1))),IF($AR150="本年累计",SUMIF($AR$6:$AR150,"本月合计",$R$6:$R149),INDEX(凭证录入!L:L,$AR150))))</f>
        <v>0</v>
      </c>
      <c r="S150" s="459" t="str">
        <f t="shared" ref="S150:AC165" ca="1" si="36">LEFT(RIGHT(TEXT($R150/1%," ￥0; ￥-0;"),30-COLUMN()))</f>
        <v/>
      </c>
      <c r="T150" s="460" t="str">
        <f t="shared" ca="1" si="36"/>
        <v/>
      </c>
      <c r="U150" s="460" t="str">
        <f t="shared" ca="1" si="36"/>
        <v/>
      </c>
      <c r="V150" s="460" t="str">
        <f t="shared" ca="1" si="36"/>
        <v/>
      </c>
      <c r="W150" s="460" t="str">
        <f t="shared" ca="1" si="36"/>
        <v/>
      </c>
      <c r="X150" s="460" t="str">
        <f t="shared" ca="1" si="36"/>
        <v/>
      </c>
      <c r="Y150" s="460" t="str">
        <f t="shared" ca="1" si="36"/>
        <v/>
      </c>
      <c r="Z150" s="460" t="str">
        <f t="shared" ca="1" si="36"/>
        <v/>
      </c>
      <c r="AA150" s="461" t="str">
        <f t="shared" ca="1" si="36"/>
        <v/>
      </c>
      <c r="AB150" s="474" t="str">
        <f t="shared" ca="1" si="36"/>
        <v/>
      </c>
      <c r="AC150" s="475" t="str">
        <f t="shared" ca="1" si="36"/>
        <v/>
      </c>
      <c r="AD150" s="477" t="str">
        <f t="shared" ca="1" si="32"/>
        <v/>
      </c>
      <c r="AE150" s="478">
        <f t="shared" ca="1" si="33"/>
        <v>0</v>
      </c>
      <c r="AF150" s="459" t="str">
        <f t="shared" ca="1" si="34"/>
        <v/>
      </c>
      <c r="AG150" s="460" t="str">
        <f t="shared" ca="1" si="34"/>
        <v/>
      </c>
      <c r="AH150" s="460" t="str">
        <f t="shared" ca="1" si="34"/>
        <v/>
      </c>
      <c r="AI150" s="460" t="str">
        <f t="shared" ca="1" si="34"/>
        <v/>
      </c>
      <c r="AJ150" s="460" t="str">
        <f t="shared" ca="1" si="34"/>
        <v/>
      </c>
      <c r="AK150" s="460" t="str">
        <f t="shared" ca="1" si="34"/>
        <v/>
      </c>
      <c r="AL150" s="460" t="str">
        <f t="shared" ca="1" si="34"/>
        <v/>
      </c>
      <c r="AM150" s="460" t="str">
        <f t="shared" ca="1" si="34"/>
        <v/>
      </c>
      <c r="AN150" s="461" t="str">
        <f t="shared" ca="1" si="34"/>
        <v/>
      </c>
      <c r="AO150" s="474" t="str">
        <f t="shared" ca="1" si="34"/>
        <v/>
      </c>
      <c r="AP150" s="475" t="str">
        <f t="shared" ca="1" si="34"/>
        <v/>
      </c>
      <c r="AQ150" s="479" t="str">
        <f t="array" aca="1" ref="AQ150" ca="1">IF(ROW()-5&lt;=COUNTIF(科目编号,$AR$2),SMALL(IF(科目编号=$AR$2,ROW(科目编号),""),ROW()-5),"")</f>
        <v/>
      </c>
      <c r="AR150" s="480" t="str">
        <f ca="1">IF($BG$2=0,"",IF(AR149="本月合计","本年累计",IF(OR(ROW()=$AU$3,ROW()=$AV$3,ROW()=$AW$3,ROW()=$AX$3,ROW()=$AY$3,ROW()=$AZ$3,ROW()=$BA$3,ROW()=$BB$3,ROW()=$BC$3,ROW()=$BD$3,ROW()=$BE$3,ROW()=$BF$3),"本月合计",IF(ROW()&lt;7,$AQ$6,OFFSET($AQ$6,COUNT($AR$6:AR149),0)))))</f>
        <v/>
      </c>
    </row>
    <row r="151" spans="1:44">
      <c r="A151" s="469" t="str">
        <f ca="1">IFERROR(INDEX(凭证录入!A:A,$AR151),"")</f>
        <v/>
      </c>
      <c r="B151" s="469" t="str">
        <f ca="1">IFERROR(INDEX(凭证录入!B:B,$AR151),"")</f>
        <v/>
      </c>
      <c r="C151" s="470" t="str">
        <f ca="1">IFERROR(INDEX(凭证录入!G:G,$AR151),"")</f>
        <v/>
      </c>
      <c r="D151" s="471" t="str">
        <f ca="1">IFERROR(INDEX(凭证录入!F:F,$AR151),"")</f>
        <v/>
      </c>
      <c r="E151" s="472" t="str">
        <f ca="1">IFERROR(INDEX(凭证录入!H:H,$AR151),$AR151)</f>
        <v/>
      </c>
      <c r="F151" s="473">
        <f ca="1">IF(OR($BG$2=0,$AR151=""),,IF($AR151="本月合计",IF(ROW()=$BG$3,SUM($F$6:$F150),SUM(INDIRECT("$F$"&amp;OFFSET($AU$3,,MATCH(ROW(),$AU$3:$BF$3,)-2)+2&amp;":$E"&amp;ROW()-1))),IF($AR151="本年累计",SUMIF($AR$6:$AR151,"本月合计",$F$6:$F150),INDEX(凭证录入!K:K,$AR151))))</f>
        <v>0</v>
      </c>
      <c r="G151" s="459" t="str">
        <f t="shared" ca="1" si="35"/>
        <v/>
      </c>
      <c r="H151" s="460" t="str">
        <f t="shared" ca="1" si="35"/>
        <v/>
      </c>
      <c r="I151" s="460" t="str">
        <f t="shared" ca="1" si="35"/>
        <v/>
      </c>
      <c r="J151" s="460" t="str">
        <f t="shared" ca="1" si="35"/>
        <v/>
      </c>
      <c r="K151" s="460" t="str">
        <f t="shared" ca="1" si="35"/>
        <v/>
      </c>
      <c r="L151" s="460" t="str">
        <f t="shared" ca="1" si="35"/>
        <v/>
      </c>
      <c r="M151" s="460" t="str">
        <f t="shared" ca="1" si="35"/>
        <v/>
      </c>
      <c r="N151" s="460" t="str">
        <f t="shared" ca="1" si="35"/>
        <v/>
      </c>
      <c r="O151" s="461" t="str">
        <f t="shared" ca="1" si="35"/>
        <v/>
      </c>
      <c r="P151" s="474" t="str">
        <f t="shared" ca="1" si="35"/>
        <v/>
      </c>
      <c r="Q151" s="475" t="str">
        <f t="shared" ca="1" si="35"/>
        <v/>
      </c>
      <c r="R151" s="476">
        <f ca="1">IF(OR($BG$2=0,$AR151=""),,IF($AR151="本月合计",IF(ROW()=$BG$3,SUM($R$6:$R150),SUM(INDIRECT("$R$"&amp;OFFSET($AU$3,,MATCH(ROW(),$AU$3:$BF$3,)-2)+2&amp;":$R"&amp;ROW()-1))),IF($AR151="本年累计",SUMIF($AR$6:$AR151,"本月合计",$R$6:$R150),INDEX(凭证录入!L:L,$AR151))))</f>
        <v>0</v>
      </c>
      <c r="S151" s="459" t="str">
        <f t="shared" ca="1" si="36"/>
        <v/>
      </c>
      <c r="T151" s="460" t="str">
        <f t="shared" ca="1" si="36"/>
        <v/>
      </c>
      <c r="U151" s="460" t="str">
        <f t="shared" ca="1" si="36"/>
        <v/>
      </c>
      <c r="V151" s="460" t="str">
        <f t="shared" ca="1" si="36"/>
        <v/>
      </c>
      <c r="W151" s="460" t="str">
        <f t="shared" ca="1" si="36"/>
        <v/>
      </c>
      <c r="X151" s="460" t="str">
        <f t="shared" ca="1" si="36"/>
        <v/>
      </c>
      <c r="Y151" s="460" t="str">
        <f t="shared" ca="1" si="36"/>
        <v/>
      </c>
      <c r="Z151" s="460" t="str">
        <f t="shared" ca="1" si="36"/>
        <v/>
      </c>
      <c r="AA151" s="461" t="str">
        <f t="shared" ca="1" si="36"/>
        <v/>
      </c>
      <c r="AB151" s="474" t="str">
        <f t="shared" ca="1" si="36"/>
        <v/>
      </c>
      <c r="AC151" s="475" t="str">
        <f t="shared" ca="1" si="36"/>
        <v/>
      </c>
      <c r="AD151" s="477" t="str">
        <f t="shared" ca="1" si="32"/>
        <v/>
      </c>
      <c r="AE151" s="478">
        <f t="shared" ca="1" si="33"/>
        <v>0</v>
      </c>
      <c r="AF151" s="459" t="str">
        <f t="shared" ca="1" si="34"/>
        <v/>
      </c>
      <c r="AG151" s="460" t="str">
        <f t="shared" ca="1" si="34"/>
        <v/>
      </c>
      <c r="AH151" s="460" t="str">
        <f t="shared" ca="1" si="34"/>
        <v/>
      </c>
      <c r="AI151" s="460" t="str">
        <f t="shared" ca="1" si="34"/>
        <v/>
      </c>
      <c r="AJ151" s="460" t="str">
        <f t="shared" ca="1" si="34"/>
        <v/>
      </c>
      <c r="AK151" s="460" t="str">
        <f t="shared" ca="1" si="34"/>
        <v/>
      </c>
      <c r="AL151" s="460" t="str">
        <f t="shared" ca="1" si="34"/>
        <v/>
      </c>
      <c r="AM151" s="460" t="str">
        <f t="shared" ca="1" si="34"/>
        <v/>
      </c>
      <c r="AN151" s="461" t="str">
        <f t="shared" ca="1" si="34"/>
        <v/>
      </c>
      <c r="AO151" s="474" t="str">
        <f t="shared" ca="1" si="34"/>
        <v/>
      </c>
      <c r="AP151" s="475" t="str">
        <f t="shared" ca="1" si="34"/>
        <v/>
      </c>
      <c r="AQ151" s="479" t="str">
        <f t="array" aca="1" ref="AQ151" ca="1">IF(ROW()-5&lt;=COUNTIF(科目编号,$AR$2),SMALL(IF(科目编号=$AR$2,ROW(科目编号),""),ROW()-5),"")</f>
        <v/>
      </c>
      <c r="AR151" s="480" t="str">
        <f ca="1">IF($BG$2=0,"",IF(AR150="本月合计","本年累计",IF(OR(ROW()=$AU$3,ROW()=$AV$3,ROW()=$AW$3,ROW()=$AX$3,ROW()=$AY$3,ROW()=$AZ$3,ROW()=$BA$3,ROW()=$BB$3,ROW()=$BC$3,ROW()=$BD$3,ROW()=$BE$3,ROW()=$BF$3),"本月合计",IF(ROW()&lt;7,$AQ$6,OFFSET($AQ$6,COUNT($AR$6:AR150),0)))))</f>
        <v/>
      </c>
    </row>
    <row r="152" spans="1:44">
      <c r="A152" s="469" t="str">
        <f ca="1">IFERROR(INDEX(凭证录入!A:A,$AR152),"")</f>
        <v/>
      </c>
      <c r="B152" s="469" t="str">
        <f ca="1">IFERROR(INDEX(凭证录入!B:B,$AR152),"")</f>
        <v/>
      </c>
      <c r="C152" s="470" t="str">
        <f ca="1">IFERROR(INDEX(凭证录入!G:G,$AR152),"")</f>
        <v/>
      </c>
      <c r="D152" s="471" t="str">
        <f ca="1">IFERROR(INDEX(凭证录入!F:F,$AR152),"")</f>
        <v/>
      </c>
      <c r="E152" s="472" t="str">
        <f ca="1">IFERROR(INDEX(凭证录入!H:H,$AR152),$AR152)</f>
        <v/>
      </c>
      <c r="F152" s="473">
        <f ca="1">IF(OR($BG$2=0,$AR152=""),,IF($AR152="本月合计",IF(ROW()=$BG$3,SUM($F$6:$F151),SUM(INDIRECT("$F$"&amp;OFFSET($AU$3,,MATCH(ROW(),$AU$3:$BF$3,)-2)+2&amp;":$E"&amp;ROW()-1))),IF($AR152="本年累计",SUMIF($AR$6:$AR152,"本月合计",$F$6:$F151),INDEX(凭证录入!K:K,$AR152))))</f>
        <v>0</v>
      </c>
      <c r="G152" s="459" t="str">
        <f t="shared" ca="1" si="35"/>
        <v/>
      </c>
      <c r="H152" s="460" t="str">
        <f t="shared" ca="1" si="35"/>
        <v/>
      </c>
      <c r="I152" s="460" t="str">
        <f t="shared" ca="1" si="35"/>
        <v/>
      </c>
      <c r="J152" s="460" t="str">
        <f t="shared" ca="1" si="35"/>
        <v/>
      </c>
      <c r="K152" s="460" t="str">
        <f t="shared" ca="1" si="35"/>
        <v/>
      </c>
      <c r="L152" s="460" t="str">
        <f t="shared" ca="1" si="35"/>
        <v/>
      </c>
      <c r="M152" s="460" t="str">
        <f t="shared" ca="1" si="35"/>
        <v/>
      </c>
      <c r="N152" s="460" t="str">
        <f t="shared" ca="1" si="35"/>
        <v/>
      </c>
      <c r="O152" s="461" t="str">
        <f t="shared" ca="1" si="35"/>
        <v/>
      </c>
      <c r="P152" s="474" t="str">
        <f t="shared" ca="1" si="35"/>
        <v/>
      </c>
      <c r="Q152" s="475" t="str">
        <f t="shared" ca="1" si="35"/>
        <v/>
      </c>
      <c r="R152" s="476">
        <f ca="1">IF(OR($BG$2=0,$AR152=""),,IF($AR152="本月合计",IF(ROW()=$BG$3,SUM($R$6:$R151),SUM(INDIRECT("$R$"&amp;OFFSET($AU$3,,MATCH(ROW(),$AU$3:$BF$3,)-2)+2&amp;":$R"&amp;ROW()-1))),IF($AR152="本年累计",SUMIF($AR$6:$AR152,"本月合计",$R$6:$R151),INDEX(凭证录入!L:L,$AR152))))</f>
        <v>0</v>
      </c>
      <c r="S152" s="459" t="str">
        <f t="shared" ca="1" si="36"/>
        <v/>
      </c>
      <c r="T152" s="460" t="str">
        <f t="shared" ca="1" si="36"/>
        <v/>
      </c>
      <c r="U152" s="460" t="str">
        <f t="shared" ca="1" si="36"/>
        <v/>
      </c>
      <c r="V152" s="460" t="str">
        <f t="shared" ca="1" si="36"/>
        <v/>
      </c>
      <c r="W152" s="460" t="str">
        <f t="shared" ca="1" si="36"/>
        <v/>
      </c>
      <c r="X152" s="460" t="str">
        <f t="shared" ca="1" si="36"/>
        <v/>
      </c>
      <c r="Y152" s="460" t="str">
        <f t="shared" ca="1" si="36"/>
        <v/>
      </c>
      <c r="Z152" s="460" t="str">
        <f t="shared" ca="1" si="36"/>
        <v/>
      </c>
      <c r="AA152" s="461" t="str">
        <f t="shared" ca="1" si="36"/>
        <v/>
      </c>
      <c r="AB152" s="474" t="str">
        <f t="shared" ca="1" si="36"/>
        <v/>
      </c>
      <c r="AC152" s="475" t="str">
        <f t="shared" ca="1" si="36"/>
        <v/>
      </c>
      <c r="AD152" s="477" t="str">
        <f t="shared" ca="1" si="32"/>
        <v/>
      </c>
      <c r="AE152" s="478">
        <f t="shared" ca="1" si="33"/>
        <v>0</v>
      </c>
      <c r="AF152" s="459" t="str">
        <f t="shared" ca="1" si="34"/>
        <v/>
      </c>
      <c r="AG152" s="460" t="str">
        <f t="shared" ca="1" si="34"/>
        <v/>
      </c>
      <c r="AH152" s="460" t="str">
        <f t="shared" ca="1" si="34"/>
        <v/>
      </c>
      <c r="AI152" s="460" t="str">
        <f t="shared" ca="1" si="34"/>
        <v/>
      </c>
      <c r="AJ152" s="460" t="str">
        <f t="shared" ca="1" si="34"/>
        <v/>
      </c>
      <c r="AK152" s="460" t="str">
        <f t="shared" ca="1" si="34"/>
        <v/>
      </c>
      <c r="AL152" s="460" t="str">
        <f t="shared" ca="1" si="34"/>
        <v/>
      </c>
      <c r="AM152" s="460" t="str">
        <f t="shared" ca="1" si="34"/>
        <v/>
      </c>
      <c r="AN152" s="461" t="str">
        <f t="shared" ca="1" si="34"/>
        <v/>
      </c>
      <c r="AO152" s="474" t="str">
        <f t="shared" ca="1" si="34"/>
        <v/>
      </c>
      <c r="AP152" s="475" t="str">
        <f t="shared" ca="1" si="34"/>
        <v/>
      </c>
      <c r="AQ152" s="479" t="str">
        <f t="array" aca="1" ref="AQ152" ca="1">IF(ROW()-5&lt;=COUNTIF(科目编号,$AR$2),SMALL(IF(科目编号=$AR$2,ROW(科目编号),""),ROW()-5),"")</f>
        <v/>
      </c>
      <c r="AR152" s="480" t="str">
        <f ca="1">IF($BG$2=0,"",IF(AR151="本月合计","本年累计",IF(OR(ROW()=$AU$3,ROW()=$AV$3,ROW()=$AW$3,ROW()=$AX$3,ROW()=$AY$3,ROW()=$AZ$3,ROW()=$BA$3,ROW()=$BB$3,ROW()=$BC$3,ROW()=$BD$3,ROW()=$BE$3,ROW()=$BF$3),"本月合计",IF(ROW()&lt;7,$AQ$6,OFFSET($AQ$6,COUNT($AR$6:AR151),0)))))</f>
        <v/>
      </c>
    </row>
    <row r="153" spans="1:44">
      <c r="A153" s="469" t="str">
        <f ca="1">IFERROR(INDEX(凭证录入!A:A,$AR153),"")</f>
        <v/>
      </c>
      <c r="B153" s="469" t="str">
        <f ca="1">IFERROR(INDEX(凭证录入!B:B,$AR153),"")</f>
        <v/>
      </c>
      <c r="C153" s="470" t="str">
        <f ca="1">IFERROR(INDEX(凭证录入!G:G,$AR153),"")</f>
        <v/>
      </c>
      <c r="D153" s="471" t="str">
        <f ca="1">IFERROR(INDEX(凭证录入!F:F,$AR153),"")</f>
        <v/>
      </c>
      <c r="E153" s="472" t="str">
        <f ca="1">IFERROR(INDEX(凭证录入!H:H,$AR153),$AR153)</f>
        <v/>
      </c>
      <c r="F153" s="473">
        <f ca="1">IF(OR($BG$2=0,$AR153=""),,IF($AR153="本月合计",IF(ROW()=$BG$3,SUM($F$6:$F152),SUM(INDIRECT("$F$"&amp;OFFSET($AU$3,,MATCH(ROW(),$AU$3:$BF$3,)-2)+2&amp;":$E"&amp;ROW()-1))),IF($AR153="本年累计",SUMIF($AR$6:$AR153,"本月合计",$F$6:$F152),INDEX(凭证录入!K:K,$AR153))))</f>
        <v>0</v>
      </c>
      <c r="G153" s="459" t="str">
        <f t="shared" ca="1" si="35"/>
        <v/>
      </c>
      <c r="H153" s="460" t="str">
        <f t="shared" ca="1" si="35"/>
        <v/>
      </c>
      <c r="I153" s="460" t="str">
        <f t="shared" ca="1" si="35"/>
        <v/>
      </c>
      <c r="J153" s="460" t="str">
        <f t="shared" ca="1" si="35"/>
        <v/>
      </c>
      <c r="K153" s="460" t="str">
        <f t="shared" ca="1" si="35"/>
        <v/>
      </c>
      <c r="L153" s="460" t="str">
        <f t="shared" ca="1" si="35"/>
        <v/>
      </c>
      <c r="M153" s="460" t="str">
        <f t="shared" ca="1" si="35"/>
        <v/>
      </c>
      <c r="N153" s="460" t="str">
        <f t="shared" ca="1" si="35"/>
        <v/>
      </c>
      <c r="O153" s="461" t="str">
        <f t="shared" ca="1" si="35"/>
        <v/>
      </c>
      <c r="P153" s="474" t="str">
        <f t="shared" ca="1" si="35"/>
        <v/>
      </c>
      <c r="Q153" s="475" t="str">
        <f t="shared" ca="1" si="35"/>
        <v/>
      </c>
      <c r="R153" s="476">
        <f ca="1">IF(OR($BG$2=0,$AR153=""),,IF($AR153="本月合计",IF(ROW()=$BG$3,SUM($R$6:$R152),SUM(INDIRECT("$R$"&amp;OFFSET($AU$3,,MATCH(ROW(),$AU$3:$BF$3,)-2)+2&amp;":$R"&amp;ROW()-1))),IF($AR153="本年累计",SUMIF($AR$6:$AR153,"本月合计",$R$6:$R152),INDEX(凭证录入!L:L,$AR153))))</f>
        <v>0</v>
      </c>
      <c r="S153" s="459" t="str">
        <f t="shared" ca="1" si="36"/>
        <v/>
      </c>
      <c r="T153" s="460" t="str">
        <f t="shared" ca="1" si="36"/>
        <v/>
      </c>
      <c r="U153" s="460" t="str">
        <f t="shared" ca="1" si="36"/>
        <v/>
      </c>
      <c r="V153" s="460" t="str">
        <f t="shared" ca="1" si="36"/>
        <v/>
      </c>
      <c r="W153" s="460" t="str">
        <f t="shared" ca="1" si="36"/>
        <v/>
      </c>
      <c r="X153" s="460" t="str">
        <f t="shared" ca="1" si="36"/>
        <v/>
      </c>
      <c r="Y153" s="460" t="str">
        <f t="shared" ca="1" si="36"/>
        <v/>
      </c>
      <c r="Z153" s="460" t="str">
        <f t="shared" ca="1" si="36"/>
        <v/>
      </c>
      <c r="AA153" s="461" t="str">
        <f t="shared" ca="1" si="36"/>
        <v/>
      </c>
      <c r="AB153" s="474" t="str">
        <f t="shared" ca="1" si="36"/>
        <v/>
      </c>
      <c r="AC153" s="475" t="str">
        <f t="shared" ca="1" si="36"/>
        <v/>
      </c>
      <c r="AD153" s="477" t="str">
        <f t="shared" ca="1" si="32"/>
        <v/>
      </c>
      <c r="AE153" s="478">
        <f t="shared" ca="1" si="33"/>
        <v>0</v>
      </c>
      <c r="AF153" s="459" t="str">
        <f t="shared" ca="1" si="34"/>
        <v/>
      </c>
      <c r="AG153" s="460" t="str">
        <f t="shared" ca="1" si="34"/>
        <v/>
      </c>
      <c r="AH153" s="460" t="str">
        <f t="shared" ca="1" si="34"/>
        <v/>
      </c>
      <c r="AI153" s="460" t="str">
        <f t="shared" ca="1" si="34"/>
        <v/>
      </c>
      <c r="AJ153" s="460" t="str">
        <f t="shared" ca="1" si="34"/>
        <v/>
      </c>
      <c r="AK153" s="460" t="str">
        <f t="shared" ca="1" si="34"/>
        <v/>
      </c>
      <c r="AL153" s="460" t="str">
        <f t="shared" ca="1" si="34"/>
        <v/>
      </c>
      <c r="AM153" s="460" t="str">
        <f t="shared" ca="1" si="34"/>
        <v/>
      </c>
      <c r="AN153" s="461" t="str">
        <f t="shared" ca="1" si="34"/>
        <v/>
      </c>
      <c r="AO153" s="474" t="str">
        <f t="shared" ca="1" si="34"/>
        <v/>
      </c>
      <c r="AP153" s="475" t="str">
        <f t="shared" ca="1" si="34"/>
        <v/>
      </c>
      <c r="AQ153" s="479" t="str">
        <f t="array" aca="1" ref="AQ153" ca="1">IF(ROW()-5&lt;=COUNTIF(科目编号,$AR$2),SMALL(IF(科目编号=$AR$2,ROW(科目编号),""),ROW()-5),"")</f>
        <v/>
      </c>
      <c r="AR153" s="480" t="str">
        <f ca="1">IF($BG$2=0,"",IF(AR152="本月合计","本年累计",IF(OR(ROW()=$AU$3,ROW()=$AV$3,ROW()=$AW$3,ROW()=$AX$3,ROW()=$AY$3,ROW()=$AZ$3,ROW()=$BA$3,ROW()=$BB$3,ROW()=$BC$3,ROW()=$BD$3,ROW()=$BE$3,ROW()=$BF$3),"本月合计",IF(ROW()&lt;7,$AQ$6,OFFSET($AQ$6,COUNT($AR$6:AR152),0)))))</f>
        <v/>
      </c>
    </row>
    <row r="154" spans="1:44">
      <c r="A154" s="469" t="str">
        <f ca="1">IFERROR(INDEX(凭证录入!A:A,$AR154),"")</f>
        <v/>
      </c>
      <c r="B154" s="469" t="str">
        <f ca="1">IFERROR(INDEX(凭证录入!B:B,$AR154),"")</f>
        <v/>
      </c>
      <c r="C154" s="470" t="str">
        <f ca="1">IFERROR(INDEX(凭证录入!G:G,$AR154),"")</f>
        <v/>
      </c>
      <c r="D154" s="471" t="str">
        <f ca="1">IFERROR(INDEX(凭证录入!F:F,$AR154),"")</f>
        <v/>
      </c>
      <c r="E154" s="472" t="str">
        <f ca="1">IFERROR(INDEX(凭证录入!H:H,$AR154),$AR154)</f>
        <v/>
      </c>
      <c r="F154" s="473">
        <f ca="1">IF(OR($BG$2=0,$AR154=""),,IF($AR154="本月合计",IF(ROW()=$BG$3,SUM($F$6:$F153),SUM(INDIRECT("$F$"&amp;OFFSET($AU$3,,MATCH(ROW(),$AU$3:$BF$3,)-2)+2&amp;":$E"&amp;ROW()-1))),IF($AR154="本年累计",SUMIF($AR$6:$AR154,"本月合计",$F$6:$F153),INDEX(凭证录入!K:K,$AR154))))</f>
        <v>0</v>
      </c>
      <c r="G154" s="459" t="str">
        <f t="shared" ca="1" si="35"/>
        <v/>
      </c>
      <c r="H154" s="460" t="str">
        <f t="shared" ca="1" si="35"/>
        <v/>
      </c>
      <c r="I154" s="460" t="str">
        <f t="shared" ca="1" si="35"/>
        <v/>
      </c>
      <c r="J154" s="460" t="str">
        <f t="shared" ca="1" si="35"/>
        <v/>
      </c>
      <c r="K154" s="460" t="str">
        <f t="shared" ca="1" si="35"/>
        <v/>
      </c>
      <c r="L154" s="460" t="str">
        <f t="shared" ca="1" si="35"/>
        <v/>
      </c>
      <c r="M154" s="460" t="str">
        <f t="shared" ca="1" si="35"/>
        <v/>
      </c>
      <c r="N154" s="460" t="str">
        <f t="shared" ca="1" si="35"/>
        <v/>
      </c>
      <c r="O154" s="461" t="str">
        <f t="shared" ca="1" si="35"/>
        <v/>
      </c>
      <c r="P154" s="474" t="str">
        <f t="shared" ca="1" si="35"/>
        <v/>
      </c>
      <c r="Q154" s="475" t="str">
        <f t="shared" ca="1" si="35"/>
        <v/>
      </c>
      <c r="R154" s="476">
        <f ca="1">IF(OR($BG$2=0,$AR154=""),,IF($AR154="本月合计",IF(ROW()=$BG$3,SUM($R$6:$R153),SUM(INDIRECT("$R$"&amp;OFFSET($AU$3,,MATCH(ROW(),$AU$3:$BF$3,)-2)+2&amp;":$R"&amp;ROW()-1))),IF($AR154="本年累计",SUMIF($AR$6:$AR154,"本月合计",$R$6:$R153),INDEX(凭证录入!L:L,$AR154))))</f>
        <v>0</v>
      </c>
      <c r="S154" s="459" t="str">
        <f t="shared" ca="1" si="36"/>
        <v/>
      </c>
      <c r="T154" s="460" t="str">
        <f t="shared" ca="1" si="36"/>
        <v/>
      </c>
      <c r="U154" s="460" t="str">
        <f t="shared" ca="1" si="36"/>
        <v/>
      </c>
      <c r="V154" s="460" t="str">
        <f t="shared" ca="1" si="36"/>
        <v/>
      </c>
      <c r="W154" s="460" t="str">
        <f t="shared" ca="1" si="36"/>
        <v/>
      </c>
      <c r="X154" s="460" t="str">
        <f t="shared" ca="1" si="36"/>
        <v/>
      </c>
      <c r="Y154" s="460" t="str">
        <f t="shared" ca="1" si="36"/>
        <v/>
      </c>
      <c r="Z154" s="460" t="str">
        <f t="shared" ca="1" si="36"/>
        <v/>
      </c>
      <c r="AA154" s="461" t="str">
        <f t="shared" ca="1" si="36"/>
        <v/>
      </c>
      <c r="AB154" s="474" t="str">
        <f t="shared" ca="1" si="36"/>
        <v/>
      </c>
      <c r="AC154" s="475" t="str">
        <f t="shared" ca="1" si="36"/>
        <v/>
      </c>
      <c r="AD154" s="477" t="str">
        <f t="shared" ca="1" si="32"/>
        <v/>
      </c>
      <c r="AE154" s="478">
        <f t="shared" ca="1" si="33"/>
        <v>0</v>
      </c>
      <c r="AF154" s="459" t="str">
        <f t="shared" ca="1" si="34"/>
        <v/>
      </c>
      <c r="AG154" s="460" t="str">
        <f t="shared" ca="1" si="34"/>
        <v/>
      </c>
      <c r="AH154" s="460" t="str">
        <f t="shared" ca="1" si="34"/>
        <v/>
      </c>
      <c r="AI154" s="460" t="str">
        <f t="shared" ca="1" si="34"/>
        <v/>
      </c>
      <c r="AJ154" s="460" t="str">
        <f t="shared" ca="1" si="34"/>
        <v/>
      </c>
      <c r="AK154" s="460" t="str">
        <f t="shared" ca="1" si="34"/>
        <v/>
      </c>
      <c r="AL154" s="460" t="str">
        <f t="shared" ca="1" si="34"/>
        <v/>
      </c>
      <c r="AM154" s="460" t="str">
        <f t="shared" ca="1" si="34"/>
        <v/>
      </c>
      <c r="AN154" s="461" t="str">
        <f t="shared" ca="1" si="34"/>
        <v/>
      </c>
      <c r="AO154" s="474" t="str">
        <f t="shared" ca="1" si="34"/>
        <v/>
      </c>
      <c r="AP154" s="475" t="str">
        <f t="shared" ca="1" si="34"/>
        <v/>
      </c>
      <c r="AQ154" s="479" t="str">
        <f t="array" aca="1" ref="AQ154" ca="1">IF(ROW()-5&lt;=COUNTIF(科目编号,$AR$2),SMALL(IF(科目编号=$AR$2,ROW(科目编号),""),ROW()-5),"")</f>
        <v/>
      </c>
      <c r="AR154" s="480" t="str">
        <f ca="1">IF($BG$2=0,"",IF(AR153="本月合计","本年累计",IF(OR(ROW()=$AU$3,ROW()=$AV$3,ROW()=$AW$3,ROW()=$AX$3,ROW()=$AY$3,ROW()=$AZ$3,ROW()=$BA$3,ROW()=$BB$3,ROW()=$BC$3,ROW()=$BD$3,ROW()=$BE$3,ROW()=$BF$3),"本月合计",IF(ROW()&lt;7,$AQ$6,OFFSET($AQ$6,COUNT($AR$6:AR153),0)))))</f>
        <v/>
      </c>
    </row>
    <row r="155" spans="1:44">
      <c r="A155" s="469" t="str">
        <f ca="1">IFERROR(INDEX(凭证录入!A:A,$AR155),"")</f>
        <v/>
      </c>
      <c r="B155" s="469" t="str">
        <f ca="1">IFERROR(INDEX(凭证录入!B:B,$AR155),"")</f>
        <v/>
      </c>
      <c r="C155" s="470" t="str">
        <f ca="1">IFERROR(INDEX(凭证录入!G:G,$AR155),"")</f>
        <v/>
      </c>
      <c r="D155" s="471" t="str">
        <f ca="1">IFERROR(INDEX(凭证录入!F:F,$AR155),"")</f>
        <v/>
      </c>
      <c r="E155" s="472" t="str">
        <f ca="1">IFERROR(INDEX(凭证录入!H:H,$AR155),$AR155)</f>
        <v/>
      </c>
      <c r="F155" s="473">
        <f ca="1">IF(OR($BG$2=0,$AR155=""),,IF($AR155="本月合计",IF(ROW()=$BG$3,SUM($F$6:$F154),SUM(INDIRECT("$F$"&amp;OFFSET($AU$3,,MATCH(ROW(),$AU$3:$BF$3,)-2)+2&amp;":$E"&amp;ROW()-1))),IF($AR155="本年累计",SUMIF($AR$6:$AR155,"本月合计",$F$6:$F154),INDEX(凭证录入!K:K,$AR155))))</f>
        <v>0</v>
      </c>
      <c r="G155" s="459" t="str">
        <f t="shared" ca="1" si="35"/>
        <v/>
      </c>
      <c r="H155" s="460" t="str">
        <f t="shared" ca="1" si="35"/>
        <v/>
      </c>
      <c r="I155" s="460" t="str">
        <f t="shared" ca="1" si="35"/>
        <v/>
      </c>
      <c r="J155" s="460" t="str">
        <f t="shared" ca="1" si="35"/>
        <v/>
      </c>
      <c r="K155" s="460" t="str">
        <f t="shared" ca="1" si="35"/>
        <v/>
      </c>
      <c r="L155" s="460" t="str">
        <f t="shared" ca="1" si="35"/>
        <v/>
      </c>
      <c r="M155" s="460" t="str">
        <f t="shared" ca="1" si="35"/>
        <v/>
      </c>
      <c r="N155" s="460" t="str">
        <f t="shared" ca="1" si="35"/>
        <v/>
      </c>
      <c r="O155" s="461" t="str">
        <f t="shared" ca="1" si="35"/>
        <v/>
      </c>
      <c r="P155" s="474" t="str">
        <f t="shared" ca="1" si="35"/>
        <v/>
      </c>
      <c r="Q155" s="475" t="str">
        <f t="shared" ca="1" si="35"/>
        <v/>
      </c>
      <c r="R155" s="476">
        <f ca="1">IF(OR($BG$2=0,$AR155=""),,IF($AR155="本月合计",IF(ROW()=$BG$3,SUM($R$6:$R154),SUM(INDIRECT("$R$"&amp;OFFSET($AU$3,,MATCH(ROW(),$AU$3:$BF$3,)-2)+2&amp;":$R"&amp;ROW()-1))),IF($AR155="本年累计",SUMIF($AR$6:$AR155,"本月合计",$R$6:$R154),INDEX(凭证录入!L:L,$AR155))))</f>
        <v>0</v>
      </c>
      <c r="S155" s="459" t="str">
        <f t="shared" ca="1" si="36"/>
        <v/>
      </c>
      <c r="T155" s="460" t="str">
        <f t="shared" ca="1" si="36"/>
        <v/>
      </c>
      <c r="U155" s="460" t="str">
        <f t="shared" ca="1" si="36"/>
        <v/>
      </c>
      <c r="V155" s="460" t="str">
        <f t="shared" ca="1" si="36"/>
        <v/>
      </c>
      <c r="W155" s="460" t="str">
        <f t="shared" ca="1" si="36"/>
        <v/>
      </c>
      <c r="X155" s="460" t="str">
        <f t="shared" ca="1" si="36"/>
        <v/>
      </c>
      <c r="Y155" s="460" t="str">
        <f t="shared" ca="1" si="36"/>
        <v/>
      </c>
      <c r="Z155" s="460" t="str">
        <f t="shared" ca="1" si="36"/>
        <v/>
      </c>
      <c r="AA155" s="461" t="str">
        <f t="shared" ca="1" si="36"/>
        <v/>
      </c>
      <c r="AB155" s="474" t="str">
        <f t="shared" ca="1" si="36"/>
        <v/>
      </c>
      <c r="AC155" s="475" t="str">
        <f t="shared" ca="1" si="36"/>
        <v/>
      </c>
      <c r="AD155" s="477" t="str">
        <f t="shared" ca="1" si="32"/>
        <v/>
      </c>
      <c r="AE155" s="478">
        <f t="shared" ca="1" si="33"/>
        <v>0</v>
      </c>
      <c r="AF155" s="459" t="str">
        <f t="shared" ca="1" si="34"/>
        <v/>
      </c>
      <c r="AG155" s="460" t="str">
        <f t="shared" ca="1" si="34"/>
        <v/>
      </c>
      <c r="AH155" s="460" t="str">
        <f t="shared" ca="1" si="34"/>
        <v/>
      </c>
      <c r="AI155" s="460" t="str">
        <f t="shared" ca="1" si="34"/>
        <v/>
      </c>
      <c r="AJ155" s="460" t="str">
        <f t="shared" ca="1" si="34"/>
        <v/>
      </c>
      <c r="AK155" s="460" t="str">
        <f t="shared" ca="1" si="34"/>
        <v/>
      </c>
      <c r="AL155" s="460" t="str">
        <f t="shared" ca="1" si="34"/>
        <v/>
      </c>
      <c r="AM155" s="460" t="str">
        <f t="shared" ca="1" si="34"/>
        <v/>
      </c>
      <c r="AN155" s="461" t="str">
        <f t="shared" ca="1" si="34"/>
        <v/>
      </c>
      <c r="AO155" s="474" t="str">
        <f t="shared" ca="1" si="34"/>
        <v/>
      </c>
      <c r="AP155" s="475" t="str">
        <f t="shared" ca="1" si="34"/>
        <v/>
      </c>
      <c r="AQ155" s="479" t="str">
        <f t="array" aca="1" ref="AQ155" ca="1">IF(ROW()-5&lt;=COUNTIF(科目编号,$AR$2),SMALL(IF(科目编号=$AR$2,ROW(科目编号),""),ROW()-5),"")</f>
        <v/>
      </c>
      <c r="AR155" s="480" t="str">
        <f ca="1">IF($BG$2=0,"",IF(AR154="本月合计","本年累计",IF(OR(ROW()=$AU$3,ROW()=$AV$3,ROW()=$AW$3,ROW()=$AX$3,ROW()=$AY$3,ROW()=$AZ$3,ROW()=$BA$3,ROW()=$BB$3,ROW()=$BC$3,ROW()=$BD$3,ROW()=$BE$3,ROW()=$BF$3),"本月合计",IF(ROW()&lt;7,$AQ$6,OFFSET($AQ$6,COUNT($AR$6:AR154),0)))))</f>
        <v/>
      </c>
    </row>
    <row r="156" spans="1:44">
      <c r="A156" s="469" t="str">
        <f ca="1">IFERROR(INDEX(凭证录入!A:A,$AR156),"")</f>
        <v/>
      </c>
      <c r="B156" s="469" t="str">
        <f ca="1">IFERROR(INDEX(凭证录入!B:B,$AR156),"")</f>
        <v/>
      </c>
      <c r="C156" s="470" t="str">
        <f ca="1">IFERROR(INDEX(凭证录入!G:G,$AR156),"")</f>
        <v/>
      </c>
      <c r="D156" s="471" t="str">
        <f ca="1">IFERROR(INDEX(凭证录入!F:F,$AR156),"")</f>
        <v/>
      </c>
      <c r="E156" s="472" t="str">
        <f ca="1">IFERROR(INDEX(凭证录入!H:H,$AR156),$AR156)</f>
        <v/>
      </c>
      <c r="F156" s="473">
        <f ca="1">IF(OR($BG$2=0,$AR156=""),,IF($AR156="本月合计",IF(ROW()=$BG$3,SUM($F$6:$F155),SUM(INDIRECT("$F$"&amp;OFFSET($AU$3,,MATCH(ROW(),$AU$3:$BF$3,)-2)+2&amp;":$E"&amp;ROW()-1))),IF($AR156="本年累计",SUMIF($AR$6:$AR156,"本月合计",$F$6:$F155),INDEX(凭证录入!K:K,$AR156))))</f>
        <v>0</v>
      </c>
      <c r="G156" s="459" t="str">
        <f t="shared" ca="1" si="35"/>
        <v/>
      </c>
      <c r="H156" s="460" t="str">
        <f t="shared" ca="1" si="35"/>
        <v/>
      </c>
      <c r="I156" s="460" t="str">
        <f t="shared" ca="1" si="35"/>
        <v/>
      </c>
      <c r="J156" s="460" t="str">
        <f t="shared" ca="1" si="35"/>
        <v/>
      </c>
      <c r="K156" s="460" t="str">
        <f t="shared" ca="1" si="35"/>
        <v/>
      </c>
      <c r="L156" s="460" t="str">
        <f t="shared" ca="1" si="35"/>
        <v/>
      </c>
      <c r="M156" s="460" t="str">
        <f t="shared" ca="1" si="35"/>
        <v/>
      </c>
      <c r="N156" s="460" t="str">
        <f t="shared" ca="1" si="35"/>
        <v/>
      </c>
      <c r="O156" s="461" t="str">
        <f t="shared" ca="1" si="35"/>
        <v/>
      </c>
      <c r="P156" s="474" t="str">
        <f t="shared" ca="1" si="35"/>
        <v/>
      </c>
      <c r="Q156" s="475" t="str">
        <f t="shared" ca="1" si="35"/>
        <v/>
      </c>
      <c r="R156" s="476">
        <f ca="1">IF(OR($BG$2=0,$AR156=""),,IF($AR156="本月合计",IF(ROW()=$BG$3,SUM($R$6:$R155),SUM(INDIRECT("$R$"&amp;OFFSET($AU$3,,MATCH(ROW(),$AU$3:$BF$3,)-2)+2&amp;":$R"&amp;ROW()-1))),IF($AR156="本年累计",SUMIF($AR$6:$AR156,"本月合计",$R$6:$R155),INDEX(凭证录入!L:L,$AR156))))</f>
        <v>0</v>
      </c>
      <c r="S156" s="459" t="str">
        <f t="shared" ca="1" si="36"/>
        <v/>
      </c>
      <c r="T156" s="460" t="str">
        <f t="shared" ca="1" si="36"/>
        <v/>
      </c>
      <c r="U156" s="460" t="str">
        <f t="shared" ca="1" si="36"/>
        <v/>
      </c>
      <c r="V156" s="460" t="str">
        <f t="shared" ca="1" si="36"/>
        <v/>
      </c>
      <c r="W156" s="460" t="str">
        <f t="shared" ca="1" si="36"/>
        <v/>
      </c>
      <c r="X156" s="460" t="str">
        <f t="shared" ca="1" si="36"/>
        <v/>
      </c>
      <c r="Y156" s="460" t="str">
        <f t="shared" ca="1" si="36"/>
        <v/>
      </c>
      <c r="Z156" s="460" t="str">
        <f t="shared" ca="1" si="36"/>
        <v/>
      </c>
      <c r="AA156" s="461" t="str">
        <f t="shared" ca="1" si="36"/>
        <v/>
      </c>
      <c r="AB156" s="474" t="str">
        <f t="shared" ca="1" si="36"/>
        <v/>
      </c>
      <c r="AC156" s="475" t="str">
        <f t="shared" ca="1" si="36"/>
        <v/>
      </c>
      <c r="AD156" s="477" t="str">
        <f t="shared" ca="1" si="32"/>
        <v/>
      </c>
      <c r="AE156" s="478">
        <f t="shared" ca="1" si="33"/>
        <v>0</v>
      </c>
      <c r="AF156" s="459" t="str">
        <f t="shared" ca="1" si="34"/>
        <v/>
      </c>
      <c r="AG156" s="460" t="str">
        <f t="shared" ca="1" si="34"/>
        <v/>
      </c>
      <c r="AH156" s="460" t="str">
        <f t="shared" ca="1" si="34"/>
        <v/>
      </c>
      <c r="AI156" s="460" t="str">
        <f t="shared" ca="1" si="34"/>
        <v/>
      </c>
      <c r="AJ156" s="460" t="str">
        <f t="shared" ca="1" si="34"/>
        <v/>
      </c>
      <c r="AK156" s="460" t="str">
        <f t="shared" ca="1" si="34"/>
        <v/>
      </c>
      <c r="AL156" s="460" t="str">
        <f t="shared" ca="1" si="34"/>
        <v/>
      </c>
      <c r="AM156" s="460" t="str">
        <f t="shared" ca="1" si="34"/>
        <v/>
      </c>
      <c r="AN156" s="461" t="str">
        <f t="shared" ca="1" si="34"/>
        <v/>
      </c>
      <c r="AO156" s="474" t="str">
        <f t="shared" ca="1" si="34"/>
        <v/>
      </c>
      <c r="AP156" s="475" t="str">
        <f t="shared" ca="1" si="34"/>
        <v/>
      </c>
      <c r="AQ156" s="479" t="str">
        <f t="array" aca="1" ref="AQ156" ca="1">IF(ROW()-5&lt;=COUNTIF(科目编号,$AR$2),SMALL(IF(科目编号=$AR$2,ROW(科目编号),""),ROW()-5),"")</f>
        <v/>
      </c>
      <c r="AR156" s="480" t="str">
        <f ca="1">IF($BG$2=0,"",IF(AR155="本月合计","本年累计",IF(OR(ROW()=$AU$3,ROW()=$AV$3,ROW()=$AW$3,ROW()=$AX$3,ROW()=$AY$3,ROW()=$AZ$3,ROW()=$BA$3,ROW()=$BB$3,ROW()=$BC$3,ROW()=$BD$3,ROW()=$BE$3,ROW()=$BF$3),"本月合计",IF(ROW()&lt;7,$AQ$6,OFFSET($AQ$6,COUNT($AR$6:AR155),0)))))</f>
        <v/>
      </c>
    </row>
    <row r="157" spans="1:44">
      <c r="A157" s="469" t="str">
        <f ca="1">IFERROR(INDEX(凭证录入!A:A,$AR157),"")</f>
        <v/>
      </c>
      <c r="B157" s="469" t="str">
        <f ca="1">IFERROR(INDEX(凭证录入!B:B,$AR157),"")</f>
        <v/>
      </c>
      <c r="C157" s="470" t="str">
        <f ca="1">IFERROR(INDEX(凭证录入!G:G,$AR157),"")</f>
        <v/>
      </c>
      <c r="D157" s="471" t="str">
        <f ca="1">IFERROR(INDEX(凭证录入!F:F,$AR157),"")</f>
        <v/>
      </c>
      <c r="E157" s="472" t="str">
        <f ca="1">IFERROR(INDEX(凭证录入!H:H,$AR157),$AR157)</f>
        <v/>
      </c>
      <c r="F157" s="473">
        <f ca="1">IF(OR($BG$2=0,$AR157=""),,IF($AR157="本月合计",IF(ROW()=$BG$3,SUM($F$6:$F156),SUM(INDIRECT("$F$"&amp;OFFSET($AU$3,,MATCH(ROW(),$AU$3:$BF$3,)-2)+2&amp;":$E"&amp;ROW()-1))),IF($AR157="本年累计",SUMIF($AR$6:$AR157,"本月合计",$F$6:$F156),INDEX(凭证录入!K:K,$AR157))))</f>
        <v>0</v>
      </c>
      <c r="G157" s="459" t="str">
        <f t="shared" ca="1" si="35"/>
        <v/>
      </c>
      <c r="H157" s="460" t="str">
        <f t="shared" ca="1" si="35"/>
        <v/>
      </c>
      <c r="I157" s="460" t="str">
        <f t="shared" ca="1" si="35"/>
        <v/>
      </c>
      <c r="J157" s="460" t="str">
        <f t="shared" ca="1" si="35"/>
        <v/>
      </c>
      <c r="K157" s="460" t="str">
        <f t="shared" ca="1" si="35"/>
        <v/>
      </c>
      <c r="L157" s="460" t="str">
        <f t="shared" ca="1" si="35"/>
        <v/>
      </c>
      <c r="M157" s="460" t="str">
        <f t="shared" ca="1" si="35"/>
        <v/>
      </c>
      <c r="N157" s="460" t="str">
        <f t="shared" ca="1" si="35"/>
        <v/>
      </c>
      <c r="O157" s="461" t="str">
        <f t="shared" ca="1" si="35"/>
        <v/>
      </c>
      <c r="P157" s="474" t="str">
        <f t="shared" ca="1" si="35"/>
        <v/>
      </c>
      <c r="Q157" s="475" t="str">
        <f t="shared" ca="1" si="35"/>
        <v/>
      </c>
      <c r="R157" s="476">
        <f ca="1">IF(OR($BG$2=0,$AR157=""),,IF($AR157="本月合计",IF(ROW()=$BG$3,SUM($R$6:$R156),SUM(INDIRECT("$R$"&amp;OFFSET($AU$3,,MATCH(ROW(),$AU$3:$BF$3,)-2)+2&amp;":$R"&amp;ROW()-1))),IF($AR157="本年累计",SUMIF($AR$6:$AR157,"本月合计",$R$6:$R156),INDEX(凭证录入!L:L,$AR157))))</f>
        <v>0</v>
      </c>
      <c r="S157" s="459" t="str">
        <f t="shared" ca="1" si="36"/>
        <v/>
      </c>
      <c r="T157" s="460" t="str">
        <f t="shared" ca="1" si="36"/>
        <v/>
      </c>
      <c r="U157" s="460" t="str">
        <f t="shared" ca="1" si="36"/>
        <v/>
      </c>
      <c r="V157" s="460" t="str">
        <f t="shared" ca="1" si="36"/>
        <v/>
      </c>
      <c r="W157" s="460" t="str">
        <f t="shared" ca="1" si="36"/>
        <v/>
      </c>
      <c r="X157" s="460" t="str">
        <f t="shared" ca="1" si="36"/>
        <v/>
      </c>
      <c r="Y157" s="460" t="str">
        <f t="shared" ca="1" si="36"/>
        <v/>
      </c>
      <c r="Z157" s="460" t="str">
        <f t="shared" ca="1" si="36"/>
        <v/>
      </c>
      <c r="AA157" s="461" t="str">
        <f t="shared" ca="1" si="36"/>
        <v/>
      </c>
      <c r="AB157" s="474" t="str">
        <f t="shared" ca="1" si="36"/>
        <v/>
      </c>
      <c r="AC157" s="475" t="str">
        <f t="shared" ca="1" si="36"/>
        <v/>
      </c>
      <c r="AD157" s="477" t="str">
        <f t="shared" ca="1" si="32"/>
        <v/>
      </c>
      <c r="AE157" s="478">
        <f t="shared" ca="1" si="33"/>
        <v>0</v>
      </c>
      <c r="AF157" s="459" t="str">
        <f t="shared" ca="1" si="34"/>
        <v/>
      </c>
      <c r="AG157" s="460" t="str">
        <f t="shared" ca="1" si="34"/>
        <v/>
      </c>
      <c r="AH157" s="460" t="str">
        <f t="shared" ca="1" si="34"/>
        <v/>
      </c>
      <c r="AI157" s="460" t="str">
        <f t="shared" ca="1" si="34"/>
        <v/>
      </c>
      <c r="AJ157" s="460" t="str">
        <f t="shared" ca="1" si="34"/>
        <v/>
      </c>
      <c r="AK157" s="460" t="str">
        <f t="shared" ca="1" si="34"/>
        <v/>
      </c>
      <c r="AL157" s="460" t="str">
        <f t="shared" ca="1" si="34"/>
        <v/>
      </c>
      <c r="AM157" s="460" t="str">
        <f t="shared" ca="1" si="34"/>
        <v/>
      </c>
      <c r="AN157" s="461" t="str">
        <f t="shared" ca="1" si="34"/>
        <v/>
      </c>
      <c r="AO157" s="474" t="str">
        <f t="shared" ca="1" si="34"/>
        <v/>
      </c>
      <c r="AP157" s="475" t="str">
        <f t="shared" ca="1" si="34"/>
        <v/>
      </c>
      <c r="AQ157" s="479" t="str">
        <f t="array" aca="1" ref="AQ157" ca="1">IF(ROW()-5&lt;=COUNTIF(科目编号,$AR$2),SMALL(IF(科目编号=$AR$2,ROW(科目编号),""),ROW()-5),"")</f>
        <v/>
      </c>
      <c r="AR157" s="480" t="str">
        <f ca="1">IF($BG$2=0,"",IF(AR156="本月合计","本年累计",IF(OR(ROW()=$AU$3,ROW()=$AV$3,ROW()=$AW$3,ROW()=$AX$3,ROW()=$AY$3,ROW()=$AZ$3,ROW()=$BA$3,ROW()=$BB$3,ROW()=$BC$3,ROW()=$BD$3,ROW()=$BE$3,ROW()=$BF$3),"本月合计",IF(ROW()&lt;7,$AQ$6,OFFSET($AQ$6,COUNT($AR$6:AR156),0)))))</f>
        <v/>
      </c>
    </row>
    <row r="158" spans="1:44">
      <c r="A158" s="469" t="str">
        <f ca="1">IFERROR(INDEX(凭证录入!A:A,$AR158),"")</f>
        <v/>
      </c>
      <c r="B158" s="469" t="str">
        <f ca="1">IFERROR(INDEX(凭证录入!B:B,$AR158),"")</f>
        <v/>
      </c>
      <c r="C158" s="470" t="str">
        <f ca="1">IFERROR(INDEX(凭证录入!G:G,$AR158),"")</f>
        <v/>
      </c>
      <c r="D158" s="471" t="str">
        <f ca="1">IFERROR(INDEX(凭证录入!F:F,$AR158),"")</f>
        <v/>
      </c>
      <c r="E158" s="472" t="str">
        <f ca="1">IFERROR(INDEX(凭证录入!H:H,$AR158),$AR158)</f>
        <v/>
      </c>
      <c r="F158" s="473">
        <f ca="1">IF(OR($BG$2=0,$AR158=""),,IF($AR158="本月合计",IF(ROW()=$BG$3,SUM($F$6:$F157),SUM(INDIRECT("$F$"&amp;OFFSET($AU$3,,MATCH(ROW(),$AU$3:$BF$3,)-2)+2&amp;":$E"&amp;ROW()-1))),IF($AR158="本年累计",SUMIF($AR$6:$AR158,"本月合计",$F$6:$F157),INDEX(凭证录入!K:K,$AR158))))</f>
        <v>0</v>
      </c>
      <c r="G158" s="459" t="str">
        <f t="shared" ca="1" si="35"/>
        <v/>
      </c>
      <c r="H158" s="460" t="str">
        <f t="shared" ca="1" si="35"/>
        <v/>
      </c>
      <c r="I158" s="460" t="str">
        <f t="shared" ca="1" si="35"/>
        <v/>
      </c>
      <c r="J158" s="460" t="str">
        <f t="shared" ca="1" si="35"/>
        <v/>
      </c>
      <c r="K158" s="460" t="str">
        <f t="shared" ca="1" si="35"/>
        <v/>
      </c>
      <c r="L158" s="460" t="str">
        <f t="shared" ca="1" si="35"/>
        <v/>
      </c>
      <c r="M158" s="460" t="str">
        <f t="shared" ca="1" si="35"/>
        <v/>
      </c>
      <c r="N158" s="460" t="str">
        <f t="shared" ca="1" si="35"/>
        <v/>
      </c>
      <c r="O158" s="461" t="str">
        <f t="shared" ca="1" si="35"/>
        <v/>
      </c>
      <c r="P158" s="474" t="str">
        <f t="shared" ca="1" si="35"/>
        <v/>
      </c>
      <c r="Q158" s="475" t="str">
        <f t="shared" ca="1" si="35"/>
        <v/>
      </c>
      <c r="R158" s="476">
        <f ca="1">IF(OR($BG$2=0,$AR158=""),,IF($AR158="本月合计",IF(ROW()=$BG$3,SUM($R$6:$R157),SUM(INDIRECT("$R$"&amp;OFFSET($AU$3,,MATCH(ROW(),$AU$3:$BF$3,)-2)+2&amp;":$R"&amp;ROW()-1))),IF($AR158="本年累计",SUMIF($AR$6:$AR158,"本月合计",$R$6:$R157),INDEX(凭证录入!L:L,$AR158))))</f>
        <v>0</v>
      </c>
      <c r="S158" s="459" t="str">
        <f t="shared" ca="1" si="36"/>
        <v/>
      </c>
      <c r="T158" s="460" t="str">
        <f t="shared" ca="1" si="36"/>
        <v/>
      </c>
      <c r="U158" s="460" t="str">
        <f t="shared" ca="1" si="36"/>
        <v/>
      </c>
      <c r="V158" s="460" t="str">
        <f t="shared" ca="1" si="36"/>
        <v/>
      </c>
      <c r="W158" s="460" t="str">
        <f t="shared" ca="1" si="36"/>
        <v/>
      </c>
      <c r="X158" s="460" t="str">
        <f t="shared" ca="1" si="36"/>
        <v/>
      </c>
      <c r="Y158" s="460" t="str">
        <f t="shared" ca="1" si="36"/>
        <v/>
      </c>
      <c r="Z158" s="460" t="str">
        <f t="shared" ca="1" si="36"/>
        <v/>
      </c>
      <c r="AA158" s="461" t="str">
        <f t="shared" ca="1" si="36"/>
        <v/>
      </c>
      <c r="AB158" s="474" t="str">
        <f t="shared" ca="1" si="36"/>
        <v/>
      </c>
      <c r="AC158" s="475" t="str">
        <f t="shared" ca="1" si="36"/>
        <v/>
      </c>
      <c r="AD158" s="477" t="str">
        <f t="shared" ca="1" si="32"/>
        <v/>
      </c>
      <c r="AE158" s="478">
        <f t="shared" ca="1" si="33"/>
        <v>0</v>
      </c>
      <c r="AF158" s="459" t="str">
        <f t="shared" ca="1" si="34"/>
        <v/>
      </c>
      <c r="AG158" s="460" t="str">
        <f t="shared" ca="1" si="34"/>
        <v/>
      </c>
      <c r="AH158" s="460" t="str">
        <f t="shared" ca="1" si="34"/>
        <v/>
      </c>
      <c r="AI158" s="460" t="str">
        <f t="shared" ca="1" si="34"/>
        <v/>
      </c>
      <c r="AJ158" s="460" t="str">
        <f t="shared" ca="1" si="34"/>
        <v/>
      </c>
      <c r="AK158" s="460" t="str">
        <f t="shared" ca="1" si="34"/>
        <v/>
      </c>
      <c r="AL158" s="460" t="str">
        <f t="shared" ca="1" si="34"/>
        <v/>
      </c>
      <c r="AM158" s="460" t="str">
        <f t="shared" ca="1" si="34"/>
        <v/>
      </c>
      <c r="AN158" s="461" t="str">
        <f t="shared" ca="1" si="34"/>
        <v/>
      </c>
      <c r="AO158" s="474" t="str">
        <f t="shared" ca="1" si="34"/>
        <v/>
      </c>
      <c r="AP158" s="475" t="str">
        <f t="shared" ca="1" si="34"/>
        <v/>
      </c>
      <c r="AQ158" s="479" t="str">
        <f t="array" aca="1" ref="AQ158" ca="1">IF(ROW()-5&lt;=COUNTIF(科目编号,$AR$2),SMALL(IF(科目编号=$AR$2,ROW(科目编号),""),ROW()-5),"")</f>
        <v/>
      </c>
      <c r="AR158" s="480" t="str">
        <f ca="1">IF($BG$2=0,"",IF(AR157="本月合计","本年累计",IF(OR(ROW()=$AU$3,ROW()=$AV$3,ROW()=$AW$3,ROW()=$AX$3,ROW()=$AY$3,ROW()=$AZ$3,ROW()=$BA$3,ROW()=$BB$3,ROW()=$BC$3,ROW()=$BD$3,ROW()=$BE$3,ROW()=$BF$3),"本月合计",IF(ROW()&lt;7,$AQ$6,OFFSET($AQ$6,COUNT($AR$6:AR157),0)))))</f>
        <v/>
      </c>
    </row>
    <row r="159" spans="1:44">
      <c r="A159" s="469" t="str">
        <f ca="1">IFERROR(INDEX(凭证录入!A:A,$AR159),"")</f>
        <v/>
      </c>
      <c r="B159" s="469" t="str">
        <f ca="1">IFERROR(INDEX(凭证录入!B:B,$AR159),"")</f>
        <v/>
      </c>
      <c r="C159" s="470" t="str">
        <f ca="1">IFERROR(INDEX(凭证录入!G:G,$AR159),"")</f>
        <v/>
      </c>
      <c r="D159" s="471" t="str">
        <f ca="1">IFERROR(INDEX(凭证录入!F:F,$AR159),"")</f>
        <v/>
      </c>
      <c r="E159" s="472" t="str">
        <f ca="1">IFERROR(INDEX(凭证录入!H:H,$AR159),$AR159)</f>
        <v/>
      </c>
      <c r="F159" s="473">
        <f ca="1">IF(OR($BG$2=0,$AR159=""),,IF($AR159="本月合计",IF(ROW()=$BG$3,SUM($F$6:$F158),SUM(INDIRECT("$F$"&amp;OFFSET($AU$3,,MATCH(ROW(),$AU$3:$BF$3,)-2)+2&amp;":$E"&amp;ROW()-1))),IF($AR159="本年累计",SUMIF($AR$6:$AR159,"本月合计",$F$6:$F158),INDEX(凭证录入!K:K,$AR159))))</f>
        <v>0</v>
      </c>
      <c r="G159" s="459" t="str">
        <f t="shared" ca="1" si="35"/>
        <v/>
      </c>
      <c r="H159" s="460" t="str">
        <f t="shared" ca="1" si="35"/>
        <v/>
      </c>
      <c r="I159" s="460" t="str">
        <f t="shared" ca="1" si="35"/>
        <v/>
      </c>
      <c r="J159" s="460" t="str">
        <f t="shared" ca="1" si="35"/>
        <v/>
      </c>
      <c r="K159" s="460" t="str">
        <f t="shared" ca="1" si="35"/>
        <v/>
      </c>
      <c r="L159" s="460" t="str">
        <f t="shared" ca="1" si="35"/>
        <v/>
      </c>
      <c r="M159" s="460" t="str">
        <f t="shared" ca="1" si="35"/>
        <v/>
      </c>
      <c r="N159" s="460" t="str">
        <f t="shared" ca="1" si="35"/>
        <v/>
      </c>
      <c r="O159" s="461" t="str">
        <f t="shared" ca="1" si="35"/>
        <v/>
      </c>
      <c r="P159" s="474" t="str">
        <f t="shared" ca="1" si="35"/>
        <v/>
      </c>
      <c r="Q159" s="475" t="str">
        <f t="shared" ca="1" si="35"/>
        <v/>
      </c>
      <c r="R159" s="476">
        <f ca="1">IF(OR($BG$2=0,$AR159=""),,IF($AR159="本月合计",IF(ROW()=$BG$3,SUM($R$6:$R158),SUM(INDIRECT("$R$"&amp;OFFSET($AU$3,,MATCH(ROW(),$AU$3:$BF$3,)-2)+2&amp;":$R"&amp;ROW()-1))),IF($AR159="本年累计",SUMIF($AR$6:$AR159,"本月合计",$R$6:$R158),INDEX(凭证录入!L:L,$AR159))))</f>
        <v>0</v>
      </c>
      <c r="S159" s="459" t="str">
        <f t="shared" ca="1" si="36"/>
        <v/>
      </c>
      <c r="T159" s="460" t="str">
        <f t="shared" ca="1" si="36"/>
        <v/>
      </c>
      <c r="U159" s="460" t="str">
        <f t="shared" ca="1" si="36"/>
        <v/>
      </c>
      <c r="V159" s="460" t="str">
        <f t="shared" ca="1" si="36"/>
        <v/>
      </c>
      <c r="W159" s="460" t="str">
        <f t="shared" ca="1" si="36"/>
        <v/>
      </c>
      <c r="X159" s="460" t="str">
        <f t="shared" ca="1" si="36"/>
        <v/>
      </c>
      <c r="Y159" s="460" t="str">
        <f t="shared" ca="1" si="36"/>
        <v/>
      </c>
      <c r="Z159" s="460" t="str">
        <f t="shared" ca="1" si="36"/>
        <v/>
      </c>
      <c r="AA159" s="461" t="str">
        <f t="shared" ca="1" si="36"/>
        <v/>
      </c>
      <c r="AB159" s="474" t="str">
        <f t="shared" ca="1" si="36"/>
        <v/>
      </c>
      <c r="AC159" s="475" t="str">
        <f t="shared" ca="1" si="36"/>
        <v/>
      </c>
      <c r="AD159" s="477" t="str">
        <f t="shared" ca="1" si="32"/>
        <v/>
      </c>
      <c r="AE159" s="478">
        <f t="shared" ca="1" si="33"/>
        <v>0</v>
      </c>
      <c r="AF159" s="459" t="str">
        <f t="shared" ca="1" si="34"/>
        <v/>
      </c>
      <c r="AG159" s="460" t="str">
        <f t="shared" ca="1" si="34"/>
        <v/>
      </c>
      <c r="AH159" s="460" t="str">
        <f t="shared" ca="1" si="34"/>
        <v/>
      </c>
      <c r="AI159" s="460" t="str">
        <f t="shared" ca="1" si="34"/>
        <v/>
      </c>
      <c r="AJ159" s="460" t="str">
        <f t="shared" ca="1" si="34"/>
        <v/>
      </c>
      <c r="AK159" s="460" t="str">
        <f t="shared" ca="1" si="34"/>
        <v/>
      </c>
      <c r="AL159" s="460" t="str">
        <f t="shared" ca="1" si="34"/>
        <v/>
      </c>
      <c r="AM159" s="460" t="str">
        <f t="shared" ca="1" si="34"/>
        <v/>
      </c>
      <c r="AN159" s="461" t="str">
        <f t="shared" ca="1" si="34"/>
        <v/>
      </c>
      <c r="AO159" s="474" t="str">
        <f t="shared" ca="1" si="34"/>
        <v/>
      </c>
      <c r="AP159" s="475" t="str">
        <f t="shared" ca="1" si="34"/>
        <v/>
      </c>
      <c r="AQ159" s="479" t="str">
        <f t="array" aca="1" ref="AQ159" ca="1">IF(ROW()-5&lt;=COUNTIF(科目编号,$AR$2),SMALL(IF(科目编号=$AR$2,ROW(科目编号),""),ROW()-5),"")</f>
        <v/>
      </c>
      <c r="AR159" s="480" t="str">
        <f ca="1">IF($BG$2=0,"",IF(AR158="本月合计","本年累计",IF(OR(ROW()=$AU$3,ROW()=$AV$3,ROW()=$AW$3,ROW()=$AX$3,ROW()=$AY$3,ROW()=$AZ$3,ROW()=$BA$3,ROW()=$BB$3,ROW()=$BC$3,ROW()=$BD$3,ROW()=$BE$3,ROW()=$BF$3),"本月合计",IF(ROW()&lt;7,$AQ$6,OFFSET($AQ$6,COUNT($AR$6:AR158),0)))))</f>
        <v/>
      </c>
    </row>
    <row r="160" spans="1:44">
      <c r="A160" s="469" t="str">
        <f ca="1">IFERROR(INDEX(凭证录入!A:A,$AR160),"")</f>
        <v/>
      </c>
      <c r="B160" s="469" t="str">
        <f ca="1">IFERROR(INDEX(凭证录入!B:B,$AR160),"")</f>
        <v/>
      </c>
      <c r="C160" s="470" t="str">
        <f ca="1">IFERROR(INDEX(凭证录入!G:G,$AR160),"")</f>
        <v/>
      </c>
      <c r="D160" s="471" t="str">
        <f ca="1">IFERROR(INDEX(凭证录入!F:F,$AR160),"")</f>
        <v/>
      </c>
      <c r="E160" s="472" t="str">
        <f ca="1">IFERROR(INDEX(凭证录入!H:H,$AR160),$AR160)</f>
        <v/>
      </c>
      <c r="F160" s="473">
        <f ca="1">IF(OR($BG$2=0,$AR160=""),,IF($AR160="本月合计",IF(ROW()=$BG$3,SUM($F$6:$F159),SUM(INDIRECT("$F$"&amp;OFFSET($AU$3,,MATCH(ROW(),$AU$3:$BF$3,)-2)+2&amp;":$E"&amp;ROW()-1))),IF($AR160="本年累计",SUMIF($AR$6:$AR160,"本月合计",$F$6:$F159),INDEX(凭证录入!K:K,$AR160))))</f>
        <v>0</v>
      </c>
      <c r="G160" s="459" t="str">
        <f t="shared" ca="1" si="35"/>
        <v/>
      </c>
      <c r="H160" s="460" t="str">
        <f t="shared" ca="1" si="35"/>
        <v/>
      </c>
      <c r="I160" s="460" t="str">
        <f t="shared" ca="1" si="35"/>
        <v/>
      </c>
      <c r="J160" s="460" t="str">
        <f t="shared" ca="1" si="35"/>
        <v/>
      </c>
      <c r="K160" s="460" t="str">
        <f t="shared" ca="1" si="35"/>
        <v/>
      </c>
      <c r="L160" s="460" t="str">
        <f t="shared" ca="1" si="35"/>
        <v/>
      </c>
      <c r="M160" s="460" t="str">
        <f t="shared" ca="1" si="35"/>
        <v/>
      </c>
      <c r="N160" s="460" t="str">
        <f t="shared" ca="1" si="35"/>
        <v/>
      </c>
      <c r="O160" s="461" t="str">
        <f t="shared" ca="1" si="35"/>
        <v/>
      </c>
      <c r="P160" s="474" t="str">
        <f t="shared" ca="1" si="35"/>
        <v/>
      </c>
      <c r="Q160" s="475" t="str">
        <f t="shared" ca="1" si="35"/>
        <v/>
      </c>
      <c r="R160" s="476">
        <f ca="1">IF(OR($BG$2=0,$AR160=""),,IF($AR160="本月合计",IF(ROW()=$BG$3,SUM($R$6:$R159),SUM(INDIRECT("$R$"&amp;OFFSET($AU$3,,MATCH(ROW(),$AU$3:$BF$3,)-2)+2&amp;":$R"&amp;ROW()-1))),IF($AR160="本年累计",SUMIF($AR$6:$AR160,"本月合计",$R$6:$R159),INDEX(凭证录入!L:L,$AR160))))</f>
        <v>0</v>
      </c>
      <c r="S160" s="459" t="str">
        <f t="shared" ca="1" si="36"/>
        <v/>
      </c>
      <c r="T160" s="460" t="str">
        <f t="shared" ca="1" si="36"/>
        <v/>
      </c>
      <c r="U160" s="460" t="str">
        <f t="shared" ca="1" si="36"/>
        <v/>
      </c>
      <c r="V160" s="460" t="str">
        <f t="shared" ca="1" si="36"/>
        <v/>
      </c>
      <c r="W160" s="460" t="str">
        <f t="shared" ca="1" si="36"/>
        <v/>
      </c>
      <c r="X160" s="460" t="str">
        <f t="shared" ca="1" si="36"/>
        <v/>
      </c>
      <c r="Y160" s="460" t="str">
        <f t="shared" ca="1" si="36"/>
        <v/>
      </c>
      <c r="Z160" s="460" t="str">
        <f t="shared" ca="1" si="36"/>
        <v/>
      </c>
      <c r="AA160" s="461" t="str">
        <f t="shared" ca="1" si="36"/>
        <v/>
      </c>
      <c r="AB160" s="474" t="str">
        <f t="shared" ca="1" si="36"/>
        <v/>
      </c>
      <c r="AC160" s="475" t="str">
        <f t="shared" ca="1" si="36"/>
        <v/>
      </c>
      <c r="AD160" s="477" t="str">
        <f t="shared" ca="1" si="32"/>
        <v/>
      </c>
      <c r="AE160" s="478">
        <f t="shared" ca="1" si="33"/>
        <v>0</v>
      </c>
      <c r="AF160" s="459" t="str">
        <f t="shared" ca="1" si="34"/>
        <v/>
      </c>
      <c r="AG160" s="460" t="str">
        <f t="shared" ca="1" si="34"/>
        <v/>
      </c>
      <c r="AH160" s="460" t="str">
        <f t="shared" ca="1" si="34"/>
        <v/>
      </c>
      <c r="AI160" s="460" t="str">
        <f t="shared" ca="1" si="34"/>
        <v/>
      </c>
      <c r="AJ160" s="460" t="str">
        <f t="shared" ca="1" si="34"/>
        <v/>
      </c>
      <c r="AK160" s="460" t="str">
        <f t="shared" ca="1" si="34"/>
        <v/>
      </c>
      <c r="AL160" s="460" t="str">
        <f t="shared" ca="1" si="34"/>
        <v/>
      </c>
      <c r="AM160" s="460" t="str">
        <f t="shared" ca="1" si="34"/>
        <v/>
      </c>
      <c r="AN160" s="461" t="str">
        <f t="shared" ca="1" si="34"/>
        <v/>
      </c>
      <c r="AO160" s="474" t="str">
        <f t="shared" ca="1" si="34"/>
        <v/>
      </c>
      <c r="AP160" s="475" t="str">
        <f t="shared" ca="1" si="34"/>
        <v/>
      </c>
      <c r="AQ160" s="479" t="str">
        <f t="array" aca="1" ref="AQ160" ca="1">IF(ROW()-5&lt;=COUNTIF(科目编号,$AR$2),SMALL(IF(科目编号=$AR$2,ROW(科目编号),""),ROW()-5),"")</f>
        <v/>
      </c>
      <c r="AR160" s="480" t="str">
        <f ca="1">IF($BG$2=0,"",IF(AR159="本月合计","本年累计",IF(OR(ROW()=$AU$3,ROW()=$AV$3,ROW()=$AW$3,ROW()=$AX$3,ROW()=$AY$3,ROW()=$AZ$3,ROW()=$BA$3,ROW()=$BB$3,ROW()=$BC$3,ROW()=$BD$3,ROW()=$BE$3,ROW()=$BF$3),"本月合计",IF(ROW()&lt;7,$AQ$6,OFFSET($AQ$6,COUNT($AR$6:AR159),0)))))</f>
        <v/>
      </c>
    </row>
    <row r="161" spans="1:44">
      <c r="A161" s="469" t="str">
        <f ca="1">IFERROR(INDEX(凭证录入!A:A,$AR161),"")</f>
        <v/>
      </c>
      <c r="B161" s="469" t="str">
        <f ca="1">IFERROR(INDEX(凭证录入!B:B,$AR161),"")</f>
        <v/>
      </c>
      <c r="C161" s="470" t="str">
        <f ca="1">IFERROR(INDEX(凭证录入!G:G,$AR161),"")</f>
        <v/>
      </c>
      <c r="D161" s="471" t="str">
        <f ca="1">IFERROR(INDEX(凭证录入!F:F,$AR161),"")</f>
        <v/>
      </c>
      <c r="E161" s="472" t="str">
        <f ca="1">IFERROR(INDEX(凭证录入!H:H,$AR161),$AR161)</f>
        <v/>
      </c>
      <c r="F161" s="473">
        <f ca="1">IF(OR($BG$2=0,$AR161=""),,IF($AR161="本月合计",IF(ROW()=$BG$3,SUM($F$6:$F160),SUM(INDIRECT("$F$"&amp;OFFSET($AU$3,,MATCH(ROW(),$AU$3:$BF$3,)-2)+2&amp;":$E"&amp;ROW()-1))),IF($AR161="本年累计",SUMIF($AR$6:$AR161,"本月合计",$F$6:$F160),INDEX(凭证录入!K:K,$AR161))))</f>
        <v>0</v>
      </c>
      <c r="G161" s="459" t="str">
        <f t="shared" ca="1" si="35"/>
        <v/>
      </c>
      <c r="H161" s="460" t="str">
        <f t="shared" ca="1" si="35"/>
        <v/>
      </c>
      <c r="I161" s="460" t="str">
        <f t="shared" ca="1" si="35"/>
        <v/>
      </c>
      <c r="J161" s="460" t="str">
        <f t="shared" ca="1" si="35"/>
        <v/>
      </c>
      <c r="K161" s="460" t="str">
        <f t="shared" ca="1" si="35"/>
        <v/>
      </c>
      <c r="L161" s="460" t="str">
        <f t="shared" ca="1" si="35"/>
        <v/>
      </c>
      <c r="M161" s="460" t="str">
        <f t="shared" ca="1" si="35"/>
        <v/>
      </c>
      <c r="N161" s="460" t="str">
        <f t="shared" ca="1" si="35"/>
        <v/>
      </c>
      <c r="O161" s="461" t="str">
        <f t="shared" ca="1" si="35"/>
        <v/>
      </c>
      <c r="P161" s="474" t="str">
        <f t="shared" ca="1" si="35"/>
        <v/>
      </c>
      <c r="Q161" s="475" t="str">
        <f t="shared" ca="1" si="35"/>
        <v/>
      </c>
      <c r="R161" s="476">
        <f ca="1">IF(OR($BG$2=0,$AR161=""),,IF($AR161="本月合计",IF(ROW()=$BG$3,SUM($R$6:$R160),SUM(INDIRECT("$R$"&amp;OFFSET($AU$3,,MATCH(ROW(),$AU$3:$BF$3,)-2)+2&amp;":$R"&amp;ROW()-1))),IF($AR161="本年累计",SUMIF($AR$6:$AR161,"本月合计",$R$6:$R160),INDEX(凭证录入!L:L,$AR161))))</f>
        <v>0</v>
      </c>
      <c r="S161" s="459" t="str">
        <f t="shared" ca="1" si="36"/>
        <v/>
      </c>
      <c r="T161" s="460" t="str">
        <f t="shared" ca="1" si="36"/>
        <v/>
      </c>
      <c r="U161" s="460" t="str">
        <f t="shared" ca="1" si="36"/>
        <v/>
      </c>
      <c r="V161" s="460" t="str">
        <f t="shared" ca="1" si="36"/>
        <v/>
      </c>
      <c r="W161" s="460" t="str">
        <f t="shared" ca="1" si="36"/>
        <v/>
      </c>
      <c r="X161" s="460" t="str">
        <f t="shared" ca="1" si="36"/>
        <v/>
      </c>
      <c r="Y161" s="460" t="str">
        <f t="shared" ca="1" si="36"/>
        <v/>
      </c>
      <c r="Z161" s="460" t="str">
        <f t="shared" ca="1" si="36"/>
        <v/>
      </c>
      <c r="AA161" s="461" t="str">
        <f t="shared" ca="1" si="36"/>
        <v/>
      </c>
      <c r="AB161" s="474" t="str">
        <f t="shared" ca="1" si="36"/>
        <v/>
      </c>
      <c r="AC161" s="475" t="str">
        <f t="shared" ca="1" si="36"/>
        <v/>
      </c>
      <c r="AD161" s="477" t="str">
        <f t="shared" ca="1" si="32"/>
        <v/>
      </c>
      <c r="AE161" s="478">
        <f t="shared" ca="1" si="33"/>
        <v>0</v>
      </c>
      <c r="AF161" s="459" t="str">
        <f t="shared" ca="1" si="34"/>
        <v/>
      </c>
      <c r="AG161" s="460" t="str">
        <f t="shared" ca="1" si="34"/>
        <v/>
      </c>
      <c r="AH161" s="460" t="str">
        <f t="shared" ca="1" si="34"/>
        <v/>
      </c>
      <c r="AI161" s="460" t="str">
        <f t="shared" ca="1" si="34"/>
        <v/>
      </c>
      <c r="AJ161" s="460" t="str">
        <f t="shared" ca="1" si="34"/>
        <v/>
      </c>
      <c r="AK161" s="460" t="str">
        <f t="shared" ca="1" si="34"/>
        <v/>
      </c>
      <c r="AL161" s="460" t="str">
        <f t="shared" ca="1" si="34"/>
        <v/>
      </c>
      <c r="AM161" s="460" t="str">
        <f t="shared" ca="1" si="34"/>
        <v/>
      </c>
      <c r="AN161" s="461" t="str">
        <f t="shared" ca="1" si="34"/>
        <v/>
      </c>
      <c r="AO161" s="474" t="str">
        <f t="shared" ca="1" si="34"/>
        <v/>
      </c>
      <c r="AP161" s="475" t="str">
        <f t="shared" ca="1" si="34"/>
        <v/>
      </c>
      <c r="AQ161" s="479" t="str">
        <f t="array" aca="1" ref="AQ161" ca="1">IF(ROW()-5&lt;=COUNTIF(科目编号,$AR$2),SMALL(IF(科目编号=$AR$2,ROW(科目编号),""),ROW()-5),"")</f>
        <v/>
      </c>
      <c r="AR161" s="480" t="str">
        <f ca="1">IF($BG$2=0,"",IF(AR160="本月合计","本年累计",IF(OR(ROW()=$AU$3,ROW()=$AV$3,ROW()=$AW$3,ROW()=$AX$3,ROW()=$AY$3,ROW()=$AZ$3,ROW()=$BA$3,ROW()=$BB$3,ROW()=$BC$3,ROW()=$BD$3,ROW()=$BE$3,ROW()=$BF$3),"本月合计",IF(ROW()&lt;7,$AQ$6,OFFSET($AQ$6,COUNT($AR$6:AR160),0)))))</f>
        <v/>
      </c>
    </row>
    <row r="162" spans="1:44">
      <c r="A162" s="469" t="str">
        <f ca="1">IFERROR(INDEX(凭证录入!A:A,$AR162),"")</f>
        <v/>
      </c>
      <c r="B162" s="469" t="str">
        <f ca="1">IFERROR(INDEX(凭证录入!B:B,$AR162),"")</f>
        <v/>
      </c>
      <c r="C162" s="470" t="str">
        <f ca="1">IFERROR(INDEX(凭证录入!G:G,$AR162),"")</f>
        <v/>
      </c>
      <c r="D162" s="471" t="str">
        <f ca="1">IFERROR(INDEX(凭证录入!F:F,$AR162),"")</f>
        <v/>
      </c>
      <c r="E162" s="472" t="str">
        <f ca="1">IFERROR(INDEX(凭证录入!H:H,$AR162),$AR162)</f>
        <v/>
      </c>
      <c r="F162" s="473">
        <f ca="1">IF(OR($BG$2=0,$AR162=""),,IF($AR162="本月合计",IF(ROW()=$BG$3,SUM($F$6:$F161),SUM(INDIRECT("$F$"&amp;OFFSET($AU$3,,MATCH(ROW(),$AU$3:$BF$3,)-2)+2&amp;":$E"&amp;ROW()-1))),IF($AR162="本年累计",SUMIF($AR$6:$AR162,"本月合计",$F$6:$F161),INDEX(凭证录入!K:K,$AR162))))</f>
        <v>0</v>
      </c>
      <c r="G162" s="459" t="str">
        <f t="shared" ca="1" si="35"/>
        <v/>
      </c>
      <c r="H162" s="460" t="str">
        <f t="shared" ca="1" si="35"/>
        <v/>
      </c>
      <c r="I162" s="460" t="str">
        <f t="shared" ca="1" si="35"/>
        <v/>
      </c>
      <c r="J162" s="460" t="str">
        <f t="shared" ca="1" si="35"/>
        <v/>
      </c>
      <c r="K162" s="460" t="str">
        <f t="shared" ca="1" si="35"/>
        <v/>
      </c>
      <c r="L162" s="460" t="str">
        <f t="shared" ca="1" si="35"/>
        <v/>
      </c>
      <c r="M162" s="460" t="str">
        <f t="shared" ca="1" si="35"/>
        <v/>
      </c>
      <c r="N162" s="460" t="str">
        <f t="shared" ca="1" si="35"/>
        <v/>
      </c>
      <c r="O162" s="461" t="str">
        <f t="shared" ca="1" si="35"/>
        <v/>
      </c>
      <c r="P162" s="474" t="str">
        <f t="shared" ca="1" si="35"/>
        <v/>
      </c>
      <c r="Q162" s="475" t="str">
        <f t="shared" ca="1" si="35"/>
        <v/>
      </c>
      <c r="R162" s="476">
        <f ca="1">IF(OR($BG$2=0,$AR162=""),,IF($AR162="本月合计",IF(ROW()=$BG$3,SUM($R$6:$R161),SUM(INDIRECT("$R$"&amp;OFFSET($AU$3,,MATCH(ROW(),$AU$3:$BF$3,)-2)+2&amp;":$R"&amp;ROW()-1))),IF($AR162="本年累计",SUMIF($AR$6:$AR162,"本月合计",$R$6:$R161),INDEX(凭证录入!L:L,$AR162))))</f>
        <v>0</v>
      </c>
      <c r="S162" s="459" t="str">
        <f t="shared" ca="1" si="36"/>
        <v/>
      </c>
      <c r="T162" s="460" t="str">
        <f t="shared" ca="1" si="36"/>
        <v/>
      </c>
      <c r="U162" s="460" t="str">
        <f t="shared" ca="1" si="36"/>
        <v/>
      </c>
      <c r="V162" s="460" t="str">
        <f t="shared" ca="1" si="36"/>
        <v/>
      </c>
      <c r="W162" s="460" t="str">
        <f t="shared" ca="1" si="36"/>
        <v/>
      </c>
      <c r="X162" s="460" t="str">
        <f t="shared" ca="1" si="36"/>
        <v/>
      </c>
      <c r="Y162" s="460" t="str">
        <f t="shared" ca="1" si="36"/>
        <v/>
      </c>
      <c r="Z162" s="460" t="str">
        <f t="shared" ca="1" si="36"/>
        <v/>
      </c>
      <c r="AA162" s="461" t="str">
        <f t="shared" ca="1" si="36"/>
        <v/>
      </c>
      <c r="AB162" s="474" t="str">
        <f t="shared" ca="1" si="36"/>
        <v/>
      </c>
      <c r="AC162" s="475" t="str">
        <f t="shared" ca="1" si="36"/>
        <v/>
      </c>
      <c r="AD162" s="477" t="str">
        <f t="shared" ca="1" si="32"/>
        <v/>
      </c>
      <c r="AE162" s="478">
        <f t="shared" ca="1" si="33"/>
        <v>0</v>
      </c>
      <c r="AF162" s="459" t="str">
        <f t="shared" ca="1" si="34"/>
        <v/>
      </c>
      <c r="AG162" s="460" t="str">
        <f t="shared" ca="1" si="34"/>
        <v/>
      </c>
      <c r="AH162" s="460" t="str">
        <f t="shared" ca="1" si="34"/>
        <v/>
      </c>
      <c r="AI162" s="460" t="str">
        <f t="shared" ca="1" si="34"/>
        <v/>
      </c>
      <c r="AJ162" s="460" t="str">
        <f t="shared" ca="1" si="34"/>
        <v/>
      </c>
      <c r="AK162" s="460" t="str">
        <f t="shared" ca="1" si="34"/>
        <v/>
      </c>
      <c r="AL162" s="460" t="str">
        <f t="shared" ca="1" si="34"/>
        <v/>
      </c>
      <c r="AM162" s="460" t="str">
        <f t="shared" ca="1" si="34"/>
        <v/>
      </c>
      <c r="AN162" s="461" t="str">
        <f t="shared" ca="1" si="34"/>
        <v/>
      </c>
      <c r="AO162" s="474" t="str">
        <f t="shared" ca="1" si="34"/>
        <v/>
      </c>
      <c r="AP162" s="475" t="str">
        <f t="shared" ca="1" si="34"/>
        <v/>
      </c>
      <c r="AQ162" s="479" t="str">
        <f t="array" aca="1" ref="AQ162" ca="1">IF(ROW()-5&lt;=COUNTIF(科目编号,$AR$2),SMALL(IF(科目编号=$AR$2,ROW(科目编号),""),ROW()-5),"")</f>
        <v/>
      </c>
      <c r="AR162" s="480" t="str">
        <f ca="1">IF($BG$2=0,"",IF(AR161="本月合计","本年累计",IF(OR(ROW()=$AU$3,ROW()=$AV$3,ROW()=$AW$3,ROW()=$AX$3,ROW()=$AY$3,ROW()=$AZ$3,ROW()=$BA$3,ROW()=$BB$3,ROW()=$BC$3,ROW()=$BD$3,ROW()=$BE$3,ROW()=$BF$3),"本月合计",IF(ROW()&lt;7,$AQ$6,OFFSET($AQ$6,COUNT($AR$6:AR161),0)))))</f>
        <v/>
      </c>
    </row>
    <row r="163" spans="1:44">
      <c r="A163" s="469" t="str">
        <f ca="1">IFERROR(INDEX(凭证录入!A:A,$AR163),"")</f>
        <v/>
      </c>
      <c r="B163" s="469" t="str">
        <f ca="1">IFERROR(INDEX(凭证录入!B:B,$AR163),"")</f>
        <v/>
      </c>
      <c r="C163" s="470" t="str">
        <f ca="1">IFERROR(INDEX(凭证录入!G:G,$AR163),"")</f>
        <v/>
      </c>
      <c r="D163" s="471" t="str">
        <f ca="1">IFERROR(INDEX(凭证录入!F:F,$AR163),"")</f>
        <v/>
      </c>
      <c r="E163" s="472" t="str">
        <f ca="1">IFERROR(INDEX(凭证录入!H:H,$AR163),$AR163)</f>
        <v/>
      </c>
      <c r="F163" s="473">
        <f ca="1">IF(OR($BG$2=0,$AR163=""),,IF($AR163="本月合计",IF(ROW()=$BG$3,SUM($F$6:$F162),SUM(INDIRECT("$F$"&amp;OFFSET($AU$3,,MATCH(ROW(),$AU$3:$BF$3,)-2)+2&amp;":$E"&amp;ROW()-1))),IF($AR163="本年累计",SUMIF($AR$6:$AR163,"本月合计",$F$6:$F162),INDEX(凭证录入!K:K,$AR163))))</f>
        <v>0</v>
      </c>
      <c r="G163" s="459" t="str">
        <f t="shared" ca="1" si="35"/>
        <v/>
      </c>
      <c r="H163" s="460" t="str">
        <f t="shared" ca="1" si="35"/>
        <v/>
      </c>
      <c r="I163" s="460" t="str">
        <f t="shared" ca="1" si="35"/>
        <v/>
      </c>
      <c r="J163" s="460" t="str">
        <f t="shared" ca="1" si="35"/>
        <v/>
      </c>
      <c r="K163" s="460" t="str">
        <f t="shared" ca="1" si="35"/>
        <v/>
      </c>
      <c r="L163" s="460" t="str">
        <f t="shared" ca="1" si="35"/>
        <v/>
      </c>
      <c r="M163" s="460" t="str">
        <f t="shared" ca="1" si="35"/>
        <v/>
      </c>
      <c r="N163" s="460" t="str">
        <f t="shared" ca="1" si="35"/>
        <v/>
      </c>
      <c r="O163" s="461" t="str">
        <f t="shared" ca="1" si="35"/>
        <v/>
      </c>
      <c r="P163" s="474" t="str">
        <f t="shared" ca="1" si="35"/>
        <v/>
      </c>
      <c r="Q163" s="475" t="str">
        <f t="shared" ca="1" si="35"/>
        <v/>
      </c>
      <c r="R163" s="476">
        <f ca="1">IF(OR($BG$2=0,$AR163=""),,IF($AR163="本月合计",IF(ROW()=$BG$3,SUM($R$6:$R162),SUM(INDIRECT("$R$"&amp;OFFSET($AU$3,,MATCH(ROW(),$AU$3:$BF$3,)-2)+2&amp;":$R"&amp;ROW()-1))),IF($AR163="本年累计",SUMIF($AR$6:$AR163,"本月合计",$R$6:$R162),INDEX(凭证录入!L:L,$AR163))))</f>
        <v>0</v>
      </c>
      <c r="S163" s="459" t="str">
        <f t="shared" ca="1" si="36"/>
        <v/>
      </c>
      <c r="T163" s="460" t="str">
        <f t="shared" ca="1" si="36"/>
        <v/>
      </c>
      <c r="U163" s="460" t="str">
        <f t="shared" ca="1" si="36"/>
        <v/>
      </c>
      <c r="V163" s="460" t="str">
        <f t="shared" ca="1" si="36"/>
        <v/>
      </c>
      <c r="W163" s="460" t="str">
        <f t="shared" ca="1" si="36"/>
        <v/>
      </c>
      <c r="X163" s="460" t="str">
        <f t="shared" ca="1" si="36"/>
        <v/>
      </c>
      <c r="Y163" s="460" t="str">
        <f t="shared" ca="1" si="36"/>
        <v/>
      </c>
      <c r="Z163" s="460" t="str">
        <f t="shared" ca="1" si="36"/>
        <v/>
      </c>
      <c r="AA163" s="461" t="str">
        <f t="shared" ca="1" si="36"/>
        <v/>
      </c>
      <c r="AB163" s="474" t="str">
        <f t="shared" ca="1" si="36"/>
        <v/>
      </c>
      <c r="AC163" s="475" t="str">
        <f t="shared" ca="1" si="36"/>
        <v/>
      </c>
      <c r="AD163" s="477" t="str">
        <f t="shared" ca="1" si="32"/>
        <v/>
      </c>
      <c r="AE163" s="478">
        <f t="shared" ca="1" si="33"/>
        <v>0</v>
      </c>
      <c r="AF163" s="459" t="str">
        <f t="shared" ca="1" si="34"/>
        <v/>
      </c>
      <c r="AG163" s="460" t="str">
        <f t="shared" ca="1" si="34"/>
        <v/>
      </c>
      <c r="AH163" s="460" t="str">
        <f t="shared" ca="1" si="34"/>
        <v/>
      </c>
      <c r="AI163" s="460" t="str">
        <f t="shared" ca="1" si="34"/>
        <v/>
      </c>
      <c r="AJ163" s="460" t="str">
        <f t="shared" ca="1" si="34"/>
        <v/>
      </c>
      <c r="AK163" s="460" t="str">
        <f t="shared" ca="1" si="34"/>
        <v/>
      </c>
      <c r="AL163" s="460" t="str">
        <f t="shared" ca="1" si="34"/>
        <v/>
      </c>
      <c r="AM163" s="460" t="str">
        <f t="shared" ca="1" si="34"/>
        <v/>
      </c>
      <c r="AN163" s="461" t="str">
        <f t="shared" ca="1" si="34"/>
        <v/>
      </c>
      <c r="AO163" s="474" t="str">
        <f t="shared" ca="1" si="34"/>
        <v/>
      </c>
      <c r="AP163" s="475" t="str">
        <f t="shared" ca="1" si="34"/>
        <v/>
      </c>
      <c r="AQ163" s="479" t="str">
        <f t="array" aca="1" ref="AQ163" ca="1">IF(ROW()-5&lt;=COUNTIF(科目编号,$AR$2),SMALL(IF(科目编号=$AR$2,ROW(科目编号),""),ROW()-5),"")</f>
        <v/>
      </c>
      <c r="AR163" s="480" t="str">
        <f ca="1">IF($BG$2=0,"",IF(AR162="本月合计","本年累计",IF(OR(ROW()=$AU$3,ROW()=$AV$3,ROW()=$AW$3,ROW()=$AX$3,ROW()=$AY$3,ROW()=$AZ$3,ROW()=$BA$3,ROW()=$BB$3,ROW()=$BC$3,ROW()=$BD$3,ROW()=$BE$3,ROW()=$BF$3),"本月合计",IF(ROW()&lt;7,$AQ$6,OFFSET($AQ$6,COUNT($AR$6:AR162),0)))))</f>
        <v/>
      </c>
    </row>
    <row r="164" spans="1:44">
      <c r="A164" s="469" t="str">
        <f ca="1">IFERROR(INDEX(凭证录入!A:A,$AR164),"")</f>
        <v/>
      </c>
      <c r="B164" s="469" t="str">
        <f ca="1">IFERROR(INDEX(凭证录入!B:B,$AR164),"")</f>
        <v/>
      </c>
      <c r="C164" s="470" t="str">
        <f ca="1">IFERROR(INDEX(凭证录入!G:G,$AR164),"")</f>
        <v/>
      </c>
      <c r="D164" s="471" t="str">
        <f ca="1">IFERROR(INDEX(凭证录入!F:F,$AR164),"")</f>
        <v/>
      </c>
      <c r="E164" s="472" t="str">
        <f ca="1">IFERROR(INDEX(凭证录入!H:H,$AR164),$AR164)</f>
        <v/>
      </c>
      <c r="F164" s="473">
        <f ca="1">IF(OR($BG$2=0,$AR164=""),,IF($AR164="本月合计",IF(ROW()=$BG$3,SUM($F$6:$F163),SUM(INDIRECT("$F$"&amp;OFFSET($AU$3,,MATCH(ROW(),$AU$3:$BF$3,)-2)+2&amp;":$E"&amp;ROW()-1))),IF($AR164="本年累计",SUMIF($AR$6:$AR164,"本月合计",$F$6:$F163),INDEX(凭证录入!K:K,$AR164))))</f>
        <v>0</v>
      </c>
      <c r="G164" s="459" t="str">
        <f t="shared" ca="1" si="35"/>
        <v/>
      </c>
      <c r="H164" s="460" t="str">
        <f t="shared" ca="1" si="35"/>
        <v/>
      </c>
      <c r="I164" s="460" t="str">
        <f t="shared" ca="1" si="35"/>
        <v/>
      </c>
      <c r="J164" s="460" t="str">
        <f t="shared" ca="1" si="35"/>
        <v/>
      </c>
      <c r="K164" s="460" t="str">
        <f t="shared" ca="1" si="35"/>
        <v/>
      </c>
      <c r="L164" s="460" t="str">
        <f t="shared" ca="1" si="35"/>
        <v/>
      </c>
      <c r="M164" s="460" t="str">
        <f t="shared" ca="1" si="35"/>
        <v/>
      </c>
      <c r="N164" s="460" t="str">
        <f t="shared" ca="1" si="35"/>
        <v/>
      </c>
      <c r="O164" s="461" t="str">
        <f t="shared" ca="1" si="35"/>
        <v/>
      </c>
      <c r="P164" s="474" t="str">
        <f t="shared" ca="1" si="35"/>
        <v/>
      </c>
      <c r="Q164" s="475" t="str">
        <f t="shared" ca="1" si="35"/>
        <v/>
      </c>
      <c r="R164" s="476">
        <f ca="1">IF(OR($BG$2=0,$AR164=""),,IF($AR164="本月合计",IF(ROW()=$BG$3,SUM($R$6:$R163),SUM(INDIRECT("$R$"&amp;OFFSET($AU$3,,MATCH(ROW(),$AU$3:$BF$3,)-2)+2&amp;":$R"&amp;ROW()-1))),IF($AR164="本年累计",SUMIF($AR$6:$AR164,"本月合计",$R$6:$R163),INDEX(凭证录入!L:L,$AR164))))</f>
        <v>0</v>
      </c>
      <c r="S164" s="459" t="str">
        <f t="shared" ca="1" si="36"/>
        <v/>
      </c>
      <c r="T164" s="460" t="str">
        <f t="shared" ca="1" si="36"/>
        <v/>
      </c>
      <c r="U164" s="460" t="str">
        <f t="shared" ca="1" si="36"/>
        <v/>
      </c>
      <c r="V164" s="460" t="str">
        <f t="shared" ca="1" si="36"/>
        <v/>
      </c>
      <c r="W164" s="460" t="str">
        <f t="shared" ca="1" si="36"/>
        <v/>
      </c>
      <c r="X164" s="460" t="str">
        <f t="shared" ca="1" si="36"/>
        <v/>
      </c>
      <c r="Y164" s="460" t="str">
        <f t="shared" ca="1" si="36"/>
        <v/>
      </c>
      <c r="Z164" s="460" t="str">
        <f t="shared" ca="1" si="36"/>
        <v/>
      </c>
      <c r="AA164" s="461" t="str">
        <f t="shared" ca="1" si="36"/>
        <v/>
      </c>
      <c r="AB164" s="474" t="str">
        <f t="shared" ca="1" si="36"/>
        <v/>
      </c>
      <c r="AC164" s="475" t="str">
        <f t="shared" ca="1" si="36"/>
        <v/>
      </c>
      <c r="AD164" s="477" t="str">
        <f t="shared" ca="1" si="32"/>
        <v/>
      </c>
      <c r="AE164" s="478">
        <f t="shared" ca="1" si="33"/>
        <v>0</v>
      </c>
      <c r="AF164" s="459" t="str">
        <f t="shared" ca="1" si="34"/>
        <v/>
      </c>
      <c r="AG164" s="460" t="str">
        <f t="shared" ca="1" si="34"/>
        <v/>
      </c>
      <c r="AH164" s="460" t="str">
        <f t="shared" ca="1" si="34"/>
        <v/>
      </c>
      <c r="AI164" s="460" t="str">
        <f t="shared" ca="1" si="34"/>
        <v/>
      </c>
      <c r="AJ164" s="460" t="str">
        <f t="shared" ca="1" si="34"/>
        <v/>
      </c>
      <c r="AK164" s="460" t="str">
        <f t="shared" ca="1" si="34"/>
        <v/>
      </c>
      <c r="AL164" s="460" t="str">
        <f t="shared" ca="1" si="34"/>
        <v/>
      </c>
      <c r="AM164" s="460" t="str">
        <f t="shared" ca="1" si="34"/>
        <v/>
      </c>
      <c r="AN164" s="461" t="str">
        <f t="shared" ca="1" si="34"/>
        <v/>
      </c>
      <c r="AO164" s="474" t="str">
        <f t="shared" ca="1" si="34"/>
        <v/>
      </c>
      <c r="AP164" s="475" t="str">
        <f t="shared" ca="1" si="34"/>
        <v/>
      </c>
      <c r="AQ164" s="479" t="str">
        <f t="array" aca="1" ref="AQ164" ca="1">IF(ROW()-5&lt;=COUNTIF(科目编号,$AR$2),SMALL(IF(科目编号=$AR$2,ROW(科目编号),""),ROW()-5),"")</f>
        <v/>
      </c>
      <c r="AR164" s="480" t="str">
        <f ca="1">IF($BG$2=0,"",IF(AR163="本月合计","本年累计",IF(OR(ROW()=$AU$3,ROW()=$AV$3,ROW()=$AW$3,ROW()=$AX$3,ROW()=$AY$3,ROW()=$AZ$3,ROW()=$BA$3,ROW()=$BB$3,ROW()=$BC$3,ROW()=$BD$3,ROW()=$BE$3,ROW()=$BF$3),"本月合计",IF(ROW()&lt;7,$AQ$6,OFFSET($AQ$6,COUNT($AR$6:AR163),0)))))</f>
        <v/>
      </c>
    </row>
    <row r="165" spans="1:44">
      <c r="A165" s="469" t="str">
        <f ca="1">IFERROR(INDEX(凭证录入!A:A,$AR165),"")</f>
        <v/>
      </c>
      <c r="B165" s="469" t="str">
        <f ca="1">IFERROR(INDEX(凭证录入!B:B,$AR165),"")</f>
        <v/>
      </c>
      <c r="C165" s="470" t="str">
        <f ca="1">IFERROR(INDEX(凭证录入!G:G,$AR165),"")</f>
        <v/>
      </c>
      <c r="D165" s="471" t="str">
        <f ca="1">IFERROR(INDEX(凭证录入!F:F,$AR165),"")</f>
        <v/>
      </c>
      <c r="E165" s="472" t="str">
        <f ca="1">IFERROR(INDEX(凭证录入!H:H,$AR165),$AR165)</f>
        <v/>
      </c>
      <c r="F165" s="473">
        <f ca="1">IF(OR($BG$2=0,$AR165=""),,IF($AR165="本月合计",IF(ROW()=$BG$3,SUM($F$6:$F164),SUM(INDIRECT("$F$"&amp;OFFSET($AU$3,,MATCH(ROW(),$AU$3:$BF$3,)-2)+2&amp;":$E"&amp;ROW()-1))),IF($AR165="本年累计",SUMIF($AR$6:$AR165,"本月合计",$F$6:$F164),INDEX(凭证录入!K:K,$AR165))))</f>
        <v>0</v>
      </c>
      <c r="G165" s="459" t="str">
        <f t="shared" ca="1" si="35"/>
        <v/>
      </c>
      <c r="H165" s="460" t="str">
        <f t="shared" ca="1" si="35"/>
        <v/>
      </c>
      <c r="I165" s="460" t="str">
        <f t="shared" ca="1" si="35"/>
        <v/>
      </c>
      <c r="J165" s="460" t="str">
        <f t="shared" ca="1" si="35"/>
        <v/>
      </c>
      <c r="K165" s="460" t="str">
        <f t="shared" ca="1" si="35"/>
        <v/>
      </c>
      <c r="L165" s="460" t="str">
        <f t="shared" ca="1" si="35"/>
        <v/>
      </c>
      <c r="M165" s="460" t="str">
        <f t="shared" ca="1" si="35"/>
        <v/>
      </c>
      <c r="N165" s="460" t="str">
        <f t="shared" ca="1" si="35"/>
        <v/>
      </c>
      <c r="O165" s="461" t="str">
        <f t="shared" ca="1" si="35"/>
        <v/>
      </c>
      <c r="P165" s="474" t="str">
        <f t="shared" ca="1" si="35"/>
        <v/>
      </c>
      <c r="Q165" s="475" t="str">
        <f t="shared" ca="1" si="35"/>
        <v/>
      </c>
      <c r="R165" s="476">
        <f ca="1">IF(OR($BG$2=0,$AR165=""),,IF($AR165="本月合计",IF(ROW()=$BG$3,SUM($R$6:$R164),SUM(INDIRECT("$R$"&amp;OFFSET($AU$3,,MATCH(ROW(),$AU$3:$BF$3,)-2)+2&amp;":$R"&amp;ROW()-1))),IF($AR165="本年累计",SUMIF($AR$6:$AR165,"本月合计",$R$6:$R164),INDEX(凭证录入!L:L,$AR165))))</f>
        <v>0</v>
      </c>
      <c r="S165" s="459" t="str">
        <f t="shared" ca="1" si="36"/>
        <v/>
      </c>
      <c r="T165" s="460" t="str">
        <f t="shared" ca="1" si="36"/>
        <v/>
      </c>
      <c r="U165" s="460" t="str">
        <f t="shared" ca="1" si="36"/>
        <v/>
      </c>
      <c r="V165" s="460" t="str">
        <f t="shared" ca="1" si="36"/>
        <v/>
      </c>
      <c r="W165" s="460" t="str">
        <f t="shared" ca="1" si="36"/>
        <v/>
      </c>
      <c r="X165" s="460" t="str">
        <f t="shared" ca="1" si="36"/>
        <v/>
      </c>
      <c r="Y165" s="460" t="str">
        <f t="shared" ca="1" si="36"/>
        <v/>
      </c>
      <c r="Z165" s="460" t="str">
        <f t="shared" ca="1" si="36"/>
        <v/>
      </c>
      <c r="AA165" s="461" t="str">
        <f t="shared" ca="1" si="36"/>
        <v/>
      </c>
      <c r="AB165" s="474" t="str">
        <f t="shared" ca="1" si="36"/>
        <v/>
      </c>
      <c r="AC165" s="475" t="str">
        <f t="shared" ca="1" si="36"/>
        <v/>
      </c>
      <c r="AD165" s="477" t="str">
        <f t="shared" ca="1" si="32"/>
        <v/>
      </c>
      <c r="AE165" s="478">
        <f t="shared" ca="1" si="33"/>
        <v>0</v>
      </c>
      <c r="AF165" s="459" t="str">
        <f t="shared" ref="AF165:AP180" ca="1" si="37">LEFT(RIGHT(TEXT($AE165/1%," ￥0; ￥-0;"),43-COLUMN()))</f>
        <v/>
      </c>
      <c r="AG165" s="460" t="str">
        <f t="shared" ca="1" si="37"/>
        <v/>
      </c>
      <c r="AH165" s="460" t="str">
        <f t="shared" ca="1" si="37"/>
        <v/>
      </c>
      <c r="AI165" s="460" t="str">
        <f t="shared" ca="1" si="37"/>
        <v/>
      </c>
      <c r="AJ165" s="460" t="str">
        <f t="shared" ca="1" si="37"/>
        <v/>
      </c>
      <c r="AK165" s="460" t="str">
        <f t="shared" ca="1" si="37"/>
        <v/>
      </c>
      <c r="AL165" s="460" t="str">
        <f t="shared" ca="1" si="37"/>
        <v/>
      </c>
      <c r="AM165" s="460" t="str">
        <f t="shared" ca="1" si="37"/>
        <v/>
      </c>
      <c r="AN165" s="461" t="str">
        <f t="shared" ca="1" si="37"/>
        <v/>
      </c>
      <c r="AO165" s="474" t="str">
        <f t="shared" ca="1" si="37"/>
        <v/>
      </c>
      <c r="AP165" s="475" t="str">
        <f t="shared" ca="1" si="37"/>
        <v/>
      </c>
      <c r="AQ165" s="479" t="str">
        <f t="array" aca="1" ref="AQ165" ca="1">IF(ROW()-5&lt;=COUNTIF(科目编号,$AR$2),SMALL(IF(科目编号=$AR$2,ROW(科目编号),""),ROW()-5),"")</f>
        <v/>
      </c>
      <c r="AR165" s="480" t="str">
        <f ca="1">IF($BG$2=0,"",IF(AR164="本月合计","本年累计",IF(OR(ROW()=$AU$3,ROW()=$AV$3,ROW()=$AW$3,ROW()=$AX$3,ROW()=$AY$3,ROW()=$AZ$3,ROW()=$BA$3,ROW()=$BB$3,ROW()=$BC$3,ROW()=$BD$3,ROW()=$BE$3,ROW()=$BF$3),"本月合计",IF(ROW()&lt;7,$AQ$6,OFFSET($AQ$6,COUNT($AR$6:AR164),0)))))</f>
        <v/>
      </c>
    </row>
    <row r="166" spans="1:44">
      <c r="A166" s="469" t="str">
        <f ca="1">IFERROR(INDEX(凭证录入!A:A,$AR166),"")</f>
        <v/>
      </c>
      <c r="B166" s="469" t="str">
        <f ca="1">IFERROR(INDEX(凭证录入!B:B,$AR166),"")</f>
        <v/>
      </c>
      <c r="C166" s="470" t="str">
        <f ca="1">IFERROR(INDEX(凭证录入!G:G,$AR166),"")</f>
        <v/>
      </c>
      <c r="D166" s="471" t="str">
        <f ca="1">IFERROR(INDEX(凭证录入!F:F,$AR166),"")</f>
        <v/>
      </c>
      <c r="E166" s="472" t="str">
        <f ca="1">IFERROR(INDEX(凭证录入!H:H,$AR166),$AR166)</f>
        <v/>
      </c>
      <c r="F166" s="473">
        <f ca="1">IF(OR($BG$2=0,$AR166=""),,IF($AR166="本月合计",IF(ROW()=$BG$3,SUM($F$6:$F165),SUM(INDIRECT("$F$"&amp;OFFSET($AU$3,,MATCH(ROW(),$AU$3:$BF$3,)-2)+2&amp;":$E"&amp;ROW()-1))),IF($AR166="本年累计",SUMIF($AR$6:$AR166,"本月合计",$F$6:$F165),INDEX(凭证录入!K:K,$AR166))))</f>
        <v>0</v>
      </c>
      <c r="G166" s="459" t="str">
        <f t="shared" ref="G166:Q181" ca="1" si="38">LEFT(RIGHT(TEXT($F166/1%," ￥0; ￥-0;"),18-COLUMN()))</f>
        <v/>
      </c>
      <c r="H166" s="460" t="str">
        <f t="shared" ca="1" si="38"/>
        <v/>
      </c>
      <c r="I166" s="460" t="str">
        <f t="shared" ca="1" si="38"/>
        <v/>
      </c>
      <c r="J166" s="460" t="str">
        <f t="shared" ca="1" si="38"/>
        <v/>
      </c>
      <c r="K166" s="460" t="str">
        <f t="shared" ca="1" si="38"/>
        <v/>
      </c>
      <c r="L166" s="460" t="str">
        <f t="shared" ca="1" si="38"/>
        <v/>
      </c>
      <c r="M166" s="460" t="str">
        <f t="shared" ca="1" si="38"/>
        <v/>
      </c>
      <c r="N166" s="460" t="str">
        <f t="shared" ca="1" si="38"/>
        <v/>
      </c>
      <c r="O166" s="461" t="str">
        <f t="shared" ca="1" si="38"/>
        <v/>
      </c>
      <c r="P166" s="474" t="str">
        <f t="shared" ca="1" si="38"/>
        <v/>
      </c>
      <c r="Q166" s="475" t="str">
        <f t="shared" ca="1" si="38"/>
        <v/>
      </c>
      <c r="R166" s="476">
        <f ca="1">IF(OR($BG$2=0,$AR166=""),,IF($AR166="本月合计",IF(ROW()=$BG$3,SUM($R$6:$R165),SUM(INDIRECT("$R$"&amp;OFFSET($AU$3,,MATCH(ROW(),$AU$3:$BF$3,)-2)+2&amp;":$R"&amp;ROW()-1))),IF($AR166="本年累计",SUMIF($AR$6:$AR166,"本月合计",$R$6:$R165),INDEX(凭证录入!L:L,$AR166))))</f>
        <v>0</v>
      </c>
      <c r="S166" s="459" t="str">
        <f t="shared" ref="S166:AC181" ca="1" si="39">LEFT(RIGHT(TEXT($R166/1%," ￥0; ￥-0;"),30-COLUMN()))</f>
        <v/>
      </c>
      <c r="T166" s="460" t="str">
        <f t="shared" ca="1" si="39"/>
        <v/>
      </c>
      <c r="U166" s="460" t="str">
        <f t="shared" ca="1" si="39"/>
        <v/>
      </c>
      <c r="V166" s="460" t="str">
        <f t="shared" ca="1" si="39"/>
        <v/>
      </c>
      <c r="W166" s="460" t="str">
        <f t="shared" ca="1" si="39"/>
        <v/>
      </c>
      <c r="X166" s="460" t="str">
        <f t="shared" ca="1" si="39"/>
        <v/>
      </c>
      <c r="Y166" s="460" t="str">
        <f t="shared" ca="1" si="39"/>
        <v/>
      </c>
      <c r="Z166" s="460" t="str">
        <f t="shared" ca="1" si="39"/>
        <v/>
      </c>
      <c r="AA166" s="461" t="str">
        <f t="shared" ca="1" si="39"/>
        <v/>
      </c>
      <c r="AB166" s="474" t="str">
        <f t="shared" ca="1" si="39"/>
        <v/>
      </c>
      <c r="AC166" s="475" t="str">
        <f t="shared" ca="1" si="39"/>
        <v/>
      </c>
      <c r="AD166" s="477" t="str">
        <f t="shared" ca="1" si="32"/>
        <v/>
      </c>
      <c r="AE166" s="478">
        <f t="shared" ca="1" si="33"/>
        <v>0</v>
      </c>
      <c r="AF166" s="459" t="str">
        <f t="shared" ca="1" si="37"/>
        <v/>
      </c>
      <c r="AG166" s="460" t="str">
        <f t="shared" ca="1" si="37"/>
        <v/>
      </c>
      <c r="AH166" s="460" t="str">
        <f t="shared" ca="1" si="37"/>
        <v/>
      </c>
      <c r="AI166" s="460" t="str">
        <f t="shared" ca="1" si="37"/>
        <v/>
      </c>
      <c r="AJ166" s="460" t="str">
        <f t="shared" ca="1" si="37"/>
        <v/>
      </c>
      <c r="AK166" s="460" t="str">
        <f t="shared" ca="1" si="37"/>
        <v/>
      </c>
      <c r="AL166" s="460" t="str">
        <f t="shared" ca="1" si="37"/>
        <v/>
      </c>
      <c r="AM166" s="460" t="str">
        <f t="shared" ca="1" si="37"/>
        <v/>
      </c>
      <c r="AN166" s="461" t="str">
        <f t="shared" ca="1" si="37"/>
        <v/>
      </c>
      <c r="AO166" s="474" t="str">
        <f t="shared" ca="1" si="37"/>
        <v/>
      </c>
      <c r="AP166" s="475" t="str">
        <f t="shared" ca="1" si="37"/>
        <v/>
      </c>
      <c r="AQ166" s="479" t="str">
        <f t="array" aca="1" ref="AQ166" ca="1">IF(ROW()-5&lt;=COUNTIF(科目编号,$AR$2),SMALL(IF(科目编号=$AR$2,ROW(科目编号),""),ROW()-5),"")</f>
        <v/>
      </c>
      <c r="AR166" s="480" t="str">
        <f ca="1">IF($BG$2=0,"",IF(AR165="本月合计","本年累计",IF(OR(ROW()=$AU$3,ROW()=$AV$3,ROW()=$AW$3,ROW()=$AX$3,ROW()=$AY$3,ROW()=$AZ$3,ROW()=$BA$3,ROW()=$BB$3,ROW()=$BC$3,ROW()=$BD$3,ROW()=$BE$3,ROW()=$BF$3),"本月合计",IF(ROW()&lt;7,$AQ$6,OFFSET($AQ$6,COUNT($AR$6:AR165),0)))))</f>
        <v/>
      </c>
    </row>
    <row r="167" spans="1:44">
      <c r="A167" s="469" t="str">
        <f ca="1">IFERROR(INDEX(凭证录入!A:A,$AR167),"")</f>
        <v/>
      </c>
      <c r="B167" s="469" t="str">
        <f ca="1">IFERROR(INDEX(凭证录入!B:B,$AR167),"")</f>
        <v/>
      </c>
      <c r="C167" s="470" t="str">
        <f ca="1">IFERROR(INDEX(凭证录入!G:G,$AR167),"")</f>
        <v/>
      </c>
      <c r="D167" s="471" t="str">
        <f ca="1">IFERROR(INDEX(凭证录入!F:F,$AR167),"")</f>
        <v/>
      </c>
      <c r="E167" s="472" t="str">
        <f ca="1">IFERROR(INDEX(凭证录入!H:H,$AR167),$AR167)</f>
        <v/>
      </c>
      <c r="F167" s="473">
        <f ca="1">IF(OR($BG$2=0,$AR167=""),,IF($AR167="本月合计",IF(ROW()=$BG$3,SUM($F$6:$F166),SUM(INDIRECT("$F$"&amp;OFFSET($AU$3,,MATCH(ROW(),$AU$3:$BF$3,)-2)+2&amp;":$E"&amp;ROW()-1))),IF($AR167="本年累计",SUMIF($AR$6:$AR167,"本月合计",$F$6:$F166),INDEX(凭证录入!K:K,$AR167))))</f>
        <v>0</v>
      </c>
      <c r="G167" s="459" t="str">
        <f t="shared" ca="1" si="38"/>
        <v/>
      </c>
      <c r="H167" s="460" t="str">
        <f t="shared" ca="1" si="38"/>
        <v/>
      </c>
      <c r="I167" s="460" t="str">
        <f t="shared" ca="1" si="38"/>
        <v/>
      </c>
      <c r="J167" s="460" t="str">
        <f t="shared" ca="1" si="38"/>
        <v/>
      </c>
      <c r="K167" s="460" t="str">
        <f t="shared" ca="1" si="38"/>
        <v/>
      </c>
      <c r="L167" s="460" t="str">
        <f t="shared" ca="1" si="38"/>
        <v/>
      </c>
      <c r="M167" s="460" t="str">
        <f t="shared" ca="1" si="38"/>
        <v/>
      </c>
      <c r="N167" s="460" t="str">
        <f t="shared" ca="1" si="38"/>
        <v/>
      </c>
      <c r="O167" s="461" t="str">
        <f t="shared" ca="1" si="38"/>
        <v/>
      </c>
      <c r="P167" s="474" t="str">
        <f t="shared" ca="1" si="38"/>
        <v/>
      </c>
      <c r="Q167" s="475" t="str">
        <f t="shared" ca="1" si="38"/>
        <v/>
      </c>
      <c r="R167" s="476">
        <f ca="1">IF(OR($BG$2=0,$AR167=""),,IF($AR167="本月合计",IF(ROW()=$BG$3,SUM($R$6:$R166),SUM(INDIRECT("$R$"&amp;OFFSET($AU$3,,MATCH(ROW(),$AU$3:$BF$3,)-2)+2&amp;":$R"&amp;ROW()-1))),IF($AR167="本年累计",SUMIF($AR$6:$AR167,"本月合计",$R$6:$R166),INDEX(凭证录入!L:L,$AR167))))</f>
        <v>0</v>
      </c>
      <c r="S167" s="459" t="str">
        <f t="shared" ca="1" si="39"/>
        <v/>
      </c>
      <c r="T167" s="460" t="str">
        <f t="shared" ca="1" si="39"/>
        <v/>
      </c>
      <c r="U167" s="460" t="str">
        <f t="shared" ca="1" si="39"/>
        <v/>
      </c>
      <c r="V167" s="460" t="str">
        <f t="shared" ca="1" si="39"/>
        <v/>
      </c>
      <c r="W167" s="460" t="str">
        <f t="shared" ca="1" si="39"/>
        <v/>
      </c>
      <c r="X167" s="460" t="str">
        <f t="shared" ca="1" si="39"/>
        <v/>
      </c>
      <c r="Y167" s="460" t="str">
        <f t="shared" ca="1" si="39"/>
        <v/>
      </c>
      <c r="Z167" s="460" t="str">
        <f t="shared" ca="1" si="39"/>
        <v/>
      </c>
      <c r="AA167" s="461" t="str">
        <f t="shared" ca="1" si="39"/>
        <v/>
      </c>
      <c r="AB167" s="474" t="str">
        <f t="shared" ca="1" si="39"/>
        <v/>
      </c>
      <c r="AC167" s="475" t="str">
        <f t="shared" ca="1" si="39"/>
        <v/>
      </c>
      <c r="AD167" s="477" t="str">
        <f t="shared" ca="1" si="32"/>
        <v/>
      </c>
      <c r="AE167" s="478">
        <f t="shared" ca="1" si="33"/>
        <v>0</v>
      </c>
      <c r="AF167" s="459" t="str">
        <f t="shared" ca="1" si="37"/>
        <v/>
      </c>
      <c r="AG167" s="460" t="str">
        <f t="shared" ca="1" si="37"/>
        <v/>
      </c>
      <c r="AH167" s="460" t="str">
        <f t="shared" ca="1" si="37"/>
        <v/>
      </c>
      <c r="AI167" s="460" t="str">
        <f t="shared" ca="1" si="37"/>
        <v/>
      </c>
      <c r="AJ167" s="460" t="str">
        <f t="shared" ca="1" si="37"/>
        <v/>
      </c>
      <c r="AK167" s="460" t="str">
        <f t="shared" ca="1" si="37"/>
        <v/>
      </c>
      <c r="AL167" s="460" t="str">
        <f t="shared" ca="1" si="37"/>
        <v/>
      </c>
      <c r="AM167" s="460" t="str">
        <f t="shared" ca="1" si="37"/>
        <v/>
      </c>
      <c r="AN167" s="461" t="str">
        <f t="shared" ca="1" si="37"/>
        <v/>
      </c>
      <c r="AO167" s="474" t="str">
        <f t="shared" ca="1" si="37"/>
        <v/>
      </c>
      <c r="AP167" s="475" t="str">
        <f t="shared" ca="1" si="37"/>
        <v/>
      </c>
      <c r="AQ167" s="479" t="str">
        <f t="array" aca="1" ref="AQ167" ca="1">IF(ROW()-5&lt;=COUNTIF(科目编号,$AR$2),SMALL(IF(科目编号=$AR$2,ROW(科目编号),""),ROW()-5),"")</f>
        <v/>
      </c>
      <c r="AR167" s="480" t="str">
        <f ca="1">IF($BG$2=0,"",IF(AR166="本月合计","本年累计",IF(OR(ROW()=$AU$3,ROW()=$AV$3,ROW()=$AW$3,ROW()=$AX$3,ROW()=$AY$3,ROW()=$AZ$3,ROW()=$BA$3,ROW()=$BB$3,ROW()=$BC$3,ROW()=$BD$3,ROW()=$BE$3,ROW()=$BF$3),"本月合计",IF(ROW()&lt;7,$AQ$6,OFFSET($AQ$6,COUNT($AR$6:AR166),0)))))</f>
        <v/>
      </c>
    </row>
    <row r="168" spans="1:44">
      <c r="A168" s="469" t="str">
        <f ca="1">IFERROR(INDEX(凭证录入!A:A,$AR168),"")</f>
        <v/>
      </c>
      <c r="B168" s="469" t="str">
        <f ca="1">IFERROR(INDEX(凭证录入!B:B,$AR168),"")</f>
        <v/>
      </c>
      <c r="C168" s="470" t="str">
        <f ca="1">IFERROR(INDEX(凭证录入!G:G,$AR168),"")</f>
        <v/>
      </c>
      <c r="D168" s="471" t="str">
        <f ca="1">IFERROR(INDEX(凭证录入!F:F,$AR168),"")</f>
        <v/>
      </c>
      <c r="E168" s="472" t="str">
        <f ca="1">IFERROR(INDEX(凭证录入!H:H,$AR168),$AR168)</f>
        <v/>
      </c>
      <c r="F168" s="473">
        <f ca="1">IF(OR($BG$2=0,$AR168=""),,IF($AR168="本月合计",IF(ROW()=$BG$3,SUM($F$6:$F167),SUM(INDIRECT("$F$"&amp;OFFSET($AU$3,,MATCH(ROW(),$AU$3:$BF$3,)-2)+2&amp;":$E"&amp;ROW()-1))),IF($AR168="本年累计",SUMIF($AR$6:$AR168,"本月合计",$F$6:$F167),INDEX(凭证录入!K:K,$AR168))))</f>
        <v>0</v>
      </c>
      <c r="G168" s="459" t="str">
        <f t="shared" ca="1" si="38"/>
        <v/>
      </c>
      <c r="H168" s="460" t="str">
        <f t="shared" ca="1" si="38"/>
        <v/>
      </c>
      <c r="I168" s="460" t="str">
        <f t="shared" ca="1" si="38"/>
        <v/>
      </c>
      <c r="J168" s="460" t="str">
        <f t="shared" ca="1" si="38"/>
        <v/>
      </c>
      <c r="K168" s="460" t="str">
        <f t="shared" ca="1" si="38"/>
        <v/>
      </c>
      <c r="L168" s="460" t="str">
        <f t="shared" ca="1" si="38"/>
        <v/>
      </c>
      <c r="M168" s="460" t="str">
        <f t="shared" ca="1" si="38"/>
        <v/>
      </c>
      <c r="N168" s="460" t="str">
        <f t="shared" ca="1" si="38"/>
        <v/>
      </c>
      <c r="O168" s="461" t="str">
        <f t="shared" ca="1" si="38"/>
        <v/>
      </c>
      <c r="P168" s="474" t="str">
        <f t="shared" ca="1" si="38"/>
        <v/>
      </c>
      <c r="Q168" s="475" t="str">
        <f t="shared" ca="1" si="38"/>
        <v/>
      </c>
      <c r="R168" s="476">
        <f ca="1">IF(OR($BG$2=0,$AR168=""),,IF($AR168="本月合计",IF(ROW()=$BG$3,SUM($R$6:$R167),SUM(INDIRECT("$R$"&amp;OFFSET($AU$3,,MATCH(ROW(),$AU$3:$BF$3,)-2)+2&amp;":$R"&amp;ROW()-1))),IF($AR168="本年累计",SUMIF($AR$6:$AR168,"本月合计",$R$6:$R167),INDEX(凭证录入!L:L,$AR168))))</f>
        <v>0</v>
      </c>
      <c r="S168" s="459" t="str">
        <f t="shared" ca="1" si="39"/>
        <v/>
      </c>
      <c r="T168" s="460" t="str">
        <f t="shared" ca="1" si="39"/>
        <v/>
      </c>
      <c r="U168" s="460" t="str">
        <f t="shared" ca="1" si="39"/>
        <v/>
      </c>
      <c r="V168" s="460" t="str">
        <f t="shared" ca="1" si="39"/>
        <v/>
      </c>
      <c r="W168" s="460" t="str">
        <f t="shared" ca="1" si="39"/>
        <v/>
      </c>
      <c r="X168" s="460" t="str">
        <f t="shared" ca="1" si="39"/>
        <v/>
      </c>
      <c r="Y168" s="460" t="str">
        <f t="shared" ca="1" si="39"/>
        <v/>
      </c>
      <c r="Z168" s="460" t="str">
        <f t="shared" ca="1" si="39"/>
        <v/>
      </c>
      <c r="AA168" s="461" t="str">
        <f t="shared" ca="1" si="39"/>
        <v/>
      </c>
      <c r="AB168" s="474" t="str">
        <f t="shared" ca="1" si="39"/>
        <v/>
      </c>
      <c r="AC168" s="475" t="str">
        <f t="shared" ca="1" si="39"/>
        <v/>
      </c>
      <c r="AD168" s="477" t="str">
        <f t="shared" ca="1" si="32"/>
        <v/>
      </c>
      <c r="AE168" s="478">
        <f t="shared" ca="1" si="33"/>
        <v>0</v>
      </c>
      <c r="AF168" s="459" t="str">
        <f t="shared" ca="1" si="37"/>
        <v/>
      </c>
      <c r="AG168" s="460" t="str">
        <f t="shared" ca="1" si="37"/>
        <v/>
      </c>
      <c r="AH168" s="460" t="str">
        <f t="shared" ca="1" si="37"/>
        <v/>
      </c>
      <c r="AI168" s="460" t="str">
        <f t="shared" ca="1" si="37"/>
        <v/>
      </c>
      <c r="AJ168" s="460" t="str">
        <f t="shared" ca="1" si="37"/>
        <v/>
      </c>
      <c r="AK168" s="460" t="str">
        <f t="shared" ca="1" si="37"/>
        <v/>
      </c>
      <c r="AL168" s="460" t="str">
        <f t="shared" ca="1" si="37"/>
        <v/>
      </c>
      <c r="AM168" s="460" t="str">
        <f t="shared" ca="1" si="37"/>
        <v/>
      </c>
      <c r="AN168" s="461" t="str">
        <f t="shared" ca="1" si="37"/>
        <v/>
      </c>
      <c r="AO168" s="474" t="str">
        <f t="shared" ca="1" si="37"/>
        <v/>
      </c>
      <c r="AP168" s="475" t="str">
        <f t="shared" ca="1" si="37"/>
        <v/>
      </c>
      <c r="AQ168" s="479" t="str">
        <f t="array" aca="1" ref="AQ168" ca="1">IF(ROW()-5&lt;=COUNTIF(科目编号,$AR$2),SMALL(IF(科目编号=$AR$2,ROW(科目编号),""),ROW()-5),"")</f>
        <v/>
      </c>
      <c r="AR168" s="480" t="str">
        <f ca="1">IF($BG$2=0,"",IF(AR167="本月合计","本年累计",IF(OR(ROW()=$AU$3,ROW()=$AV$3,ROW()=$AW$3,ROW()=$AX$3,ROW()=$AY$3,ROW()=$AZ$3,ROW()=$BA$3,ROW()=$BB$3,ROW()=$BC$3,ROW()=$BD$3,ROW()=$BE$3,ROW()=$BF$3),"本月合计",IF(ROW()&lt;7,$AQ$6,OFFSET($AQ$6,COUNT($AR$6:AR167),0)))))</f>
        <v/>
      </c>
    </row>
    <row r="169" spans="1:44">
      <c r="A169" s="469" t="str">
        <f ca="1">IFERROR(INDEX(凭证录入!A:A,$AR169),"")</f>
        <v/>
      </c>
      <c r="B169" s="469" t="str">
        <f ca="1">IFERROR(INDEX(凭证录入!B:B,$AR169),"")</f>
        <v/>
      </c>
      <c r="C169" s="470" t="str">
        <f ca="1">IFERROR(INDEX(凭证录入!G:G,$AR169),"")</f>
        <v/>
      </c>
      <c r="D169" s="471" t="str">
        <f ca="1">IFERROR(INDEX(凭证录入!F:F,$AR169),"")</f>
        <v/>
      </c>
      <c r="E169" s="472" t="str">
        <f ca="1">IFERROR(INDEX(凭证录入!H:H,$AR169),$AR169)</f>
        <v/>
      </c>
      <c r="F169" s="473">
        <f ca="1">IF(OR($BG$2=0,$AR169=""),,IF($AR169="本月合计",IF(ROW()=$BG$3,SUM($F$6:$F168),SUM(INDIRECT("$F$"&amp;OFFSET($AU$3,,MATCH(ROW(),$AU$3:$BF$3,)-2)+2&amp;":$E"&amp;ROW()-1))),IF($AR169="本年累计",SUMIF($AR$6:$AR169,"本月合计",$F$6:$F168),INDEX(凭证录入!K:K,$AR169))))</f>
        <v>0</v>
      </c>
      <c r="G169" s="459" t="str">
        <f t="shared" ca="1" si="38"/>
        <v/>
      </c>
      <c r="H169" s="460" t="str">
        <f t="shared" ca="1" si="38"/>
        <v/>
      </c>
      <c r="I169" s="460" t="str">
        <f t="shared" ca="1" si="38"/>
        <v/>
      </c>
      <c r="J169" s="460" t="str">
        <f t="shared" ca="1" si="38"/>
        <v/>
      </c>
      <c r="K169" s="460" t="str">
        <f t="shared" ca="1" si="38"/>
        <v/>
      </c>
      <c r="L169" s="460" t="str">
        <f t="shared" ca="1" si="38"/>
        <v/>
      </c>
      <c r="M169" s="460" t="str">
        <f t="shared" ca="1" si="38"/>
        <v/>
      </c>
      <c r="N169" s="460" t="str">
        <f t="shared" ca="1" si="38"/>
        <v/>
      </c>
      <c r="O169" s="461" t="str">
        <f t="shared" ca="1" si="38"/>
        <v/>
      </c>
      <c r="P169" s="474" t="str">
        <f t="shared" ca="1" si="38"/>
        <v/>
      </c>
      <c r="Q169" s="475" t="str">
        <f t="shared" ca="1" si="38"/>
        <v/>
      </c>
      <c r="R169" s="476">
        <f ca="1">IF(OR($BG$2=0,$AR169=""),,IF($AR169="本月合计",IF(ROW()=$BG$3,SUM($R$6:$R168),SUM(INDIRECT("$R$"&amp;OFFSET($AU$3,,MATCH(ROW(),$AU$3:$BF$3,)-2)+2&amp;":$R"&amp;ROW()-1))),IF($AR169="本年累计",SUMIF($AR$6:$AR169,"本月合计",$R$6:$R168),INDEX(凭证录入!L:L,$AR169))))</f>
        <v>0</v>
      </c>
      <c r="S169" s="459" t="str">
        <f t="shared" ca="1" si="39"/>
        <v/>
      </c>
      <c r="T169" s="460" t="str">
        <f t="shared" ca="1" si="39"/>
        <v/>
      </c>
      <c r="U169" s="460" t="str">
        <f t="shared" ca="1" si="39"/>
        <v/>
      </c>
      <c r="V169" s="460" t="str">
        <f t="shared" ca="1" si="39"/>
        <v/>
      </c>
      <c r="W169" s="460" t="str">
        <f t="shared" ca="1" si="39"/>
        <v/>
      </c>
      <c r="X169" s="460" t="str">
        <f t="shared" ca="1" si="39"/>
        <v/>
      </c>
      <c r="Y169" s="460" t="str">
        <f t="shared" ca="1" si="39"/>
        <v/>
      </c>
      <c r="Z169" s="460" t="str">
        <f t="shared" ca="1" si="39"/>
        <v/>
      </c>
      <c r="AA169" s="461" t="str">
        <f t="shared" ca="1" si="39"/>
        <v/>
      </c>
      <c r="AB169" s="474" t="str">
        <f t="shared" ca="1" si="39"/>
        <v/>
      </c>
      <c r="AC169" s="475" t="str">
        <f t="shared" ca="1" si="39"/>
        <v/>
      </c>
      <c r="AD169" s="477" t="str">
        <f t="shared" ca="1" si="32"/>
        <v/>
      </c>
      <c r="AE169" s="478">
        <f t="shared" ca="1" si="33"/>
        <v>0</v>
      </c>
      <c r="AF169" s="459" t="str">
        <f t="shared" ca="1" si="37"/>
        <v/>
      </c>
      <c r="AG169" s="460" t="str">
        <f t="shared" ca="1" si="37"/>
        <v/>
      </c>
      <c r="AH169" s="460" t="str">
        <f t="shared" ca="1" si="37"/>
        <v/>
      </c>
      <c r="AI169" s="460" t="str">
        <f t="shared" ca="1" si="37"/>
        <v/>
      </c>
      <c r="AJ169" s="460" t="str">
        <f t="shared" ca="1" si="37"/>
        <v/>
      </c>
      <c r="AK169" s="460" t="str">
        <f t="shared" ca="1" si="37"/>
        <v/>
      </c>
      <c r="AL169" s="460" t="str">
        <f t="shared" ca="1" si="37"/>
        <v/>
      </c>
      <c r="AM169" s="460" t="str">
        <f t="shared" ca="1" si="37"/>
        <v/>
      </c>
      <c r="AN169" s="461" t="str">
        <f t="shared" ca="1" si="37"/>
        <v/>
      </c>
      <c r="AO169" s="474" t="str">
        <f t="shared" ca="1" si="37"/>
        <v/>
      </c>
      <c r="AP169" s="475" t="str">
        <f t="shared" ca="1" si="37"/>
        <v/>
      </c>
      <c r="AQ169" s="479" t="str">
        <f t="array" aca="1" ref="AQ169" ca="1">IF(ROW()-5&lt;=COUNTIF(科目编号,$AR$2),SMALL(IF(科目编号=$AR$2,ROW(科目编号),""),ROW()-5),"")</f>
        <v/>
      </c>
      <c r="AR169" s="480" t="str">
        <f ca="1">IF($BG$2=0,"",IF(AR168="本月合计","本年累计",IF(OR(ROW()=$AU$3,ROW()=$AV$3,ROW()=$AW$3,ROW()=$AX$3,ROW()=$AY$3,ROW()=$AZ$3,ROW()=$BA$3,ROW()=$BB$3,ROW()=$BC$3,ROW()=$BD$3,ROW()=$BE$3,ROW()=$BF$3),"本月合计",IF(ROW()&lt;7,$AQ$6,OFFSET($AQ$6,COUNT($AR$6:AR168),0)))))</f>
        <v/>
      </c>
    </row>
    <row r="170" spans="1:44">
      <c r="A170" s="469" t="str">
        <f ca="1">IFERROR(INDEX(凭证录入!A:A,$AR170),"")</f>
        <v/>
      </c>
      <c r="B170" s="469" t="str">
        <f ca="1">IFERROR(INDEX(凭证录入!B:B,$AR170),"")</f>
        <v/>
      </c>
      <c r="C170" s="470" t="str">
        <f ca="1">IFERROR(INDEX(凭证录入!G:G,$AR170),"")</f>
        <v/>
      </c>
      <c r="D170" s="471" t="str">
        <f ca="1">IFERROR(INDEX(凭证录入!F:F,$AR170),"")</f>
        <v/>
      </c>
      <c r="E170" s="472" t="str">
        <f ca="1">IFERROR(INDEX(凭证录入!H:H,$AR170),$AR170)</f>
        <v/>
      </c>
      <c r="F170" s="473">
        <f ca="1">IF(OR($BG$2=0,$AR170=""),,IF($AR170="本月合计",IF(ROW()=$BG$3,SUM($F$6:$F169),SUM(INDIRECT("$F$"&amp;OFFSET($AU$3,,MATCH(ROW(),$AU$3:$BF$3,)-2)+2&amp;":$E"&amp;ROW()-1))),IF($AR170="本年累计",SUMIF($AR$6:$AR170,"本月合计",$F$6:$F169),INDEX(凭证录入!K:K,$AR170))))</f>
        <v>0</v>
      </c>
      <c r="G170" s="459" t="str">
        <f t="shared" ca="1" si="38"/>
        <v/>
      </c>
      <c r="H170" s="460" t="str">
        <f t="shared" ca="1" si="38"/>
        <v/>
      </c>
      <c r="I170" s="460" t="str">
        <f t="shared" ca="1" si="38"/>
        <v/>
      </c>
      <c r="J170" s="460" t="str">
        <f t="shared" ca="1" si="38"/>
        <v/>
      </c>
      <c r="K170" s="460" t="str">
        <f t="shared" ca="1" si="38"/>
        <v/>
      </c>
      <c r="L170" s="460" t="str">
        <f t="shared" ca="1" si="38"/>
        <v/>
      </c>
      <c r="M170" s="460" t="str">
        <f t="shared" ca="1" si="38"/>
        <v/>
      </c>
      <c r="N170" s="460" t="str">
        <f t="shared" ca="1" si="38"/>
        <v/>
      </c>
      <c r="O170" s="461" t="str">
        <f t="shared" ca="1" si="38"/>
        <v/>
      </c>
      <c r="P170" s="474" t="str">
        <f t="shared" ca="1" si="38"/>
        <v/>
      </c>
      <c r="Q170" s="475" t="str">
        <f t="shared" ca="1" si="38"/>
        <v/>
      </c>
      <c r="R170" s="476">
        <f ca="1">IF(OR($BG$2=0,$AR170=""),,IF($AR170="本月合计",IF(ROW()=$BG$3,SUM($R$6:$R169),SUM(INDIRECT("$R$"&amp;OFFSET($AU$3,,MATCH(ROW(),$AU$3:$BF$3,)-2)+2&amp;":$R"&amp;ROW()-1))),IF($AR170="本年累计",SUMIF($AR$6:$AR170,"本月合计",$R$6:$R169),INDEX(凭证录入!L:L,$AR170))))</f>
        <v>0</v>
      </c>
      <c r="S170" s="459" t="str">
        <f t="shared" ca="1" si="39"/>
        <v/>
      </c>
      <c r="T170" s="460" t="str">
        <f t="shared" ca="1" si="39"/>
        <v/>
      </c>
      <c r="U170" s="460" t="str">
        <f t="shared" ca="1" si="39"/>
        <v/>
      </c>
      <c r="V170" s="460" t="str">
        <f t="shared" ca="1" si="39"/>
        <v/>
      </c>
      <c r="W170" s="460" t="str">
        <f t="shared" ca="1" si="39"/>
        <v/>
      </c>
      <c r="X170" s="460" t="str">
        <f t="shared" ca="1" si="39"/>
        <v/>
      </c>
      <c r="Y170" s="460" t="str">
        <f t="shared" ca="1" si="39"/>
        <v/>
      </c>
      <c r="Z170" s="460" t="str">
        <f t="shared" ca="1" si="39"/>
        <v/>
      </c>
      <c r="AA170" s="461" t="str">
        <f t="shared" ca="1" si="39"/>
        <v/>
      </c>
      <c r="AB170" s="474" t="str">
        <f t="shared" ca="1" si="39"/>
        <v/>
      </c>
      <c r="AC170" s="475" t="str">
        <f t="shared" ca="1" si="39"/>
        <v/>
      </c>
      <c r="AD170" s="477" t="str">
        <f t="shared" ca="1" si="32"/>
        <v/>
      </c>
      <c r="AE170" s="478">
        <f t="shared" ca="1" si="33"/>
        <v>0</v>
      </c>
      <c r="AF170" s="459" t="str">
        <f t="shared" ca="1" si="37"/>
        <v/>
      </c>
      <c r="AG170" s="460" t="str">
        <f t="shared" ca="1" si="37"/>
        <v/>
      </c>
      <c r="AH170" s="460" t="str">
        <f t="shared" ca="1" si="37"/>
        <v/>
      </c>
      <c r="AI170" s="460" t="str">
        <f t="shared" ca="1" si="37"/>
        <v/>
      </c>
      <c r="AJ170" s="460" t="str">
        <f t="shared" ca="1" si="37"/>
        <v/>
      </c>
      <c r="AK170" s="460" t="str">
        <f t="shared" ca="1" si="37"/>
        <v/>
      </c>
      <c r="AL170" s="460" t="str">
        <f t="shared" ca="1" si="37"/>
        <v/>
      </c>
      <c r="AM170" s="460" t="str">
        <f t="shared" ca="1" si="37"/>
        <v/>
      </c>
      <c r="AN170" s="461" t="str">
        <f t="shared" ca="1" si="37"/>
        <v/>
      </c>
      <c r="AO170" s="474" t="str">
        <f t="shared" ca="1" si="37"/>
        <v/>
      </c>
      <c r="AP170" s="475" t="str">
        <f t="shared" ca="1" si="37"/>
        <v/>
      </c>
      <c r="AQ170" s="479" t="str">
        <f t="array" aca="1" ref="AQ170" ca="1">IF(ROW()-5&lt;=COUNTIF(科目编号,$AR$2),SMALL(IF(科目编号=$AR$2,ROW(科目编号),""),ROW()-5),"")</f>
        <v/>
      </c>
      <c r="AR170" s="480" t="str">
        <f ca="1">IF($BG$2=0,"",IF(AR169="本月合计","本年累计",IF(OR(ROW()=$AU$3,ROW()=$AV$3,ROW()=$AW$3,ROW()=$AX$3,ROW()=$AY$3,ROW()=$AZ$3,ROW()=$BA$3,ROW()=$BB$3,ROW()=$BC$3,ROW()=$BD$3,ROW()=$BE$3,ROW()=$BF$3),"本月合计",IF(ROW()&lt;7,$AQ$6,OFFSET($AQ$6,COUNT($AR$6:AR169),0)))))</f>
        <v/>
      </c>
    </row>
    <row r="171" spans="1:44">
      <c r="A171" s="469" t="str">
        <f ca="1">IFERROR(INDEX(凭证录入!A:A,$AR171),"")</f>
        <v/>
      </c>
      <c r="B171" s="469" t="str">
        <f ca="1">IFERROR(INDEX(凭证录入!B:B,$AR171),"")</f>
        <v/>
      </c>
      <c r="C171" s="470" t="str">
        <f ca="1">IFERROR(INDEX(凭证录入!G:G,$AR171),"")</f>
        <v/>
      </c>
      <c r="D171" s="471" t="str">
        <f ca="1">IFERROR(INDEX(凭证录入!F:F,$AR171),"")</f>
        <v/>
      </c>
      <c r="E171" s="472" t="str">
        <f ca="1">IFERROR(INDEX(凭证录入!H:H,$AR171),$AR171)</f>
        <v/>
      </c>
      <c r="F171" s="473">
        <f ca="1">IF(OR($BG$2=0,$AR171=""),,IF($AR171="本月合计",IF(ROW()=$BG$3,SUM($F$6:$F170),SUM(INDIRECT("$F$"&amp;OFFSET($AU$3,,MATCH(ROW(),$AU$3:$BF$3,)-2)+2&amp;":$E"&amp;ROW()-1))),IF($AR171="本年累计",SUMIF($AR$6:$AR171,"本月合计",$F$6:$F170),INDEX(凭证录入!K:K,$AR171))))</f>
        <v>0</v>
      </c>
      <c r="G171" s="459" t="str">
        <f t="shared" ca="1" si="38"/>
        <v/>
      </c>
      <c r="H171" s="460" t="str">
        <f t="shared" ca="1" si="38"/>
        <v/>
      </c>
      <c r="I171" s="460" t="str">
        <f t="shared" ca="1" si="38"/>
        <v/>
      </c>
      <c r="J171" s="460" t="str">
        <f t="shared" ca="1" si="38"/>
        <v/>
      </c>
      <c r="K171" s="460" t="str">
        <f t="shared" ca="1" si="38"/>
        <v/>
      </c>
      <c r="L171" s="460" t="str">
        <f t="shared" ca="1" si="38"/>
        <v/>
      </c>
      <c r="M171" s="460" t="str">
        <f t="shared" ca="1" si="38"/>
        <v/>
      </c>
      <c r="N171" s="460" t="str">
        <f t="shared" ca="1" si="38"/>
        <v/>
      </c>
      <c r="O171" s="461" t="str">
        <f t="shared" ca="1" si="38"/>
        <v/>
      </c>
      <c r="P171" s="474" t="str">
        <f t="shared" ca="1" si="38"/>
        <v/>
      </c>
      <c r="Q171" s="475" t="str">
        <f t="shared" ca="1" si="38"/>
        <v/>
      </c>
      <c r="R171" s="476">
        <f ca="1">IF(OR($BG$2=0,$AR171=""),,IF($AR171="本月合计",IF(ROW()=$BG$3,SUM($R$6:$R170),SUM(INDIRECT("$R$"&amp;OFFSET($AU$3,,MATCH(ROW(),$AU$3:$BF$3,)-2)+2&amp;":$R"&amp;ROW()-1))),IF($AR171="本年累计",SUMIF($AR$6:$AR171,"本月合计",$R$6:$R170),INDEX(凭证录入!L:L,$AR171))))</f>
        <v>0</v>
      </c>
      <c r="S171" s="459" t="str">
        <f t="shared" ca="1" si="39"/>
        <v/>
      </c>
      <c r="T171" s="460" t="str">
        <f t="shared" ca="1" si="39"/>
        <v/>
      </c>
      <c r="U171" s="460" t="str">
        <f t="shared" ca="1" si="39"/>
        <v/>
      </c>
      <c r="V171" s="460" t="str">
        <f t="shared" ca="1" si="39"/>
        <v/>
      </c>
      <c r="W171" s="460" t="str">
        <f t="shared" ca="1" si="39"/>
        <v/>
      </c>
      <c r="X171" s="460" t="str">
        <f t="shared" ca="1" si="39"/>
        <v/>
      </c>
      <c r="Y171" s="460" t="str">
        <f t="shared" ca="1" si="39"/>
        <v/>
      </c>
      <c r="Z171" s="460" t="str">
        <f t="shared" ca="1" si="39"/>
        <v/>
      </c>
      <c r="AA171" s="461" t="str">
        <f t="shared" ca="1" si="39"/>
        <v/>
      </c>
      <c r="AB171" s="474" t="str">
        <f t="shared" ca="1" si="39"/>
        <v/>
      </c>
      <c r="AC171" s="475" t="str">
        <f t="shared" ca="1" si="39"/>
        <v/>
      </c>
      <c r="AD171" s="477" t="str">
        <f t="shared" ca="1" si="32"/>
        <v/>
      </c>
      <c r="AE171" s="478">
        <f t="shared" ca="1" si="33"/>
        <v>0</v>
      </c>
      <c r="AF171" s="459" t="str">
        <f t="shared" ca="1" si="37"/>
        <v/>
      </c>
      <c r="AG171" s="460" t="str">
        <f t="shared" ca="1" si="37"/>
        <v/>
      </c>
      <c r="AH171" s="460" t="str">
        <f t="shared" ca="1" si="37"/>
        <v/>
      </c>
      <c r="AI171" s="460" t="str">
        <f t="shared" ca="1" si="37"/>
        <v/>
      </c>
      <c r="AJ171" s="460" t="str">
        <f t="shared" ca="1" si="37"/>
        <v/>
      </c>
      <c r="AK171" s="460" t="str">
        <f t="shared" ca="1" si="37"/>
        <v/>
      </c>
      <c r="AL171" s="460" t="str">
        <f t="shared" ca="1" si="37"/>
        <v/>
      </c>
      <c r="AM171" s="460" t="str">
        <f t="shared" ca="1" si="37"/>
        <v/>
      </c>
      <c r="AN171" s="461" t="str">
        <f t="shared" ca="1" si="37"/>
        <v/>
      </c>
      <c r="AO171" s="474" t="str">
        <f t="shared" ca="1" si="37"/>
        <v/>
      </c>
      <c r="AP171" s="475" t="str">
        <f t="shared" ca="1" si="37"/>
        <v/>
      </c>
      <c r="AQ171" s="479" t="str">
        <f t="array" aca="1" ref="AQ171" ca="1">IF(ROW()-5&lt;=COUNTIF(科目编号,$AR$2),SMALL(IF(科目编号=$AR$2,ROW(科目编号),""),ROW()-5),"")</f>
        <v/>
      </c>
      <c r="AR171" s="480" t="str">
        <f ca="1">IF($BG$2=0,"",IF(AR170="本月合计","本年累计",IF(OR(ROW()=$AU$3,ROW()=$AV$3,ROW()=$AW$3,ROW()=$AX$3,ROW()=$AY$3,ROW()=$AZ$3,ROW()=$BA$3,ROW()=$BB$3,ROW()=$BC$3,ROW()=$BD$3,ROW()=$BE$3,ROW()=$BF$3),"本月合计",IF(ROW()&lt;7,$AQ$6,OFFSET($AQ$6,COUNT($AR$6:AR170),0)))))</f>
        <v/>
      </c>
    </row>
    <row r="172" spans="1:44">
      <c r="A172" s="469" t="str">
        <f ca="1">IFERROR(INDEX(凭证录入!A:A,$AR172),"")</f>
        <v/>
      </c>
      <c r="B172" s="469" t="str">
        <f ca="1">IFERROR(INDEX(凭证录入!B:B,$AR172),"")</f>
        <v/>
      </c>
      <c r="C172" s="470" t="str">
        <f ca="1">IFERROR(INDEX(凭证录入!G:G,$AR172),"")</f>
        <v/>
      </c>
      <c r="D172" s="471" t="str">
        <f ca="1">IFERROR(INDEX(凭证录入!F:F,$AR172),"")</f>
        <v/>
      </c>
      <c r="E172" s="472" t="str">
        <f ca="1">IFERROR(INDEX(凭证录入!H:H,$AR172),$AR172)</f>
        <v/>
      </c>
      <c r="F172" s="473">
        <f ca="1">IF(OR($BG$2=0,$AR172=""),,IF($AR172="本月合计",IF(ROW()=$BG$3,SUM($F$6:$F171),SUM(INDIRECT("$F$"&amp;OFFSET($AU$3,,MATCH(ROW(),$AU$3:$BF$3,)-2)+2&amp;":$E"&amp;ROW()-1))),IF($AR172="本年累计",SUMIF($AR$6:$AR172,"本月合计",$F$6:$F171),INDEX(凭证录入!K:K,$AR172))))</f>
        <v>0</v>
      </c>
      <c r="G172" s="459" t="str">
        <f t="shared" ca="1" si="38"/>
        <v/>
      </c>
      <c r="H172" s="460" t="str">
        <f t="shared" ca="1" si="38"/>
        <v/>
      </c>
      <c r="I172" s="460" t="str">
        <f t="shared" ca="1" si="38"/>
        <v/>
      </c>
      <c r="J172" s="460" t="str">
        <f t="shared" ca="1" si="38"/>
        <v/>
      </c>
      <c r="K172" s="460" t="str">
        <f t="shared" ca="1" si="38"/>
        <v/>
      </c>
      <c r="L172" s="460" t="str">
        <f t="shared" ca="1" si="38"/>
        <v/>
      </c>
      <c r="M172" s="460" t="str">
        <f t="shared" ca="1" si="38"/>
        <v/>
      </c>
      <c r="N172" s="460" t="str">
        <f t="shared" ca="1" si="38"/>
        <v/>
      </c>
      <c r="O172" s="461" t="str">
        <f t="shared" ca="1" si="38"/>
        <v/>
      </c>
      <c r="P172" s="474" t="str">
        <f t="shared" ca="1" si="38"/>
        <v/>
      </c>
      <c r="Q172" s="475" t="str">
        <f t="shared" ca="1" si="38"/>
        <v/>
      </c>
      <c r="R172" s="476">
        <f ca="1">IF(OR($BG$2=0,$AR172=""),,IF($AR172="本月合计",IF(ROW()=$BG$3,SUM($R$6:$R171),SUM(INDIRECT("$R$"&amp;OFFSET($AU$3,,MATCH(ROW(),$AU$3:$BF$3,)-2)+2&amp;":$R"&amp;ROW()-1))),IF($AR172="本年累计",SUMIF($AR$6:$AR172,"本月合计",$R$6:$R171),INDEX(凭证录入!L:L,$AR172))))</f>
        <v>0</v>
      </c>
      <c r="S172" s="459" t="str">
        <f t="shared" ca="1" si="39"/>
        <v/>
      </c>
      <c r="T172" s="460" t="str">
        <f t="shared" ca="1" si="39"/>
        <v/>
      </c>
      <c r="U172" s="460" t="str">
        <f t="shared" ca="1" si="39"/>
        <v/>
      </c>
      <c r="V172" s="460" t="str">
        <f t="shared" ca="1" si="39"/>
        <v/>
      </c>
      <c r="W172" s="460" t="str">
        <f t="shared" ca="1" si="39"/>
        <v/>
      </c>
      <c r="X172" s="460" t="str">
        <f t="shared" ca="1" si="39"/>
        <v/>
      </c>
      <c r="Y172" s="460" t="str">
        <f t="shared" ca="1" si="39"/>
        <v/>
      </c>
      <c r="Z172" s="460" t="str">
        <f t="shared" ca="1" si="39"/>
        <v/>
      </c>
      <c r="AA172" s="461" t="str">
        <f t="shared" ca="1" si="39"/>
        <v/>
      </c>
      <c r="AB172" s="474" t="str">
        <f t="shared" ca="1" si="39"/>
        <v/>
      </c>
      <c r="AC172" s="475" t="str">
        <f t="shared" ca="1" si="39"/>
        <v/>
      </c>
      <c r="AD172" s="477" t="str">
        <f t="shared" ca="1" si="32"/>
        <v/>
      </c>
      <c r="AE172" s="478">
        <f t="shared" ca="1" si="33"/>
        <v>0</v>
      </c>
      <c r="AF172" s="459" t="str">
        <f t="shared" ca="1" si="37"/>
        <v/>
      </c>
      <c r="AG172" s="460" t="str">
        <f t="shared" ca="1" si="37"/>
        <v/>
      </c>
      <c r="AH172" s="460" t="str">
        <f t="shared" ca="1" si="37"/>
        <v/>
      </c>
      <c r="AI172" s="460" t="str">
        <f t="shared" ca="1" si="37"/>
        <v/>
      </c>
      <c r="AJ172" s="460" t="str">
        <f t="shared" ca="1" si="37"/>
        <v/>
      </c>
      <c r="AK172" s="460" t="str">
        <f t="shared" ca="1" si="37"/>
        <v/>
      </c>
      <c r="AL172" s="460" t="str">
        <f t="shared" ca="1" si="37"/>
        <v/>
      </c>
      <c r="AM172" s="460" t="str">
        <f t="shared" ca="1" si="37"/>
        <v/>
      </c>
      <c r="AN172" s="461" t="str">
        <f t="shared" ca="1" si="37"/>
        <v/>
      </c>
      <c r="AO172" s="474" t="str">
        <f t="shared" ca="1" si="37"/>
        <v/>
      </c>
      <c r="AP172" s="475" t="str">
        <f t="shared" ca="1" si="37"/>
        <v/>
      </c>
      <c r="AQ172" s="479" t="str">
        <f t="array" aca="1" ref="AQ172" ca="1">IF(ROW()-5&lt;=COUNTIF(科目编号,$AR$2),SMALL(IF(科目编号=$AR$2,ROW(科目编号),""),ROW()-5),"")</f>
        <v/>
      </c>
      <c r="AR172" s="480" t="str">
        <f ca="1">IF($BG$2=0,"",IF(AR171="本月合计","本年累计",IF(OR(ROW()=$AU$3,ROW()=$AV$3,ROW()=$AW$3,ROW()=$AX$3,ROW()=$AY$3,ROW()=$AZ$3,ROW()=$BA$3,ROW()=$BB$3,ROW()=$BC$3,ROW()=$BD$3,ROW()=$BE$3,ROW()=$BF$3),"本月合计",IF(ROW()&lt;7,$AQ$6,OFFSET($AQ$6,COUNT($AR$6:AR171),0)))))</f>
        <v/>
      </c>
    </row>
    <row r="173" spans="1:44">
      <c r="A173" s="469" t="str">
        <f ca="1">IFERROR(INDEX(凭证录入!A:A,$AR173),"")</f>
        <v/>
      </c>
      <c r="B173" s="469" t="str">
        <f ca="1">IFERROR(INDEX(凭证录入!B:B,$AR173),"")</f>
        <v/>
      </c>
      <c r="C173" s="470" t="str">
        <f ca="1">IFERROR(INDEX(凭证录入!G:G,$AR173),"")</f>
        <v/>
      </c>
      <c r="D173" s="471" t="str">
        <f ca="1">IFERROR(INDEX(凭证录入!F:F,$AR173),"")</f>
        <v/>
      </c>
      <c r="E173" s="472" t="str">
        <f ca="1">IFERROR(INDEX(凭证录入!H:H,$AR173),$AR173)</f>
        <v/>
      </c>
      <c r="F173" s="473">
        <f ca="1">IF(OR($BG$2=0,$AR173=""),,IF($AR173="本月合计",IF(ROW()=$BG$3,SUM($F$6:$F172),SUM(INDIRECT("$F$"&amp;OFFSET($AU$3,,MATCH(ROW(),$AU$3:$BF$3,)-2)+2&amp;":$E"&amp;ROW()-1))),IF($AR173="本年累计",SUMIF($AR$6:$AR173,"本月合计",$F$6:$F172),INDEX(凭证录入!K:K,$AR173))))</f>
        <v>0</v>
      </c>
      <c r="G173" s="459" t="str">
        <f t="shared" ca="1" si="38"/>
        <v/>
      </c>
      <c r="H173" s="460" t="str">
        <f t="shared" ca="1" si="38"/>
        <v/>
      </c>
      <c r="I173" s="460" t="str">
        <f t="shared" ca="1" si="38"/>
        <v/>
      </c>
      <c r="J173" s="460" t="str">
        <f t="shared" ca="1" si="38"/>
        <v/>
      </c>
      <c r="K173" s="460" t="str">
        <f t="shared" ca="1" si="38"/>
        <v/>
      </c>
      <c r="L173" s="460" t="str">
        <f t="shared" ca="1" si="38"/>
        <v/>
      </c>
      <c r="M173" s="460" t="str">
        <f t="shared" ca="1" si="38"/>
        <v/>
      </c>
      <c r="N173" s="460" t="str">
        <f t="shared" ca="1" si="38"/>
        <v/>
      </c>
      <c r="O173" s="461" t="str">
        <f t="shared" ca="1" si="38"/>
        <v/>
      </c>
      <c r="P173" s="474" t="str">
        <f t="shared" ca="1" si="38"/>
        <v/>
      </c>
      <c r="Q173" s="475" t="str">
        <f t="shared" ca="1" si="38"/>
        <v/>
      </c>
      <c r="R173" s="476">
        <f ca="1">IF(OR($BG$2=0,$AR173=""),,IF($AR173="本月合计",IF(ROW()=$BG$3,SUM($R$6:$R172),SUM(INDIRECT("$R$"&amp;OFFSET($AU$3,,MATCH(ROW(),$AU$3:$BF$3,)-2)+2&amp;":$R"&amp;ROW()-1))),IF($AR173="本年累计",SUMIF($AR$6:$AR173,"本月合计",$R$6:$R172),INDEX(凭证录入!L:L,$AR173))))</f>
        <v>0</v>
      </c>
      <c r="S173" s="459" t="str">
        <f t="shared" ca="1" si="39"/>
        <v/>
      </c>
      <c r="T173" s="460" t="str">
        <f t="shared" ca="1" si="39"/>
        <v/>
      </c>
      <c r="U173" s="460" t="str">
        <f t="shared" ca="1" si="39"/>
        <v/>
      </c>
      <c r="V173" s="460" t="str">
        <f t="shared" ca="1" si="39"/>
        <v/>
      </c>
      <c r="W173" s="460" t="str">
        <f t="shared" ca="1" si="39"/>
        <v/>
      </c>
      <c r="X173" s="460" t="str">
        <f t="shared" ca="1" si="39"/>
        <v/>
      </c>
      <c r="Y173" s="460" t="str">
        <f t="shared" ca="1" si="39"/>
        <v/>
      </c>
      <c r="Z173" s="460" t="str">
        <f t="shared" ca="1" si="39"/>
        <v/>
      </c>
      <c r="AA173" s="461" t="str">
        <f t="shared" ca="1" si="39"/>
        <v/>
      </c>
      <c r="AB173" s="474" t="str">
        <f t="shared" ca="1" si="39"/>
        <v/>
      </c>
      <c r="AC173" s="475" t="str">
        <f t="shared" ca="1" si="39"/>
        <v/>
      </c>
      <c r="AD173" s="477" t="str">
        <f t="shared" ca="1" si="32"/>
        <v/>
      </c>
      <c r="AE173" s="478">
        <f t="shared" ca="1" si="33"/>
        <v>0</v>
      </c>
      <c r="AF173" s="459" t="str">
        <f t="shared" ca="1" si="37"/>
        <v/>
      </c>
      <c r="AG173" s="460" t="str">
        <f t="shared" ca="1" si="37"/>
        <v/>
      </c>
      <c r="AH173" s="460" t="str">
        <f t="shared" ca="1" si="37"/>
        <v/>
      </c>
      <c r="AI173" s="460" t="str">
        <f t="shared" ca="1" si="37"/>
        <v/>
      </c>
      <c r="AJ173" s="460" t="str">
        <f t="shared" ca="1" si="37"/>
        <v/>
      </c>
      <c r="AK173" s="460" t="str">
        <f t="shared" ca="1" si="37"/>
        <v/>
      </c>
      <c r="AL173" s="460" t="str">
        <f t="shared" ca="1" si="37"/>
        <v/>
      </c>
      <c r="AM173" s="460" t="str">
        <f t="shared" ca="1" si="37"/>
        <v/>
      </c>
      <c r="AN173" s="461" t="str">
        <f t="shared" ca="1" si="37"/>
        <v/>
      </c>
      <c r="AO173" s="474" t="str">
        <f t="shared" ca="1" si="37"/>
        <v/>
      </c>
      <c r="AP173" s="475" t="str">
        <f t="shared" ca="1" si="37"/>
        <v/>
      </c>
      <c r="AQ173" s="479" t="str">
        <f t="array" aca="1" ref="AQ173" ca="1">IF(ROW()-5&lt;=COUNTIF(科目编号,$AR$2),SMALL(IF(科目编号=$AR$2,ROW(科目编号),""),ROW()-5),"")</f>
        <v/>
      </c>
      <c r="AR173" s="480" t="str">
        <f ca="1">IF($BG$2=0,"",IF(AR172="本月合计","本年累计",IF(OR(ROW()=$AU$3,ROW()=$AV$3,ROW()=$AW$3,ROW()=$AX$3,ROW()=$AY$3,ROW()=$AZ$3,ROW()=$BA$3,ROW()=$BB$3,ROW()=$BC$3,ROW()=$BD$3,ROW()=$BE$3,ROW()=$BF$3),"本月合计",IF(ROW()&lt;7,$AQ$6,OFFSET($AQ$6,COUNT($AR$6:AR172),0)))))</f>
        <v/>
      </c>
    </row>
    <row r="174" spans="1:44">
      <c r="A174" s="469" t="str">
        <f ca="1">IFERROR(INDEX(凭证录入!A:A,$AR174),"")</f>
        <v/>
      </c>
      <c r="B174" s="469" t="str">
        <f ca="1">IFERROR(INDEX(凭证录入!B:B,$AR174),"")</f>
        <v/>
      </c>
      <c r="C174" s="470" t="str">
        <f ca="1">IFERROR(INDEX(凭证录入!G:G,$AR174),"")</f>
        <v/>
      </c>
      <c r="D174" s="471" t="str">
        <f ca="1">IFERROR(INDEX(凭证录入!F:F,$AR174),"")</f>
        <v/>
      </c>
      <c r="E174" s="472" t="str">
        <f ca="1">IFERROR(INDEX(凭证录入!H:H,$AR174),$AR174)</f>
        <v/>
      </c>
      <c r="F174" s="473">
        <f ca="1">IF(OR($BG$2=0,$AR174=""),,IF($AR174="本月合计",IF(ROW()=$BG$3,SUM($F$6:$F173),SUM(INDIRECT("$F$"&amp;OFFSET($AU$3,,MATCH(ROW(),$AU$3:$BF$3,)-2)+2&amp;":$E"&amp;ROW()-1))),IF($AR174="本年累计",SUMIF($AR$6:$AR174,"本月合计",$F$6:$F173),INDEX(凭证录入!K:K,$AR174))))</f>
        <v>0</v>
      </c>
      <c r="G174" s="459" t="str">
        <f t="shared" ca="1" si="38"/>
        <v/>
      </c>
      <c r="H174" s="460" t="str">
        <f t="shared" ca="1" si="38"/>
        <v/>
      </c>
      <c r="I174" s="460" t="str">
        <f t="shared" ca="1" si="38"/>
        <v/>
      </c>
      <c r="J174" s="460" t="str">
        <f t="shared" ca="1" si="38"/>
        <v/>
      </c>
      <c r="K174" s="460" t="str">
        <f t="shared" ca="1" si="38"/>
        <v/>
      </c>
      <c r="L174" s="460" t="str">
        <f t="shared" ca="1" si="38"/>
        <v/>
      </c>
      <c r="M174" s="460" t="str">
        <f t="shared" ca="1" si="38"/>
        <v/>
      </c>
      <c r="N174" s="460" t="str">
        <f t="shared" ca="1" si="38"/>
        <v/>
      </c>
      <c r="O174" s="461" t="str">
        <f t="shared" ca="1" si="38"/>
        <v/>
      </c>
      <c r="P174" s="474" t="str">
        <f t="shared" ca="1" si="38"/>
        <v/>
      </c>
      <c r="Q174" s="475" t="str">
        <f t="shared" ca="1" si="38"/>
        <v/>
      </c>
      <c r="R174" s="476">
        <f ca="1">IF(OR($BG$2=0,$AR174=""),,IF($AR174="本月合计",IF(ROW()=$BG$3,SUM($R$6:$R173),SUM(INDIRECT("$R$"&amp;OFFSET($AU$3,,MATCH(ROW(),$AU$3:$BF$3,)-2)+2&amp;":$R"&amp;ROW()-1))),IF($AR174="本年累计",SUMIF($AR$6:$AR174,"本月合计",$R$6:$R173),INDEX(凭证录入!L:L,$AR174))))</f>
        <v>0</v>
      </c>
      <c r="S174" s="459" t="str">
        <f t="shared" ca="1" si="39"/>
        <v/>
      </c>
      <c r="T174" s="460" t="str">
        <f t="shared" ca="1" si="39"/>
        <v/>
      </c>
      <c r="U174" s="460" t="str">
        <f t="shared" ca="1" si="39"/>
        <v/>
      </c>
      <c r="V174" s="460" t="str">
        <f t="shared" ca="1" si="39"/>
        <v/>
      </c>
      <c r="W174" s="460" t="str">
        <f t="shared" ca="1" si="39"/>
        <v/>
      </c>
      <c r="X174" s="460" t="str">
        <f t="shared" ca="1" si="39"/>
        <v/>
      </c>
      <c r="Y174" s="460" t="str">
        <f t="shared" ca="1" si="39"/>
        <v/>
      </c>
      <c r="Z174" s="460" t="str">
        <f t="shared" ca="1" si="39"/>
        <v/>
      </c>
      <c r="AA174" s="461" t="str">
        <f t="shared" ca="1" si="39"/>
        <v/>
      </c>
      <c r="AB174" s="474" t="str">
        <f t="shared" ca="1" si="39"/>
        <v/>
      </c>
      <c r="AC174" s="475" t="str">
        <f t="shared" ca="1" si="39"/>
        <v/>
      </c>
      <c r="AD174" s="477" t="str">
        <f t="shared" ca="1" si="32"/>
        <v/>
      </c>
      <c r="AE174" s="478">
        <f t="shared" ca="1" si="33"/>
        <v>0</v>
      </c>
      <c r="AF174" s="459" t="str">
        <f t="shared" ca="1" si="37"/>
        <v/>
      </c>
      <c r="AG174" s="460" t="str">
        <f t="shared" ca="1" si="37"/>
        <v/>
      </c>
      <c r="AH174" s="460" t="str">
        <f t="shared" ca="1" si="37"/>
        <v/>
      </c>
      <c r="AI174" s="460" t="str">
        <f t="shared" ca="1" si="37"/>
        <v/>
      </c>
      <c r="AJ174" s="460" t="str">
        <f t="shared" ca="1" si="37"/>
        <v/>
      </c>
      <c r="AK174" s="460" t="str">
        <f t="shared" ca="1" si="37"/>
        <v/>
      </c>
      <c r="AL174" s="460" t="str">
        <f t="shared" ca="1" si="37"/>
        <v/>
      </c>
      <c r="AM174" s="460" t="str">
        <f t="shared" ca="1" si="37"/>
        <v/>
      </c>
      <c r="AN174" s="461" t="str">
        <f t="shared" ca="1" si="37"/>
        <v/>
      </c>
      <c r="AO174" s="474" t="str">
        <f t="shared" ca="1" si="37"/>
        <v/>
      </c>
      <c r="AP174" s="475" t="str">
        <f t="shared" ca="1" si="37"/>
        <v/>
      </c>
      <c r="AQ174" s="479" t="str">
        <f t="array" aca="1" ref="AQ174" ca="1">IF(ROW()-5&lt;=COUNTIF(科目编号,$AR$2),SMALL(IF(科目编号=$AR$2,ROW(科目编号),""),ROW()-5),"")</f>
        <v/>
      </c>
      <c r="AR174" s="480" t="str">
        <f ca="1">IF($BG$2=0,"",IF(AR173="本月合计","本年累计",IF(OR(ROW()=$AU$3,ROW()=$AV$3,ROW()=$AW$3,ROW()=$AX$3,ROW()=$AY$3,ROW()=$AZ$3,ROW()=$BA$3,ROW()=$BB$3,ROW()=$BC$3,ROW()=$BD$3,ROW()=$BE$3,ROW()=$BF$3),"本月合计",IF(ROW()&lt;7,$AQ$6,OFFSET($AQ$6,COUNT($AR$6:AR173),0)))))</f>
        <v/>
      </c>
    </row>
    <row r="175" spans="1:44">
      <c r="A175" s="469" t="str">
        <f ca="1">IFERROR(INDEX(凭证录入!A:A,$AR175),"")</f>
        <v/>
      </c>
      <c r="B175" s="469" t="str">
        <f ca="1">IFERROR(INDEX(凭证录入!B:B,$AR175),"")</f>
        <v/>
      </c>
      <c r="C175" s="470" t="str">
        <f ca="1">IFERROR(INDEX(凭证录入!G:G,$AR175),"")</f>
        <v/>
      </c>
      <c r="D175" s="471" t="str">
        <f ca="1">IFERROR(INDEX(凭证录入!F:F,$AR175),"")</f>
        <v/>
      </c>
      <c r="E175" s="472" t="str">
        <f ca="1">IFERROR(INDEX(凭证录入!H:H,$AR175),$AR175)</f>
        <v/>
      </c>
      <c r="F175" s="473">
        <f ca="1">IF(OR($BG$2=0,$AR175=""),,IF($AR175="本月合计",IF(ROW()=$BG$3,SUM($F$6:$F174),SUM(INDIRECT("$F$"&amp;OFFSET($AU$3,,MATCH(ROW(),$AU$3:$BF$3,)-2)+2&amp;":$E"&amp;ROW()-1))),IF($AR175="本年累计",SUMIF($AR$6:$AR175,"本月合计",$F$6:$F174),INDEX(凭证录入!K:K,$AR175))))</f>
        <v>0</v>
      </c>
      <c r="G175" s="459" t="str">
        <f t="shared" ca="1" si="38"/>
        <v/>
      </c>
      <c r="H175" s="460" t="str">
        <f t="shared" ca="1" si="38"/>
        <v/>
      </c>
      <c r="I175" s="460" t="str">
        <f t="shared" ca="1" si="38"/>
        <v/>
      </c>
      <c r="J175" s="460" t="str">
        <f t="shared" ca="1" si="38"/>
        <v/>
      </c>
      <c r="K175" s="460" t="str">
        <f t="shared" ca="1" si="38"/>
        <v/>
      </c>
      <c r="L175" s="460" t="str">
        <f t="shared" ca="1" si="38"/>
        <v/>
      </c>
      <c r="M175" s="460" t="str">
        <f t="shared" ca="1" si="38"/>
        <v/>
      </c>
      <c r="N175" s="460" t="str">
        <f t="shared" ca="1" si="38"/>
        <v/>
      </c>
      <c r="O175" s="461" t="str">
        <f t="shared" ca="1" si="38"/>
        <v/>
      </c>
      <c r="P175" s="474" t="str">
        <f t="shared" ca="1" si="38"/>
        <v/>
      </c>
      <c r="Q175" s="475" t="str">
        <f t="shared" ca="1" si="38"/>
        <v/>
      </c>
      <c r="R175" s="476">
        <f ca="1">IF(OR($BG$2=0,$AR175=""),,IF($AR175="本月合计",IF(ROW()=$BG$3,SUM($R$6:$R174),SUM(INDIRECT("$R$"&amp;OFFSET($AU$3,,MATCH(ROW(),$AU$3:$BF$3,)-2)+2&amp;":$R"&amp;ROW()-1))),IF($AR175="本年累计",SUMIF($AR$6:$AR175,"本月合计",$R$6:$R174),INDEX(凭证录入!L:L,$AR175))))</f>
        <v>0</v>
      </c>
      <c r="S175" s="459" t="str">
        <f t="shared" ca="1" si="39"/>
        <v/>
      </c>
      <c r="T175" s="460" t="str">
        <f t="shared" ca="1" si="39"/>
        <v/>
      </c>
      <c r="U175" s="460" t="str">
        <f t="shared" ca="1" si="39"/>
        <v/>
      </c>
      <c r="V175" s="460" t="str">
        <f t="shared" ca="1" si="39"/>
        <v/>
      </c>
      <c r="W175" s="460" t="str">
        <f t="shared" ca="1" si="39"/>
        <v/>
      </c>
      <c r="X175" s="460" t="str">
        <f t="shared" ca="1" si="39"/>
        <v/>
      </c>
      <c r="Y175" s="460" t="str">
        <f t="shared" ca="1" si="39"/>
        <v/>
      </c>
      <c r="Z175" s="460" t="str">
        <f t="shared" ca="1" si="39"/>
        <v/>
      </c>
      <c r="AA175" s="461" t="str">
        <f t="shared" ca="1" si="39"/>
        <v/>
      </c>
      <c r="AB175" s="474" t="str">
        <f t="shared" ca="1" si="39"/>
        <v/>
      </c>
      <c r="AC175" s="475" t="str">
        <f t="shared" ca="1" si="39"/>
        <v/>
      </c>
      <c r="AD175" s="477" t="str">
        <f t="shared" ca="1" si="32"/>
        <v/>
      </c>
      <c r="AE175" s="478">
        <f t="shared" ca="1" si="33"/>
        <v>0</v>
      </c>
      <c r="AF175" s="459" t="str">
        <f t="shared" ca="1" si="37"/>
        <v/>
      </c>
      <c r="AG175" s="460" t="str">
        <f t="shared" ca="1" si="37"/>
        <v/>
      </c>
      <c r="AH175" s="460" t="str">
        <f t="shared" ca="1" si="37"/>
        <v/>
      </c>
      <c r="AI175" s="460" t="str">
        <f t="shared" ca="1" si="37"/>
        <v/>
      </c>
      <c r="AJ175" s="460" t="str">
        <f t="shared" ca="1" si="37"/>
        <v/>
      </c>
      <c r="AK175" s="460" t="str">
        <f t="shared" ca="1" si="37"/>
        <v/>
      </c>
      <c r="AL175" s="460" t="str">
        <f t="shared" ca="1" si="37"/>
        <v/>
      </c>
      <c r="AM175" s="460" t="str">
        <f t="shared" ca="1" si="37"/>
        <v/>
      </c>
      <c r="AN175" s="461" t="str">
        <f t="shared" ca="1" si="37"/>
        <v/>
      </c>
      <c r="AO175" s="474" t="str">
        <f t="shared" ca="1" si="37"/>
        <v/>
      </c>
      <c r="AP175" s="475" t="str">
        <f t="shared" ca="1" si="37"/>
        <v/>
      </c>
      <c r="AQ175" s="479" t="str">
        <f t="array" aca="1" ref="AQ175" ca="1">IF(ROW()-5&lt;=COUNTIF(科目编号,$AR$2),SMALL(IF(科目编号=$AR$2,ROW(科目编号),""),ROW()-5),"")</f>
        <v/>
      </c>
      <c r="AR175" s="480" t="str">
        <f ca="1">IF($BG$2=0,"",IF(AR174="本月合计","本年累计",IF(OR(ROW()=$AU$3,ROW()=$AV$3,ROW()=$AW$3,ROW()=$AX$3,ROW()=$AY$3,ROW()=$AZ$3,ROW()=$BA$3,ROW()=$BB$3,ROW()=$BC$3,ROW()=$BD$3,ROW()=$BE$3,ROW()=$BF$3),"本月合计",IF(ROW()&lt;7,$AQ$6,OFFSET($AQ$6,COUNT($AR$6:AR174),0)))))</f>
        <v/>
      </c>
    </row>
    <row r="176" spans="1:44">
      <c r="A176" s="469" t="str">
        <f ca="1">IFERROR(INDEX(凭证录入!A:A,$AR176),"")</f>
        <v/>
      </c>
      <c r="B176" s="469" t="str">
        <f ca="1">IFERROR(INDEX(凭证录入!B:B,$AR176),"")</f>
        <v/>
      </c>
      <c r="C176" s="470" t="str">
        <f ca="1">IFERROR(INDEX(凭证录入!G:G,$AR176),"")</f>
        <v/>
      </c>
      <c r="D176" s="471" t="str">
        <f ca="1">IFERROR(INDEX(凭证录入!F:F,$AR176),"")</f>
        <v/>
      </c>
      <c r="E176" s="472" t="str">
        <f ca="1">IFERROR(INDEX(凭证录入!H:H,$AR176),$AR176)</f>
        <v/>
      </c>
      <c r="F176" s="473">
        <f ca="1">IF(OR($BG$2=0,$AR176=""),,IF($AR176="本月合计",IF(ROW()=$BG$3,SUM($F$6:$F175),SUM(INDIRECT("$F$"&amp;OFFSET($AU$3,,MATCH(ROW(),$AU$3:$BF$3,)-2)+2&amp;":$E"&amp;ROW()-1))),IF($AR176="本年累计",SUMIF($AR$6:$AR176,"本月合计",$F$6:$F175),INDEX(凭证录入!K:K,$AR176))))</f>
        <v>0</v>
      </c>
      <c r="G176" s="459" t="str">
        <f t="shared" ca="1" si="38"/>
        <v/>
      </c>
      <c r="H176" s="460" t="str">
        <f t="shared" ca="1" si="38"/>
        <v/>
      </c>
      <c r="I176" s="460" t="str">
        <f t="shared" ca="1" si="38"/>
        <v/>
      </c>
      <c r="J176" s="460" t="str">
        <f t="shared" ca="1" si="38"/>
        <v/>
      </c>
      <c r="K176" s="460" t="str">
        <f t="shared" ca="1" si="38"/>
        <v/>
      </c>
      <c r="L176" s="460" t="str">
        <f t="shared" ca="1" si="38"/>
        <v/>
      </c>
      <c r="M176" s="460" t="str">
        <f t="shared" ca="1" si="38"/>
        <v/>
      </c>
      <c r="N176" s="460" t="str">
        <f t="shared" ca="1" si="38"/>
        <v/>
      </c>
      <c r="O176" s="461" t="str">
        <f t="shared" ca="1" si="38"/>
        <v/>
      </c>
      <c r="P176" s="474" t="str">
        <f t="shared" ca="1" si="38"/>
        <v/>
      </c>
      <c r="Q176" s="475" t="str">
        <f t="shared" ca="1" si="38"/>
        <v/>
      </c>
      <c r="R176" s="476">
        <f ca="1">IF(OR($BG$2=0,$AR176=""),,IF($AR176="本月合计",IF(ROW()=$BG$3,SUM($R$6:$R175),SUM(INDIRECT("$R$"&amp;OFFSET($AU$3,,MATCH(ROW(),$AU$3:$BF$3,)-2)+2&amp;":$R"&amp;ROW()-1))),IF($AR176="本年累计",SUMIF($AR$6:$AR176,"本月合计",$R$6:$R175),INDEX(凭证录入!L:L,$AR176))))</f>
        <v>0</v>
      </c>
      <c r="S176" s="459" t="str">
        <f t="shared" ca="1" si="39"/>
        <v/>
      </c>
      <c r="T176" s="460" t="str">
        <f t="shared" ca="1" si="39"/>
        <v/>
      </c>
      <c r="U176" s="460" t="str">
        <f t="shared" ca="1" si="39"/>
        <v/>
      </c>
      <c r="V176" s="460" t="str">
        <f t="shared" ca="1" si="39"/>
        <v/>
      </c>
      <c r="W176" s="460" t="str">
        <f t="shared" ca="1" si="39"/>
        <v/>
      </c>
      <c r="X176" s="460" t="str">
        <f t="shared" ca="1" si="39"/>
        <v/>
      </c>
      <c r="Y176" s="460" t="str">
        <f t="shared" ca="1" si="39"/>
        <v/>
      </c>
      <c r="Z176" s="460" t="str">
        <f t="shared" ca="1" si="39"/>
        <v/>
      </c>
      <c r="AA176" s="461" t="str">
        <f t="shared" ca="1" si="39"/>
        <v/>
      </c>
      <c r="AB176" s="474" t="str">
        <f t="shared" ca="1" si="39"/>
        <v/>
      </c>
      <c r="AC176" s="475" t="str">
        <f t="shared" ca="1" si="39"/>
        <v/>
      </c>
      <c r="AD176" s="477" t="str">
        <f t="shared" ca="1" si="32"/>
        <v/>
      </c>
      <c r="AE176" s="478">
        <f t="shared" ca="1" si="33"/>
        <v>0</v>
      </c>
      <c r="AF176" s="459" t="str">
        <f t="shared" ca="1" si="37"/>
        <v/>
      </c>
      <c r="AG176" s="460" t="str">
        <f t="shared" ca="1" si="37"/>
        <v/>
      </c>
      <c r="AH176" s="460" t="str">
        <f t="shared" ca="1" si="37"/>
        <v/>
      </c>
      <c r="AI176" s="460" t="str">
        <f t="shared" ca="1" si="37"/>
        <v/>
      </c>
      <c r="AJ176" s="460" t="str">
        <f t="shared" ca="1" si="37"/>
        <v/>
      </c>
      <c r="AK176" s="460" t="str">
        <f t="shared" ca="1" si="37"/>
        <v/>
      </c>
      <c r="AL176" s="460" t="str">
        <f t="shared" ca="1" si="37"/>
        <v/>
      </c>
      <c r="AM176" s="460" t="str">
        <f t="shared" ca="1" si="37"/>
        <v/>
      </c>
      <c r="AN176" s="461" t="str">
        <f t="shared" ca="1" si="37"/>
        <v/>
      </c>
      <c r="AO176" s="474" t="str">
        <f t="shared" ca="1" si="37"/>
        <v/>
      </c>
      <c r="AP176" s="475" t="str">
        <f t="shared" ca="1" si="37"/>
        <v/>
      </c>
      <c r="AQ176" s="479" t="str">
        <f t="array" aca="1" ref="AQ176" ca="1">IF(ROW()-5&lt;=COUNTIF(科目编号,$AR$2),SMALL(IF(科目编号=$AR$2,ROW(科目编号),""),ROW()-5),"")</f>
        <v/>
      </c>
      <c r="AR176" s="480" t="str">
        <f ca="1">IF($BG$2=0,"",IF(AR175="本月合计","本年累计",IF(OR(ROW()=$AU$3,ROW()=$AV$3,ROW()=$AW$3,ROW()=$AX$3,ROW()=$AY$3,ROW()=$AZ$3,ROW()=$BA$3,ROW()=$BB$3,ROW()=$BC$3,ROW()=$BD$3,ROW()=$BE$3,ROW()=$BF$3),"本月合计",IF(ROW()&lt;7,$AQ$6,OFFSET($AQ$6,COUNT($AR$6:AR175),0)))))</f>
        <v/>
      </c>
    </row>
    <row r="177" spans="1:44">
      <c r="A177" s="469" t="str">
        <f ca="1">IFERROR(INDEX(凭证录入!A:A,$AR177),"")</f>
        <v/>
      </c>
      <c r="B177" s="469" t="str">
        <f ca="1">IFERROR(INDEX(凭证录入!B:B,$AR177),"")</f>
        <v/>
      </c>
      <c r="C177" s="470" t="str">
        <f ca="1">IFERROR(INDEX(凭证录入!G:G,$AR177),"")</f>
        <v/>
      </c>
      <c r="D177" s="471" t="str">
        <f ca="1">IFERROR(INDEX(凭证录入!F:F,$AR177),"")</f>
        <v/>
      </c>
      <c r="E177" s="472" t="str">
        <f ca="1">IFERROR(INDEX(凭证录入!H:H,$AR177),$AR177)</f>
        <v/>
      </c>
      <c r="F177" s="473">
        <f ca="1">IF(OR($BG$2=0,$AR177=""),,IF($AR177="本月合计",IF(ROW()=$BG$3,SUM($F$6:$F176),SUM(INDIRECT("$F$"&amp;OFFSET($AU$3,,MATCH(ROW(),$AU$3:$BF$3,)-2)+2&amp;":$E"&amp;ROW()-1))),IF($AR177="本年累计",SUMIF($AR$6:$AR177,"本月合计",$F$6:$F176),INDEX(凭证录入!K:K,$AR177))))</f>
        <v>0</v>
      </c>
      <c r="G177" s="459" t="str">
        <f t="shared" ca="1" si="38"/>
        <v/>
      </c>
      <c r="H177" s="460" t="str">
        <f t="shared" ca="1" si="38"/>
        <v/>
      </c>
      <c r="I177" s="460" t="str">
        <f t="shared" ca="1" si="38"/>
        <v/>
      </c>
      <c r="J177" s="460" t="str">
        <f t="shared" ca="1" si="38"/>
        <v/>
      </c>
      <c r="K177" s="460" t="str">
        <f t="shared" ca="1" si="38"/>
        <v/>
      </c>
      <c r="L177" s="460" t="str">
        <f t="shared" ca="1" si="38"/>
        <v/>
      </c>
      <c r="M177" s="460" t="str">
        <f t="shared" ca="1" si="38"/>
        <v/>
      </c>
      <c r="N177" s="460" t="str">
        <f t="shared" ca="1" si="38"/>
        <v/>
      </c>
      <c r="O177" s="461" t="str">
        <f t="shared" ca="1" si="38"/>
        <v/>
      </c>
      <c r="P177" s="474" t="str">
        <f t="shared" ca="1" si="38"/>
        <v/>
      </c>
      <c r="Q177" s="475" t="str">
        <f t="shared" ca="1" si="38"/>
        <v/>
      </c>
      <c r="R177" s="476">
        <f ca="1">IF(OR($BG$2=0,$AR177=""),,IF($AR177="本月合计",IF(ROW()=$BG$3,SUM($R$6:$R176),SUM(INDIRECT("$R$"&amp;OFFSET($AU$3,,MATCH(ROW(),$AU$3:$BF$3,)-2)+2&amp;":$R"&amp;ROW()-1))),IF($AR177="本年累计",SUMIF($AR$6:$AR177,"本月合计",$R$6:$R176),INDEX(凭证录入!L:L,$AR177))))</f>
        <v>0</v>
      </c>
      <c r="S177" s="459" t="str">
        <f t="shared" ca="1" si="39"/>
        <v/>
      </c>
      <c r="T177" s="460" t="str">
        <f t="shared" ca="1" si="39"/>
        <v/>
      </c>
      <c r="U177" s="460" t="str">
        <f t="shared" ca="1" si="39"/>
        <v/>
      </c>
      <c r="V177" s="460" t="str">
        <f t="shared" ca="1" si="39"/>
        <v/>
      </c>
      <c r="W177" s="460" t="str">
        <f t="shared" ca="1" si="39"/>
        <v/>
      </c>
      <c r="X177" s="460" t="str">
        <f t="shared" ca="1" si="39"/>
        <v/>
      </c>
      <c r="Y177" s="460" t="str">
        <f t="shared" ca="1" si="39"/>
        <v/>
      </c>
      <c r="Z177" s="460" t="str">
        <f t="shared" ca="1" si="39"/>
        <v/>
      </c>
      <c r="AA177" s="461" t="str">
        <f t="shared" ca="1" si="39"/>
        <v/>
      </c>
      <c r="AB177" s="474" t="str">
        <f t="shared" ca="1" si="39"/>
        <v/>
      </c>
      <c r="AC177" s="475" t="str">
        <f t="shared" ca="1" si="39"/>
        <v/>
      </c>
      <c r="AD177" s="477" t="str">
        <f t="shared" ca="1" si="32"/>
        <v/>
      </c>
      <c r="AE177" s="478">
        <f t="shared" ca="1" si="33"/>
        <v>0</v>
      </c>
      <c r="AF177" s="459" t="str">
        <f t="shared" ca="1" si="37"/>
        <v/>
      </c>
      <c r="AG177" s="460" t="str">
        <f t="shared" ca="1" si="37"/>
        <v/>
      </c>
      <c r="AH177" s="460" t="str">
        <f t="shared" ca="1" si="37"/>
        <v/>
      </c>
      <c r="AI177" s="460" t="str">
        <f t="shared" ca="1" si="37"/>
        <v/>
      </c>
      <c r="AJ177" s="460" t="str">
        <f t="shared" ca="1" si="37"/>
        <v/>
      </c>
      <c r="AK177" s="460" t="str">
        <f t="shared" ca="1" si="37"/>
        <v/>
      </c>
      <c r="AL177" s="460" t="str">
        <f t="shared" ca="1" si="37"/>
        <v/>
      </c>
      <c r="AM177" s="460" t="str">
        <f t="shared" ca="1" si="37"/>
        <v/>
      </c>
      <c r="AN177" s="461" t="str">
        <f t="shared" ca="1" si="37"/>
        <v/>
      </c>
      <c r="AO177" s="474" t="str">
        <f t="shared" ca="1" si="37"/>
        <v/>
      </c>
      <c r="AP177" s="475" t="str">
        <f t="shared" ca="1" si="37"/>
        <v/>
      </c>
      <c r="AQ177" s="479" t="str">
        <f t="array" aca="1" ref="AQ177" ca="1">IF(ROW()-5&lt;=COUNTIF(科目编号,$AR$2),SMALL(IF(科目编号=$AR$2,ROW(科目编号),""),ROW()-5),"")</f>
        <v/>
      </c>
      <c r="AR177" s="480" t="str">
        <f ca="1">IF($BG$2=0,"",IF(AR176="本月合计","本年累计",IF(OR(ROW()=$AU$3,ROW()=$AV$3,ROW()=$AW$3,ROW()=$AX$3,ROW()=$AY$3,ROW()=$AZ$3,ROW()=$BA$3,ROW()=$BB$3,ROW()=$BC$3,ROW()=$BD$3,ROW()=$BE$3,ROW()=$BF$3),"本月合计",IF(ROW()&lt;7,$AQ$6,OFFSET($AQ$6,COUNT($AR$6:AR176),0)))))</f>
        <v/>
      </c>
    </row>
    <row r="178" spans="1:44">
      <c r="A178" s="469" t="str">
        <f ca="1">IFERROR(INDEX(凭证录入!A:A,$AR178),"")</f>
        <v/>
      </c>
      <c r="B178" s="469" t="str">
        <f ca="1">IFERROR(INDEX(凭证录入!B:B,$AR178),"")</f>
        <v/>
      </c>
      <c r="C178" s="470" t="str">
        <f ca="1">IFERROR(INDEX(凭证录入!G:G,$AR178),"")</f>
        <v/>
      </c>
      <c r="D178" s="471" t="str">
        <f ca="1">IFERROR(INDEX(凭证录入!F:F,$AR178),"")</f>
        <v/>
      </c>
      <c r="E178" s="472" t="str">
        <f ca="1">IFERROR(INDEX(凭证录入!H:H,$AR178),$AR178)</f>
        <v/>
      </c>
      <c r="F178" s="473">
        <f ca="1">IF(OR($BG$2=0,$AR178=""),,IF($AR178="本月合计",IF(ROW()=$BG$3,SUM($F$6:$F177),SUM(INDIRECT("$F$"&amp;OFFSET($AU$3,,MATCH(ROW(),$AU$3:$BF$3,)-2)+2&amp;":$E"&amp;ROW()-1))),IF($AR178="本年累计",SUMIF($AR$6:$AR178,"本月合计",$F$6:$F177),INDEX(凭证录入!K:K,$AR178))))</f>
        <v>0</v>
      </c>
      <c r="G178" s="459" t="str">
        <f t="shared" ca="1" si="38"/>
        <v/>
      </c>
      <c r="H178" s="460" t="str">
        <f t="shared" ca="1" si="38"/>
        <v/>
      </c>
      <c r="I178" s="460" t="str">
        <f t="shared" ca="1" si="38"/>
        <v/>
      </c>
      <c r="J178" s="460" t="str">
        <f t="shared" ca="1" si="38"/>
        <v/>
      </c>
      <c r="K178" s="460" t="str">
        <f t="shared" ca="1" si="38"/>
        <v/>
      </c>
      <c r="L178" s="460" t="str">
        <f t="shared" ca="1" si="38"/>
        <v/>
      </c>
      <c r="M178" s="460" t="str">
        <f t="shared" ca="1" si="38"/>
        <v/>
      </c>
      <c r="N178" s="460" t="str">
        <f t="shared" ca="1" si="38"/>
        <v/>
      </c>
      <c r="O178" s="461" t="str">
        <f t="shared" ca="1" si="38"/>
        <v/>
      </c>
      <c r="P178" s="474" t="str">
        <f t="shared" ca="1" si="38"/>
        <v/>
      </c>
      <c r="Q178" s="475" t="str">
        <f t="shared" ca="1" si="38"/>
        <v/>
      </c>
      <c r="R178" s="476">
        <f ca="1">IF(OR($BG$2=0,$AR178=""),,IF($AR178="本月合计",IF(ROW()=$BG$3,SUM($R$6:$R177),SUM(INDIRECT("$R$"&amp;OFFSET($AU$3,,MATCH(ROW(),$AU$3:$BF$3,)-2)+2&amp;":$R"&amp;ROW()-1))),IF($AR178="本年累计",SUMIF($AR$6:$AR178,"本月合计",$R$6:$R177),INDEX(凭证录入!L:L,$AR178))))</f>
        <v>0</v>
      </c>
      <c r="S178" s="459" t="str">
        <f t="shared" ca="1" si="39"/>
        <v/>
      </c>
      <c r="T178" s="460" t="str">
        <f t="shared" ca="1" si="39"/>
        <v/>
      </c>
      <c r="U178" s="460" t="str">
        <f t="shared" ca="1" si="39"/>
        <v/>
      </c>
      <c r="V178" s="460" t="str">
        <f t="shared" ca="1" si="39"/>
        <v/>
      </c>
      <c r="W178" s="460" t="str">
        <f t="shared" ca="1" si="39"/>
        <v/>
      </c>
      <c r="X178" s="460" t="str">
        <f t="shared" ca="1" si="39"/>
        <v/>
      </c>
      <c r="Y178" s="460" t="str">
        <f t="shared" ca="1" si="39"/>
        <v/>
      </c>
      <c r="Z178" s="460" t="str">
        <f t="shared" ca="1" si="39"/>
        <v/>
      </c>
      <c r="AA178" s="461" t="str">
        <f t="shared" ca="1" si="39"/>
        <v/>
      </c>
      <c r="AB178" s="474" t="str">
        <f t="shared" ca="1" si="39"/>
        <v/>
      </c>
      <c r="AC178" s="475" t="str">
        <f t="shared" ca="1" si="39"/>
        <v/>
      </c>
      <c r="AD178" s="477" t="str">
        <f t="shared" ca="1" si="32"/>
        <v/>
      </c>
      <c r="AE178" s="478">
        <f t="shared" ca="1" si="33"/>
        <v>0</v>
      </c>
      <c r="AF178" s="459" t="str">
        <f t="shared" ca="1" si="37"/>
        <v/>
      </c>
      <c r="AG178" s="460" t="str">
        <f t="shared" ca="1" si="37"/>
        <v/>
      </c>
      <c r="AH178" s="460" t="str">
        <f t="shared" ca="1" si="37"/>
        <v/>
      </c>
      <c r="AI178" s="460" t="str">
        <f t="shared" ca="1" si="37"/>
        <v/>
      </c>
      <c r="AJ178" s="460" t="str">
        <f t="shared" ca="1" si="37"/>
        <v/>
      </c>
      <c r="AK178" s="460" t="str">
        <f t="shared" ca="1" si="37"/>
        <v/>
      </c>
      <c r="AL178" s="460" t="str">
        <f t="shared" ca="1" si="37"/>
        <v/>
      </c>
      <c r="AM178" s="460" t="str">
        <f t="shared" ca="1" si="37"/>
        <v/>
      </c>
      <c r="AN178" s="461" t="str">
        <f t="shared" ca="1" si="37"/>
        <v/>
      </c>
      <c r="AO178" s="474" t="str">
        <f t="shared" ca="1" si="37"/>
        <v/>
      </c>
      <c r="AP178" s="475" t="str">
        <f t="shared" ca="1" si="37"/>
        <v/>
      </c>
      <c r="AQ178" s="479" t="str">
        <f t="array" aca="1" ref="AQ178" ca="1">IF(ROW()-5&lt;=COUNTIF(科目编号,$AR$2),SMALL(IF(科目编号=$AR$2,ROW(科目编号),""),ROW()-5),"")</f>
        <v/>
      </c>
      <c r="AR178" s="480" t="str">
        <f ca="1">IF($BG$2=0,"",IF(AR177="本月合计","本年累计",IF(OR(ROW()=$AU$3,ROW()=$AV$3,ROW()=$AW$3,ROW()=$AX$3,ROW()=$AY$3,ROW()=$AZ$3,ROW()=$BA$3,ROW()=$BB$3,ROW()=$BC$3,ROW()=$BD$3,ROW()=$BE$3,ROW()=$BF$3),"本月合计",IF(ROW()&lt;7,$AQ$6,OFFSET($AQ$6,COUNT($AR$6:AR177),0)))))</f>
        <v/>
      </c>
    </row>
    <row r="179" spans="1:44">
      <c r="A179" s="469" t="str">
        <f ca="1">IFERROR(INDEX(凭证录入!A:A,$AR179),"")</f>
        <v/>
      </c>
      <c r="B179" s="469" t="str">
        <f ca="1">IFERROR(INDEX(凭证录入!B:B,$AR179),"")</f>
        <v/>
      </c>
      <c r="C179" s="470" t="str">
        <f ca="1">IFERROR(INDEX(凭证录入!G:G,$AR179),"")</f>
        <v/>
      </c>
      <c r="D179" s="471" t="str">
        <f ca="1">IFERROR(INDEX(凭证录入!F:F,$AR179),"")</f>
        <v/>
      </c>
      <c r="E179" s="472" t="str">
        <f ca="1">IFERROR(INDEX(凭证录入!H:H,$AR179),$AR179)</f>
        <v/>
      </c>
      <c r="F179" s="473">
        <f ca="1">IF(OR($BG$2=0,$AR179=""),,IF($AR179="本月合计",IF(ROW()=$BG$3,SUM($F$6:$F178),SUM(INDIRECT("$F$"&amp;OFFSET($AU$3,,MATCH(ROW(),$AU$3:$BF$3,)-2)+2&amp;":$E"&amp;ROW()-1))),IF($AR179="本年累计",SUMIF($AR$6:$AR179,"本月合计",$F$6:$F178),INDEX(凭证录入!K:K,$AR179))))</f>
        <v>0</v>
      </c>
      <c r="G179" s="459" t="str">
        <f t="shared" ca="1" si="38"/>
        <v/>
      </c>
      <c r="H179" s="460" t="str">
        <f t="shared" ca="1" si="38"/>
        <v/>
      </c>
      <c r="I179" s="460" t="str">
        <f t="shared" ca="1" si="38"/>
        <v/>
      </c>
      <c r="J179" s="460" t="str">
        <f t="shared" ca="1" si="38"/>
        <v/>
      </c>
      <c r="K179" s="460" t="str">
        <f t="shared" ca="1" si="38"/>
        <v/>
      </c>
      <c r="L179" s="460" t="str">
        <f t="shared" ca="1" si="38"/>
        <v/>
      </c>
      <c r="M179" s="460" t="str">
        <f t="shared" ca="1" si="38"/>
        <v/>
      </c>
      <c r="N179" s="460" t="str">
        <f t="shared" ca="1" si="38"/>
        <v/>
      </c>
      <c r="O179" s="461" t="str">
        <f t="shared" ca="1" si="38"/>
        <v/>
      </c>
      <c r="P179" s="474" t="str">
        <f t="shared" ca="1" si="38"/>
        <v/>
      </c>
      <c r="Q179" s="475" t="str">
        <f t="shared" ca="1" si="38"/>
        <v/>
      </c>
      <c r="R179" s="476">
        <f ca="1">IF(OR($BG$2=0,$AR179=""),,IF($AR179="本月合计",IF(ROW()=$BG$3,SUM($R$6:$R178),SUM(INDIRECT("$R$"&amp;OFFSET($AU$3,,MATCH(ROW(),$AU$3:$BF$3,)-2)+2&amp;":$R"&amp;ROW()-1))),IF($AR179="本年累计",SUMIF($AR$6:$AR179,"本月合计",$R$6:$R178),INDEX(凭证录入!L:L,$AR179))))</f>
        <v>0</v>
      </c>
      <c r="S179" s="459" t="str">
        <f t="shared" ca="1" si="39"/>
        <v/>
      </c>
      <c r="T179" s="460" t="str">
        <f t="shared" ca="1" si="39"/>
        <v/>
      </c>
      <c r="U179" s="460" t="str">
        <f t="shared" ca="1" si="39"/>
        <v/>
      </c>
      <c r="V179" s="460" t="str">
        <f t="shared" ca="1" si="39"/>
        <v/>
      </c>
      <c r="W179" s="460" t="str">
        <f t="shared" ca="1" si="39"/>
        <v/>
      </c>
      <c r="X179" s="460" t="str">
        <f t="shared" ca="1" si="39"/>
        <v/>
      </c>
      <c r="Y179" s="460" t="str">
        <f t="shared" ca="1" si="39"/>
        <v/>
      </c>
      <c r="Z179" s="460" t="str">
        <f t="shared" ca="1" si="39"/>
        <v/>
      </c>
      <c r="AA179" s="461" t="str">
        <f t="shared" ca="1" si="39"/>
        <v/>
      </c>
      <c r="AB179" s="474" t="str">
        <f t="shared" ca="1" si="39"/>
        <v/>
      </c>
      <c r="AC179" s="475" t="str">
        <f t="shared" ca="1" si="39"/>
        <v/>
      </c>
      <c r="AD179" s="477" t="str">
        <f t="shared" ca="1" si="32"/>
        <v/>
      </c>
      <c r="AE179" s="478">
        <f t="shared" ca="1" si="33"/>
        <v>0</v>
      </c>
      <c r="AF179" s="459" t="str">
        <f t="shared" ca="1" si="37"/>
        <v/>
      </c>
      <c r="AG179" s="460" t="str">
        <f t="shared" ca="1" si="37"/>
        <v/>
      </c>
      <c r="AH179" s="460" t="str">
        <f t="shared" ca="1" si="37"/>
        <v/>
      </c>
      <c r="AI179" s="460" t="str">
        <f t="shared" ca="1" si="37"/>
        <v/>
      </c>
      <c r="AJ179" s="460" t="str">
        <f t="shared" ca="1" si="37"/>
        <v/>
      </c>
      <c r="AK179" s="460" t="str">
        <f t="shared" ca="1" si="37"/>
        <v/>
      </c>
      <c r="AL179" s="460" t="str">
        <f t="shared" ca="1" si="37"/>
        <v/>
      </c>
      <c r="AM179" s="460" t="str">
        <f t="shared" ca="1" si="37"/>
        <v/>
      </c>
      <c r="AN179" s="461" t="str">
        <f t="shared" ca="1" si="37"/>
        <v/>
      </c>
      <c r="AO179" s="474" t="str">
        <f t="shared" ca="1" si="37"/>
        <v/>
      </c>
      <c r="AP179" s="475" t="str">
        <f t="shared" ca="1" si="37"/>
        <v/>
      </c>
      <c r="AQ179" s="479" t="str">
        <f t="array" aca="1" ref="AQ179" ca="1">IF(ROW()-5&lt;=COUNTIF(科目编号,$AR$2),SMALL(IF(科目编号=$AR$2,ROW(科目编号),""),ROW()-5),"")</f>
        <v/>
      </c>
      <c r="AR179" s="480" t="str">
        <f ca="1">IF($BG$2=0,"",IF(AR178="本月合计","本年累计",IF(OR(ROW()=$AU$3,ROW()=$AV$3,ROW()=$AW$3,ROW()=$AX$3,ROW()=$AY$3,ROW()=$AZ$3,ROW()=$BA$3,ROW()=$BB$3,ROW()=$BC$3,ROW()=$BD$3,ROW()=$BE$3,ROW()=$BF$3),"本月合计",IF(ROW()&lt;7,$AQ$6,OFFSET($AQ$6,COUNT($AR$6:AR178),0)))))</f>
        <v/>
      </c>
    </row>
    <row r="180" spans="1:44">
      <c r="A180" s="469" t="str">
        <f ca="1">IFERROR(INDEX(凭证录入!A:A,$AR180),"")</f>
        <v/>
      </c>
      <c r="B180" s="469" t="str">
        <f ca="1">IFERROR(INDEX(凭证录入!B:B,$AR180),"")</f>
        <v/>
      </c>
      <c r="C180" s="470" t="str">
        <f ca="1">IFERROR(INDEX(凭证录入!G:G,$AR180),"")</f>
        <v/>
      </c>
      <c r="D180" s="471" t="str">
        <f ca="1">IFERROR(INDEX(凭证录入!F:F,$AR180),"")</f>
        <v/>
      </c>
      <c r="E180" s="472" t="str">
        <f ca="1">IFERROR(INDEX(凭证录入!H:H,$AR180),$AR180)</f>
        <v/>
      </c>
      <c r="F180" s="473">
        <f ca="1">IF(OR($BG$2=0,$AR180=""),,IF($AR180="本月合计",IF(ROW()=$BG$3,SUM($F$6:$F179),SUM(INDIRECT("$F$"&amp;OFFSET($AU$3,,MATCH(ROW(),$AU$3:$BF$3,)-2)+2&amp;":$E"&amp;ROW()-1))),IF($AR180="本年累计",SUMIF($AR$6:$AR180,"本月合计",$F$6:$F179),INDEX(凭证录入!K:K,$AR180))))</f>
        <v>0</v>
      </c>
      <c r="G180" s="459" t="str">
        <f t="shared" ca="1" si="38"/>
        <v/>
      </c>
      <c r="H180" s="460" t="str">
        <f t="shared" ca="1" si="38"/>
        <v/>
      </c>
      <c r="I180" s="460" t="str">
        <f t="shared" ca="1" si="38"/>
        <v/>
      </c>
      <c r="J180" s="460" t="str">
        <f t="shared" ca="1" si="38"/>
        <v/>
      </c>
      <c r="K180" s="460" t="str">
        <f t="shared" ca="1" si="38"/>
        <v/>
      </c>
      <c r="L180" s="460" t="str">
        <f t="shared" ca="1" si="38"/>
        <v/>
      </c>
      <c r="M180" s="460" t="str">
        <f t="shared" ca="1" si="38"/>
        <v/>
      </c>
      <c r="N180" s="460" t="str">
        <f t="shared" ca="1" si="38"/>
        <v/>
      </c>
      <c r="O180" s="461" t="str">
        <f t="shared" ca="1" si="38"/>
        <v/>
      </c>
      <c r="P180" s="474" t="str">
        <f t="shared" ca="1" si="38"/>
        <v/>
      </c>
      <c r="Q180" s="475" t="str">
        <f t="shared" ca="1" si="38"/>
        <v/>
      </c>
      <c r="R180" s="476">
        <f ca="1">IF(OR($BG$2=0,$AR180=""),,IF($AR180="本月合计",IF(ROW()=$BG$3,SUM($R$6:$R179),SUM(INDIRECT("$R$"&amp;OFFSET($AU$3,,MATCH(ROW(),$AU$3:$BF$3,)-2)+2&amp;":$R"&amp;ROW()-1))),IF($AR180="本年累计",SUMIF($AR$6:$AR180,"本月合计",$R$6:$R179),INDEX(凭证录入!L:L,$AR180))))</f>
        <v>0</v>
      </c>
      <c r="S180" s="459" t="str">
        <f t="shared" ca="1" si="39"/>
        <v/>
      </c>
      <c r="T180" s="460" t="str">
        <f t="shared" ca="1" si="39"/>
        <v/>
      </c>
      <c r="U180" s="460" t="str">
        <f t="shared" ca="1" si="39"/>
        <v/>
      </c>
      <c r="V180" s="460" t="str">
        <f t="shared" ca="1" si="39"/>
        <v/>
      </c>
      <c r="W180" s="460" t="str">
        <f t="shared" ca="1" si="39"/>
        <v/>
      </c>
      <c r="X180" s="460" t="str">
        <f t="shared" ca="1" si="39"/>
        <v/>
      </c>
      <c r="Y180" s="460" t="str">
        <f t="shared" ca="1" si="39"/>
        <v/>
      </c>
      <c r="Z180" s="460" t="str">
        <f t="shared" ca="1" si="39"/>
        <v/>
      </c>
      <c r="AA180" s="461" t="str">
        <f t="shared" ca="1" si="39"/>
        <v/>
      </c>
      <c r="AB180" s="474" t="str">
        <f t="shared" ca="1" si="39"/>
        <v/>
      </c>
      <c r="AC180" s="475" t="str">
        <f t="shared" ca="1" si="39"/>
        <v/>
      </c>
      <c r="AD180" s="477" t="str">
        <f t="shared" ca="1" si="32"/>
        <v/>
      </c>
      <c r="AE180" s="478">
        <f t="shared" ca="1" si="33"/>
        <v>0</v>
      </c>
      <c r="AF180" s="459" t="str">
        <f t="shared" ca="1" si="37"/>
        <v/>
      </c>
      <c r="AG180" s="460" t="str">
        <f t="shared" ca="1" si="37"/>
        <v/>
      </c>
      <c r="AH180" s="460" t="str">
        <f t="shared" ca="1" si="37"/>
        <v/>
      </c>
      <c r="AI180" s="460" t="str">
        <f t="shared" ca="1" si="37"/>
        <v/>
      </c>
      <c r="AJ180" s="460" t="str">
        <f t="shared" ca="1" si="37"/>
        <v/>
      </c>
      <c r="AK180" s="460" t="str">
        <f t="shared" ca="1" si="37"/>
        <v/>
      </c>
      <c r="AL180" s="460" t="str">
        <f t="shared" ca="1" si="37"/>
        <v/>
      </c>
      <c r="AM180" s="460" t="str">
        <f t="shared" ca="1" si="37"/>
        <v/>
      </c>
      <c r="AN180" s="461" t="str">
        <f t="shared" ca="1" si="37"/>
        <v/>
      </c>
      <c r="AO180" s="474" t="str">
        <f t="shared" ca="1" si="37"/>
        <v/>
      </c>
      <c r="AP180" s="475" t="str">
        <f t="shared" ca="1" si="37"/>
        <v/>
      </c>
      <c r="AQ180" s="479" t="str">
        <f t="array" aca="1" ref="AQ180" ca="1">IF(ROW()-5&lt;=COUNTIF(科目编号,$AR$2),SMALL(IF(科目编号=$AR$2,ROW(科目编号),""),ROW()-5),"")</f>
        <v/>
      </c>
      <c r="AR180" s="480" t="str">
        <f ca="1">IF($BG$2=0,"",IF(AR179="本月合计","本年累计",IF(OR(ROW()=$AU$3,ROW()=$AV$3,ROW()=$AW$3,ROW()=$AX$3,ROW()=$AY$3,ROW()=$AZ$3,ROW()=$BA$3,ROW()=$BB$3,ROW()=$BC$3,ROW()=$BD$3,ROW()=$BE$3,ROW()=$BF$3),"本月合计",IF(ROW()&lt;7,$AQ$6,OFFSET($AQ$6,COUNT($AR$6:AR179),0)))))</f>
        <v/>
      </c>
    </row>
    <row r="181" spans="1:44">
      <c r="A181" s="469" t="str">
        <f ca="1">IFERROR(INDEX(凭证录入!A:A,$AR181),"")</f>
        <v/>
      </c>
      <c r="B181" s="469" t="str">
        <f ca="1">IFERROR(INDEX(凭证录入!B:B,$AR181),"")</f>
        <v/>
      </c>
      <c r="C181" s="470" t="str">
        <f ca="1">IFERROR(INDEX(凭证录入!G:G,$AR181),"")</f>
        <v/>
      </c>
      <c r="D181" s="471" t="str">
        <f ca="1">IFERROR(INDEX(凭证录入!F:F,$AR181),"")</f>
        <v/>
      </c>
      <c r="E181" s="472" t="str">
        <f ca="1">IFERROR(INDEX(凭证录入!H:H,$AR181),$AR181)</f>
        <v/>
      </c>
      <c r="F181" s="473">
        <f ca="1">IF(OR($BG$2=0,$AR181=""),,IF($AR181="本月合计",IF(ROW()=$BG$3,SUM($F$6:$F180),SUM(INDIRECT("$F$"&amp;OFFSET($AU$3,,MATCH(ROW(),$AU$3:$BF$3,)-2)+2&amp;":$E"&amp;ROW()-1))),IF($AR181="本年累计",SUMIF($AR$6:$AR181,"本月合计",$F$6:$F180),INDEX(凭证录入!K:K,$AR181))))</f>
        <v>0</v>
      </c>
      <c r="G181" s="459" t="str">
        <f t="shared" ca="1" si="38"/>
        <v/>
      </c>
      <c r="H181" s="460" t="str">
        <f t="shared" ca="1" si="38"/>
        <v/>
      </c>
      <c r="I181" s="460" t="str">
        <f t="shared" ca="1" si="38"/>
        <v/>
      </c>
      <c r="J181" s="460" t="str">
        <f t="shared" ca="1" si="38"/>
        <v/>
      </c>
      <c r="K181" s="460" t="str">
        <f t="shared" ca="1" si="38"/>
        <v/>
      </c>
      <c r="L181" s="460" t="str">
        <f t="shared" ca="1" si="38"/>
        <v/>
      </c>
      <c r="M181" s="460" t="str">
        <f t="shared" ca="1" si="38"/>
        <v/>
      </c>
      <c r="N181" s="460" t="str">
        <f t="shared" ca="1" si="38"/>
        <v/>
      </c>
      <c r="O181" s="461" t="str">
        <f t="shared" ca="1" si="38"/>
        <v/>
      </c>
      <c r="P181" s="474" t="str">
        <f t="shared" ca="1" si="38"/>
        <v/>
      </c>
      <c r="Q181" s="475" t="str">
        <f t="shared" ca="1" si="38"/>
        <v/>
      </c>
      <c r="R181" s="476">
        <f ca="1">IF(OR($BG$2=0,$AR181=""),,IF($AR181="本月合计",IF(ROW()=$BG$3,SUM($R$6:$R180),SUM(INDIRECT("$R$"&amp;OFFSET($AU$3,,MATCH(ROW(),$AU$3:$BF$3,)-2)+2&amp;":$R"&amp;ROW()-1))),IF($AR181="本年累计",SUMIF($AR$6:$AR181,"本月合计",$R$6:$R180),INDEX(凭证录入!L:L,$AR181))))</f>
        <v>0</v>
      </c>
      <c r="S181" s="459" t="str">
        <f t="shared" ca="1" si="39"/>
        <v/>
      </c>
      <c r="T181" s="460" t="str">
        <f t="shared" ca="1" si="39"/>
        <v/>
      </c>
      <c r="U181" s="460" t="str">
        <f t="shared" ca="1" si="39"/>
        <v/>
      </c>
      <c r="V181" s="460" t="str">
        <f t="shared" ca="1" si="39"/>
        <v/>
      </c>
      <c r="W181" s="460" t="str">
        <f t="shared" ca="1" si="39"/>
        <v/>
      </c>
      <c r="X181" s="460" t="str">
        <f t="shared" ca="1" si="39"/>
        <v/>
      </c>
      <c r="Y181" s="460" t="str">
        <f t="shared" ca="1" si="39"/>
        <v/>
      </c>
      <c r="Z181" s="460" t="str">
        <f t="shared" ca="1" si="39"/>
        <v/>
      </c>
      <c r="AA181" s="461" t="str">
        <f t="shared" ca="1" si="39"/>
        <v/>
      </c>
      <c r="AB181" s="474" t="str">
        <f t="shared" ca="1" si="39"/>
        <v/>
      </c>
      <c r="AC181" s="475" t="str">
        <f t="shared" ca="1" si="39"/>
        <v/>
      </c>
      <c r="AD181" s="477" t="str">
        <f t="shared" ca="1" si="32"/>
        <v/>
      </c>
      <c r="AE181" s="478">
        <f t="shared" ca="1" si="33"/>
        <v>0</v>
      </c>
      <c r="AF181" s="459" t="str">
        <f t="shared" ref="AF181:AP196" ca="1" si="40">LEFT(RIGHT(TEXT($AE181/1%," ￥0; ￥-0;"),43-COLUMN()))</f>
        <v/>
      </c>
      <c r="AG181" s="460" t="str">
        <f t="shared" ca="1" si="40"/>
        <v/>
      </c>
      <c r="AH181" s="460" t="str">
        <f t="shared" ca="1" si="40"/>
        <v/>
      </c>
      <c r="AI181" s="460" t="str">
        <f t="shared" ca="1" si="40"/>
        <v/>
      </c>
      <c r="AJ181" s="460" t="str">
        <f t="shared" ca="1" si="40"/>
        <v/>
      </c>
      <c r="AK181" s="460" t="str">
        <f t="shared" ca="1" si="40"/>
        <v/>
      </c>
      <c r="AL181" s="460" t="str">
        <f t="shared" ca="1" si="40"/>
        <v/>
      </c>
      <c r="AM181" s="460" t="str">
        <f t="shared" ca="1" si="40"/>
        <v/>
      </c>
      <c r="AN181" s="461" t="str">
        <f t="shared" ca="1" si="40"/>
        <v/>
      </c>
      <c r="AO181" s="474" t="str">
        <f t="shared" ca="1" si="40"/>
        <v/>
      </c>
      <c r="AP181" s="475" t="str">
        <f t="shared" ca="1" si="40"/>
        <v/>
      </c>
      <c r="AQ181" s="479" t="str">
        <f t="array" aca="1" ref="AQ181" ca="1">IF(ROW()-5&lt;=COUNTIF(科目编号,$AR$2),SMALL(IF(科目编号=$AR$2,ROW(科目编号),""),ROW()-5),"")</f>
        <v/>
      </c>
      <c r="AR181" s="480" t="str">
        <f ca="1">IF($BG$2=0,"",IF(AR180="本月合计","本年累计",IF(OR(ROW()=$AU$3,ROW()=$AV$3,ROW()=$AW$3,ROW()=$AX$3,ROW()=$AY$3,ROW()=$AZ$3,ROW()=$BA$3,ROW()=$BB$3,ROW()=$BC$3,ROW()=$BD$3,ROW()=$BE$3,ROW()=$BF$3),"本月合计",IF(ROW()&lt;7,$AQ$6,OFFSET($AQ$6,COUNT($AR$6:AR180),0)))))</f>
        <v/>
      </c>
    </row>
    <row r="182" spans="1:44">
      <c r="A182" s="469" t="str">
        <f ca="1">IFERROR(INDEX(凭证录入!A:A,$AR182),"")</f>
        <v/>
      </c>
      <c r="B182" s="469" t="str">
        <f ca="1">IFERROR(INDEX(凭证录入!B:B,$AR182),"")</f>
        <v/>
      </c>
      <c r="C182" s="470" t="str">
        <f ca="1">IFERROR(INDEX(凭证录入!G:G,$AR182),"")</f>
        <v/>
      </c>
      <c r="D182" s="471" t="str">
        <f ca="1">IFERROR(INDEX(凭证录入!F:F,$AR182),"")</f>
        <v/>
      </c>
      <c r="E182" s="472" t="str">
        <f ca="1">IFERROR(INDEX(凭证录入!H:H,$AR182),$AR182)</f>
        <v/>
      </c>
      <c r="F182" s="473">
        <f ca="1">IF(OR($BG$2=0,$AR182=""),,IF($AR182="本月合计",IF(ROW()=$BG$3,SUM($F$6:$F181),SUM(INDIRECT("$F$"&amp;OFFSET($AU$3,,MATCH(ROW(),$AU$3:$BF$3,)-2)+2&amp;":$E"&amp;ROW()-1))),IF($AR182="本年累计",SUMIF($AR$6:$AR182,"本月合计",$F$6:$F181),INDEX(凭证录入!K:K,$AR182))))</f>
        <v>0</v>
      </c>
      <c r="G182" s="459" t="str">
        <f t="shared" ref="G182:Q197" ca="1" si="41">LEFT(RIGHT(TEXT($F182/1%," ￥0; ￥-0;"),18-COLUMN()))</f>
        <v/>
      </c>
      <c r="H182" s="460" t="str">
        <f t="shared" ca="1" si="41"/>
        <v/>
      </c>
      <c r="I182" s="460" t="str">
        <f t="shared" ca="1" si="41"/>
        <v/>
      </c>
      <c r="J182" s="460" t="str">
        <f t="shared" ca="1" si="41"/>
        <v/>
      </c>
      <c r="K182" s="460" t="str">
        <f t="shared" ca="1" si="41"/>
        <v/>
      </c>
      <c r="L182" s="460" t="str">
        <f t="shared" ca="1" si="41"/>
        <v/>
      </c>
      <c r="M182" s="460" t="str">
        <f t="shared" ca="1" si="41"/>
        <v/>
      </c>
      <c r="N182" s="460" t="str">
        <f t="shared" ca="1" si="41"/>
        <v/>
      </c>
      <c r="O182" s="461" t="str">
        <f t="shared" ca="1" si="41"/>
        <v/>
      </c>
      <c r="P182" s="474" t="str">
        <f t="shared" ca="1" si="41"/>
        <v/>
      </c>
      <c r="Q182" s="475" t="str">
        <f t="shared" ca="1" si="41"/>
        <v/>
      </c>
      <c r="R182" s="476">
        <f ca="1">IF(OR($BG$2=0,$AR182=""),,IF($AR182="本月合计",IF(ROW()=$BG$3,SUM($R$6:$R181),SUM(INDIRECT("$R$"&amp;OFFSET($AU$3,,MATCH(ROW(),$AU$3:$BF$3,)-2)+2&amp;":$R"&amp;ROW()-1))),IF($AR182="本年累计",SUMIF($AR$6:$AR182,"本月合计",$R$6:$R181),INDEX(凭证录入!L:L,$AR182))))</f>
        <v>0</v>
      </c>
      <c r="S182" s="459" t="str">
        <f t="shared" ref="S182:AC197" ca="1" si="42">LEFT(RIGHT(TEXT($R182/1%," ￥0; ￥-0;"),30-COLUMN()))</f>
        <v/>
      </c>
      <c r="T182" s="460" t="str">
        <f t="shared" ca="1" si="42"/>
        <v/>
      </c>
      <c r="U182" s="460" t="str">
        <f t="shared" ca="1" si="42"/>
        <v/>
      </c>
      <c r="V182" s="460" t="str">
        <f t="shared" ca="1" si="42"/>
        <v/>
      </c>
      <c r="W182" s="460" t="str">
        <f t="shared" ca="1" si="42"/>
        <v/>
      </c>
      <c r="X182" s="460" t="str">
        <f t="shared" ca="1" si="42"/>
        <v/>
      </c>
      <c r="Y182" s="460" t="str">
        <f t="shared" ca="1" si="42"/>
        <v/>
      </c>
      <c r="Z182" s="460" t="str">
        <f t="shared" ca="1" si="42"/>
        <v/>
      </c>
      <c r="AA182" s="461" t="str">
        <f t="shared" ca="1" si="42"/>
        <v/>
      </c>
      <c r="AB182" s="474" t="str">
        <f t="shared" ca="1" si="42"/>
        <v/>
      </c>
      <c r="AC182" s="475" t="str">
        <f t="shared" ca="1" si="42"/>
        <v/>
      </c>
      <c r="AD182" s="477" t="str">
        <f t="shared" ca="1" si="32"/>
        <v/>
      </c>
      <c r="AE182" s="478">
        <f t="shared" ca="1" si="33"/>
        <v>0</v>
      </c>
      <c r="AF182" s="459" t="str">
        <f t="shared" ca="1" si="40"/>
        <v/>
      </c>
      <c r="AG182" s="460" t="str">
        <f t="shared" ca="1" si="40"/>
        <v/>
      </c>
      <c r="AH182" s="460" t="str">
        <f t="shared" ca="1" si="40"/>
        <v/>
      </c>
      <c r="AI182" s="460" t="str">
        <f t="shared" ca="1" si="40"/>
        <v/>
      </c>
      <c r="AJ182" s="460" t="str">
        <f t="shared" ca="1" si="40"/>
        <v/>
      </c>
      <c r="AK182" s="460" t="str">
        <f t="shared" ca="1" si="40"/>
        <v/>
      </c>
      <c r="AL182" s="460" t="str">
        <f t="shared" ca="1" si="40"/>
        <v/>
      </c>
      <c r="AM182" s="460" t="str">
        <f t="shared" ca="1" si="40"/>
        <v/>
      </c>
      <c r="AN182" s="461" t="str">
        <f t="shared" ca="1" si="40"/>
        <v/>
      </c>
      <c r="AO182" s="474" t="str">
        <f t="shared" ca="1" si="40"/>
        <v/>
      </c>
      <c r="AP182" s="475" t="str">
        <f t="shared" ca="1" si="40"/>
        <v/>
      </c>
      <c r="AQ182" s="479" t="str">
        <f t="array" aca="1" ref="AQ182" ca="1">IF(ROW()-5&lt;=COUNTIF(科目编号,$AR$2),SMALL(IF(科目编号=$AR$2,ROW(科目编号),""),ROW()-5),"")</f>
        <v/>
      </c>
      <c r="AR182" s="480" t="str">
        <f ca="1">IF($BG$2=0,"",IF(AR181="本月合计","本年累计",IF(OR(ROW()=$AU$3,ROW()=$AV$3,ROW()=$AW$3,ROW()=$AX$3,ROW()=$AY$3,ROW()=$AZ$3,ROW()=$BA$3,ROW()=$BB$3,ROW()=$BC$3,ROW()=$BD$3,ROW()=$BE$3,ROW()=$BF$3),"本月合计",IF(ROW()&lt;7,$AQ$6,OFFSET($AQ$6,COUNT($AR$6:AR181),0)))))</f>
        <v/>
      </c>
    </row>
    <row r="183" spans="1:44">
      <c r="A183" s="469" t="str">
        <f ca="1">IFERROR(INDEX(凭证录入!A:A,$AR183),"")</f>
        <v/>
      </c>
      <c r="B183" s="469" t="str">
        <f ca="1">IFERROR(INDEX(凭证录入!B:B,$AR183),"")</f>
        <v/>
      </c>
      <c r="C183" s="470" t="str">
        <f ca="1">IFERROR(INDEX(凭证录入!G:G,$AR183),"")</f>
        <v/>
      </c>
      <c r="D183" s="471" t="str">
        <f ca="1">IFERROR(INDEX(凭证录入!F:F,$AR183),"")</f>
        <v/>
      </c>
      <c r="E183" s="472" t="str">
        <f ca="1">IFERROR(INDEX(凭证录入!H:H,$AR183),$AR183)</f>
        <v/>
      </c>
      <c r="F183" s="473">
        <f ca="1">IF(OR($BG$2=0,$AR183=""),,IF($AR183="本月合计",IF(ROW()=$BG$3,SUM($F$6:$F182),SUM(INDIRECT("$F$"&amp;OFFSET($AU$3,,MATCH(ROW(),$AU$3:$BF$3,)-2)+2&amp;":$E"&amp;ROW()-1))),IF($AR183="本年累计",SUMIF($AR$6:$AR183,"本月合计",$F$6:$F182),INDEX(凭证录入!K:K,$AR183))))</f>
        <v>0</v>
      </c>
      <c r="G183" s="459" t="str">
        <f t="shared" ca="1" si="41"/>
        <v/>
      </c>
      <c r="H183" s="460" t="str">
        <f t="shared" ca="1" si="41"/>
        <v/>
      </c>
      <c r="I183" s="460" t="str">
        <f t="shared" ca="1" si="41"/>
        <v/>
      </c>
      <c r="J183" s="460" t="str">
        <f t="shared" ca="1" si="41"/>
        <v/>
      </c>
      <c r="K183" s="460" t="str">
        <f t="shared" ca="1" si="41"/>
        <v/>
      </c>
      <c r="L183" s="460" t="str">
        <f t="shared" ca="1" si="41"/>
        <v/>
      </c>
      <c r="M183" s="460" t="str">
        <f t="shared" ca="1" si="41"/>
        <v/>
      </c>
      <c r="N183" s="460" t="str">
        <f t="shared" ca="1" si="41"/>
        <v/>
      </c>
      <c r="O183" s="461" t="str">
        <f t="shared" ca="1" si="41"/>
        <v/>
      </c>
      <c r="P183" s="474" t="str">
        <f t="shared" ca="1" si="41"/>
        <v/>
      </c>
      <c r="Q183" s="475" t="str">
        <f t="shared" ca="1" si="41"/>
        <v/>
      </c>
      <c r="R183" s="476">
        <f ca="1">IF(OR($BG$2=0,$AR183=""),,IF($AR183="本月合计",IF(ROW()=$BG$3,SUM($R$6:$R182),SUM(INDIRECT("$R$"&amp;OFFSET($AU$3,,MATCH(ROW(),$AU$3:$BF$3,)-2)+2&amp;":$R"&amp;ROW()-1))),IF($AR183="本年累计",SUMIF($AR$6:$AR183,"本月合计",$R$6:$R182),INDEX(凭证录入!L:L,$AR183))))</f>
        <v>0</v>
      </c>
      <c r="S183" s="459" t="str">
        <f t="shared" ca="1" si="42"/>
        <v/>
      </c>
      <c r="T183" s="460" t="str">
        <f t="shared" ca="1" si="42"/>
        <v/>
      </c>
      <c r="U183" s="460" t="str">
        <f t="shared" ca="1" si="42"/>
        <v/>
      </c>
      <c r="V183" s="460" t="str">
        <f t="shared" ca="1" si="42"/>
        <v/>
      </c>
      <c r="W183" s="460" t="str">
        <f t="shared" ca="1" si="42"/>
        <v/>
      </c>
      <c r="X183" s="460" t="str">
        <f t="shared" ca="1" si="42"/>
        <v/>
      </c>
      <c r="Y183" s="460" t="str">
        <f t="shared" ca="1" si="42"/>
        <v/>
      </c>
      <c r="Z183" s="460" t="str">
        <f t="shared" ca="1" si="42"/>
        <v/>
      </c>
      <c r="AA183" s="461" t="str">
        <f t="shared" ca="1" si="42"/>
        <v/>
      </c>
      <c r="AB183" s="474" t="str">
        <f t="shared" ca="1" si="42"/>
        <v/>
      </c>
      <c r="AC183" s="475" t="str">
        <f t="shared" ca="1" si="42"/>
        <v/>
      </c>
      <c r="AD183" s="477" t="str">
        <f t="shared" ca="1" si="32"/>
        <v/>
      </c>
      <c r="AE183" s="478">
        <f t="shared" ca="1" si="33"/>
        <v>0</v>
      </c>
      <c r="AF183" s="459" t="str">
        <f t="shared" ca="1" si="40"/>
        <v/>
      </c>
      <c r="AG183" s="460" t="str">
        <f t="shared" ca="1" si="40"/>
        <v/>
      </c>
      <c r="AH183" s="460" t="str">
        <f t="shared" ca="1" si="40"/>
        <v/>
      </c>
      <c r="AI183" s="460" t="str">
        <f t="shared" ca="1" si="40"/>
        <v/>
      </c>
      <c r="AJ183" s="460" t="str">
        <f t="shared" ca="1" si="40"/>
        <v/>
      </c>
      <c r="AK183" s="460" t="str">
        <f t="shared" ca="1" si="40"/>
        <v/>
      </c>
      <c r="AL183" s="460" t="str">
        <f t="shared" ca="1" si="40"/>
        <v/>
      </c>
      <c r="AM183" s="460" t="str">
        <f t="shared" ca="1" si="40"/>
        <v/>
      </c>
      <c r="AN183" s="461" t="str">
        <f t="shared" ca="1" si="40"/>
        <v/>
      </c>
      <c r="AO183" s="474" t="str">
        <f t="shared" ca="1" si="40"/>
        <v/>
      </c>
      <c r="AP183" s="475" t="str">
        <f t="shared" ca="1" si="40"/>
        <v/>
      </c>
      <c r="AQ183" s="479" t="str">
        <f t="array" aca="1" ref="AQ183" ca="1">IF(ROW()-5&lt;=COUNTIF(科目编号,$AR$2),SMALL(IF(科目编号=$AR$2,ROW(科目编号),""),ROW()-5),"")</f>
        <v/>
      </c>
      <c r="AR183" s="480" t="str">
        <f ca="1">IF($BG$2=0,"",IF(AR182="本月合计","本年累计",IF(OR(ROW()=$AU$3,ROW()=$AV$3,ROW()=$AW$3,ROW()=$AX$3,ROW()=$AY$3,ROW()=$AZ$3,ROW()=$BA$3,ROW()=$BB$3,ROW()=$BC$3,ROW()=$BD$3,ROW()=$BE$3,ROW()=$BF$3),"本月合计",IF(ROW()&lt;7,$AQ$6,OFFSET($AQ$6,COUNT($AR$6:AR182),0)))))</f>
        <v/>
      </c>
    </row>
    <row r="184" spans="1:44">
      <c r="A184" s="469" t="str">
        <f ca="1">IFERROR(INDEX(凭证录入!A:A,$AR184),"")</f>
        <v/>
      </c>
      <c r="B184" s="469" t="str">
        <f ca="1">IFERROR(INDEX(凭证录入!B:B,$AR184),"")</f>
        <v/>
      </c>
      <c r="C184" s="470" t="str">
        <f ca="1">IFERROR(INDEX(凭证录入!G:G,$AR184),"")</f>
        <v/>
      </c>
      <c r="D184" s="471" t="str">
        <f ca="1">IFERROR(INDEX(凭证录入!F:F,$AR184),"")</f>
        <v/>
      </c>
      <c r="E184" s="472" t="str">
        <f ca="1">IFERROR(INDEX(凭证录入!H:H,$AR184),$AR184)</f>
        <v/>
      </c>
      <c r="F184" s="473">
        <f ca="1">IF(OR($BG$2=0,$AR184=""),,IF($AR184="本月合计",IF(ROW()=$BG$3,SUM($F$6:$F183),SUM(INDIRECT("$F$"&amp;OFFSET($AU$3,,MATCH(ROW(),$AU$3:$BF$3,)-2)+2&amp;":$E"&amp;ROW()-1))),IF($AR184="本年累计",SUMIF($AR$6:$AR184,"本月合计",$F$6:$F183),INDEX(凭证录入!K:K,$AR184))))</f>
        <v>0</v>
      </c>
      <c r="G184" s="459" t="str">
        <f t="shared" ca="1" si="41"/>
        <v/>
      </c>
      <c r="H184" s="460" t="str">
        <f t="shared" ca="1" si="41"/>
        <v/>
      </c>
      <c r="I184" s="460" t="str">
        <f t="shared" ca="1" si="41"/>
        <v/>
      </c>
      <c r="J184" s="460" t="str">
        <f t="shared" ca="1" si="41"/>
        <v/>
      </c>
      <c r="K184" s="460" t="str">
        <f t="shared" ca="1" si="41"/>
        <v/>
      </c>
      <c r="L184" s="460" t="str">
        <f t="shared" ca="1" si="41"/>
        <v/>
      </c>
      <c r="M184" s="460" t="str">
        <f t="shared" ca="1" si="41"/>
        <v/>
      </c>
      <c r="N184" s="460" t="str">
        <f t="shared" ca="1" si="41"/>
        <v/>
      </c>
      <c r="O184" s="461" t="str">
        <f t="shared" ca="1" si="41"/>
        <v/>
      </c>
      <c r="P184" s="474" t="str">
        <f t="shared" ca="1" si="41"/>
        <v/>
      </c>
      <c r="Q184" s="475" t="str">
        <f t="shared" ca="1" si="41"/>
        <v/>
      </c>
      <c r="R184" s="476">
        <f ca="1">IF(OR($BG$2=0,$AR184=""),,IF($AR184="本月合计",IF(ROW()=$BG$3,SUM($R$6:$R183),SUM(INDIRECT("$R$"&amp;OFFSET($AU$3,,MATCH(ROW(),$AU$3:$BF$3,)-2)+2&amp;":$R"&amp;ROW()-1))),IF($AR184="本年累计",SUMIF($AR$6:$AR184,"本月合计",$R$6:$R183),INDEX(凭证录入!L:L,$AR184))))</f>
        <v>0</v>
      </c>
      <c r="S184" s="459" t="str">
        <f t="shared" ca="1" si="42"/>
        <v/>
      </c>
      <c r="T184" s="460" t="str">
        <f t="shared" ca="1" si="42"/>
        <v/>
      </c>
      <c r="U184" s="460" t="str">
        <f t="shared" ca="1" si="42"/>
        <v/>
      </c>
      <c r="V184" s="460" t="str">
        <f t="shared" ca="1" si="42"/>
        <v/>
      </c>
      <c r="W184" s="460" t="str">
        <f t="shared" ca="1" si="42"/>
        <v/>
      </c>
      <c r="X184" s="460" t="str">
        <f t="shared" ca="1" si="42"/>
        <v/>
      </c>
      <c r="Y184" s="460" t="str">
        <f t="shared" ca="1" si="42"/>
        <v/>
      </c>
      <c r="Z184" s="460" t="str">
        <f t="shared" ca="1" si="42"/>
        <v/>
      </c>
      <c r="AA184" s="461" t="str">
        <f t="shared" ca="1" si="42"/>
        <v/>
      </c>
      <c r="AB184" s="474" t="str">
        <f t="shared" ca="1" si="42"/>
        <v/>
      </c>
      <c r="AC184" s="475" t="str">
        <f t="shared" ca="1" si="42"/>
        <v/>
      </c>
      <c r="AD184" s="477" t="str">
        <f t="shared" ca="1" si="32"/>
        <v/>
      </c>
      <c r="AE184" s="478">
        <f t="shared" ca="1" si="33"/>
        <v>0</v>
      </c>
      <c r="AF184" s="459" t="str">
        <f t="shared" ca="1" si="40"/>
        <v/>
      </c>
      <c r="AG184" s="460" t="str">
        <f t="shared" ca="1" si="40"/>
        <v/>
      </c>
      <c r="AH184" s="460" t="str">
        <f t="shared" ca="1" si="40"/>
        <v/>
      </c>
      <c r="AI184" s="460" t="str">
        <f t="shared" ca="1" si="40"/>
        <v/>
      </c>
      <c r="AJ184" s="460" t="str">
        <f t="shared" ca="1" si="40"/>
        <v/>
      </c>
      <c r="AK184" s="460" t="str">
        <f t="shared" ca="1" si="40"/>
        <v/>
      </c>
      <c r="AL184" s="460" t="str">
        <f t="shared" ca="1" si="40"/>
        <v/>
      </c>
      <c r="AM184" s="460" t="str">
        <f t="shared" ca="1" si="40"/>
        <v/>
      </c>
      <c r="AN184" s="461" t="str">
        <f t="shared" ca="1" si="40"/>
        <v/>
      </c>
      <c r="AO184" s="474" t="str">
        <f t="shared" ca="1" si="40"/>
        <v/>
      </c>
      <c r="AP184" s="475" t="str">
        <f t="shared" ca="1" si="40"/>
        <v/>
      </c>
      <c r="AQ184" s="479" t="str">
        <f t="array" aca="1" ref="AQ184" ca="1">IF(ROW()-5&lt;=COUNTIF(科目编号,$AR$2),SMALL(IF(科目编号=$AR$2,ROW(科目编号),""),ROW()-5),"")</f>
        <v/>
      </c>
      <c r="AR184" s="480" t="str">
        <f ca="1">IF($BG$2=0,"",IF(AR183="本月合计","本年累计",IF(OR(ROW()=$AU$3,ROW()=$AV$3,ROW()=$AW$3,ROW()=$AX$3,ROW()=$AY$3,ROW()=$AZ$3,ROW()=$BA$3,ROW()=$BB$3,ROW()=$BC$3,ROW()=$BD$3,ROW()=$BE$3,ROW()=$BF$3),"本月合计",IF(ROW()&lt;7,$AQ$6,OFFSET($AQ$6,COUNT($AR$6:AR183),0)))))</f>
        <v/>
      </c>
    </row>
    <row r="185" spans="1:44">
      <c r="A185" s="469" t="str">
        <f ca="1">IFERROR(INDEX(凭证录入!A:A,$AR185),"")</f>
        <v/>
      </c>
      <c r="B185" s="469" t="str">
        <f ca="1">IFERROR(INDEX(凭证录入!B:B,$AR185),"")</f>
        <v/>
      </c>
      <c r="C185" s="470" t="str">
        <f ca="1">IFERROR(INDEX(凭证录入!G:G,$AR185),"")</f>
        <v/>
      </c>
      <c r="D185" s="471" t="str">
        <f ca="1">IFERROR(INDEX(凭证录入!F:F,$AR185),"")</f>
        <v/>
      </c>
      <c r="E185" s="472" t="str">
        <f ca="1">IFERROR(INDEX(凭证录入!H:H,$AR185),$AR185)</f>
        <v/>
      </c>
      <c r="F185" s="473">
        <f ca="1">IF(OR($BG$2=0,$AR185=""),,IF($AR185="本月合计",IF(ROW()=$BG$3,SUM($F$6:$F184),SUM(INDIRECT("$F$"&amp;OFFSET($AU$3,,MATCH(ROW(),$AU$3:$BF$3,)-2)+2&amp;":$E"&amp;ROW()-1))),IF($AR185="本年累计",SUMIF($AR$6:$AR185,"本月合计",$F$6:$F184),INDEX(凭证录入!K:K,$AR185))))</f>
        <v>0</v>
      </c>
      <c r="G185" s="459" t="str">
        <f t="shared" ca="1" si="41"/>
        <v/>
      </c>
      <c r="H185" s="460" t="str">
        <f t="shared" ca="1" si="41"/>
        <v/>
      </c>
      <c r="I185" s="460" t="str">
        <f t="shared" ca="1" si="41"/>
        <v/>
      </c>
      <c r="J185" s="460" t="str">
        <f t="shared" ca="1" si="41"/>
        <v/>
      </c>
      <c r="K185" s="460" t="str">
        <f t="shared" ca="1" si="41"/>
        <v/>
      </c>
      <c r="L185" s="460" t="str">
        <f t="shared" ca="1" si="41"/>
        <v/>
      </c>
      <c r="M185" s="460" t="str">
        <f t="shared" ca="1" si="41"/>
        <v/>
      </c>
      <c r="N185" s="460" t="str">
        <f t="shared" ca="1" si="41"/>
        <v/>
      </c>
      <c r="O185" s="461" t="str">
        <f t="shared" ca="1" si="41"/>
        <v/>
      </c>
      <c r="P185" s="474" t="str">
        <f t="shared" ca="1" si="41"/>
        <v/>
      </c>
      <c r="Q185" s="475" t="str">
        <f t="shared" ca="1" si="41"/>
        <v/>
      </c>
      <c r="R185" s="476">
        <f ca="1">IF(OR($BG$2=0,$AR185=""),,IF($AR185="本月合计",IF(ROW()=$BG$3,SUM($R$6:$R184),SUM(INDIRECT("$R$"&amp;OFFSET($AU$3,,MATCH(ROW(),$AU$3:$BF$3,)-2)+2&amp;":$R"&amp;ROW()-1))),IF($AR185="本年累计",SUMIF($AR$6:$AR185,"本月合计",$R$6:$R184),INDEX(凭证录入!L:L,$AR185))))</f>
        <v>0</v>
      </c>
      <c r="S185" s="459" t="str">
        <f t="shared" ca="1" si="42"/>
        <v/>
      </c>
      <c r="T185" s="460" t="str">
        <f t="shared" ca="1" si="42"/>
        <v/>
      </c>
      <c r="U185" s="460" t="str">
        <f t="shared" ca="1" si="42"/>
        <v/>
      </c>
      <c r="V185" s="460" t="str">
        <f t="shared" ca="1" si="42"/>
        <v/>
      </c>
      <c r="W185" s="460" t="str">
        <f t="shared" ca="1" si="42"/>
        <v/>
      </c>
      <c r="X185" s="460" t="str">
        <f t="shared" ca="1" si="42"/>
        <v/>
      </c>
      <c r="Y185" s="460" t="str">
        <f t="shared" ca="1" si="42"/>
        <v/>
      </c>
      <c r="Z185" s="460" t="str">
        <f t="shared" ca="1" si="42"/>
        <v/>
      </c>
      <c r="AA185" s="461" t="str">
        <f t="shared" ca="1" si="42"/>
        <v/>
      </c>
      <c r="AB185" s="474" t="str">
        <f t="shared" ca="1" si="42"/>
        <v/>
      </c>
      <c r="AC185" s="475" t="str">
        <f t="shared" ca="1" si="42"/>
        <v/>
      </c>
      <c r="AD185" s="477" t="str">
        <f t="shared" ca="1" si="32"/>
        <v/>
      </c>
      <c r="AE185" s="478">
        <f t="shared" ca="1" si="33"/>
        <v>0</v>
      </c>
      <c r="AF185" s="459" t="str">
        <f t="shared" ca="1" si="40"/>
        <v/>
      </c>
      <c r="AG185" s="460" t="str">
        <f t="shared" ca="1" si="40"/>
        <v/>
      </c>
      <c r="AH185" s="460" t="str">
        <f t="shared" ca="1" si="40"/>
        <v/>
      </c>
      <c r="AI185" s="460" t="str">
        <f t="shared" ca="1" si="40"/>
        <v/>
      </c>
      <c r="AJ185" s="460" t="str">
        <f t="shared" ca="1" si="40"/>
        <v/>
      </c>
      <c r="AK185" s="460" t="str">
        <f t="shared" ca="1" si="40"/>
        <v/>
      </c>
      <c r="AL185" s="460" t="str">
        <f t="shared" ca="1" si="40"/>
        <v/>
      </c>
      <c r="AM185" s="460" t="str">
        <f t="shared" ca="1" si="40"/>
        <v/>
      </c>
      <c r="AN185" s="461" t="str">
        <f t="shared" ca="1" si="40"/>
        <v/>
      </c>
      <c r="AO185" s="474" t="str">
        <f t="shared" ca="1" si="40"/>
        <v/>
      </c>
      <c r="AP185" s="475" t="str">
        <f t="shared" ca="1" si="40"/>
        <v/>
      </c>
      <c r="AQ185" s="479" t="str">
        <f t="array" aca="1" ref="AQ185" ca="1">IF(ROW()-5&lt;=COUNTIF(科目编号,$AR$2),SMALL(IF(科目编号=$AR$2,ROW(科目编号),""),ROW()-5),"")</f>
        <v/>
      </c>
      <c r="AR185" s="480" t="str">
        <f ca="1">IF($BG$2=0,"",IF(AR184="本月合计","本年累计",IF(OR(ROW()=$AU$3,ROW()=$AV$3,ROW()=$AW$3,ROW()=$AX$3,ROW()=$AY$3,ROW()=$AZ$3,ROW()=$BA$3,ROW()=$BB$3,ROW()=$BC$3,ROW()=$BD$3,ROW()=$BE$3,ROW()=$BF$3),"本月合计",IF(ROW()&lt;7,$AQ$6,OFFSET($AQ$6,COUNT($AR$6:AR184),0)))))</f>
        <v/>
      </c>
    </row>
    <row r="186" spans="1:44">
      <c r="A186" s="469" t="str">
        <f ca="1">IFERROR(INDEX(凭证录入!A:A,$AR186),"")</f>
        <v/>
      </c>
      <c r="B186" s="469" t="str">
        <f ca="1">IFERROR(INDEX(凭证录入!B:B,$AR186),"")</f>
        <v/>
      </c>
      <c r="C186" s="470" t="str">
        <f ca="1">IFERROR(INDEX(凭证录入!G:G,$AR186),"")</f>
        <v/>
      </c>
      <c r="D186" s="471" t="str">
        <f ca="1">IFERROR(INDEX(凭证录入!F:F,$AR186),"")</f>
        <v/>
      </c>
      <c r="E186" s="472" t="str">
        <f ca="1">IFERROR(INDEX(凭证录入!H:H,$AR186),$AR186)</f>
        <v/>
      </c>
      <c r="F186" s="473">
        <f ca="1">IF(OR($BG$2=0,$AR186=""),,IF($AR186="本月合计",IF(ROW()=$BG$3,SUM($F$6:$F185),SUM(INDIRECT("$F$"&amp;OFFSET($AU$3,,MATCH(ROW(),$AU$3:$BF$3,)-2)+2&amp;":$E"&amp;ROW()-1))),IF($AR186="本年累计",SUMIF($AR$6:$AR186,"本月合计",$F$6:$F185),INDEX(凭证录入!K:K,$AR186))))</f>
        <v>0</v>
      </c>
      <c r="G186" s="459" t="str">
        <f t="shared" ca="1" si="41"/>
        <v/>
      </c>
      <c r="H186" s="460" t="str">
        <f t="shared" ca="1" si="41"/>
        <v/>
      </c>
      <c r="I186" s="460" t="str">
        <f t="shared" ca="1" si="41"/>
        <v/>
      </c>
      <c r="J186" s="460" t="str">
        <f t="shared" ca="1" si="41"/>
        <v/>
      </c>
      <c r="K186" s="460" t="str">
        <f t="shared" ca="1" si="41"/>
        <v/>
      </c>
      <c r="L186" s="460" t="str">
        <f t="shared" ca="1" si="41"/>
        <v/>
      </c>
      <c r="M186" s="460" t="str">
        <f t="shared" ca="1" si="41"/>
        <v/>
      </c>
      <c r="N186" s="460" t="str">
        <f t="shared" ca="1" si="41"/>
        <v/>
      </c>
      <c r="O186" s="461" t="str">
        <f t="shared" ca="1" si="41"/>
        <v/>
      </c>
      <c r="P186" s="474" t="str">
        <f t="shared" ca="1" si="41"/>
        <v/>
      </c>
      <c r="Q186" s="475" t="str">
        <f t="shared" ca="1" si="41"/>
        <v/>
      </c>
      <c r="R186" s="476">
        <f ca="1">IF(OR($BG$2=0,$AR186=""),,IF($AR186="本月合计",IF(ROW()=$BG$3,SUM($R$6:$R185),SUM(INDIRECT("$R$"&amp;OFFSET($AU$3,,MATCH(ROW(),$AU$3:$BF$3,)-2)+2&amp;":$R"&amp;ROW()-1))),IF($AR186="本年累计",SUMIF($AR$6:$AR186,"本月合计",$R$6:$R185),INDEX(凭证录入!L:L,$AR186))))</f>
        <v>0</v>
      </c>
      <c r="S186" s="459" t="str">
        <f t="shared" ca="1" si="42"/>
        <v/>
      </c>
      <c r="T186" s="460" t="str">
        <f t="shared" ca="1" si="42"/>
        <v/>
      </c>
      <c r="U186" s="460" t="str">
        <f t="shared" ca="1" si="42"/>
        <v/>
      </c>
      <c r="V186" s="460" t="str">
        <f t="shared" ca="1" si="42"/>
        <v/>
      </c>
      <c r="W186" s="460" t="str">
        <f t="shared" ca="1" si="42"/>
        <v/>
      </c>
      <c r="X186" s="460" t="str">
        <f t="shared" ca="1" si="42"/>
        <v/>
      </c>
      <c r="Y186" s="460" t="str">
        <f t="shared" ca="1" si="42"/>
        <v/>
      </c>
      <c r="Z186" s="460" t="str">
        <f t="shared" ca="1" si="42"/>
        <v/>
      </c>
      <c r="AA186" s="461" t="str">
        <f t="shared" ca="1" si="42"/>
        <v/>
      </c>
      <c r="AB186" s="474" t="str">
        <f t="shared" ca="1" si="42"/>
        <v/>
      </c>
      <c r="AC186" s="475" t="str">
        <f t="shared" ca="1" si="42"/>
        <v/>
      </c>
      <c r="AD186" s="477" t="str">
        <f t="shared" ca="1" si="32"/>
        <v/>
      </c>
      <c r="AE186" s="478">
        <f t="shared" ca="1" si="33"/>
        <v>0</v>
      </c>
      <c r="AF186" s="459" t="str">
        <f t="shared" ca="1" si="40"/>
        <v/>
      </c>
      <c r="AG186" s="460" t="str">
        <f t="shared" ca="1" si="40"/>
        <v/>
      </c>
      <c r="AH186" s="460" t="str">
        <f t="shared" ca="1" si="40"/>
        <v/>
      </c>
      <c r="AI186" s="460" t="str">
        <f t="shared" ca="1" si="40"/>
        <v/>
      </c>
      <c r="AJ186" s="460" t="str">
        <f t="shared" ca="1" si="40"/>
        <v/>
      </c>
      <c r="AK186" s="460" t="str">
        <f t="shared" ca="1" si="40"/>
        <v/>
      </c>
      <c r="AL186" s="460" t="str">
        <f t="shared" ca="1" si="40"/>
        <v/>
      </c>
      <c r="AM186" s="460" t="str">
        <f t="shared" ca="1" si="40"/>
        <v/>
      </c>
      <c r="AN186" s="461" t="str">
        <f t="shared" ca="1" si="40"/>
        <v/>
      </c>
      <c r="AO186" s="474" t="str">
        <f t="shared" ca="1" si="40"/>
        <v/>
      </c>
      <c r="AP186" s="475" t="str">
        <f t="shared" ca="1" si="40"/>
        <v/>
      </c>
      <c r="AQ186" s="479" t="str">
        <f t="array" aca="1" ref="AQ186" ca="1">IF(ROW()-5&lt;=COUNTIF(科目编号,$AR$2),SMALL(IF(科目编号=$AR$2,ROW(科目编号),""),ROW()-5),"")</f>
        <v/>
      </c>
      <c r="AR186" s="480" t="str">
        <f ca="1">IF($BG$2=0,"",IF(AR185="本月合计","本年累计",IF(OR(ROW()=$AU$3,ROW()=$AV$3,ROW()=$AW$3,ROW()=$AX$3,ROW()=$AY$3,ROW()=$AZ$3,ROW()=$BA$3,ROW()=$BB$3,ROW()=$BC$3,ROW()=$BD$3,ROW()=$BE$3,ROW()=$BF$3),"本月合计",IF(ROW()&lt;7,$AQ$6,OFFSET($AQ$6,COUNT($AR$6:AR185),0)))))</f>
        <v/>
      </c>
    </row>
    <row r="187" spans="1:44">
      <c r="A187" s="469" t="str">
        <f ca="1">IFERROR(INDEX(凭证录入!A:A,$AR187),"")</f>
        <v/>
      </c>
      <c r="B187" s="469" t="str">
        <f ca="1">IFERROR(INDEX(凭证录入!B:B,$AR187),"")</f>
        <v/>
      </c>
      <c r="C187" s="470" t="str">
        <f ca="1">IFERROR(INDEX(凭证录入!G:G,$AR187),"")</f>
        <v/>
      </c>
      <c r="D187" s="471" t="str">
        <f ca="1">IFERROR(INDEX(凭证录入!F:F,$AR187),"")</f>
        <v/>
      </c>
      <c r="E187" s="472" t="str">
        <f ca="1">IFERROR(INDEX(凭证录入!H:H,$AR187),$AR187)</f>
        <v/>
      </c>
      <c r="F187" s="473">
        <f ca="1">IF(OR($BG$2=0,$AR187=""),,IF($AR187="本月合计",IF(ROW()=$BG$3,SUM($F$6:$F186),SUM(INDIRECT("$F$"&amp;OFFSET($AU$3,,MATCH(ROW(),$AU$3:$BF$3,)-2)+2&amp;":$E"&amp;ROW()-1))),IF($AR187="本年累计",SUMIF($AR$6:$AR187,"本月合计",$F$6:$F186),INDEX(凭证录入!K:K,$AR187))))</f>
        <v>0</v>
      </c>
      <c r="G187" s="459" t="str">
        <f t="shared" ca="1" si="41"/>
        <v/>
      </c>
      <c r="H187" s="460" t="str">
        <f t="shared" ca="1" si="41"/>
        <v/>
      </c>
      <c r="I187" s="460" t="str">
        <f t="shared" ca="1" si="41"/>
        <v/>
      </c>
      <c r="J187" s="460" t="str">
        <f t="shared" ca="1" si="41"/>
        <v/>
      </c>
      <c r="K187" s="460" t="str">
        <f t="shared" ca="1" si="41"/>
        <v/>
      </c>
      <c r="L187" s="460" t="str">
        <f t="shared" ca="1" si="41"/>
        <v/>
      </c>
      <c r="M187" s="460" t="str">
        <f t="shared" ca="1" si="41"/>
        <v/>
      </c>
      <c r="N187" s="460" t="str">
        <f t="shared" ca="1" si="41"/>
        <v/>
      </c>
      <c r="O187" s="461" t="str">
        <f t="shared" ca="1" si="41"/>
        <v/>
      </c>
      <c r="P187" s="474" t="str">
        <f t="shared" ca="1" si="41"/>
        <v/>
      </c>
      <c r="Q187" s="475" t="str">
        <f t="shared" ca="1" si="41"/>
        <v/>
      </c>
      <c r="R187" s="476">
        <f ca="1">IF(OR($BG$2=0,$AR187=""),,IF($AR187="本月合计",IF(ROW()=$BG$3,SUM($R$6:$R186),SUM(INDIRECT("$R$"&amp;OFFSET($AU$3,,MATCH(ROW(),$AU$3:$BF$3,)-2)+2&amp;":$R"&amp;ROW()-1))),IF($AR187="本年累计",SUMIF($AR$6:$AR187,"本月合计",$R$6:$R186),INDEX(凭证录入!L:L,$AR187))))</f>
        <v>0</v>
      </c>
      <c r="S187" s="459" t="str">
        <f t="shared" ca="1" si="42"/>
        <v/>
      </c>
      <c r="T187" s="460" t="str">
        <f t="shared" ca="1" si="42"/>
        <v/>
      </c>
      <c r="U187" s="460" t="str">
        <f t="shared" ca="1" si="42"/>
        <v/>
      </c>
      <c r="V187" s="460" t="str">
        <f t="shared" ca="1" si="42"/>
        <v/>
      </c>
      <c r="W187" s="460" t="str">
        <f t="shared" ca="1" si="42"/>
        <v/>
      </c>
      <c r="X187" s="460" t="str">
        <f t="shared" ca="1" si="42"/>
        <v/>
      </c>
      <c r="Y187" s="460" t="str">
        <f t="shared" ca="1" si="42"/>
        <v/>
      </c>
      <c r="Z187" s="460" t="str">
        <f t="shared" ca="1" si="42"/>
        <v/>
      </c>
      <c r="AA187" s="461" t="str">
        <f t="shared" ca="1" si="42"/>
        <v/>
      </c>
      <c r="AB187" s="474" t="str">
        <f t="shared" ca="1" si="42"/>
        <v/>
      </c>
      <c r="AC187" s="475" t="str">
        <f t="shared" ca="1" si="42"/>
        <v/>
      </c>
      <c r="AD187" s="477" t="str">
        <f t="shared" ca="1" si="32"/>
        <v/>
      </c>
      <c r="AE187" s="478">
        <f t="shared" ca="1" si="33"/>
        <v>0</v>
      </c>
      <c r="AF187" s="459" t="str">
        <f t="shared" ca="1" si="40"/>
        <v/>
      </c>
      <c r="AG187" s="460" t="str">
        <f t="shared" ca="1" si="40"/>
        <v/>
      </c>
      <c r="AH187" s="460" t="str">
        <f t="shared" ca="1" si="40"/>
        <v/>
      </c>
      <c r="AI187" s="460" t="str">
        <f t="shared" ca="1" si="40"/>
        <v/>
      </c>
      <c r="AJ187" s="460" t="str">
        <f t="shared" ca="1" si="40"/>
        <v/>
      </c>
      <c r="AK187" s="460" t="str">
        <f t="shared" ca="1" si="40"/>
        <v/>
      </c>
      <c r="AL187" s="460" t="str">
        <f t="shared" ca="1" si="40"/>
        <v/>
      </c>
      <c r="AM187" s="460" t="str">
        <f t="shared" ca="1" si="40"/>
        <v/>
      </c>
      <c r="AN187" s="461" t="str">
        <f t="shared" ca="1" si="40"/>
        <v/>
      </c>
      <c r="AO187" s="474" t="str">
        <f t="shared" ca="1" si="40"/>
        <v/>
      </c>
      <c r="AP187" s="475" t="str">
        <f t="shared" ca="1" si="40"/>
        <v/>
      </c>
      <c r="AQ187" s="479" t="str">
        <f t="array" aca="1" ref="AQ187" ca="1">IF(ROW()-5&lt;=COUNTIF(科目编号,$AR$2),SMALL(IF(科目编号=$AR$2,ROW(科目编号),""),ROW()-5),"")</f>
        <v/>
      </c>
      <c r="AR187" s="480" t="str">
        <f ca="1">IF($BG$2=0,"",IF(AR186="本月合计","本年累计",IF(OR(ROW()=$AU$3,ROW()=$AV$3,ROW()=$AW$3,ROW()=$AX$3,ROW()=$AY$3,ROW()=$AZ$3,ROW()=$BA$3,ROW()=$BB$3,ROW()=$BC$3,ROW()=$BD$3,ROW()=$BE$3,ROW()=$BF$3),"本月合计",IF(ROW()&lt;7,$AQ$6,OFFSET($AQ$6,COUNT($AR$6:AR186),0)))))</f>
        <v/>
      </c>
    </row>
    <row r="188" spans="1:44">
      <c r="A188" s="469" t="str">
        <f ca="1">IFERROR(INDEX(凭证录入!A:A,$AR188),"")</f>
        <v/>
      </c>
      <c r="B188" s="469" t="str">
        <f ca="1">IFERROR(INDEX(凭证录入!B:B,$AR188),"")</f>
        <v/>
      </c>
      <c r="C188" s="470" t="str">
        <f ca="1">IFERROR(INDEX(凭证录入!G:G,$AR188),"")</f>
        <v/>
      </c>
      <c r="D188" s="471" t="str">
        <f ca="1">IFERROR(INDEX(凭证录入!F:F,$AR188),"")</f>
        <v/>
      </c>
      <c r="E188" s="472" t="str">
        <f ca="1">IFERROR(INDEX(凭证录入!H:H,$AR188),$AR188)</f>
        <v/>
      </c>
      <c r="F188" s="473">
        <f ca="1">IF(OR($BG$2=0,$AR188=""),,IF($AR188="本月合计",IF(ROW()=$BG$3,SUM($F$6:$F187),SUM(INDIRECT("$F$"&amp;OFFSET($AU$3,,MATCH(ROW(),$AU$3:$BF$3,)-2)+2&amp;":$E"&amp;ROW()-1))),IF($AR188="本年累计",SUMIF($AR$6:$AR188,"本月合计",$F$6:$F187),INDEX(凭证录入!K:K,$AR188))))</f>
        <v>0</v>
      </c>
      <c r="G188" s="459" t="str">
        <f t="shared" ca="1" si="41"/>
        <v/>
      </c>
      <c r="H188" s="460" t="str">
        <f t="shared" ca="1" si="41"/>
        <v/>
      </c>
      <c r="I188" s="460" t="str">
        <f t="shared" ca="1" si="41"/>
        <v/>
      </c>
      <c r="J188" s="460" t="str">
        <f t="shared" ca="1" si="41"/>
        <v/>
      </c>
      <c r="K188" s="460" t="str">
        <f t="shared" ca="1" si="41"/>
        <v/>
      </c>
      <c r="L188" s="460" t="str">
        <f t="shared" ca="1" si="41"/>
        <v/>
      </c>
      <c r="M188" s="460" t="str">
        <f t="shared" ca="1" si="41"/>
        <v/>
      </c>
      <c r="N188" s="460" t="str">
        <f t="shared" ca="1" si="41"/>
        <v/>
      </c>
      <c r="O188" s="461" t="str">
        <f t="shared" ca="1" si="41"/>
        <v/>
      </c>
      <c r="P188" s="474" t="str">
        <f t="shared" ca="1" si="41"/>
        <v/>
      </c>
      <c r="Q188" s="475" t="str">
        <f t="shared" ca="1" si="41"/>
        <v/>
      </c>
      <c r="R188" s="476">
        <f ca="1">IF(OR($BG$2=0,$AR188=""),,IF($AR188="本月合计",IF(ROW()=$BG$3,SUM($R$6:$R187),SUM(INDIRECT("$R$"&amp;OFFSET($AU$3,,MATCH(ROW(),$AU$3:$BF$3,)-2)+2&amp;":$R"&amp;ROW()-1))),IF($AR188="本年累计",SUMIF($AR$6:$AR188,"本月合计",$R$6:$R187),INDEX(凭证录入!L:L,$AR188))))</f>
        <v>0</v>
      </c>
      <c r="S188" s="459" t="str">
        <f t="shared" ca="1" si="42"/>
        <v/>
      </c>
      <c r="T188" s="460" t="str">
        <f t="shared" ca="1" si="42"/>
        <v/>
      </c>
      <c r="U188" s="460" t="str">
        <f t="shared" ca="1" si="42"/>
        <v/>
      </c>
      <c r="V188" s="460" t="str">
        <f t="shared" ca="1" si="42"/>
        <v/>
      </c>
      <c r="W188" s="460" t="str">
        <f t="shared" ca="1" si="42"/>
        <v/>
      </c>
      <c r="X188" s="460" t="str">
        <f t="shared" ca="1" si="42"/>
        <v/>
      </c>
      <c r="Y188" s="460" t="str">
        <f t="shared" ca="1" si="42"/>
        <v/>
      </c>
      <c r="Z188" s="460" t="str">
        <f t="shared" ca="1" si="42"/>
        <v/>
      </c>
      <c r="AA188" s="461" t="str">
        <f t="shared" ca="1" si="42"/>
        <v/>
      </c>
      <c r="AB188" s="474" t="str">
        <f t="shared" ca="1" si="42"/>
        <v/>
      </c>
      <c r="AC188" s="475" t="str">
        <f t="shared" ca="1" si="42"/>
        <v/>
      </c>
      <c r="AD188" s="477" t="str">
        <f t="shared" ca="1" si="32"/>
        <v/>
      </c>
      <c r="AE188" s="478">
        <f t="shared" ca="1" si="33"/>
        <v>0</v>
      </c>
      <c r="AF188" s="459" t="str">
        <f t="shared" ca="1" si="40"/>
        <v/>
      </c>
      <c r="AG188" s="460" t="str">
        <f t="shared" ca="1" si="40"/>
        <v/>
      </c>
      <c r="AH188" s="460" t="str">
        <f t="shared" ca="1" si="40"/>
        <v/>
      </c>
      <c r="AI188" s="460" t="str">
        <f t="shared" ca="1" si="40"/>
        <v/>
      </c>
      <c r="AJ188" s="460" t="str">
        <f t="shared" ca="1" si="40"/>
        <v/>
      </c>
      <c r="AK188" s="460" t="str">
        <f t="shared" ca="1" si="40"/>
        <v/>
      </c>
      <c r="AL188" s="460" t="str">
        <f t="shared" ca="1" si="40"/>
        <v/>
      </c>
      <c r="AM188" s="460" t="str">
        <f t="shared" ca="1" si="40"/>
        <v/>
      </c>
      <c r="AN188" s="461" t="str">
        <f t="shared" ca="1" si="40"/>
        <v/>
      </c>
      <c r="AO188" s="474" t="str">
        <f t="shared" ca="1" si="40"/>
        <v/>
      </c>
      <c r="AP188" s="475" t="str">
        <f t="shared" ca="1" si="40"/>
        <v/>
      </c>
      <c r="AQ188" s="479" t="str">
        <f t="array" aca="1" ref="AQ188" ca="1">IF(ROW()-5&lt;=COUNTIF(科目编号,$AR$2),SMALL(IF(科目编号=$AR$2,ROW(科目编号),""),ROW()-5),"")</f>
        <v/>
      </c>
      <c r="AR188" s="480" t="str">
        <f ca="1">IF($BG$2=0,"",IF(AR187="本月合计","本年累计",IF(OR(ROW()=$AU$3,ROW()=$AV$3,ROW()=$AW$3,ROW()=$AX$3,ROW()=$AY$3,ROW()=$AZ$3,ROW()=$BA$3,ROW()=$BB$3,ROW()=$BC$3,ROW()=$BD$3,ROW()=$BE$3,ROW()=$BF$3),"本月合计",IF(ROW()&lt;7,$AQ$6,OFFSET($AQ$6,COUNT($AR$6:AR187),0)))))</f>
        <v/>
      </c>
    </row>
    <row r="189" spans="1:44">
      <c r="A189" s="469" t="str">
        <f ca="1">IFERROR(INDEX(凭证录入!A:A,$AR189),"")</f>
        <v/>
      </c>
      <c r="B189" s="469" t="str">
        <f ca="1">IFERROR(INDEX(凭证录入!B:B,$AR189),"")</f>
        <v/>
      </c>
      <c r="C189" s="470" t="str">
        <f ca="1">IFERROR(INDEX(凭证录入!G:G,$AR189),"")</f>
        <v/>
      </c>
      <c r="D189" s="471" t="str">
        <f ca="1">IFERROR(INDEX(凭证录入!F:F,$AR189),"")</f>
        <v/>
      </c>
      <c r="E189" s="472" t="str">
        <f ca="1">IFERROR(INDEX(凭证录入!H:H,$AR189),$AR189)</f>
        <v/>
      </c>
      <c r="F189" s="473">
        <f ca="1">IF(OR($BG$2=0,$AR189=""),,IF($AR189="本月合计",IF(ROW()=$BG$3,SUM($F$6:$F188),SUM(INDIRECT("$F$"&amp;OFFSET($AU$3,,MATCH(ROW(),$AU$3:$BF$3,)-2)+2&amp;":$E"&amp;ROW()-1))),IF($AR189="本年累计",SUMIF($AR$6:$AR189,"本月合计",$F$6:$F188),INDEX(凭证录入!K:K,$AR189))))</f>
        <v>0</v>
      </c>
      <c r="G189" s="459" t="str">
        <f t="shared" ca="1" si="41"/>
        <v/>
      </c>
      <c r="H189" s="460" t="str">
        <f t="shared" ca="1" si="41"/>
        <v/>
      </c>
      <c r="I189" s="460" t="str">
        <f t="shared" ca="1" si="41"/>
        <v/>
      </c>
      <c r="J189" s="460" t="str">
        <f t="shared" ca="1" si="41"/>
        <v/>
      </c>
      <c r="K189" s="460" t="str">
        <f t="shared" ca="1" si="41"/>
        <v/>
      </c>
      <c r="L189" s="460" t="str">
        <f t="shared" ca="1" si="41"/>
        <v/>
      </c>
      <c r="M189" s="460" t="str">
        <f t="shared" ca="1" si="41"/>
        <v/>
      </c>
      <c r="N189" s="460" t="str">
        <f t="shared" ca="1" si="41"/>
        <v/>
      </c>
      <c r="O189" s="461" t="str">
        <f t="shared" ca="1" si="41"/>
        <v/>
      </c>
      <c r="P189" s="474" t="str">
        <f t="shared" ca="1" si="41"/>
        <v/>
      </c>
      <c r="Q189" s="475" t="str">
        <f t="shared" ca="1" si="41"/>
        <v/>
      </c>
      <c r="R189" s="476">
        <f ca="1">IF(OR($BG$2=0,$AR189=""),,IF($AR189="本月合计",IF(ROW()=$BG$3,SUM($R$6:$R188),SUM(INDIRECT("$R$"&amp;OFFSET($AU$3,,MATCH(ROW(),$AU$3:$BF$3,)-2)+2&amp;":$R"&amp;ROW()-1))),IF($AR189="本年累计",SUMIF($AR$6:$AR189,"本月合计",$R$6:$R188),INDEX(凭证录入!L:L,$AR189))))</f>
        <v>0</v>
      </c>
      <c r="S189" s="459" t="str">
        <f t="shared" ca="1" si="42"/>
        <v/>
      </c>
      <c r="T189" s="460" t="str">
        <f t="shared" ca="1" si="42"/>
        <v/>
      </c>
      <c r="U189" s="460" t="str">
        <f t="shared" ca="1" si="42"/>
        <v/>
      </c>
      <c r="V189" s="460" t="str">
        <f t="shared" ca="1" si="42"/>
        <v/>
      </c>
      <c r="W189" s="460" t="str">
        <f t="shared" ca="1" si="42"/>
        <v/>
      </c>
      <c r="X189" s="460" t="str">
        <f t="shared" ca="1" si="42"/>
        <v/>
      </c>
      <c r="Y189" s="460" t="str">
        <f t="shared" ca="1" si="42"/>
        <v/>
      </c>
      <c r="Z189" s="460" t="str">
        <f t="shared" ca="1" si="42"/>
        <v/>
      </c>
      <c r="AA189" s="461" t="str">
        <f t="shared" ca="1" si="42"/>
        <v/>
      </c>
      <c r="AB189" s="474" t="str">
        <f t="shared" ca="1" si="42"/>
        <v/>
      </c>
      <c r="AC189" s="475" t="str">
        <f t="shared" ca="1" si="42"/>
        <v/>
      </c>
      <c r="AD189" s="477" t="str">
        <f t="shared" ca="1" si="32"/>
        <v/>
      </c>
      <c r="AE189" s="478">
        <f t="shared" ca="1" si="33"/>
        <v>0</v>
      </c>
      <c r="AF189" s="459" t="str">
        <f t="shared" ca="1" si="40"/>
        <v/>
      </c>
      <c r="AG189" s="460" t="str">
        <f t="shared" ca="1" si="40"/>
        <v/>
      </c>
      <c r="AH189" s="460" t="str">
        <f t="shared" ca="1" si="40"/>
        <v/>
      </c>
      <c r="AI189" s="460" t="str">
        <f t="shared" ca="1" si="40"/>
        <v/>
      </c>
      <c r="AJ189" s="460" t="str">
        <f t="shared" ca="1" si="40"/>
        <v/>
      </c>
      <c r="AK189" s="460" t="str">
        <f t="shared" ca="1" si="40"/>
        <v/>
      </c>
      <c r="AL189" s="460" t="str">
        <f t="shared" ca="1" si="40"/>
        <v/>
      </c>
      <c r="AM189" s="460" t="str">
        <f t="shared" ca="1" si="40"/>
        <v/>
      </c>
      <c r="AN189" s="461" t="str">
        <f t="shared" ca="1" si="40"/>
        <v/>
      </c>
      <c r="AO189" s="474" t="str">
        <f t="shared" ca="1" si="40"/>
        <v/>
      </c>
      <c r="AP189" s="475" t="str">
        <f t="shared" ca="1" si="40"/>
        <v/>
      </c>
      <c r="AQ189" s="479" t="str">
        <f t="array" aca="1" ref="AQ189" ca="1">IF(ROW()-5&lt;=COUNTIF(科目编号,$AR$2),SMALL(IF(科目编号=$AR$2,ROW(科目编号),""),ROW()-5),"")</f>
        <v/>
      </c>
      <c r="AR189" s="480" t="str">
        <f ca="1">IF($BG$2=0,"",IF(AR188="本月合计","本年累计",IF(OR(ROW()=$AU$3,ROW()=$AV$3,ROW()=$AW$3,ROW()=$AX$3,ROW()=$AY$3,ROW()=$AZ$3,ROW()=$BA$3,ROW()=$BB$3,ROW()=$BC$3,ROW()=$BD$3,ROW()=$BE$3,ROW()=$BF$3),"本月合计",IF(ROW()&lt;7,$AQ$6,OFFSET($AQ$6,COUNT($AR$6:AR188),0)))))</f>
        <v/>
      </c>
    </row>
    <row r="190" spans="1:44">
      <c r="A190" s="469" t="str">
        <f ca="1">IFERROR(INDEX(凭证录入!A:A,$AR190),"")</f>
        <v/>
      </c>
      <c r="B190" s="469" t="str">
        <f ca="1">IFERROR(INDEX(凭证录入!B:B,$AR190),"")</f>
        <v/>
      </c>
      <c r="C190" s="470" t="str">
        <f ca="1">IFERROR(INDEX(凭证录入!G:G,$AR190),"")</f>
        <v/>
      </c>
      <c r="D190" s="471" t="str">
        <f ca="1">IFERROR(INDEX(凭证录入!F:F,$AR190),"")</f>
        <v/>
      </c>
      <c r="E190" s="472" t="str">
        <f ca="1">IFERROR(INDEX(凭证录入!H:H,$AR190),$AR190)</f>
        <v/>
      </c>
      <c r="F190" s="473">
        <f ca="1">IF(OR($BG$2=0,$AR190=""),,IF($AR190="本月合计",IF(ROW()=$BG$3,SUM($F$6:$F189),SUM(INDIRECT("$F$"&amp;OFFSET($AU$3,,MATCH(ROW(),$AU$3:$BF$3,)-2)+2&amp;":$E"&amp;ROW()-1))),IF($AR190="本年累计",SUMIF($AR$6:$AR190,"本月合计",$F$6:$F189),INDEX(凭证录入!K:K,$AR190))))</f>
        <v>0</v>
      </c>
      <c r="G190" s="459" t="str">
        <f t="shared" ca="1" si="41"/>
        <v/>
      </c>
      <c r="H190" s="460" t="str">
        <f t="shared" ca="1" si="41"/>
        <v/>
      </c>
      <c r="I190" s="460" t="str">
        <f t="shared" ca="1" si="41"/>
        <v/>
      </c>
      <c r="J190" s="460" t="str">
        <f t="shared" ca="1" si="41"/>
        <v/>
      </c>
      <c r="K190" s="460" t="str">
        <f t="shared" ca="1" si="41"/>
        <v/>
      </c>
      <c r="L190" s="460" t="str">
        <f t="shared" ca="1" si="41"/>
        <v/>
      </c>
      <c r="M190" s="460" t="str">
        <f t="shared" ca="1" si="41"/>
        <v/>
      </c>
      <c r="N190" s="460" t="str">
        <f t="shared" ca="1" si="41"/>
        <v/>
      </c>
      <c r="O190" s="461" t="str">
        <f t="shared" ca="1" si="41"/>
        <v/>
      </c>
      <c r="P190" s="474" t="str">
        <f t="shared" ca="1" si="41"/>
        <v/>
      </c>
      <c r="Q190" s="475" t="str">
        <f t="shared" ca="1" si="41"/>
        <v/>
      </c>
      <c r="R190" s="476">
        <f ca="1">IF(OR($BG$2=0,$AR190=""),,IF($AR190="本月合计",IF(ROW()=$BG$3,SUM($R$6:$R189),SUM(INDIRECT("$R$"&amp;OFFSET($AU$3,,MATCH(ROW(),$AU$3:$BF$3,)-2)+2&amp;":$R"&amp;ROW()-1))),IF($AR190="本年累计",SUMIF($AR$6:$AR190,"本月合计",$R$6:$R189),INDEX(凭证录入!L:L,$AR190))))</f>
        <v>0</v>
      </c>
      <c r="S190" s="459" t="str">
        <f t="shared" ca="1" si="42"/>
        <v/>
      </c>
      <c r="T190" s="460" t="str">
        <f t="shared" ca="1" si="42"/>
        <v/>
      </c>
      <c r="U190" s="460" t="str">
        <f t="shared" ca="1" si="42"/>
        <v/>
      </c>
      <c r="V190" s="460" t="str">
        <f t="shared" ca="1" si="42"/>
        <v/>
      </c>
      <c r="W190" s="460" t="str">
        <f t="shared" ca="1" si="42"/>
        <v/>
      </c>
      <c r="X190" s="460" t="str">
        <f t="shared" ca="1" si="42"/>
        <v/>
      </c>
      <c r="Y190" s="460" t="str">
        <f t="shared" ca="1" si="42"/>
        <v/>
      </c>
      <c r="Z190" s="460" t="str">
        <f t="shared" ca="1" si="42"/>
        <v/>
      </c>
      <c r="AA190" s="461" t="str">
        <f t="shared" ca="1" si="42"/>
        <v/>
      </c>
      <c r="AB190" s="474" t="str">
        <f t="shared" ca="1" si="42"/>
        <v/>
      </c>
      <c r="AC190" s="475" t="str">
        <f t="shared" ca="1" si="42"/>
        <v/>
      </c>
      <c r="AD190" s="477" t="str">
        <f t="shared" ca="1" si="32"/>
        <v/>
      </c>
      <c r="AE190" s="478">
        <f t="shared" ca="1" si="33"/>
        <v>0</v>
      </c>
      <c r="AF190" s="459" t="str">
        <f t="shared" ca="1" si="40"/>
        <v/>
      </c>
      <c r="AG190" s="460" t="str">
        <f t="shared" ca="1" si="40"/>
        <v/>
      </c>
      <c r="AH190" s="460" t="str">
        <f t="shared" ca="1" si="40"/>
        <v/>
      </c>
      <c r="AI190" s="460" t="str">
        <f t="shared" ca="1" si="40"/>
        <v/>
      </c>
      <c r="AJ190" s="460" t="str">
        <f t="shared" ca="1" si="40"/>
        <v/>
      </c>
      <c r="AK190" s="460" t="str">
        <f t="shared" ca="1" si="40"/>
        <v/>
      </c>
      <c r="AL190" s="460" t="str">
        <f t="shared" ca="1" si="40"/>
        <v/>
      </c>
      <c r="AM190" s="460" t="str">
        <f t="shared" ca="1" si="40"/>
        <v/>
      </c>
      <c r="AN190" s="461" t="str">
        <f t="shared" ca="1" si="40"/>
        <v/>
      </c>
      <c r="AO190" s="474" t="str">
        <f t="shared" ca="1" si="40"/>
        <v/>
      </c>
      <c r="AP190" s="475" t="str">
        <f t="shared" ca="1" si="40"/>
        <v/>
      </c>
      <c r="AQ190" s="479" t="str">
        <f t="array" aca="1" ref="AQ190" ca="1">IF(ROW()-5&lt;=COUNTIF(科目编号,$AR$2),SMALL(IF(科目编号=$AR$2,ROW(科目编号),""),ROW()-5),"")</f>
        <v/>
      </c>
      <c r="AR190" s="480" t="str">
        <f ca="1">IF($BG$2=0,"",IF(AR189="本月合计","本年累计",IF(OR(ROW()=$AU$3,ROW()=$AV$3,ROW()=$AW$3,ROW()=$AX$3,ROW()=$AY$3,ROW()=$AZ$3,ROW()=$BA$3,ROW()=$BB$3,ROW()=$BC$3,ROW()=$BD$3,ROW()=$BE$3,ROW()=$BF$3),"本月合计",IF(ROW()&lt;7,$AQ$6,OFFSET($AQ$6,COUNT($AR$6:AR189),0)))))</f>
        <v/>
      </c>
    </row>
    <row r="191" spans="1:44">
      <c r="A191" s="469" t="str">
        <f ca="1">IFERROR(INDEX(凭证录入!A:A,$AR191),"")</f>
        <v/>
      </c>
      <c r="B191" s="469" t="str">
        <f ca="1">IFERROR(INDEX(凭证录入!B:B,$AR191),"")</f>
        <v/>
      </c>
      <c r="C191" s="470" t="str">
        <f ca="1">IFERROR(INDEX(凭证录入!G:G,$AR191),"")</f>
        <v/>
      </c>
      <c r="D191" s="471" t="str">
        <f ca="1">IFERROR(INDEX(凭证录入!F:F,$AR191),"")</f>
        <v/>
      </c>
      <c r="E191" s="472" t="str">
        <f ca="1">IFERROR(INDEX(凭证录入!H:H,$AR191),$AR191)</f>
        <v/>
      </c>
      <c r="F191" s="473">
        <f ca="1">IF(OR($BG$2=0,$AR191=""),,IF($AR191="本月合计",IF(ROW()=$BG$3,SUM($F$6:$F190),SUM(INDIRECT("$F$"&amp;OFFSET($AU$3,,MATCH(ROW(),$AU$3:$BF$3,)-2)+2&amp;":$E"&amp;ROW()-1))),IF($AR191="本年累计",SUMIF($AR$6:$AR191,"本月合计",$F$6:$F190),INDEX(凭证录入!K:K,$AR191))))</f>
        <v>0</v>
      </c>
      <c r="G191" s="459" t="str">
        <f t="shared" ca="1" si="41"/>
        <v/>
      </c>
      <c r="H191" s="460" t="str">
        <f t="shared" ca="1" si="41"/>
        <v/>
      </c>
      <c r="I191" s="460" t="str">
        <f t="shared" ca="1" si="41"/>
        <v/>
      </c>
      <c r="J191" s="460" t="str">
        <f t="shared" ca="1" si="41"/>
        <v/>
      </c>
      <c r="K191" s="460" t="str">
        <f t="shared" ca="1" si="41"/>
        <v/>
      </c>
      <c r="L191" s="460" t="str">
        <f t="shared" ca="1" si="41"/>
        <v/>
      </c>
      <c r="M191" s="460" t="str">
        <f t="shared" ca="1" si="41"/>
        <v/>
      </c>
      <c r="N191" s="460" t="str">
        <f t="shared" ca="1" si="41"/>
        <v/>
      </c>
      <c r="O191" s="461" t="str">
        <f t="shared" ca="1" si="41"/>
        <v/>
      </c>
      <c r="P191" s="474" t="str">
        <f t="shared" ca="1" si="41"/>
        <v/>
      </c>
      <c r="Q191" s="475" t="str">
        <f t="shared" ca="1" si="41"/>
        <v/>
      </c>
      <c r="R191" s="476">
        <f ca="1">IF(OR($BG$2=0,$AR191=""),,IF($AR191="本月合计",IF(ROW()=$BG$3,SUM($R$6:$R190),SUM(INDIRECT("$R$"&amp;OFFSET($AU$3,,MATCH(ROW(),$AU$3:$BF$3,)-2)+2&amp;":$R"&amp;ROW()-1))),IF($AR191="本年累计",SUMIF($AR$6:$AR191,"本月合计",$R$6:$R190),INDEX(凭证录入!L:L,$AR191))))</f>
        <v>0</v>
      </c>
      <c r="S191" s="459" t="str">
        <f t="shared" ca="1" si="42"/>
        <v/>
      </c>
      <c r="T191" s="460" t="str">
        <f t="shared" ca="1" si="42"/>
        <v/>
      </c>
      <c r="U191" s="460" t="str">
        <f t="shared" ca="1" si="42"/>
        <v/>
      </c>
      <c r="V191" s="460" t="str">
        <f t="shared" ca="1" si="42"/>
        <v/>
      </c>
      <c r="W191" s="460" t="str">
        <f t="shared" ca="1" si="42"/>
        <v/>
      </c>
      <c r="X191" s="460" t="str">
        <f t="shared" ca="1" si="42"/>
        <v/>
      </c>
      <c r="Y191" s="460" t="str">
        <f t="shared" ca="1" si="42"/>
        <v/>
      </c>
      <c r="Z191" s="460" t="str">
        <f t="shared" ca="1" si="42"/>
        <v/>
      </c>
      <c r="AA191" s="461" t="str">
        <f t="shared" ca="1" si="42"/>
        <v/>
      </c>
      <c r="AB191" s="474" t="str">
        <f t="shared" ca="1" si="42"/>
        <v/>
      </c>
      <c r="AC191" s="475" t="str">
        <f t="shared" ca="1" si="42"/>
        <v/>
      </c>
      <c r="AD191" s="477" t="str">
        <f t="shared" ca="1" si="32"/>
        <v/>
      </c>
      <c r="AE191" s="478">
        <f t="shared" ca="1" si="33"/>
        <v>0</v>
      </c>
      <c r="AF191" s="459" t="str">
        <f t="shared" ca="1" si="40"/>
        <v/>
      </c>
      <c r="AG191" s="460" t="str">
        <f t="shared" ca="1" si="40"/>
        <v/>
      </c>
      <c r="AH191" s="460" t="str">
        <f t="shared" ca="1" si="40"/>
        <v/>
      </c>
      <c r="AI191" s="460" t="str">
        <f t="shared" ca="1" si="40"/>
        <v/>
      </c>
      <c r="AJ191" s="460" t="str">
        <f t="shared" ca="1" si="40"/>
        <v/>
      </c>
      <c r="AK191" s="460" t="str">
        <f t="shared" ca="1" si="40"/>
        <v/>
      </c>
      <c r="AL191" s="460" t="str">
        <f t="shared" ca="1" si="40"/>
        <v/>
      </c>
      <c r="AM191" s="460" t="str">
        <f t="shared" ca="1" si="40"/>
        <v/>
      </c>
      <c r="AN191" s="461" t="str">
        <f t="shared" ca="1" si="40"/>
        <v/>
      </c>
      <c r="AO191" s="474" t="str">
        <f t="shared" ca="1" si="40"/>
        <v/>
      </c>
      <c r="AP191" s="475" t="str">
        <f t="shared" ca="1" si="40"/>
        <v/>
      </c>
      <c r="AQ191" s="479" t="str">
        <f t="array" aca="1" ref="AQ191" ca="1">IF(ROW()-5&lt;=COUNTIF(科目编号,$AR$2),SMALL(IF(科目编号=$AR$2,ROW(科目编号),""),ROW()-5),"")</f>
        <v/>
      </c>
      <c r="AR191" s="480" t="str">
        <f ca="1">IF($BG$2=0,"",IF(AR190="本月合计","本年累计",IF(OR(ROW()=$AU$3,ROW()=$AV$3,ROW()=$AW$3,ROW()=$AX$3,ROW()=$AY$3,ROW()=$AZ$3,ROW()=$BA$3,ROW()=$BB$3,ROW()=$BC$3,ROW()=$BD$3,ROW()=$BE$3,ROW()=$BF$3),"本月合计",IF(ROW()&lt;7,$AQ$6,OFFSET($AQ$6,COUNT($AR$6:AR190),0)))))</f>
        <v/>
      </c>
    </row>
    <row r="192" spans="1:44">
      <c r="A192" s="469" t="str">
        <f ca="1">IFERROR(INDEX(凭证录入!A:A,$AR192),"")</f>
        <v/>
      </c>
      <c r="B192" s="469" t="str">
        <f ca="1">IFERROR(INDEX(凭证录入!B:B,$AR192),"")</f>
        <v/>
      </c>
      <c r="C192" s="470" t="str">
        <f ca="1">IFERROR(INDEX(凭证录入!G:G,$AR192),"")</f>
        <v/>
      </c>
      <c r="D192" s="471" t="str">
        <f ca="1">IFERROR(INDEX(凭证录入!F:F,$AR192),"")</f>
        <v/>
      </c>
      <c r="E192" s="472" t="str">
        <f ca="1">IFERROR(INDEX(凭证录入!H:H,$AR192),$AR192)</f>
        <v/>
      </c>
      <c r="F192" s="473">
        <f ca="1">IF(OR($BG$2=0,$AR192=""),,IF($AR192="本月合计",IF(ROW()=$BG$3,SUM($F$6:$F191),SUM(INDIRECT("$F$"&amp;OFFSET($AU$3,,MATCH(ROW(),$AU$3:$BF$3,)-2)+2&amp;":$E"&amp;ROW()-1))),IF($AR192="本年累计",SUMIF($AR$6:$AR192,"本月合计",$F$6:$F191),INDEX(凭证录入!K:K,$AR192))))</f>
        <v>0</v>
      </c>
      <c r="G192" s="459" t="str">
        <f t="shared" ca="1" si="41"/>
        <v/>
      </c>
      <c r="H192" s="460" t="str">
        <f t="shared" ca="1" si="41"/>
        <v/>
      </c>
      <c r="I192" s="460" t="str">
        <f t="shared" ca="1" si="41"/>
        <v/>
      </c>
      <c r="J192" s="460" t="str">
        <f t="shared" ca="1" si="41"/>
        <v/>
      </c>
      <c r="K192" s="460" t="str">
        <f t="shared" ca="1" si="41"/>
        <v/>
      </c>
      <c r="L192" s="460" t="str">
        <f t="shared" ca="1" si="41"/>
        <v/>
      </c>
      <c r="M192" s="460" t="str">
        <f t="shared" ca="1" si="41"/>
        <v/>
      </c>
      <c r="N192" s="460" t="str">
        <f t="shared" ca="1" si="41"/>
        <v/>
      </c>
      <c r="O192" s="461" t="str">
        <f t="shared" ca="1" si="41"/>
        <v/>
      </c>
      <c r="P192" s="474" t="str">
        <f t="shared" ca="1" si="41"/>
        <v/>
      </c>
      <c r="Q192" s="475" t="str">
        <f t="shared" ca="1" si="41"/>
        <v/>
      </c>
      <c r="R192" s="476">
        <f ca="1">IF(OR($BG$2=0,$AR192=""),,IF($AR192="本月合计",IF(ROW()=$BG$3,SUM($R$6:$R191),SUM(INDIRECT("$R$"&amp;OFFSET($AU$3,,MATCH(ROW(),$AU$3:$BF$3,)-2)+2&amp;":$R"&amp;ROW()-1))),IF($AR192="本年累计",SUMIF($AR$6:$AR192,"本月合计",$R$6:$R191),INDEX(凭证录入!L:L,$AR192))))</f>
        <v>0</v>
      </c>
      <c r="S192" s="459" t="str">
        <f t="shared" ca="1" si="42"/>
        <v/>
      </c>
      <c r="T192" s="460" t="str">
        <f t="shared" ca="1" si="42"/>
        <v/>
      </c>
      <c r="U192" s="460" t="str">
        <f t="shared" ca="1" si="42"/>
        <v/>
      </c>
      <c r="V192" s="460" t="str">
        <f t="shared" ca="1" si="42"/>
        <v/>
      </c>
      <c r="W192" s="460" t="str">
        <f t="shared" ca="1" si="42"/>
        <v/>
      </c>
      <c r="X192" s="460" t="str">
        <f t="shared" ca="1" si="42"/>
        <v/>
      </c>
      <c r="Y192" s="460" t="str">
        <f t="shared" ca="1" si="42"/>
        <v/>
      </c>
      <c r="Z192" s="460" t="str">
        <f t="shared" ca="1" si="42"/>
        <v/>
      </c>
      <c r="AA192" s="461" t="str">
        <f t="shared" ca="1" si="42"/>
        <v/>
      </c>
      <c r="AB192" s="474" t="str">
        <f t="shared" ca="1" si="42"/>
        <v/>
      </c>
      <c r="AC192" s="475" t="str">
        <f t="shared" ca="1" si="42"/>
        <v/>
      </c>
      <c r="AD192" s="477" t="str">
        <f t="shared" ca="1" si="32"/>
        <v/>
      </c>
      <c r="AE192" s="478">
        <f t="shared" ca="1" si="33"/>
        <v>0</v>
      </c>
      <c r="AF192" s="459" t="str">
        <f t="shared" ca="1" si="40"/>
        <v/>
      </c>
      <c r="AG192" s="460" t="str">
        <f t="shared" ca="1" si="40"/>
        <v/>
      </c>
      <c r="AH192" s="460" t="str">
        <f t="shared" ca="1" si="40"/>
        <v/>
      </c>
      <c r="AI192" s="460" t="str">
        <f t="shared" ca="1" si="40"/>
        <v/>
      </c>
      <c r="AJ192" s="460" t="str">
        <f t="shared" ca="1" si="40"/>
        <v/>
      </c>
      <c r="AK192" s="460" t="str">
        <f t="shared" ca="1" si="40"/>
        <v/>
      </c>
      <c r="AL192" s="460" t="str">
        <f t="shared" ca="1" si="40"/>
        <v/>
      </c>
      <c r="AM192" s="460" t="str">
        <f t="shared" ca="1" si="40"/>
        <v/>
      </c>
      <c r="AN192" s="461" t="str">
        <f t="shared" ca="1" si="40"/>
        <v/>
      </c>
      <c r="AO192" s="474" t="str">
        <f t="shared" ca="1" si="40"/>
        <v/>
      </c>
      <c r="AP192" s="475" t="str">
        <f t="shared" ca="1" si="40"/>
        <v/>
      </c>
      <c r="AQ192" s="479" t="str">
        <f t="array" aca="1" ref="AQ192" ca="1">IF(ROW()-5&lt;=COUNTIF(科目编号,$AR$2),SMALL(IF(科目编号=$AR$2,ROW(科目编号),""),ROW()-5),"")</f>
        <v/>
      </c>
      <c r="AR192" s="480" t="str">
        <f ca="1">IF($BG$2=0,"",IF(AR191="本月合计","本年累计",IF(OR(ROW()=$AU$3,ROW()=$AV$3,ROW()=$AW$3,ROW()=$AX$3,ROW()=$AY$3,ROW()=$AZ$3,ROW()=$BA$3,ROW()=$BB$3,ROW()=$BC$3,ROW()=$BD$3,ROW()=$BE$3,ROW()=$BF$3),"本月合计",IF(ROW()&lt;7,$AQ$6,OFFSET($AQ$6,COUNT($AR$6:AR191),0)))))</f>
        <v/>
      </c>
    </row>
    <row r="193" spans="1:44">
      <c r="A193" s="469" t="str">
        <f ca="1">IFERROR(INDEX(凭证录入!A:A,$AR193),"")</f>
        <v/>
      </c>
      <c r="B193" s="469" t="str">
        <f ca="1">IFERROR(INDEX(凭证录入!B:B,$AR193),"")</f>
        <v/>
      </c>
      <c r="C193" s="470" t="str">
        <f ca="1">IFERROR(INDEX(凭证录入!G:G,$AR193),"")</f>
        <v/>
      </c>
      <c r="D193" s="471" t="str">
        <f ca="1">IFERROR(INDEX(凭证录入!F:F,$AR193),"")</f>
        <v/>
      </c>
      <c r="E193" s="472" t="str">
        <f ca="1">IFERROR(INDEX(凭证录入!H:H,$AR193),$AR193)</f>
        <v/>
      </c>
      <c r="F193" s="473">
        <f ca="1">IF(OR($BG$2=0,$AR193=""),,IF($AR193="本月合计",IF(ROW()=$BG$3,SUM($F$6:$F192),SUM(INDIRECT("$F$"&amp;OFFSET($AU$3,,MATCH(ROW(),$AU$3:$BF$3,)-2)+2&amp;":$E"&amp;ROW()-1))),IF($AR193="本年累计",SUMIF($AR$6:$AR193,"本月合计",$F$6:$F192),INDEX(凭证录入!K:K,$AR193))))</f>
        <v>0</v>
      </c>
      <c r="G193" s="459" t="str">
        <f t="shared" ca="1" si="41"/>
        <v/>
      </c>
      <c r="H193" s="460" t="str">
        <f t="shared" ca="1" si="41"/>
        <v/>
      </c>
      <c r="I193" s="460" t="str">
        <f t="shared" ca="1" si="41"/>
        <v/>
      </c>
      <c r="J193" s="460" t="str">
        <f t="shared" ca="1" si="41"/>
        <v/>
      </c>
      <c r="K193" s="460" t="str">
        <f t="shared" ca="1" si="41"/>
        <v/>
      </c>
      <c r="L193" s="460" t="str">
        <f t="shared" ca="1" si="41"/>
        <v/>
      </c>
      <c r="M193" s="460" t="str">
        <f t="shared" ca="1" si="41"/>
        <v/>
      </c>
      <c r="N193" s="460" t="str">
        <f t="shared" ca="1" si="41"/>
        <v/>
      </c>
      <c r="O193" s="461" t="str">
        <f t="shared" ca="1" si="41"/>
        <v/>
      </c>
      <c r="P193" s="474" t="str">
        <f t="shared" ca="1" si="41"/>
        <v/>
      </c>
      <c r="Q193" s="475" t="str">
        <f t="shared" ca="1" si="41"/>
        <v/>
      </c>
      <c r="R193" s="476">
        <f ca="1">IF(OR($BG$2=0,$AR193=""),,IF($AR193="本月合计",IF(ROW()=$BG$3,SUM($R$6:$R192),SUM(INDIRECT("$R$"&amp;OFFSET($AU$3,,MATCH(ROW(),$AU$3:$BF$3,)-2)+2&amp;":$R"&amp;ROW()-1))),IF($AR193="本年累计",SUMIF($AR$6:$AR193,"本月合计",$R$6:$R192),INDEX(凭证录入!L:L,$AR193))))</f>
        <v>0</v>
      </c>
      <c r="S193" s="459" t="str">
        <f t="shared" ca="1" si="42"/>
        <v/>
      </c>
      <c r="T193" s="460" t="str">
        <f t="shared" ca="1" si="42"/>
        <v/>
      </c>
      <c r="U193" s="460" t="str">
        <f t="shared" ca="1" si="42"/>
        <v/>
      </c>
      <c r="V193" s="460" t="str">
        <f t="shared" ca="1" si="42"/>
        <v/>
      </c>
      <c r="W193" s="460" t="str">
        <f t="shared" ca="1" si="42"/>
        <v/>
      </c>
      <c r="X193" s="460" t="str">
        <f t="shared" ca="1" si="42"/>
        <v/>
      </c>
      <c r="Y193" s="460" t="str">
        <f t="shared" ca="1" si="42"/>
        <v/>
      </c>
      <c r="Z193" s="460" t="str">
        <f t="shared" ca="1" si="42"/>
        <v/>
      </c>
      <c r="AA193" s="461" t="str">
        <f t="shared" ca="1" si="42"/>
        <v/>
      </c>
      <c r="AB193" s="474" t="str">
        <f t="shared" ca="1" si="42"/>
        <v/>
      </c>
      <c r="AC193" s="475" t="str">
        <f t="shared" ca="1" si="42"/>
        <v/>
      </c>
      <c r="AD193" s="477" t="str">
        <f t="shared" ca="1" si="32"/>
        <v/>
      </c>
      <c r="AE193" s="478">
        <f t="shared" ca="1" si="33"/>
        <v>0</v>
      </c>
      <c r="AF193" s="459" t="str">
        <f t="shared" ca="1" si="40"/>
        <v/>
      </c>
      <c r="AG193" s="460" t="str">
        <f t="shared" ca="1" si="40"/>
        <v/>
      </c>
      <c r="AH193" s="460" t="str">
        <f t="shared" ca="1" si="40"/>
        <v/>
      </c>
      <c r="AI193" s="460" t="str">
        <f t="shared" ca="1" si="40"/>
        <v/>
      </c>
      <c r="AJ193" s="460" t="str">
        <f t="shared" ca="1" si="40"/>
        <v/>
      </c>
      <c r="AK193" s="460" t="str">
        <f t="shared" ca="1" si="40"/>
        <v/>
      </c>
      <c r="AL193" s="460" t="str">
        <f t="shared" ca="1" si="40"/>
        <v/>
      </c>
      <c r="AM193" s="460" t="str">
        <f t="shared" ca="1" si="40"/>
        <v/>
      </c>
      <c r="AN193" s="461" t="str">
        <f t="shared" ca="1" si="40"/>
        <v/>
      </c>
      <c r="AO193" s="474" t="str">
        <f t="shared" ca="1" si="40"/>
        <v/>
      </c>
      <c r="AP193" s="475" t="str">
        <f t="shared" ca="1" si="40"/>
        <v/>
      </c>
      <c r="AQ193" s="479" t="str">
        <f t="array" aca="1" ref="AQ193" ca="1">IF(ROW()-5&lt;=COUNTIF(科目编号,$AR$2),SMALL(IF(科目编号=$AR$2,ROW(科目编号),""),ROW()-5),"")</f>
        <v/>
      </c>
      <c r="AR193" s="480" t="str">
        <f ca="1">IF($BG$2=0,"",IF(AR192="本月合计","本年累计",IF(OR(ROW()=$AU$3,ROW()=$AV$3,ROW()=$AW$3,ROW()=$AX$3,ROW()=$AY$3,ROW()=$AZ$3,ROW()=$BA$3,ROW()=$BB$3,ROW()=$BC$3,ROW()=$BD$3,ROW()=$BE$3,ROW()=$BF$3),"本月合计",IF(ROW()&lt;7,$AQ$6,OFFSET($AQ$6,COUNT($AR$6:AR192),0)))))</f>
        <v/>
      </c>
    </row>
    <row r="194" spans="1:44">
      <c r="A194" s="469" t="str">
        <f ca="1">IFERROR(INDEX(凭证录入!A:A,$AR194),"")</f>
        <v/>
      </c>
      <c r="B194" s="469" t="str">
        <f ca="1">IFERROR(INDEX(凭证录入!B:B,$AR194),"")</f>
        <v/>
      </c>
      <c r="C194" s="470" t="str">
        <f ca="1">IFERROR(INDEX(凭证录入!G:G,$AR194),"")</f>
        <v/>
      </c>
      <c r="D194" s="471" t="str">
        <f ca="1">IFERROR(INDEX(凭证录入!F:F,$AR194),"")</f>
        <v/>
      </c>
      <c r="E194" s="472" t="str">
        <f ca="1">IFERROR(INDEX(凭证录入!H:H,$AR194),$AR194)</f>
        <v/>
      </c>
      <c r="F194" s="473">
        <f ca="1">IF(OR($BG$2=0,$AR194=""),,IF($AR194="本月合计",IF(ROW()=$BG$3,SUM($F$6:$F193),SUM(INDIRECT("$F$"&amp;OFFSET($AU$3,,MATCH(ROW(),$AU$3:$BF$3,)-2)+2&amp;":$E"&amp;ROW()-1))),IF($AR194="本年累计",SUMIF($AR$6:$AR194,"本月合计",$F$6:$F193),INDEX(凭证录入!K:K,$AR194))))</f>
        <v>0</v>
      </c>
      <c r="G194" s="459" t="str">
        <f t="shared" ca="1" si="41"/>
        <v/>
      </c>
      <c r="H194" s="460" t="str">
        <f t="shared" ca="1" si="41"/>
        <v/>
      </c>
      <c r="I194" s="460" t="str">
        <f t="shared" ca="1" si="41"/>
        <v/>
      </c>
      <c r="J194" s="460" t="str">
        <f t="shared" ca="1" si="41"/>
        <v/>
      </c>
      <c r="K194" s="460" t="str">
        <f t="shared" ca="1" si="41"/>
        <v/>
      </c>
      <c r="L194" s="460" t="str">
        <f t="shared" ca="1" si="41"/>
        <v/>
      </c>
      <c r="M194" s="460" t="str">
        <f t="shared" ca="1" si="41"/>
        <v/>
      </c>
      <c r="N194" s="460" t="str">
        <f t="shared" ca="1" si="41"/>
        <v/>
      </c>
      <c r="O194" s="461" t="str">
        <f t="shared" ca="1" si="41"/>
        <v/>
      </c>
      <c r="P194" s="474" t="str">
        <f t="shared" ca="1" si="41"/>
        <v/>
      </c>
      <c r="Q194" s="475" t="str">
        <f t="shared" ca="1" si="41"/>
        <v/>
      </c>
      <c r="R194" s="476">
        <f ca="1">IF(OR($BG$2=0,$AR194=""),,IF($AR194="本月合计",IF(ROW()=$BG$3,SUM($R$6:$R193),SUM(INDIRECT("$R$"&amp;OFFSET($AU$3,,MATCH(ROW(),$AU$3:$BF$3,)-2)+2&amp;":$R"&amp;ROW()-1))),IF($AR194="本年累计",SUMIF($AR$6:$AR194,"本月合计",$R$6:$R193),INDEX(凭证录入!L:L,$AR194))))</f>
        <v>0</v>
      </c>
      <c r="S194" s="459" t="str">
        <f t="shared" ca="1" si="42"/>
        <v/>
      </c>
      <c r="T194" s="460" t="str">
        <f t="shared" ca="1" si="42"/>
        <v/>
      </c>
      <c r="U194" s="460" t="str">
        <f t="shared" ca="1" si="42"/>
        <v/>
      </c>
      <c r="V194" s="460" t="str">
        <f t="shared" ca="1" si="42"/>
        <v/>
      </c>
      <c r="W194" s="460" t="str">
        <f t="shared" ca="1" si="42"/>
        <v/>
      </c>
      <c r="X194" s="460" t="str">
        <f t="shared" ca="1" si="42"/>
        <v/>
      </c>
      <c r="Y194" s="460" t="str">
        <f t="shared" ca="1" si="42"/>
        <v/>
      </c>
      <c r="Z194" s="460" t="str">
        <f t="shared" ca="1" si="42"/>
        <v/>
      </c>
      <c r="AA194" s="461" t="str">
        <f t="shared" ca="1" si="42"/>
        <v/>
      </c>
      <c r="AB194" s="474" t="str">
        <f t="shared" ca="1" si="42"/>
        <v/>
      </c>
      <c r="AC194" s="475" t="str">
        <f t="shared" ca="1" si="42"/>
        <v/>
      </c>
      <c r="AD194" s="477" t="str">
        <f t="shared" ca="1" si="32"/>
        <v/>
      </c>
      <c r="AE194" s="478">
        <f t="shared" ca="1" si="33"/>
        <v>0</v>
      </c>
      <c r="AF194" s="459" t="str">
        <f t="shared" ca="1" si="40"/>
        <v/>
      </c>
      <c r="AG194" s="460" t="str">
        <f t="shared" ca="1" si="40"/>
        <v/>
      </c>
      <c r="AH194" s="460" t="str">
        <f t="shared" ca="1" si="40"/>
        <v/>
      </c>
      <c r="AI194" s="460" t="str">
        <f t="shared" ca="1" si="40"/>
        <v/>
      </c>
      <c r="AJ194" s="460" t="str">
        <f t="shared" ca="1" si="40"/>
        <v/>
      </c>
      <c r="AK194" s="460" t="str">
        <f t="shared" ca="1" si="40"/>
        <v/>
      </c>
      <c r="AL194" s="460" t="str">
        <f t="shared" ca="1" si="40"/>
        <v/>
      </c>
      <c r="AM194" s="460" t="str">
        <f t="shared" ca="1" si="40"/>
        <v/>
      </c>
      <c r="AN194" s="461" t="str">
        <f t="shared" ca="1" si="40"/>
        <v/>
      </c>
      <c r="AO194" s="474" t="str">
        <f t="shared" ca="1" si="40"/>
        <v/>
      </c>
      <c r="AP194" s="475" t="str">
        <f t="shared" ca="1" si="40"/>
        <v/>
      </c>
      <c r="AQ194" s="479" t="str">
        <f t="array" aca="1" ref="AQ194" ca="1">IF(ROW()-5&lt;=COUNTIF(科目编号,$AR$2),SMALL(IF(科目编号=$AR$2,ROW(科目编号),""),ROW()-5),"")</f>
        <v/>
      </c>
      <c r="AR194" s="480" t="str">
        <f ca="1">IF($BG$2=0,"",IF(AR193="本月合计","本年累计",IF(OR(ROW()=$AU$3,ROW()=$AV$3,ROW()=$AW$3,ROW()=$AX$3,ROW()=$AY$3,ROW()=$AZ$3,ROW()=$BA$3,ROW()=$BB$3,ROW()=$BC$3,ROW()=$BD$3,ROW()=$BE$3,ROW()=$BF$3),"本月合计",IF(ROW()&lt;7,$AQ$6,OFFSET($AQ$6,COUNT($AR$6:AR193),0)))))</f>
        <v/>
      </c>
    </row>
    <row r="195" spans="1:44">
      <c r="A195" s="469" t="str">
        <f ca="1">IFERROR(INDEX(凭证录入!A:A,$AR195),"")</f>
        <v/>
      </c>
      <c r="B195" s="469" t="str">
        <f ca="1">IFERROR(INDEX(凭证录入!B:B,$AR195),"")</f>
        <v/>
      </c>
      <c r="C195" s="470" t="str">
        <f ca="1">IFERROR(INDEX(凭证录入!G:G,$AR195),"")</f>
        <v/>
      </c>
      <c r="D195" s="471" t="str">
        <f ca="1">IFERROR(INDEX(凭证录入!F:F,$AR195),"")</f>
        <v/>
      </c>
      <c r="E195" s="472" t="str">
        <f ca="1">IFERROR(INDEX(凭证录入!H:H,$AR195),$AR195)</f>
        <v/>
      </c>
      <c r="F195" s="473">
        <f ca="1">IF(OR($BG$2=0,$AR195=""),,IF($AR195="本月合计",IF(ROW()=$BG$3,SUM($F$6:$F194),SUM(INDIRECT("$F$"&amp;OFFSET($AU$3,,MATCH(ROW(),$AU$3:$BF$3,)-2)+2&amp;":$E"&amp;ROW()-1))),IF($AR195="本年累计",SUMIF($AR$6:$AR195,"本月合计",$F$6:$F194),INDEX(凭证录入!K:K,$AR195))))</f>
        <v>0</v>
      </c>
      <c r="G195" s="459" t="str">
        <f t="shared" ca="1" si="41"/>
        <v/>
      </c>
      <c r="H195" s="460" t="str">
        <f t="shared" ca="1" si="41"/>
        <v/>
      </c>
      <c r="I195" s="460" t="str">
        <f t="shared" ca="1" si="41"/>
        <v/>
      </c>
      <c r="J195" s="460" t="str">
        <f t="shared" ca="1" si="41"/>
        <v/>
      </c>
      <c r="K195" s="460" t="str">
        <f t="shared" ca="1" si="41"/>
        <v/>
      </c>
      <c r="L195" s="460" t="str">
        <f t="shared" ca="1" si="41"/>
        <v/>
      </c>
      <c r="M195" s="460" t="str">
        <f t="shared" ca="1" si="41"/>
        <v/>
      </c>
      <c r="N195" s="460" t="str">
        <f t="shared" ca="1" si="41"/>
        <v/>
      </c>
      <c r="O195" s="461" t="str">
        <f t="shared" ca="1" si="41"/>
        <v/>
      </c>
      <c r="P195" s="474" t="str">
        <f t="shared" ca="1" si="41"/>
        <v/>
      </c>
      <c r="Q195" s="475" t="str">
        <f t="shared" ca="1" si="41"/>
        <v/>
      </c>
      <c r="R195" s="476">
        <f ca="1">IF(OR($BG$2=0,$AR195=""),,IF($AR195="本月合计",IF(ROW()=$BG$3,SUM($R$6:$R194),SUM(INDIRECT("$R$"&amp;OFFSET($AU$3,,MATCH(ROW(),$AU$3:$BF$3,)-2)+2&amp;":$R"&amp;ROW()-1))),IF($AR195="本年累计",SUMIF($AR$6:$AR195,"本月合计",$R$6:$R194),INDEX(凭证录入!L:L,$AR195))))</f>
        <v>0</v>
      </c>
      <c r="S195" s="459" t="str">
        <f t="shared" ca="1" si="42"/>
        <v/>
      </c>
      <c r="T195" s="460" t="str">
        <f t="shared" ca="1" si="42"/>
        <v/>
      </c>
      <c r="U195" s="460" t="str">
        <f t="shared" ca="1" si="42"/>
        <v/>
      </c>
      <c r="V195" s="460" t="str">
        <f t="shared" ca="1" si="42"/>
        <v/>
      </c>
      <c r="W195" s="460" t="str">
        <f t="shared" ca="1" si="42"/>
        <v/>
      </c>
      <c r="X195" s="460" t="str">
        <f t="shared" ca="1" si="42"/>
        <v/>
      </c>
      <c r="Y195" s="460" t="str">
        <f t="shared" ca="1" si="42"/>
        <v/>
      </c>
      <c r="Z195" s="460" t="str">
        <f t="shared" ca="1" si="42"/>
        <v/>
      </c>
      <c r="AA195" s="461" t="str">
        <f t="shared" ca="1" si="42"/>
        <v/>
      </c>
      <c r="AB195" s="474" t="str">
        <f t="shared" ca="1" si="42"/>
        <v/>
      </c>
      <c r="AC195" s="475" t="str">
        <f t="shared" ca="1" si="42"/>
        <v/>
      </c>
      <c r="AD195" s="477" t="str">
        <f t="shared" ca="1" si="32"/>
        <v/>
      </c>
      <c r="AE195" s="478">
        <f t="shared" ca="1" si="33"/>
        <v>0</v>
      </c>
      <c r="AF195" s="459" t="str">
        <f t="shared" ca="1" si="40"/>
        <v/>
      </c>
      <c r="AG195" s="460" t="str">
        <f t="shared" ca="1" si="40"/>
        <v/>
      </c>
      <c r="AH195" s="460" t="str">
        <f t="shared" ca="1" si="40"/>
        <v/>
      </c>
      <c r="AI195" s="460" t="str">
        <f t="shared" ca="1" si="40"/>
        <v/>
      </c>
      <c r="AJ195" s="460" t="str">
        <f t="shared" ca="1" si="40"/>
        <v/>
      </c>
      <c r="AK195" s="460" t="str">
        <f t="shared" ca="1" si="40"/>
        <v/>
      </c>
      <c r="AL195" s="460" t="str">
        <f t="shared" ca="1" si="40"/>
        <v/>
      </c>
      <c r="AM195" s="460" t="str">
        <f t="shared" ca="1" si="40"/>
        <v/>
      </c>
      <c r="AN195" s="461" t="str">
        <f t="shared" ca="1" si="40"/>
        <v/>
      </c>
      <c r="AO195" s="474" t="str">
        <f t="shared" ca="1" si="40"/>
        <v/>
      </c>
      <c r="AP195" s="475" t="str">
        <f t="shared" ca="1" si="40"/>
        <v/>
      </c>
      <c r="AQ195" s="479" t="str">
        <f t="array" aca="1" ref="AQ195" ca="1">IF(ROW()-5&lt;=COUNTIF(科目编号,$AR$2),SMALL(IF(科目编号=$AR$2,ROW(科目编号),""),ROW()-5),"")</f>
        <v/>
      </c>
      <c r="AR195" s="480" t="str">
        <f ca="1">IF($BG$2=0,"",IF(AR194="本月合计","本年累计",IF(OR(ROW()=$AU$3,ROW()=$AV$3,ROW()=$AW$3,ROW()=$AX$3,ROW()=$AY$3,ROW()=$AZ$3,ROW()=$BA$3,ROW()=$BB$3,ROW()=$BC$3,ROW()=$BD$3,ROW()=$BE$3,ROW()=$BF$3),"本月合计",IF(ROW()&lt;7,$AQ$6,OFFSET($AQ$6,COUNT($AR$6:AR194),0)))))</f>
        <v/>
      </c>
    </row>
    <row r="196" spans="1:44">
      <c r="A196" s="469" t="str">
        <f ca="1">IFERROR(INDEX(凭证录入!A:A,$AR196),"")</f>
        <v/>
      </c>
      <c r="B196" s="469" t="str">
        <f ca="1">IFERROR(INDEX(凭证录入!B:B,$AR196),"")</f>
        <v/>
      </c>
      <c r="C196" s="470" t="str">
        <f ca="1">IFERROR(INDEX(凭证录入!G:G,$AR196),"")</f>
        <v/>
      </c>
      <c r="D196" s="471" t="str">
        <f ca="1">IFERROR(INDEX(凭证录入!F:F,$AR196),"")</f>
        <v/>
      </c>
      <c r="E196" s="472" t="str">
        <f ca="1">IFERROR(INDEX(凭证录入!H:H,$AR196),$AR196)</f>
        <v/>
      </c>
      <c r="F196" s="473">
        <f ca="1">IF(OR($BG$2=0,$AR196=""),,IF($AR196="本月合计",IF(ROW()=$BG$3,SUM($F$6:$F195),SUM(INDIRECT("$F$"&amp;OFFSET($AU$3,,MATCH(ROW(),$AU$3:$BF$3,)-2)+2&amp;":$E"&amp;ROW()-1))),IF($AR196="本年累计",SUMIF($AR$6:$AR196,"本月合计",$F$6:$F195),INDEX(凭证录入!K:K,$AR196))))</f>
        <v>0</v>
      </c>
      <c r="G196" s="459" t="str">
        <f t="shared" ca="1" si="41"/>
        <v/>
      </c>
      <c r="H196" s="460" t="str">
        <f t="shared" ca="1" si="41"/>
        <v/>
      </c>
      <c r="I196" s="460" t="str">
        <f t="shared" ca="1" si="41"/>
        <v/>
      </c>
      <c r="J196" s="460" t="str">
        <f t="shared" ca="1" si="41"/>
        <v/>
      </c>
      <c r="K196" s="460" t="str">
        <f t="shared" ca="1" si="41"/>
        <v/>
      </c>
      <c r="L196" s="460" t="str">
        <f t="shared" ca="1" si="41"/>
        <v/>
      </c>
      <c r="M196" s="460" t="str">
        <f t="shared" ca="1" si="41"/>
        <v/>
      </c>
      <c r="N196" s="460" t="str">
        <f t="shared" ca="1" si="41"/>
        <v/>
      </c>
      <c r="O196" s="461" t="str">
        <f t="shared" ca="1" si="41"/>
        <v/>
      </c>
      <c r="P196" s="474" t="str">
        <f t="shared" ca="1" si="41"/>
        <v/>
      </c>
      <c r="Q196" s="475" t="str">
        <f t="shared" ca="1" si="41"/>
        <v/>
      </c>
      <c r="R196" s="476">
        <f ca="1">IF(OR($BG$2=0,$AR196=""),,IF($AR196="本月合计",IF(ROW()=$BG$3,SUM($R$6:$R195),SUM(INDIRECT("$R$"&amp;OFFSET($AU$3,,MATCH(ROW(),$AU$3:$BF$3,)-2)+2&amp;":$R"&amp;ROW()-1))),IF($AR196="本年累计",SUMIF($AR$6:$AR196,"本月合计",$R$6:$R195),INDEX(凭证录入!L:L,$AR196))))</f>
        <v>0</v>
      </c>
      <c r="S196" s="459" t="str">
        <f t="shared" ca="1" si="42"/>
        <v/>
      </c>
      <c r="T196" s="460" t="str">
        <f t="shared" ca="1" si="42"/>
        <v/>
      </c>
      <c r="U196" s="460" t="str">
        <f t="shared" ca="1" si="42"/>
        <v/>
      </c>
      <c r="V196" s="460" t="str">
        <f t="shared" ca="1" si="42"/>
        <v/>
      </c>
      <c r="W196" s="460" t="str">
        <f t="shared" ca="1" si="42"/>
        <v/>
      </c>
      <c r="X196" s="460" t="str">
        <f t="shared" ca="1" si="42"/>
        <v/>
      </c>
      <c r="Y196" s="460" t="str">
        <f t="shared" ca="1" si="42"/>
        <v/>
      </c>
      <c r="Z196" s="460" t="str">
        <f t="shared" ca="1" si="42"/>
        <v/>
      </c>
      <c r="AA196" s="461" t="str">
        <f t="shared" ca="1" si="42"/>
        <v/>
      </c>
      <c r="AB196" s="474" t="str">
        <f t="shared" ca="1" si="42"/>
        <v/>
      </c>
      <c r="AC196" s="475" t="str">
        <f t="shared" ca="1" si="42"/>
        <v/>
      </c>
      <c r="AD196" s="477" t="str">
        <f t="shared" ca="1" si="32"/>
        <v/>
      </c>
      <c r="AE196" s="478">
        <f t="shared" ca="1" si="33"/>
        <v>0</v>
      </c>
      <c r="AF196" s="459" t="str">
        <f t="shared" ca="1" si="40"/>
        <v/>
      </c>
      <c r="AG196" s="460" t="str">
        <f t="shared" ca="1" si="40"/>
        <v/>
      </c>
      <c r="AH196" s="460" t="str">
        <f t="shared" ca="1" si="40"/>
        <v/>
      </c>
      <c r="AI196" s="460" t="str">
        <f t="shared" ca="1" si="40"/>
        <v/>
      </c>
      <c r="AJ196" s="460" t="str">
        <f t="shared" ca="1" si="40"/>
        <v/>
      </c>
      <c r="AK196" s="460" t="str">
        <f t="shared" ca="1" si="40"/>
        <v/>
      </c>
      <c r="AL196" s="460" t="str">
        <f t="shared" ca="1" si="40"/>
        <v/>
      </c>
      <c r="AM196" s="460" t="str">
        <f t="shared" ca="1" si="40"/>
        <v/>
      </c>
      <c r="AN196" s="461" t="str">
        <f t="shared" ca="1" si="40"/>
        <v/>
      </c>
      <c r="AO196" s="474" t="str">
        <f t="shared" ca="1" si="40"/>
        <v/>
      </c>
      <c r="AP196" s="475" t="str">
        <f t="shared" ca="1" si="40"/>
        <v/>
      </c>
      <c r="AQ196" s="479" t="str">
        <f t="array" aca="1" ref="AQ196" ca="1">IF(ROW()-5&lt;=COUNTIF(科目编号,$AR$2),SMALL(IF(科目编号=$AR$2,ROW(科目编号),""),ROW()-5),"")</f>
        <v/>
      </c>
      <c r="AR196" s="480" t="str">
        <f ca="1">IF($BG$2=0,"",IF(AR195="本月合计","本年累计",IF(OR(ROW()=$AU$3,ROW()=$AV$3,ROW()=$AW$3,ROW()=$AX$3,ROW()=$AY$3,ROW()=$AZ$3,ROW()=$BA$3,ROW()=$BB$3,ROW()=$BC$3,ROW()=$BD$3,ROW()=$BE$3,ROW()=$BF$3),"本月合计",IF(ROW()&lt;7,$AQ$6,OFFSET($AQ$6,COUNT($AR$6:AR195),0)))))</f>
        <v/>
      </c>
    </row>
    <row r="197" spans="1:44">
      <c r="A197" s="469" t="str">
        <f ca="1">IFERROR(INDEX(凭证录入!A:A,$AR197),"")</f>
        <v/>
      </c>
      <c r="B197" s="469" t="str">
        <f ca="1">IFERROR(INDEX(凭证录入!B:B,$AR197),"")</f>
        <v/>
      </c>
      <c r="C197" s="470" t="str">
        <f ca="1">IFERROR(INDEX(凭证录入!G:G,$AR197),"")</f>
        <v/>
      </c>
      <c r="D197" s="471" t="str">
        <f ca="1">IFERROR(INDEX(凭证录入!F:F,$AR197),"")</f>
        <v/>
      </c>
      <c r="E197" s="472" t="str">
        <f ca="1">IFERROR(INDEX(凭证录入!H:H,$AR197),$AR197)</f>
        <v/>
      </c>
      <c r="F197" s="473">
        <f ca="1">IF(OR($BG$2=0,$AR197=""),,IF($AR197="本月合计",IF(ROW()=$BG$3,SUM($F$6:$F196),SUM(INDIRECT("$F$"&amp;OFFSET($AU$3,,MATCH(ROW(),$AU$3:$BF$3,)-2)+2&amp;":$E"&amp;ROW()-1))),IF($AR197="本年累计",SUMIF($AR$6:$AR197,"本月合计",$F$6:$F196),INDEX(凭证录入!K:K,$AR197))))</f>
        <v>0</v>
      </c>
      <c r="G197" s="459" t="str">
        <f t="shared" ca="1" si="41"/>
        <v/>
      </c>
      <c r="H197" s="460" t="str">
        <f t="shared" ca="1" si="41"/>
        <v/>
      </c>
      <c r="I197" s="460" t="str">
        <f t="shared" ca="1" si="41"/>
        <v/>
      </c>
      <c r="J197" s="460" t="str">
        <f t="shared" ca="1" si="41"/>
        <v/>
      </c>
      <c r="K197" s="460" t="str">
        <f t="shared" ca="1" si="41"/>
        <v/>
      </c>
      <c r="L197" s="460" t="str">
        <f t="shared" ca="1" si="41"/>
        <v/>
      </c>
      <c r="M197" s="460" t="str">
        <f t="shared" ca="1" si="41"/>
        <v/>
      </c>
      <c r="N197" s="460" t="str">
        <f t="shared" ca="1" si="41"/>
        <v/>
      </c>
      <c r="O197" s="461" t="str">
        <f t="shared" ca="1" si="41"/>
        <v/>
      </c>
      <c r="P197" s="474" t="str">
        <f t="shared" ca="1" si="41"/>
        <v/>
      </c>
      <c r="Q197" s="475" t="str">
        <f t="shared" ca="1" si="41"/>
        <v/>
      </c>
      <c r="R197" s="476">
        <f ca="1">IF(OR($BG$2=0,$AR197=""),,IF($AR197="本月合计",IF(ROW()=$BG$3,SUM($R$6:$R196),SUM(INDIRECT("$R$"&amp;OFFSET($AU$3,,MATCH(ROW(),$AU$3:$BF$3,)-2)+2&amp;":$R"&amp;ROW()-1))),IF($AR197="本年累计",SUMIF($AR$6:$AR197,"本月合计",$R$6:$R196),INDEX(凭证录入!L:L,$AR197))))</f>
        <v>0</v>
      </c>
      <c r="S197" s="459" t="str">
        <f t="shared" ca="1" si="42"/>
        <v/>
      </c>
      <c r="T197" s="460" t="str">
        <f t="shared" ca="1" si="42"/>
        <v/>
      </c>
      <c r="U197" s="460" t="str">
        <f t="shared" ca="1" si="42"/>
        <v/>
      </c>
      <c r="V197" s="460" t="str">
        <f t="shared" ca="1" si="42"/>
        <v/>
      </c>
      <c r="W197" s="460" t="str">
        <f t="shared" ca="1" si="42"/>
        <v/>
      </c>
      <c r="X197" s="460" t="str">
        <f t="shared" ca="1" si="42"/>
        <v/>
      </c>
      <c r="Y197" s="460" t="str">
        <f t="shared" ca="1" si="42"/>
        <v/>
      </c>
      <c r="Z197" s="460" t="str">
        <f t="shared" ca="1" si="42"/>
        <v/>
      </c>
      <c r="AA197" s="461" t="str">
        <f t="shared" ca="1" si="42"/>
        <v/>
      </c>
      <c r="AB197" s="474" t="str">
        <f t="shared" ca="1" si="42"/>
        <v/>
      </c>
      <c r="AC197" s="475" t="str">
        <f t="shared" ca="1" si="42"/>
        <v/>
      </c>
      <c r="AD197" s="477" t="str">
        <f t="shared" ca="1" si="32"/>
        <v/>
      </c>
      <c r="AE197" s="478">
        <f t="shared" ca="1" si="33"/>
        <v>0</v>
      </c>
      <c r="AF197" s="459" t="str">
        <f t="shared" ref="AF197:AP212" ca="1" si="43">LEFT(RIGHT(TEXT($AE197/1%," ￥0; ￥-0;"),43-COLUMN()))</f>
        <v/>
      </c>
      <c r="AG197" s="460" t="str">
        <f t="shared" ca="1" si="43"/>
        <v/>
      </c>
      <c r="AH197" s="460" t="str">
        <f t="shared" ca="1" si="43"/>
        <v/>
      </c>
      <c r="AI197" s="460" t="str">
        <f t="shared" ca="1" si="43"/>
        <v/>
      </c>
      <c r="AJ197" s="460" t="str">
        <f t="shared" ca="1" si="43"/>
        <v/>
      </c>
      <c r="AK197" s="460" t="str">
        <f t="shared" ca="1" si="43"/>
        <v/>
      </c>
      <c r="AL197" s="460" t="str">
        <f t="shared" ca="1" si="43"/>
        <v/>
      </c>
      <c r="AM197" s="460" t="str">
        <f t="shared" ca="1" si="43"/>
        <v/>
      </c>
      <c r="AN197" s="461" t="str">
        <f t="shared" ca="1" si="43"/>
        <v/>
      </c>
      <c r="AO197" s="474" t="str">
        <f t="shared" ca="1" si="43"/>
        <v/>
      </c>
      <c r="AP197" s="475" t="str">
        <f t="shared" ca="1" si="43"/>
        <v/>
      </c>
      <c r="AQ197" s="479" t="str">
        <f t="array" aca="1" ref="AQ197" ca="1">IF(ROW()-5&lt;=COUNTIF(科目编号,$AR$2),SMALL(IF(科目编号=$AR$2,ROW(科目编号),""),ROW()-5),"")</f>
        <v/>
      </c>
      <c r="AR197" s="480" t="str">
        <f ca="1">IF($BG$2=0,"",IF(AR196="本月合计","本年累计",IF(OR(ROW()=$AU$3,ROW()=$AV$3,ROW()=$AW$3,ROW()=$AX$3,ROW()=$AY$3,ROW()=$AZ$3,ROW()=$BA$3,ROW()=$BB$3,ROW()=$BC$3,ROW()=$BD$3,ROW()=$BE$3,ROW()=$BF$3),"本月合计",IF(ROW()&lt;7,$AQ$6,OFFSET($AQ$6,COUNT($AR$6:AR196),0)))))</f>
        <v/>
      </c>
    </row>
    <row r="198" spans="1:44">
      <c r="A198" s="469" t="str">
        <f ca="1">IFERROR(INDEX(凭证录入!A:A,$AR198),"")</f>
        <v/>
      </c>
      <c r="B198" s="469" t="str">
        <f ca="1">IFERROR(INDEX(凭证录入!B:B,$AR198),"")</f>
        <v/>
      </c>
      <c r="C198" s="470" t="str">
        <f ca="1">IFERROR(INDEX(凭证录入!G:G,$AR198),"")</f>
        <v/>
      </c>
      <c r="D198" s="471" t="str">
        <f ca="1">IFERROR(INDEX(凭证录入!F:F,$AR198),"")</f>
        <v/>
      </c>
      <c r="E198" s="472" t="str">
        <f ca="1">IFERROR(INDEX(凭证录入!H:H,$AR198),$AR198)</f>
        <v/>
      </c>
      <c r="F198" s="473">
        <f ca="1">IF(OR($BG$2=0,$AR198=""),,IF($AR198="本月合计",IF(ROW()=$BG$3,SUM($F$6:$F197),SUM(INDIRECT("$F$"&amp;OFFSET($AU$3,,MATCH(ROW(),$AU$3:$BF$3,)-2)+2&amp;":$E"&amp;ROW()-1))),IF($AR198="本年累计",SUMIF($AR$6:$AR198,"本月合计",$F$6:$F197),INDEX(凭证录入!K:K,$AR198))))</f>
        <v>0</v>
      </c>
      <c r="G198" s="459" t="str">
        <f t="shared" ref="G198:Q213" ca="1" si="44">LEFT(RIGHT(TEXT($F198/1%," ￥0; ￥-0;"),18-COLUMN()))</f>
        <v/>
      </c>
      <c r="H198" s="460" t="str">
        <f t="shared" ca="1" si="44"/>
        <v/>
      </c>
      <c r="I198" s="460" t="str">
        <f t="shared" ca="1" si="44"/>
        <v/>
      </c>
      <c r="J198" s="460" t="str">
        <f t="shared" ca="1" si="44"/>
        <v/>
      </c>
      <c r="K198" s="460" t="str">
        <f t="shared" ca="1" si="44"/>
        <v/>
      </c>
      <c r="L198" s="460" t="str">
        <f t="shared" ca="1" si="44"/>
        <v/>
      </c>
      <c r="M198" s="460" t="str">
        <f t="shared" ca="1" si="44"/>
        <v/>
      </c>
      <c r="N198" s="460" t="str">
        <f t="shared" ca="1" si="44"/>
        <v/>
      </c>
      <c r="O198" s="461" t="str">
        <f t="shared" ca="1" si="44"/>
        <v/>
      </c>
      <c r="P198" s="474" t="str">
        <f t="shared" ca="1" si="44"/>
        <v/>
      </c>
      <c r="Q198" s="475" t="str">
        <f t="shared" ca="1" si="44"/>
        <v/>
      </c>
      <c r="R198" s="476">
        <f ca="1">IF(OR($BG$2=0,$AR198=""),,IF($AR198="本月合计",IF(ROW()=$BG$3,SUM($R$6:$R197),SUM(INDIRECT("$R$"&amp;OFFSET($AU$3,,MATCH(ROW(),$AU$3:$BF$3,)-2)+2&amp;":$R"&amp;ROW()-1))),IF($AR198="本年累计",SUMIF($AR$6:$AR198,"本月合计",$R$6:$R197),INDEX(凭证录入!L:L,$AR198))))</f>
        <v>0</v>
      </c>
      <c r="S198" s="459" t="str">
        <f t="shared" ref="S198:AC213" ca="1" si="45">LEFT(RIGHT(TEXT($R198/1%," ￥0; ￥-0;"),30-COLUMN()))</f>
        <v/>
      </c>
      <c r="T198" s="460" t="str">
        <f t="shared" ca="1" si="45"/>
        <v/>
      </c>
      <c r="U198" s="460" t="str">
        <f t="shared" ca="1" si="45"/>
        <v/>
      </c>
      <c r="V198" s="460" t="str">
        <f t="shared" ca="1" si="45"/>
        <v/>
      </c>
      <c r="W198" s="460" t="str">
        <f t="shared" ca="1" si="45"/>
        <v/>
      </c>
      <c r="X198" s="460" t="str">
        <f t="shared" ca="1" si="45"/>
        <v/>
      </c>
      <c r="Y198" s="460" t="str">
        <f t="shared" ca="1" si="45"/>
        <v/>
      </c>
      <c r="Z198" s="460" t="str">
        <f t="shared" ca="1" si="45"/>
        <v/>
      </c>
      <c r="AA198" s="461" t="str">
        <f t="shared" ca="1" si="45"/>
        <v/>
      </c>
      <c r="AB198" s="474" t="str">
        <f t="shared" ca="1" si="45"/>
        <v/>
      </c>
      <c r="AC198" s="475" t="str">
        <f t="shared" ca="1" si="45"/>
        <v/>
      </c>
      <c r="AD198" s="477" t="str">
        <f t="shared" ref="AD198:AD261" ca="1" si="46">IF(OR($BG$2=0,$AR198="",$AR198="本月合计",$AR198="本年累计"),"",IF(OR(AND($AD197="",$AE197="",$AD195&lt;&gt;"借",$AD195&lt;&gt;"贷",($F198-$R198)&gt;=0),AND($AD197="",$AE197&lt;&gt;"",$AD195="借",($AE196+$F198-$R198)&gt;=0),AND($AD197="",$AE197&lt;&gt;"",$AD195="贷",(-$AE196+$F198-$R198)&gt;=0),AND($AD197="借",($AE197+$F198-$R198)&gt;=0),AND($AD197="贷",(-$AE197+$F198-$R198)&gt;=0),),"借","贷"))</f>
        <v/>
      </c>
      <c r="AE198" s="478">
        <f t="shared" ref="AE198:AE261" ca="1" si="47">IF(OR($BG$2=0,$AR198=""),,IF(OR($AR198="本月合计",$AR198="本年累计"),$AE197,IF(OR(AD197="借",AND(AD197="",AD196="",AD195="借")),ABS(AE197+F198-R198),ABS(-AE197+F198-R198))))</f>
        <v>0</v>
      </c>
      <c r="AF198" s="459" t="str">
        <f t="shared" ca="1" si="43"/>
        <v/>
      </c>
      <c r="AG198" s="460" t="str">
        <f t="shared" ca="1" si="43"/>
        <v/>
      </c>
      <c r="AH198" s="460" t="str">
        <f t="shared" ca="1" si="43"/>
        <v/>
      </c>
      <c r="AI198" s="460" t="str">
        <f t="shared" ca="1" si="43"/>
        <v/>
      </c>
      <c r="AJ198" s="460" t="str">
        <f t="shared" ca="1" si="43"/>
        <v/>
      </c>
      <c r="AK198" s="460" t="str">
        <f t="shared" ca="1" si="43"/>
        <v/>
      </c>
      <c r="AL198" s="460" t="str">
        <f t="shared" ca="1" si="43"/>
        <v/>
      </c>
      <c r="AM198" s="460" t="str">
        <f t="shared" ca="1" si="43"/>
        <v/>
      </c>
      <c r="AN198" s="461" t="str">
        <f t="shared" ca="1" si="43"/>
        <v/>
      </c>
      <c r="AO198" s="474" t="str">
        <f t="shared" ca="1" si="43"/>
        <v/>
      </c>
      <c r="AP198" s="475" t="str">
        <f t="shared" ca="1" si="43"/>
        <v/>
      </c>
      <c r="AQ198" s="479" t="str">
        <f t="array" aca="1" ref="AQ198" ca="1">IF(ROW()-5&lt;=COUNTIF(科目编号,$AR$2),SMALL(IF(科目编号=$AR$2,ROW(科目编号),""),ROW()-5),"")</f>
        <v/>
      </c>
      <c r="AR198" s="480" t="str">
        <f ca="1">IF($BG$2=0,"",IF(AR197="本月合计","本年累计",IF(OR(ROW()=$AU$3,ROW()=$AV$3,ROW()=$AW$3,ROW()=$AX$3,ROW()=$AY$3,ROW()=$AZ$3,ROW()=$BA$3,ROW()=$BB$3,ROW()=$BC$3,ROW()=$BD$3,ROW()=$BE$3,ROW()=$BF$3),"本月合计",IF(ROW()&lt;7,$AQ$6,OFFSET($AQ$6,COUNT($AR$6:AR197),0)))))</f>
        <v/>
      </c>
    </row>
    <row r="199" spans="1:44">
      <c r="A199" s="469" t="str">
        <f ca="1">IFERROR(INDEX(凭证录入!A:A,$AR199),"")</f>
        <v/>
      </c>
      <c r="B199" s="469" t="str">
        <f ca="1">IFERROR(INDEX(凭证录入!B:B,$AR199),"")</f>
        <v/>
      </c>
      <c r="C199" s="470" t="str">
        <f ca="1">IFERROR(INDEX(凭证录入!G:G,$AR199),"")</f>
        <v/>
      </c>
      <c r="D199" s="471" t="str">
        <f ca="1">IFERROR(INDEX(凭证录入!F:F,$AR199),"")</f>
        <v/>
      </c>
      <c r="E199" s="472" t="str">
        <f ca="1">IFERROR(INDEX(凭证录入!H:H,$AR199),$AR199)</f>
        <v/>
      </c>
      <c r="F199" s="473">
        <f ca="1">IF(OR($BG$2=0,$AR199=""),,IF($AR199="本月合计",IF(ROW()=$BG$3,SUM($F$6:$F198),SUM(INDIRECT("$F$"&amp;OFFSET($AU$3,,MATCH(ROW(),$AU$3:$BF$3,)-2)+2&amp;":$E"&amp;ROW()-1))),IF($AR199="本年累计",SUMIF($AR$6:$AR199,"本月合计",$F$6:$F198),INDEX(凭证录入!K:K,$AR199))))</f>
        <v>0</v>
      </c>
      <c r="G199" s="459" t="str">
        <f t="shared" ca="1" si="44"/>
        <v/>
      </c>
      <c r="H199" s="460" t="str">
        <f t="shared" ca="1" si="44"/>
        <v/>
      </c>
      <c r="I199" s="460" t="str">
        <f t="shared" ca="1" si="44"/>
        <v/>
      </c>
      <c r="J199" s="460" t="str">
        <f t="shared" ca="1" si="44"/>
        <v/>
      </c>
      <c r="K199" s="460" t="str">
        <f t="shared" ca="1" si="44"/>
        <v/>
      </c>
      <c r="L199" s="460" t="str">
        <f t="shared" ca="1" si="44"/>
        <v/>
      </c>
      <c r="M199" s="460" t="str">
        <f t="shared" ca="1" si="44"/>
        <v/>
      </c>
      <c r="N199" s="460" t="str">
        <f t="shared" ca="1" si="44"/>
        <v/>
      </c>
      <c r="O199" s="461" t="str">
        <f t="shared" ca="1" si="44"/>
        <v/>
      </c>
      <c r="P199" s="474" t="str">
        <f t="shared" ca="1" si="44"/>
        <v/>
      </c>
      <c r="Q199" s="475" t="str">
        <f t="shared" ca="1" si="44"/>
        <v/>
      </c>
      <c r="R199" s="476">
        <f ca="1">IF(OR($BG$2=0,$AR199=""),,IF($AR199="本月合计",IF(ROW()=$BG$3,SUM($R$6:$R198),SUM(INDIRECT("$R$"&amp;OFFSET($AU$3,,MATCH(ROW(),$AU$3:$BF$3,)-2)+2&amp;":$R"&amp;ROW()-1))),IF($AR199="本年累计",SUMIF($AR$6:$AR199,"本月合计",$R$6:$R198),INDEX(凭证录入!L:L,$AR199))))</f>
        <v>0</v>
      </c>
      <c r="S199" s="459" t="str">
        <f t="shared" ca="1" si="45"/>
        <v/>
      </c>
      <c r="T199" s="460" t="str">
        <f t="shared" ca="1" si="45"/>
        <v/>
      </c>
      <c r="U199" s="460" t="str">
        <f t="shared" ca="1" si="45"/>
        <v/>
      </c>
      <c r="V199" s="460" t="str">
        <f t="shared" ca="1" si="45"/>
        <v/>
      </c>
      <c r="W199" s="460" t="str">
        <f t="shared" ca="1" si="45"/>
        <v/>
      </c>
      <c r="X199" s="460" t="str">
        <f t="shared" ca="1" si="45"/>
        <v/>
      </c>
      <c r="Y199" s="460" t="str">
        <f t="shared" ca="1" si="45"/>
        <v/>
      </c>
      <c r="Z199" s="460" t="str">
        <f t="shared" ca="1" si="45"/>
        <v/>
      </c>
      <c r="AA199" s="461" t="str">
        <f t="shared" ca="1" si="45"/>
        <v/>
      </c>
      <c r="AB199" s="474" t="str">
        <f t="shared" ca="1" si="45"/>
        <v/>
      </c>
      <c r="AC199" s="475" t="str">
        <f t="shared" ca="1" si="45"/>
        <v/>
      </c>
      <c r="AD199" s="477" t="str">
        <f t="shared" ca="1" si="46"/>
        <v/>
      </c>
      <c r="AE199" s="478">
        <f t="shared" ca="1" si="47"/>
        <v>0</v>
      </c>
      <c r="AF199" s="459" t="str">
        <f t="shared" ca="1" si="43"/>
        <v/>
      </c>
      <c r="AG199" s="460" t="str">
        <f t="shared" ca="1" si="43"/>
        <v/>
      </c>
      <c r="AH199" s="460" t="str">
        <f t="shared" ca="1" si="43"/>
        <v/>
      </c>
      <c r="AI199" s="460" t="str">
        <f t="shared" ca="1" si="43"/>
        <v/>
      </c>
      <c r="AJ199" s="460" t="str">
        <f t="shared" ca="1" si="43"/>
        <v/>
      </c>
      <c r="AK199" s="460" t="str">
        <f t="shared" ca="1" si="43"/>
        <v/>
      </c>
      <c r="AL199" s="460" t="str">
        <f t="shared" ca="1" si="43"/>
        <v/>
      </c>
      <c r="AM199" s="460" t="str">
        <f t="shared" ca="1" si="43"/>
        <v/>
      </c>
      <c r="AN199" s="461" t="str">
        <f t="shared" ca="1" si="43"/>
        <v/>
      </c>
      <c r="AO199" s="474" t="str">
        <f t="shared" ca="1" si="43"/>
        <v/>
      </c>
      <c r="AP199" s="475" t="str">
        <f t="shared" ca="1" si="43"/>
        <v/>
      </c>
      <c r="AQ199" s="479" t="str">
        <f t="array" aca="1" ref="AQ199" ca="1">IF(ROW()-5&lt;=COUNTIF(科目编号,$AR$2),SMALL(IF(科目编号=$AR$2,ROW(科目编号),""),ROW()-5),"")</f>
        <v/>
      </c>
      <c r="AR199" s="480" t="str">
        <f ca="1">IF($BG$2=0,"",IF(AR198="本月合计","本年累计",IF(OR(ROW()=$AU$3,ROW()=$AV$3,ROW()=$AW$3,ROW()=$AX$3,ROW()=$AY$3,ROW()=$AZ$3,ROW()=$BA$3,ROW()=$BB$3,ROW()=$BC$3,ROW()=$BD$3,ROW()=$BE$3,ROW()=$BF$3),"本月合计",IF(ROW()&lt;7,$AQ$6,OFFSET($AQ$6,COUNT($AR$6:AR198),0)))))</f>
        <v/>
      </c>
    </row>
    <row r="200" spans="1:44">
      <c r="A200" s="469" t="str">
        <f ca="1">IFERROR(INDEX(凭证录入!A:A,$AR200),"")</f>
        <v/>
      </c>
      <c r="B200" s="469" t="str">
        <f ca="1">IFERROR(INDEX(凭证录入!B:B,$AR200),"")</f>
        <v/>
      </c>
      <c r="C200" s="470" t="str">
        <f ca="1">IFERROR(INDEX(凭证录入!G:G,$AR200),"")</f>
        <v/>
      </c>
      <c r="D200" s="471" t="str">
        <f ca="1">IFERROR(INDEX(凭证录入!F:F,$AR200),"")</f>
        <v/>
      </c>
      <c r="E200" s="472" t="str">
        <f ca="1">IFERROR(INDEX(凭证录入!H:H,$AR200),$AR200)</f>
        <v/>
      </c>
      <c r="F200" s="473">
        <f ca="1">IF(OR($BG$2=0,$AR200=""),,IF($AR200="本月合计",IF(ROW()=$BG$3,SUM($F$6:$F199),SUM(INDIRECT("$F$"&amp;OFFSET($AU$3,,MATCH(ROW(),$AU$3:$BF$3,)-2)+2&amp;":$E"&amp;ROW()-1))),IF($AR200="本年累计",SUMIF($AR$6:$AR200,"本月合计",$F$6:$F199),INDEX(凭证录入!K:K,$AR200))))</f>
        <v>0</v>
      </c>
      <c r="G200" s="459" t="str">
        <f t="shared" ca="1" si="44"/>
        <v/>
      </c>
      <c r="H200" s="460" t="str">
        <f t="shared" ca="1" si="44"/>
        <v/>
      </c>
      <c r="I200" s="460" t="str">
        <f t="shared" ca="1" si="44"/>
        <v/>
      </c>
      <c r="J200" s="460" t="str">
        <f t="shared" ca="1" si="44"/>
        <v/>
      </c>
      <c r="K200" s="460" t="str">
        <f t="shared" ca="1" si="44"/>
        <v/>
      </c>
      <c r="L200" s="460" t="str">
        <f t="shared" ca="1" si="44"/>
        <v/>
      </c>
      <c r="M200" s="460" t="str">
        <f t="shared" ca="1" si="44"/>
        <v/>
      </c>
      <c r="N200" s="460" t="str">
        <f t="shared" ca="1" si="44"/>
        <v/>
      </c>
      <c r="O200" s="461" t="str">
        <f t="shared" ca="1" si="44"/>
        <v/>
      </c>
      <c r="P200" s="474" t="str">
        <f t="shared" ca="1" si="44"/>
        <v/>
      </c>
      <c r="Q200" s="475" t="str">
        <f t="shared" ca="1" si="44"/>
        <v/>
      </c>
      <c r="R200" s="476">
        <f ca="1">IF(OR($BG$2=0,$AR200=""),,IF($AR200="本月合计",IF(ROW()=$BG$3,SUM($R$6:$R199),SUM(INDIRECT("$R$"&amp;OFFSET($AU$3,,MATCH(ROW(),$AU$3:$BF$3,)-2)+2&amp;":$R"&amp;ROW()-1))),IF($AR200="本年累计",SUMIF($AR$6:$AR200,"本月合计",$R$6:$R199),INDEX(凭证录入!L:L,$AR200))))</f>
        <v>0</v>
      </c>
      <c r="S200" s="459" t="str">
        <f t="shared" ca="1" si="45"/>
        <v/>
      </c>
      <c r="T200" s="460" t="str">
        <f t="shared" ca="1" si="45"/>
        <v/>
      </c>
      <c r="U200" s="460" t="str">
        <f t="shared" ca="1" si="45"/>
        <v/>
      </c>
      <c r="V200" s="460" t="str">
        <f t="shared" ca="1" si="45"/>
        <v/>
      </c>
      <c r="W200" s="460" t="str">
        <f t="shared" ca="1" si="45"/>
        <v/>
      </c>
      <c r="X200" s="460" t="str">
        <f t="shared" ca="1" si="45"/>
        <v/>
      </c>
      <c r="Y200" s="460" t="str">
        <f t="shared" ca="1" si="45"/>
        <v/>
      </c>
      <c r="Z200" s="460" t="str">
        <f t="shared" ca="1" si="45"/>
        <v/>
      </c>
      <c r="AA200" s="461" t="str">
        <f t="shared" ca="1" si="45"/>
        <v/>
      </c>
      <c r="AB200" s="474" t="str">
        <f t="shared" ca="1" si="45"/>
        <v/>
      </c>
      <c r="AC200" s="475" t="str">
        <f t="shared" ca="1" si="45"/>
        <v/>
      </c>
      <c r="AD200" s="477" t="str">
        <f t="shared" ca="1" si="46"/>
        <v/>
      </c>
      <c r="AE200" s="478">
        <f t="shared" ca="1" si="47"/>
        <v>0</v>
      </c>
      <c r="AF200" s="459" t="str">
        <f t="shared" ca="1" si="43"/>
        <v/>
      </c>
      <c r="AG200" s="460" t="str">
        <f t="shared" ca="1" si="43"/>
        <v/>
      </c>
      <c r="AH200" s="460" t="str">
        <f t="shared" ca="1" si="43"/>
        <v/>
      </c>
      <c r="AI200" s="460" t="str">
        <f t="shared" ca="1" si="43"/>
        <v/>
      </c>
      <c r="AJ200" s="460" t="str">
        <f t="shared" ca="1" si="43"/>
        <v/>
      </c>
      <c r="AK200" s="460" t="str">
        <f t="shared" ca="1" si="43"/>
        <v/>
      </c>
      <c r="AL200" s="460" t="str">
        <f t="shared" ca="1" si="43"/>
        <v/>
      </c>
      <c r="AM200" s="460" t="str">
        <f t="shared" ca="1" si="43"/>
        <v/>
      </c>
      <c r="AN200" s="461" t="str">
        <f t="shared" ca="1" si="43"/>
        <v/>
      </c>
      <c r="AO200" s="474" t="str">
        <f t="shared" ca="1" si="43"/>
        <v/>
      </c>
      <c r="AP200" s="475" t="str">
        <f t="shared" ca="1" si="43"/>
        <v/>
      </c>
      <c r="AQ200" s="479" t="str">
        <f t="array" aca="1" ref="AQ200" ca="1">IF(ROW()-5&lt;=COUNTIF(科目编号,$AR$2),SMALL(IF(科目编号=$AR$2,ROW(科目编号),""),ROW()-5),"")</f>
        <v/>
      </c>
      <c r="AR200" s="480" t="str">
        <f ca="1">IF($BG$2=0,"",IF(AR199="本月合计","本年累计",IF(OR(ROW()=$AU$3,ROW()=$AV$3,ROW()=$AW$3,ROW()=$AX$3,ROW()=$AY$3,ROW()=$AZ$3,ROW()=$BA$3,ROW()=$BB$3,ROW()=$BC$3,ROW()=$BD$3,ROW()=$BE$3,ROW()=$BF$3),"本月合计",IF(ROW()&lt;7,$AQ$6,OFFSET($AQ$6,COUNT($AR$6:AR199),0)))))</f>
        <v/>
      </c>
    </row>
    <row r="201" spans="1:44">
      <c r="A201" s="469" t="str">
        <f ca="1">IFERROR(INDEX(凭证录入!A:A,$AR201),"")</f>
        <v/>
      </c>
      <c r="B201" s="469" t="str">
        <f ca="1">IFERROR(INDEX(凭证录入!B:B,$AR201),"")</f>
        <v/>
      </c>
      <c r="C201" s="470" t="str">
        <f ca="1">IFERROR(INDEX(凭证录入!G:G,$AR201),"")</f>
        <v/>
      </c>
      <c r="D201" s="471" t="str">
        <f ca="1">IFERROR(INDEX(凭证录入!F:F,$AR201),"")</f>
        <v/>
      </c>
      <c r="E201" s="472" t="str">
        <f ca="1">IFERROR(INDEX(凭证录入!H:H,$AR201),$AR201)</f>
        <v/>
      </c>
      <c r="F201" s="473">
        <f ca="1">IF(OR($BG$2=0,$AR201=""),,IF($AR201="本月合计",IF(ROW()=$BG$3,SUM($F$6:$F200),SUM(INDIRECT("$F$"&amp;OFFSET($AU$3,,MATCH(ROW(),$AU$3:$BF$3,)-2)+2&amp;":$E"&amp;ROW()-1))),IF($AR201="本年累计",SUMIF($AR$6:$AR201,"本月合计",$F$6:$F200),INDEX(凭证录入!K:K,$AR201))))</f>
        <v>0</v>
      </c>
      <c r="G201" s="459" t="str">
        <f t="shared" ca="1" si="44"/>
        <v/>
      </c>
      <c r="H201" s="460" t="str">
        <f t="shared" ca="1" si="44"/>
        <v/>
      </c>
      <c r="I201" s="460" t="str">
        <f t="shared" ca="1" si="44"/>
        <v/>
      </c>
      <c r="J201" s="460" t="str">
        <f t="shared" ca="1" si="44"/>
        <v/>
      </c>
      <c r="K201" s="460" t="str">
        <f t="shared" ca="1" si="44"/>
        <v/>
      </c>
      <c r="L201" s="460" t="str">
        <f t="shared" ca="1" si="44"/>
        <v/>
      </c>
      <c r="M201" s="460" t="str">
        <f t="shared" ca="1" si="44"/>
        <v/>
      </c>
      <c r="N201" s="460" t="str">
        <f t="shared" ca="1" si="44"/>
        <v/>
      </c>
      <c r="O201" s="461" t="str">
        <f t="shared" ca="1" si="44"/>
        <v/>
      </c>
      <c r="P201" s="474" t="str">
        <f t="shared" ca="1" si="44"/>
        <v/>
      </c>
      <c r="Q201" s="475" t="str">
        <f t="shared" ca="1" si="44"/>
        <v/>
      </c>
      <c r="R201" s="476">
        <f ca="1">IF(OR($BG$2=0,$AR201=""),,IF($AR201="本月合计",IF(ROW()=$BG$3,SUM($R$6:$R200),SUM(INDIRECT("$R$"&amp;OFFSET($AU$3,,MATCH(ROW(),$AU$3:$BF$3,)-2)+2&amp;":$R"&amp;ROW()-1))),IF($AR201="本年累计",SUMIF($AR$6:$AR201,"本月合计",$R$6:$R200),INDEX(凭证录入!L:L,$AR201))))</f>
        <v>0</v>
      </c>
      <c r="S201" s="459" t="str">
        <f t="shared" ca="1" si="45"/>
        <v/>
      </c>
      <c r="T201" s="460" t="str">
        <f t="shared" ca="1" si="45"/>
        <v/>
      </c>
      <c r="U201" s="460" t="str">
        <f t="shared" ca="1" si="45"/>
        <v/>
      </c>
      <c r="V201" s="460" t="str">
        <f t="shared" ca="1" si="45"/>
        <v/>
      </c>
      <c r="W201" s="460" t="str">
        <f t="shared" ca="1" si="45"/>
        <v/>
      </c>
      <c r="X201" s="460" t="str">
        <f t="shared" ca="1" si="45"/>
        <v/>
      </c>
      <c r="Y201" s="460" t="str">
        <f t="shared" ca="1" si="45"/>
        <v/>
      </c>
      <c r="Z201" s="460" t="str">
        <f t="shared" ca="1" si="45"/>
        <v/>
      </c>
      <c r="AA201" s="461" t="str">
        <f t="shared" ca="1" si="45"/>
        <v/>
      </c>
      <c r="AB201" s="474" t="str">
        <f t="shared" ca="1" si="45"/>
        <v/>
      </c>
      <c r="AC201" s="475" t="str">
        <f t="shared" ca="1" si="45"/>
        <v/>
      </c>
      <c r="AD201" s="477" t="str">
        <f t="shared" ca="1" si="46"/>
        <v/>
      </c>
      <c r="AE201" s="478">
        <f t="shared" ca="1" si="47"/>
        <v>0</v>
      </c>
      <c r="AF201" s="459" t="str">
        <f t="shared" ca="1" si="43"/>
        <v/>
      </c>
      <c r="AG201" s="460" t="str">
        <f t="shared" ca="1" si="43"/>
        <v/>
      </c>
      <c r="AH201" s="460" t="str">
        <f t="shared" ca="1" si="43"/>
        <v/>
      </c>
      <c r="AI201" s="460" t="str">
        <f t="shared" ca="1" si="43"/>
        <v/>
      </c>
      <c r="AJ201" s="460" t="str">
        <f t="shared" ca="1" si="43"/>
        <v/>
      </c>
      <c r="AK201" s="460" t="str">
        <f t="shared" ca="1" si="43"/>
        <v/>
      </c>
      <c r="AL201" s="460" t="str">
        <f t="shared" ca="1" si="43"/>
        <v/>
      </c>
      <c r="AM201" s="460" t="str">
        <f t="shared" ca="1" si="43"/>
        <v/>
      </c>
      <c r="AN201" s="461" t="str">
        <f t="shared" ca="1" si="43"/>
        <v/>
      </c>
      <c r="AO201" s="474" t="str">
        <f t="shared" ca="1" si="43"/>
        <v/>
      </c>
      <c r="AP201" s="475" t="str">
        <f t="shared" ca="1" si="43"/>
        <v/>
      </c>
      <c r="AQ201" s="479" t="str">
        <f t="array" aca="1" ref="AQ201" ca="1">IF(ROW()-5&lt;=COUNTIF(科目编号,$AR$2),SMALL(IF(科目编号=$AR$2,ROW(科目编号),""),ROW()-5),"")</f>
        <v/>
      </c>
      <c r="AR201" s="480" t="str">
        <f ca="1">IF($BG$2=0,"",IF(AR200="本月合计","本年累计",IF(OR(ROW()=$AU$3,ROW()=$AV$3,ROW()=$AW$3,ROW()=$AX$3,ROW()=$AY$3,ROW()=$AZ$3,ROW()=$BA$3,ROW()=$BB$3,ROW()=$BC$3,ROW()=$BD$3,ROW()=$BE$3,ROW()=$BF$3),"本月合计",IF(ROW()&lt;7,$AQ$6,OFFSET($AQ$6,COUNT($AR$6:AR200),0)))))</f>
        <v/>
      </c>
    </row>
    <row r="202" spans="1:44">
      <c r="A202" s="469" t="str">
        <f ca="1">IFERROR(INDEX(凭证录入!A:A,$AR202),"")</f>
        <v/>
      </c>
      <c r="B202" s="469" t="str">
        <f ca="1">IFERROR(INDEX(凭证录入!B:B,$AR202),"")</f>
        <v/>
      </c>
      <c r="C202" s="470" t="str">
        <f ca="1">IFERROR(INDEX(凭证录入!G:G,$AR202),"")</f>
        <v/>
      </c>
      <c r="D202" s="471" t="str">
        <f ca="1">IFERROR(INDEX(凭证录入!F:F,$AR202),"")</f>
        <v/>
      </c>
      <c r="E202" s="472" t="str">
        <f ca="1">IFERROR(INDEX(凭证录入!H:H,$AR202),$AR202)</f>
        <v/>
      </c>
      <c r="F202" s="473">
        <f ca="1">IF(OR($BG$2=0,$AR202=""),,IF($AR202="本月合计",IF(ROW()=$BG$3,SUM($F$6:$F201),SUM(INDIRECT("$F$"&amp;OFFSET($AU$3,,MATCH(ROW(),$AU$3:$BF$3,)-2)+2&amp;":$E"&amp;ROW()-1))),IF($AR202="本年累计",SUMIF($AR$6:$AR202,"本月合计",$F$6:$F201),INDEX(凭证录入!K:K,$AR202))))</f>
        <v>0</v>
      </c>
      <c r="G202" s="459" t="str">
        <f t="shared" ca="1" si="44"/>
        <v/>
      </c>
      <c r="H202" s="460" t="str">
        <f t="shared" ca="1" si="44"/>
        <v/>
      </c>
      <c r="I202" s="460" t="str">
        <f t="shared" ca="1" si="44"/>
        <v/>
      </c>
      <c r="J202" s="460" t="str">
        <f t="shared" ca="1" si="44"/>
        <v/>
      </c>
      <c r="K202" s="460" t="str">
        <f t="shared" ca="1" si="44"/>
        <v/>
      </c>
      <c r="L202" s="460" t="str">
        <f t="shared" ca="1" si="44"/>
        <v/>
      </c>
      <c r="M202" s="460" t="str">
        <f t="shared" ca="1" si="44"/>
        <v/>
      </c>
      <c r="N202" s="460" t="str">
        <f t="shared" ca="1" si="44"/>
        <v/>
      </c>
      <c r="O202" s="461" t="str">
        <f t="shared" ca="1" si="44"/>
        <v/>
      </c>
      <c r="P202" s="474" t="str">
        <f t="shared" ca="1" si="44"/>
        <v/>
      </c>
      <c r="Q202" s="475" t="str">
        <f t="shared" ca="1" si="44"/>
        <v/>
      </c>
      <c r="R202" s="476">
        <f ca="1">IF(OR($BG$2=0,$AR202=""),,IF($AR202="本月合计",IF(ROW()=$BG$3,SUM($R$6:$R201),SUM(INDIRECT("$R$"&amp;OFFSET($AU$3,,MATCH(ROW(),$AU$3:$BF$3,)-2)+2&amp;":$R"&amp;ROW()-1))),IF($AR202="本年累计",SUMIF($AR$6:$AR202,"本月合计",$R$6:$R201),INDEX(凭证录入!L:L,$AR202))))</f>
        <v>0</v>
      </c>
      <c r="S202" s="459" t="str">
        <f t="shared" ca="1" si="45"/>
        <v/>
      </c>
      <c r="T202" s="460" t="str">
        <f t="shared" ca="1" si="45"/>
        <v/>
      </c>
      <c r="U202" s="460" t="str">
        <f t="shared" ca="1" si="45"/>
        <v/>
      </c>
      <c r="V202" s="460" t="str">
        <f t="shared" ca="1" si="45"/>
        <v/>
      </c>
      <c r="W202" s="460" t="str">
        <f t="shared" ca="1" si="45"/>
        <v/>
      </c>
      <c r="X202" s="460" t="str">
        <f t="shared" ca="1" si="45"/>
        <v/>
      </c>
      <c r="Y202" s="460" t="str">
        <f t="shared" ca="1" si="45"/>
        <v/>
      </c>
      <c r="Z202" s="460" t="str">
        <f t="shared" ca="1" si="45"/>
        <v/>
      </c>
      <c r="AA202" s="461" t="str">
        <f t="shared" ca="1" si="45"/>
        <v/>
      </c>
      <c r="AB202" s="474" t="str">
        <f t="shared" ca="1" si="45"/>
        <v/>
      </c>
      <c r="AC202" s="475" t="str">
        <f t="shared" ca="1" si="45"/>
        <v/>
      </c>
      <c r="AD202" s="477" t="str">
        <f t="shared" ca="1" si="46"/>
        <v/>
      </c>
      <c r="AE202" s="478">
        <f t="shared" ca="1" si="47"/>
        <v>0</v>
      </c>
      <c r="AF202" s="459" t="str">
        <f t="shared" ca="1" si="43"/>
        <v/>
      </c>
      <c r="AG202" s="460" t="str">
        <f t="shared" ca="1" si="43"/>
        <v/>
      </c>
      <c r="AH202" s="460" t="str">
        <f t="shared" ca="1" si="43"/>
        <v/>
      </c>
      <c r="AI202" s="460" t="str">
        <f t="shared" ca="1" si="43"/>
        <v/>
      </c>
      <c r="AJ202" s="460" t="str">
        <f t="shared" ca="1" si="43"/>
        <v/>
      </c>
      <c r="AK202" s="460" t="str">
        <f t="shared" ca="1" si="43"/>
        <v/>
      </c>
      <c r="AL202" s="460" t="str">
        <f t="shared" ca="1" si="43"/>
        <v/>
      </c>
      <c r="AM202" s="460" t="str">
        <f t="shared" ca="1" si="43"/>
        <v/>
      </c>
      <c r="AN202" s="461" t="str">
        <f t="shared" ca="1" si="43"/>
        <v/>
      </c>
      <c r="AO202" s="474" t="str">
        <f t="shared" ca="1" si="43"/>
        <v/>
      </c>
      <c r="AP202" s="475" t="str">
        <f t="shared" ca="1" si="43"/>
        <v/>
      </c>
      <c r="AQ202" s="479" t="str">
        <f t="array" aca="1" ref="AQ202" ca="1">IF(ROW()-5&lt;=COUNTIF(科目编号,$AR$2),SMALL(IF(科目编号=$AR$2,ROW(科目编号),""),ROW()-5),"")</f>
        <v/>
      </c>
      <c r="AR202" s="480" t="str">
        <f ca="1">IF($BG$2=0,"",IF(AR201="本月合计","本年累计",IF(OR(ROW()=$AU$3,ROW()=$AV$3,ROW()=$AW$3,ROW()=$AX$3,ROW()=$AY$3,ROW()=$AZ$3,ROW()=$BA$3,ROW()=$BB$3,ROW()=$BC$3,ROW()=$BD$3,ROW()=$BE$3,ROW()=$BF$3),"本月合计",IF(ROW()&lt;7,$AQ$6,OFFSET($AQ$6,COUNT($AR$6:AR201),0)))))</f>
        <v/>
      </c>
    </row>
    <row r="203" spans="1:44">
      <c r="A203" s="469" t="str">
        <f ca="1">IFERROR(INDEX(凭证录入!A:A,$AR203),"")</f>
        <v/>
      </c>
      <c r="B203" s="469" t="str">
        <f ca="1">IFERROR(INDEX(凭证录入!B:B,$AR203),"")</f>
        <v/>
      </c>
      <c r="C203" s="470" t="str">
        <f ca="1">IFERROR(INDEX(凭证录入!G:G,$AR203),"")</f>
        <v/>
      </c>
      <c r="D203" s="471" t="str">
        <f ca="1">IFERROR(INDEX(凭证录入!F:F,$AR203),"")</f>
        <v/>
      </c>
      <c r="E203" s="472" t="str">
        <f ca="1">IFERROR(INDEX(凭证录入!H:H,$AR203),$AR203)</f>
        <v/>
      </c>
      <c r="F203" s="473">
        <f ca="1">IF(OR($BG$2=0,$AR203=""),,IF($AR203="本月合计",IF(ROW()=$BG$3,SUM($F$6:$F202),SUM(INDIRECT("$F$"&amp;OFFSET($AU$3,,MATCH(ROW(),$AU$3:$BF$3,)-2)+2&amp;":$E"&amp;ROW()-1))),IF($AR203="本年累计",SUMIF($AR$6:$AR203,"本月合计",$F$6:$F202),INDEX(凭证录入!K:K,$AR203))))</f>
        <v>0</v>
      </c>
      <c r="G203" s="459" t="str">
        <f t="shared" ca="1" si="44"/>
        <v/>
      </c>
      <c r="H203" s="460" t="str">
        <f t="shared" ca="1" si="44"/>
        <v/>
      </c>
      <c r="I203" s="460" t="str">
        <f t="shared" ca="1" si="44"/>
        <v/>
      </c>
      <c r="J203" s="460" t="str">
        <f t="shared" ca="1" si="44"/>
        <v/>
      </c>
      <c r="K203" s="460" t="str">
        <f t="shared" ca="1" si="44"/>
        <v/>
      </c>
      <c r="L203" s="460" t="str">
        <f t="shared" ca="1" si="44"/>
        <v/>
      </c>
      <c r="M203" s="460" t="str">
        <f t="shared" ca="1" si="44"/>
        <v/>
      </c>
      <c r="N203" s="460" t="str">
        <f t="shared" ca="1" si="44"/>
        <v/>
      </c>
      <c r="O203" s="461" t="str">
        <f t="shared" ca="1" si="44"/>
        <v/>
      </c>
      <c r="P203" s="474" t="str">
        <f t="shared" ca="1" si="44"/>
        <v/>
      </c>
      <c r="Q203" s="475" t="str">
        <f t="shared" ca="1" si="44"/>
        <v/>
      </c>
      <c r="R203" s="476">
        <f ca="1">IF(OR($BG$2=0,$AR203=""),,IF($AR203="本月合计",IF(ROW()=$BG$3,SUM($R$6:$R202),SUM(INDIRECT("$R$"&amp;OFFSET($AU$3,,MATCH(ROW(),$AU$3:$BF$3,)-2)+2&amp;":$R"&amp;ROW()-1))),IF($AR203="本年累计",SUMIF($AR$6:$AR203,"本月合计",$R$6:$R202),INDEX(凭证录入!L:L,$AR203))))</f>
        <v>0</v>
      </c>
      <c r="S203" s="459" t="str">
        <f t="shared" ca="1" si="45"/>
        <v/>
      </c>
      <c r="T203" s="460" t="str">
        <f t="shared" ca="1" si="45"/>
        <v/>
      </c>
      <c r="U203" s="460" t="str">
        <f t="shared" ca="1" si="45"/>
        <v/>
      </c>
      <c r="V203" s="460" t="str">
        <f t="shared" ca="1" si="45"/>
        <v/>
      </c>
      <c r="W203" s="460" t="str">
        <f t="shared" ca="1" si="45"/>
        <v/>
      </c>
      <c r="X203" s="460" t="str">
        <f t="shared" ca="1" si="45"/>
        <v/>
      </c>
      <c r="Y203" s="460" t="str">
        <f t="shared" ca="1" si="45"/>
        <v/>
      </c>
      <c r="Z203" s="460" t="str">
        <f t="shared" ca="1" si="45"/>
        <v/>
      </c>
      <c r="AA203" s="461" t="str">
        <f t="shared" ca="1" si="45"/>
        <v/>
      </c>
      <c r="AB203" s="474" t="str">
        <f t="shared" ca="1" si="45"/>
        <v/>
      </c>
      <c r="AC203" s="475" t="str">
        <f t="shared" ca="1" si="45"/>
        <v/>
      </c>
      <c r="AD203" s="477" t="str">
        <f t="shared" ca="1" si="46"/>
        <v/>
      </c>
      <c r="AE203" s="478">
        <f t="shared" ca="1" si="47"/>
        <v>0</v>
      </c>
      <c r="AF203" s="459" t="str">
        <f t="shared" ca="1" si="43"/>
        <v/>
      </c>
      <c r="AG203" s="460" t="str">
        <f t="shared" ca="1" si="43"/>
        <v/>
      </c>
      <c r="AH203" s="460" t="str">
        <f t="shared" ca="1" si="43"/>
        <v/>
      </c>
      <c r="AI203" s="460" t="str">
        <f t="shared" ca="1" si="43"/>
        <v/>
      </c>
      <c r="AJ203" s="460" t="str">
        <f t="shared" ca="1" si="43"/>
        <v/>
      </c>
      <c r="AK203" s="460" t="str">
        <f t="shared" ca="1" si="43"/>
        <v/>
      </c>
      <c r="AL203" s="460" t="str">
        <f t="shared" ca="1" si="43"/>
        <v/>
      </c>
      <c r="AM203" s="460" t="str">
        <f t="shared" ca="1" si="43"/>
        <v/>
      </c>
      <c r="AN203" s="461" t="str">
        <f t="shared" ca="1" si="43"/>
        <v/>
      </c>
      <c r="AO203" s="474" t="str">
        <f t="shared" ca="1" si="43"/>
        <v/>
      </c>
      <c r="AP203" s="475" t="str">
        <f t="shared" ca="1" si="43"/>
        <v/>
      </c>
      <c r="AQ203" s="479" t="str">
        <f t="array" aca="1" ref="AQ203" ca="1">IF(ROW()-5&lt;=COUNTIF(科目编号,$AR$2),SMALL(IF(科目编号=$AR$2,ROW(科目编号),""),ROW()-5),"")</f>
        <v/>
      </c>
      <c r="AR203" s="480" t="str">
        <f ca="1">IF($BG$2=0,"",IF(AR202="本月合计","本年累计",IF(OR(ROW()=$AU$3,ROW()=$AV$3,ROW()=$AW$3,ROW()=$AX$3,ROW()=$AY$3,ROW()=$AZ$3,ROW()=$BA$3,ROW()=$BB$3,ROW()=$BC$3,ROW()=$BD$3,ROW()=$BE$3,ROW()=$BF$3),"本月合计",IF(ROW()&lt;7,$AQ$6,OFFSET($AQ$6,COUNT($AR$6:AR202),0)))))</f>
        <v/>
      </c>
    </row>
    <row r="204" spans="1:44">
      <c r="A204" s="469" t="str">
        <f ca="1">IFERROR(INDEX(凭证录入!A:A,$AR204),"")</f>
        <v/>
      </c>
      <c r="B204" s="469" t="str">
        <f ca="1">IFERROR(INDEX(凭证录入!B:B,$AR204),"")</f>
        <v/>
      </c>
      <c r="C204" s="470" t="str">
        <f ca="1">IFERROR(INDEX(凭证录入!G:G,$AR204),"")</f>
        <v/>
      </c>
      <c r="D204" s="471" t="str">
        <f ca="1">IFERROR(INDEX(凭证录入!F:F,$AR204),"")</f>
        <v/>
      </c>
      <c r="E204" s="472" t="str">
        <f ca="1">IFERROR(INDEX(凭证录入!H:H,$AR204),$AR204)</f>
        <v/>
      </c>
      <c r="F204" s="473">
        <f ca="1">IF(OR($BG$2=0,$AR204=""),,IF($AR204="本月合计",IF(ROW()=$BG$3,SUM($F$6:$F203),SUM(INDIRECT("$F$"&amp;OFFSET($AU$3,,MATCH(ROW(),$AU$3:$BF$3,)-2)+2&amp;":$E"&amp;ROW()-1))),IF($AR204="本年累计",SUMIF($AR$6:$AR204,"本月合计",$F$6:$F203),INDEX(凭证录入!K:K,$AR204))))</f>
        <v>0</v>
      </c>
      <c r="G204" s="459" t="str">
        <f t="shared" ca="1" si="44"/>
        <v/>
      </c>
      <c r="H204" s="460" t="str">
        <f t="shared" ca="1" si="44"/>
        <v/>
      </c>
      <c r="I204" s="460" t="str">
        <f t="shared" ca="1" si="44"/>
        <v/>
      </c>
      <c r="J204" s="460" t="str">
        <f t="shared" ca="1" si="44"/>
        <v/>
      </c>
      <c r="K204" s="460" t="str">
        <f t="shared" ca="1" si="44"/>
        <v/>
      </c>
      <c r="L204" s="460" t="str">
        <f t="shared" ca="1" si="44"/>
        <v/>
      </c>
      <c r="M204" s="460" t="str">
        <f t="shared" ca="1" si="44"/>
        <v/>
      </c>
      <c r="N204" s="460" t="str">
        <f t="shared" ca="1" si="44"/>
        <v/>
      </c>
      <c r="O204" s="461" t="str">
        <f t="shared" ca="1" si="44"/>
        <v/>
      </c>
      <c r="P204" s="474" t="str">
        <f t="shared" ca="1" si="44"/>
        <v/>
      </c>
      <c r="Q204" s="475" t="str">
        <f t="shared" ca="1" si="44"/>
        <v/>
      </c>
      <c r="R204" s="476">
        <f ca="1">IF(OR($BG$2=0,$AR204=""),,IF($AR204="本月合计",IF(ROW()=$BG$3,SUM($R$6:$R203),SUM(INDIRECT("$R$"&amp;OFFSET($AU$3,,MATCH(ROW(),$AU$3:$BF$3,)-2)+2&amp;":$R"&amp;ROW()-1))),IF($AR204="本年累计",SUMIF($AR$6:$AR204,"本月合计",$R$6:$R203),INDEX(凭证录入!L:L,$AR204))))</f>
        <v>0</v>
      </c>
      <c r="S204" s="459" t="str">
        <f t="shared" ca="1" si="45"/>
        <v/>
      </c>
      <c r="T204" s="460" t="str">
        <f t="shared" ca="1" si="45"/>
        <v/>
      </c>
      <c r="U204" s="460" t="str">
        <f t="shared" ca="1" si="45"/>
        <v/>
      </c>
      <c r="V204" s="460" t="str">
        <f t="shared" ca="1" si="45"/>
        <v/>
      </c>
      <c r="W204" s="460" t="str">
        <f t="shared" ca="1" si="45"/>
        <v/>
      </c>
      <c r="X204" s="460" t="str">
        <f t="shared" ca="1" si="45"/>
        <v/>
      </c>
      <c r="Y204" s="460" t="str">
        <f t="shared" ca="1" si="45"/>
        <v/>
      </c>
      <c r="Z204" s="460" t="str">
        <f t="shared" ca="1" si="45"/>
        <v/>
      </c>
      <c r="AA204" s="461" t="str">
        <f t="shared" ca="1" si="45"/>
        <v/>
      </c>
      <c r="AB204" s="474" t="str">
        <f t="shared" ca="1" si="45"/>
        <v/>
      </c>
      <c r="AC204" s="475" t="str">
        <f t="shared" ca="1" si="45"/>
        <v/>
      </c>
      <c r="AD204" s="477" t="str">
        <f t="shared" ca="1" si="46"/>
        <v/>
      </c>
      <c r="AE204" s="478">
        <f t="shared" ca="1" si="47"/>
        <v>0</v>
      </c>
      <c r="AF204" s="459" t="str">
        <f t="shared" ca="1" si="43"/>
        <v/>
      </c>
      <c r="AG204" s="460" t="str">
        <f t="shared" ca="1" si="43"/>
        <v/>
      </c>
      <c r="AH204" s="460" t="str">
        <f t="shared" ca="1" si="43"/>
        <v/>
      </c>
      <c r="AI204" s="460" t="str">
        <f t="shared" ca="1" si="43"/>
        <v/>
      </c>
      <c r="AJ204" s="460" t="str">
        <f t="shared" ca="1" si="43"/>
        <v/>
      </c>
      <c r="AK204" s="460" t="str">
        <f t="shared" ca="1" si="43"/>
        <v/>
      </c>
      <c r="AL204" s="460" t="str">
        <f t="shared" ca="1" si="43"/>
        <v/>
      </c>
      <c r="AM204" s="460" t="str">
        <f t="shared" ca="1" si="43"/>
        <v/>
      </c>
      <c r="AN204" s="461" t="str">
        <f t="shared" ca="1" si="43"/>
        <v/>
      </c>
      <c r="AO204" s="474" t="str">
        <f t="shared" ca="1" si="43"/>
        <v/>
      </c>
      <c r="AP204" s="475" t="str">
        <f t="shared" ca="1" si="43"/>
        <v/>
      </c>
      <c r="AQ204" s="479" t="str">
        <f t="array" aca="1" ref="AQ204" ca="1">IF(ROW()-5&lt;=COUNTIF(科目编号,$AR$2),SMALL(IF(科目编号=$AR$2,ROW(科目编号),""),ROW()-5),"")</f>
        <v/>
      </c>
      <c r="AR204" s="480" t="str">
        <f ca="1">IF($BG$2=0,"",IF(AR203="本月合计","本年累计",IF(OR(ROW()=$AU$3,ROW()=$AV$3,ROW()=$AW$3,ROW()=$AX$3,ROW()=$AY$3,ROW()=$AZ$3,ROW()=$BA$3,ROW()=$BB$3,ROW()=$BC$3,ROW()=$BD$3,ROW()=$BE$3,ROW()=$BF$3),"本月合计",IF(ROW()&lt;7,$AQ$6,OFFSET($AQ$6,COUNT($AR$6:AR203),0)))))</f>
        <v/>
      </c>
    </row>
    <row r="205" spans="1:44">
      <c r="A205" s="469" t="str">
        <f ca="1">IFERROR(INDEX(凭证录入!A:A,$AR205),"")</f>
        <v/>
      </c>
      <c r="B205" s="469" t="str">
        <f ca="1">IFERROR(INDEX(凭证录入!B:B,$AR205),"")</f>
        <v/>
      </c>
      <c r="C205" s="470" t="str">
        <f ca="1">IFERROR(INDEX(凭证录入!G:G,$AR205),"")</f>
        <v/>
      </c>
      <c r="D205" s="471" t="str">
        <f ca="1">IFERROR(INDEX(凭证录入!F:F,$AR205),"")</f>
        <v/>
      </c>
      <c r="E205" s="472" t="str">
        <f ca="1">IFERROR(INDEX(凭证录入!H:H,$AR205),$AR205)</f>
        <v/>
      </c>
      <c r="F205" s="473">
        <f ca="1">IF(OR($BG$2=0,$AR205=""),,IF($AR205="本月合计",IF(ROW()=$BG$3,SUM($F$6:$F204),SUM(INDIRECT("$F$"&amp;OFFSET($AU$3,,MATCH(ROW(),$AU$3:$BF$3,)-2)+2&amp;":$E"&amp;ROW()-1))),IF($AR205="本年累计",SUMIF($AR$6:$AR205,"本月合计",$F$6:$F204),INDEX(凭证录入!K:K,$AR205))))</f>
        <v>0</v>
      </c>
      <c r="G205" s="459" t="str">
        <f t="shared" ca="1" si="44"/>
        <v/>
      </c>
      <c r="H205" s="460" t="str">
        <f t="shared" ca="1" si="44"/>
        <v/>
      </c>
      <c r="I205" s="460" t="str">
        <f t="shared" ca="1" si="44"/>
        <v/>
      </c>
      <c r="J205" s="460" t="str">
        <f t="shared" ca="1" si="44"/>
        <v/>
      </c>
      <c r="K205" s="460" t="str">
        <f t="shared" ca="1" si="44"/>
        <v/>
      </c>
      <c r="L205" s="460" t="str">
        <f t="shared" ca="1" si="44"/>
        <v/>
      </c>
      <c r="M205" s="460" t="str">
        <f t="shared" ca="1" si="44"/>
        <v/>
      </c>
      <c r="N205" s="460" t="str">
        <f t="shared" ca="1" si="44"/>
        <v/>
      </c>
      <c r="O205" s="461" t="str">
        <f t="shared" ca="1" si="44"/>
        <v/>
      </c>
      <c r="P205" s="474" t="str">
        <f t="shared" ca="1" si="44"/>
        <v/>
      </c>
      <c r="Q205" s="475" t="str">
        <f t="shared" ca="1" si="44"/>
        <v/>
      </c>
      <c r="R205" s="476">
        <f ca="1">IF(OR($BG$2=0,$AR205=""),,IF($AR205="本月合计",IF(ROW()=$BG$3,SUM($R$6:$R204),SUM(INDIRECT("$R$"&amp;OFFSET($AU$3,,MATCH(ROW(),$AU$3:$BF$3,)-2)+2&amp;":$R"&amp;ROW()-1))),IF($AR205="本年累计",SUMIF($AR$6:$AR205,"本月合计",$R$6:$R204),INDEX(凭证录入!L:L,$AR205))))</f>
        <v>0</v>
      </c>
      <c r="S205" s="459" t="str">
        <f t="shared" ca="1" si="45"/>
        <v/>
      </c>
      <c r="T205" s="460" t="str">
        <f t="shared" ca="1" si="45"/>
        <v/>
      </c>
      <c r="U205" s="460" t="str">
        <f t="shared" ca="1" si="45"/>
        <v/>
      </c>
      <c r="V205" s="460" t="str">
        <f t="shared" ca="1" si="45"/>
        <v/>
      </c>
      <c r="W205" s="460" t="str">
        <f t="shared" ca="1" si="45"/>
        <v/>
      </c>
      <c r="X205" s="460" t="str">
        <f t="shared" ca="1" si="45"/>
        <v/>
      </c>
      <c r="Y205" s="460" t="str">
        <f t="shared" ca="1" si="45"/>
        <v/>
      </c>
      <c r="Z205" s="460" t="str">
        <f t="shared" ca="1" si="45"/>
        <v/>
      </c>
      <c r="AA205" s="461" t="str">
        <f t="shared" ca="1" si="45"/>
        <v/>
      </c>
      <c r="AB205" s="474" t="str">
        <f t="shared" ca="1" si="45"/>
        <v/>
      </c>
      <c r="AC205" s="475" t="str">
        <f t="shared" ca="1" si="45"/>
        <v/>
      </c>
      <c r="AD205" s="477" t="str">
        <f t="shared" ca="1" si="46"/>
        <v/>
      </c>
      <c r="AE205" s="478">
        <f t="shared" ca="1" si="47"/>
        <v>0</v>
      </c>
      <c r="AF205" s="459" t="str">
        <f t="shared" ca="1" si="43"/>
        <v/>
      </c>
      <c r="AG205" s="460" t="str">
        <f t="shared" ca="1" si="43"/>
        <v/>
      </c>
      <c r="AH205" s="460" t="str">
        <f t="shared" ca="1" si="43"/>
        <v/>
      </c>
      <c r="AI205" s="460" t="str">
        <f t="shared" ca="1" si="43"/>
        <v/>
      </c>
      <c r="AJ205" s="460" t="str">
        <f t="shared" ca="1" si="43"/>
        <v/>
      </c>
      <c r="AK205" s="460" t="str">
        <f t="shared" ca="1" si="43"/>
        <v/>
      </c>
      <c r="AL205" s="460" t="str">
        <f t="shared" ca="1" si="43"/>
        <v/>
      </c>
      <c r="AM205" s="460" t="str">
        <f t="shared" ca="1" si="43"/>
        <v/>
      </c>
      <c r="AN205" s="461" t="str">
        <f t="shared" ca="1" si="43"/>
        <v/>
      </c>
      <c r="AO205" s="474" t="str">
        <f t="shared" ca="1" si="43"/>
        <v/>
      </c>
      <c r="AP205" s="475" t="str">
        <f t="shared" ca="1" si="43"/>
        <v/>
      </c>
      <c r="AQ205" s="479" t="str">
        <f t="array" aca="1" ref="AQ205" ca="1">IF(ROW()-5&lt;=COUNTIF(科目编号,$AR$2),SMALL(IF(科目编号=$AR$2,ROW(科目编号),""),ROW()-5),"")</f>
        <v/>
      </c>
      <c r="AR205" s="480" t="str">
        <f ca="1">IF($BG$2=0,"",IF(AR204="本月合计","本年累计",IF(OR(ROW()=$AU$3,ROW()=$AV$3,ROW()=$AW$3,ROW()=$AX$3,ROW()=$AY$3,ROW()=$AZ$3,ROW()=$BA$3,ROW()=$BB$3,ROW()=$BC$3,ROW()=$BD$3,ROW()=$BE$3,ROW()=$BF$3),"本月合计",IF(ROW()&lt;7,$AQ$6,OFFSET($AQ$6,COUNT($AR$6:AR204),0)))))</f>
        <v/>
      </c>
    </row>
    <row r="206" spans="1:44">
      <c r="A206" s="469" t="str">
        <f ca="1">IFERROR(INDEX(凭证录入!A:A,$AR206),"")</f>
        <v/>
      </c>
      <c r="B206" s="469" t="str">
        <f ca="1">IFERROR(INDEX(凭证录入!B:B,$AR206),"")</f>
        <v/>
      </c>
      <c r="C206" s="470" t="str">
        <f ca="1">IFERROR(INDEX(凭证录入!G:G,$AR206),"")</f>
        <v/>
      </c>
      <c r="D206" s="471" t="str">
        <f ca="1">IFERROR(INDEX(凭证录入!F:F,$AR206),"")</f>
        <v/>
      </c>
      <c r="E206" s="472" t="str">
        <f ca="1">IFERROR(INDEX(凭证录入!H:H,$AR206),$AR206)</f>
        <v/>
      </c>
      <c r="F206" s="473">
        <f ca="1">IF(OR($BG$2=0,$AR206=""),,IF($AR206="本月合计",IF(ROW()=$BG$3,SUM($F$6:$F205),SUM(INDIRECT("$F$"&amp;OFFSET($AU$3,,MATCH(ROW(),$AU$3:$BF$3,)-2)+2&amp;":$E"&amp;ROW()-1))),IF($AR206="本年累计",SUMIF($AR$6:$AR206,"本月合计",$F$6:$F205),INDEX(凭证录入!K:K,$AR206))))</f>
        <v>0</v>
      </c>
      <c r="G206" s="459" t="str">
        <f t="shared" ca="1" si="44"/>
        <v/>
      </c>
      <c r="H206" s="460" t="str">
        <f t="shared" ca="1" si="44"/>
        <v/>
      </c>
      <c r="I206" s="460" t="str">
        <f t="shared" ca="1" si="44"/>
        <v/>
      </c>
      <c r="J206" s="460" t="str">
        <f t="shared" ca="1" si="44"/>
        <v/>
      </c>
      <c r="K206" s="460" t="str">
        <f t="shared" ca="1" si="44"/>
        <v/>
      </c>
      <c r="L206" s="460" t="str">
        <f t="shared" ca="1" si="44"/>
        <v/>
      </c>
      <c r="M206" s="460" t="str">
        <f t="shared" ca="1" si="44"/>
        <v/>
      </c>
      <c r="N206" s="460" t="str">
        <f t="shared" ca="1" si="44"/>
        <v/>
      </c>
      <c r="O206" s="461" t="str">
        <f t="shared" ca="1" si="44"/>
        <v/>
      </c>
      <c r="P206" s="474" t="str">
        <f t="shared" ca="1" si="44"/>
        <v/>
      </c>
      <c r="Q206" s="475" t="str">
        <f t="shared" ca="1" si="44"/>
        <v/>
      </c>
      <c r="R206" s="476">
        <f ca="1">IF(OR($BG$2=0,$AR206=""),,IF($AR206="本月合计",IF(ROW()=$BG$3,SUM($R$6:$R205),SUM(INDIRECT("$R$"&amp;OFFSET($AU$3,,MATCH(ROW(),$AU$3:$BF$3,)-2)+2&amp;":$R"&amp;ROW()-1))),IF($AR206="本年累计",SUMIF($AR$6:$AR206,"本月合计",$R$6:$R205),INDEX(凭证录入!L:L,$AR206))))</f>
        <v>0</v>
      </c>
      <c r="S206" s="459" t="str">
        <f t="shared" ca="1" si="45"/>
        <v/>
      </c>
      <c r="T206" s="460" t="str">
        <f t="shared" ca="1" si="45"/>
        <v/>
      </c>
      <c r="U206" s="460" t="str">
        <f t="shared" ca="1" si="45"/>
        <v/>
      </c>
      <c r="V206" s="460" t="str">
        <f t="shared" ca="1" si="45"/>
        <v/>
      </c>
      <c r="W206" s="460" t="str">
        <f t="shared" ca="1" si="45"/>
        <v/>
      </c>
      <c r="X206" s="460" t="str">
        <f t="shared" ca="1" si="45"/>
        <v/>
      </c>
      <c r="Y206" s="460" t="str">
        <f t="shared" ca="1" si="45"/>
        <v/>
      </c>
      <c r="Z206" s="460" t="str">
        <f t="shared" ca="1" si="45"/>
        <v/>
      </c>
      <c r="AA206" s="461" t="str">
        <f t="shared" ca="1" si="45"/>
        <v/>
      </c>
      <c r="AB206" s="474" t="str">
        <f t="shared" ca="1" si="45"/>
        <v/>
      </c>
      <c r="AC206" s="475" t="str">
        <f t="shared" ca="1" si="45"/>
        <v/>
      </c>
      <c r="AD206" s="477" t="str">
        <f t="shared" ca="1" si="46"/>
        <v/>
      </c>
      <c r="AE206" s="478">
        <f t="shared" ca="1" si="47"/>
        <v>0</v>
      </c>
      <c r="AF206" s="459" t="str">
        <f t="shared" ca="1" si="43"/>
        <v/>
      </c>
      <c r="AG206" s="460" t="str">
        <f t="shared" ca="1" si="43"/>
        <v/>
      </c>
      <c r="AH206" s="460" t="str">
        <f t="shared" ca="1" si="43"/>
        <v/>
      </c>
      <c r="AI206" s="460" t="str">
        <f t="shared" ca="1" si="43"/>
        <v/>
      </c>
      <c r="AJ206" s="460" t="str">
        <f t="shared" ca="1" si="43"/>
        <v/>
      </c>
      <c r="AK206" s="460" t="str">
        <f t="shared" ca="1" si="43"/>
        <v/>
      </c>
      <c r="AL206" s="460" t="str">
        <f t="shared" ca="1" si="43"/>
        <v/>
      </c>
      <c r="AM206" s="460" t="str">
        <f t="shared" ca="1" si="43"/>
        <v/>
      </c>
      <c r="AN206" s="461" t="str">
        <f t="shared" ca="1" si="43"/>
        <v/>
      </c>
      <c r="AO206" s="474" t="str">
        <f t="shared" ca="1" si="43"/>
        <v/>
      </c>
      <c r="AP206" s="475" t="str">
        <f t="shared" ca="1" si="43"/>
        <v/>
      </c>
      <c r="AQ206" s="479" t="str">
        <f t="array" aca="1" ref="AQ206" ca="1">IF(ROW()-5&lt;=COUNTIF(科目编号,$AR$2),SMALL(IF(科目编号=$AR$2,ROW(科目编号),""),ROW()-5),"")</f>
        <v/>
      </c>
      <c r="AR206" s="480" t="str">
        <f ca="1">IF($BG$2=0,"",IF(AR205="本月合计","本年累计",IF(OR(ROW()=$AU$3,ROW()=$AV$3,ROW()=$AW$3,ROW()=$AX$3,ROW()=$AY$3,ROW()=$AZ$3,ROW()=$BA$3,ROW()=$BB$3,ROW()=$BC$3,ROW()=$BD$3,ROW()=$BE$3,ROW()=$BF$3),"本月合计",IF(ROW()&lt;7,$AQ$6,OFFSET($AQ$6,COUNT($AR$6:AR205),0)))))</f>
        <v/>
      </c>
    </row>
    <row r="207" spans="1:44">
      <c r="A207" s="469" t="str">
        <f ca="1">IFERROR(INDEX(凭证录入!A:A,$AR207),"")</f>
        <v/>
      </c>
      <c r="B207" s="469" t="str">
        <f ca="1">IFERROR(INDEX(凭证录入!B:B,$AR207),"")</f>
        <v/>
      </c>
      <c r="C207" s="470" t="str">
        <f ca="1">IFERROR(INDEX(凭证录入!G:G,$AR207),"")</f>
        <v/>
      </c>
      <c r="D207" s="471" t="str">
        <f ca="1">IFERROR(INDEX(凭证录入!F:F,$AR207),"")</f>
        <v/>
      </c>
      <c r="E207" s="472" t="str">
        <f ca="1">IFERROR(INDEX(凭证录入!H:H,$AR207),$AR207)</f>
        <v/>
      </c>
      <c r="F207" s="473">
        <f ca="1">IF(OR($BG$2=0,$AR207=""),,IF($AR207="本月合计",IF(ROW()=$BG$3,SUM($F$6:$F206),SUM(INDIRECT("$F$"&amp;OFFSET($AU$3,,MATCH(ROW(),$AU$3:$BF$3,)-2)+2&amp;":$E"&amp;ROW()-1))),IF($AR207="本年累计",SUMIF($AR$6:$AR207,"本月合计",$F$6:$F206),INDEX(凭证录入!K:K,$AR207))))</f>
        <v>0</v>
      </c>
      <c r="G207" s="459" t="str">
        <f t="shared" ca="1" si="44"/>
        <v/>
      </c>
      <c r="H207" s="460" t="str">
        <f t="shared" ca="1" si="44"/>
        <v/>
      </c>
      <c r="I207" s="460" t="str">
        <f t="shared" ca="1" si="44"/>
        <v/>
      </c>
      <c r="J207" s="460" t="str">
        <f t="shared" ca="1" si="44"/>
        <v/>
      </c>
      <c r="K207" s="460" t="str">
        <f t="shared" ca="1" si="44"/>
        <v/>
      </c>
      <c r="L207" s="460" t="str">
        <f t="shared" ca="1" si="44"/>
        <v/>
      </c>
      <c r="M207" s="460" t="str">
        <f t="shared" ca="1" si="44"/>
        <v/>
      </c>
      <c r="N207" s="460" t="str">
        <f t="shared" ca="1" si="44"/>
        <v/>
      </c>
      <c r="O207" s="461" t="str">
        <f t="shared" ca="1" si="44"/>
        <v/>
      </c>
      <c r="P207" s="474" t="str">
        <f t="shared" ca="1" si="44"/>
        <v/>
      </c>
      <c r="Q207" s="475" t="str">
        <f t="shared" ca="1" si="44"/>
        <v/>
      </c>
      <c r="R207" s="476">
        <f ca="1">IF(OR($BG$2=0,$AR207=""),,IF($AR207="本月合计",IF(ROW()=$BG$3,SUM($R$6:$R206),SUM(INDIRECT("$R$"&amp;OFFSET($AU$3,,MATCH(ROW(),$AU$3:$BF$3,)-2)+2&amp;":$R"&amp;ROW()-1))),IF($AR207="本年累计",SUMIF($AR$6:$AR207,"本月合计",$R$6:$R206),INDEX(凭证录入!L:L,$AR207))))</f>
        <v>0</v>
      </c>
      <c r="S207" s="459" t="str">
        <f t="shared" ca="1" si="45"/>
        <v/>
      </c>
      <c r="T207" s="460" t="str">
        <f t="shared" ca="1" si="45"/>
        <v/>
      </c>
      <c r="U207" s="460" t="str">
        <f t="shared" ca="1" si="45"/>
        <v/>
      </c>
      <c r="V207" s="460" t="str">
        <f t="shared" ca="1" si="45"/>
        <v/>
      </c>
      <c r="W207" s="460" t="str">
        <f t="shared" ca="1" si="45"/>
        <v/>
      </c>
      <c r="X207" s="460" t="str">
        <f t="shared" ca="1" si="45"/>
        <v/>
      </c>
      <c r="Y207" s="460" t="str">
        <f t="shared" ca="1" si="45"/>
        <v/>
      </c>
      <c r="Z207" s="460" t="str">
        <f t="shared" ca="1" si="45"/>
        <v/>
      </c>
      <c r="AA207" s="461" t="str">
        <f t="shared" ca="1" si="45"/>
        <v/>
      </c>
      <c r="AB207" s="474" t="str">
        <f t="shared" ca="1" si="45"/>
        <v/>
      </c>
      <c r="AC207" s="475" t="str">
        <f t="shared" ca="1" si="45"/>
        <v/>
      </c>
      <c r="AD207" s="477" t="str">
        <f t="shared" ca="1" si="46"/>
        <v/>
      </c>
      <c r="AE207" s="478">
        <f t="shared" ca="1" si="47"/>
        <v>0</v>
      </c>
      <c r="AF207" s="459" t="str">
        <f t="shared" ca="1" si="43"/>
        <v/>
      </c>
      <c r="AG207" s="460" t="str">
        <f t="shared" ca="1" si="43"/>
        <v/>
      </c>
      <c r="AH207" s="460" t="str">
        <f t="shared" ca="1" si="43"/>
        <v/>
      </c>
      <c r="AI207" s="460" t="str">
        <f t="shared" ca="1" si="43"/>
        <v/>
      </c>
      <c r="AJ207" s="460" t="str">
        <f t="shared" ca="1" si="43"/>
        <v/>
      </c>
      <c r="AK207" s="460" t="str">
        <f t="shared" ca="1" si="43"/>
        <v/>
      </c>
      <c r="AL207" s="460" t="str">
        <f t="shared" ca="1" si="43"/>
        <v/>
      </c>
      <c r="AM207" s="460" t="str">
        <f t="shared" ca="1" si="43"/>
        <v/>
      </c>
      <c r="AN207" s="461" t="str">
        <f t="shared" ca="1" si="43"/>
        <v/>
      </c>
      <c r="AO207" s="474" t="str">
        <f t="shared" ca="1" si="43"/>
        <v/>
      </c>
      <c r="AP207" s="475" t="str">
        <f t="shared" ca="1" si="43"/>
        <v/>
      </c>
      <c r="AQ207" s="479" t="str">
        <f t="array" aca="1" ref="AQ207" ca="1">IF(ROW()-5&lt;=COUNTIF(科目编号,$AR$2),SMALL(IF(科目编号=$AR$2,ROW(科目编号),""),ROW()-5),"")</f>
        <v/>
      </c>
      <c r="AR207" s="480" t="str">
        <f ca="1">IF($BG$2=0,"",IF(AR206="本月合计","本年累计",IF(OR(ROW()=$AU$3,ROW()=$AV$3,ROW()=$AW$3,ROW()=$AX$3,ROW()=$AY$3,ROW()=$AZ$3,ROW()=$BA$3,ROW()=$BB$3,ROW()=$BC$3,ROW()=$BD$3,ROW()=$BE$3,ROW()=$BF$3),"本月合计",IF(ROW()&lt;7,$AQ$6,OFFSET($AQ$6,COUNT($AR$6:AR206),0)))))</f>
        <v/>
      </c>
    </row>
    <row r="208" spans="1:44">
      <c r="A208" s="469" t="str">
        <f ca="1">IFERROR(INDEX(凭证录入!A:A,$AR208),"")</f>
        <v/>
      </c>
      <c r="B208" s="469" t="str">
        <f ca="1">IFERROR(INDEX(凭证录入!B:B,$AR208),"")</f>
        <v/>
      </c>
      <c r="C208" s="470" t="str">
        <f ca="1">IFERROR(INDEX(凭证录入!G:G,$AR208),"")</f>
        <v/>
      </c>
      <c r="D208" s="471" t="str">
        <f ca="1">IFERROR(INDEX(凭证录入!F:F,$AR208),"")</f>
        <v/>
      </c>
      <c r="E208" s="472" t="str">
        <f ca="1">IFERROR(INDEX(凭证录入!H:H,$AR208),$AR208)</f>
        <v/>
      </c>
      <c r="F208" s="473">
        <f ca="1">IF(OR($BG$2=0,$AR208=""),,IF($AR208="本月合计",IF(ROW()=$BG$3,SUM($F$6:$F207),SUM(INDIRECT("$F$"&amp;OFFSET($AU$3,,MATCH(ROW(),$AU$3:$BF$3,)-2)+2&amp;":$E"&amp;ROW()-1))),IF($AR208="本年累计",SUMIF($AR$6:$AR208,"本月合计",$F$6:$F207),INDEX(凭证录入!K:K,$AR208))))</f>
        <v>0</v>
      </c>
      <c r="G208" s="459" t="str">
        <f t="shared" ca="1" si="44"/>
        <v/>
      </c>
      <c r="H208" s="460" t="str">
        <f t="shared" ca="1" si="44"/>
        <v/>
      </c>
      <c r="I208" s="460" t="str">
        <f t="shared" ca="1" si="44"/>
        <v/>
      </c>
      <c r="J208" s="460" t="str">
        <f t="shared" ca="1" si="44"/>
        <v/>
      </c>
      <c r="K208" s="460" t="str">
        <f t="shared" ca="1" si="44"/>
        <v/>
      </c>
      <c r="L208" s="460" t="str">
        <f t="shared" ca="1" si="44"/>
        <v/>
      </c>
      <c r="M208" s="460" t="str">
        <f t="shared" ca="1" si="44"/>
        <v/>
      </c>
      <c r="N208" s="460" t="str">
        <f t="shared" ca="1" si="44"/>
        <v/>
      </c>
      <c r="O208" s="461" t="str">
        <f t="shared" ca="1" si="44"/>
        <v/>
      </c>
      <c r="P208" s="474" t="str">
        <f t="shared" ca="1" si="44"/>
        <v/>
      </c>
      <c r="Q208" s="475" t="str">
        <f t="shared" ca="1" si="44"/>
        <v/>
      </c>
      <c r="R208" s="476">
        <f ca="1">IF(OR($BG$2=0,$AR208=""),,IF($AR208="本月合计",IF(ROW()=$BG$3,SUM($R$6:$R207),SUM(INDIRECT("$R$"&amp;OFFSET($AU$3,,MATCH(ROW(),$AU$3:$BF$3,)-2)+2&amp;":$R"&amp;ROW()-1))),IF($AR208="本年累计",SUMIF($AR$6:$AR208,"本月合计",$R$6:$R207),INDEX(凭证录入!L:L,$AR208))))</f>
        <v>0</v>
      </c>
      <c r="S208" s="459" t="str">
        <f t="shared" ca="1" si="45"/>
        <v/>
      </c>
      <c r="T208" s="460" t="str">
        <f t="shared" ca="1" si="45"/>
        <v/>
      </c>
      <c r="U208" s="460" t="str">
        <f t="shared" ca="1" si="45"/>
        <v/>
      </c>
      <c r="V208" s="460" t="str">
        <f t="shared" ca="1" si="45"/>
        <v/>
      </c>
      <c r="W208" s="460" t="str">
        <f t="shared" ca="1" si="45"/>
        <v/>
      </c>
      <c r="X208" s="460" t="str">
        <f t="shared" ca="1" si="45"/>
        <v/>
      </c>
      <c r="Y208" s="460" t="str">
        <f t="shared" ca="1" si="45"/>
        <v/>
      </c>
      <c r="Z208" s="460" t="str">
        <f t="shared" ca="1" si="45"/>
        <v/>
      </c>
      <c r="AA208" s="461" t="str">
        <f t="shared" ca="1" si="45"/>
        <v/>
      </c>
      <c r="AB208" s="474" t="str">
        <f t="shared" ca="1" si="45"/>
        <v/>
      </c>
      <c r="AC208" s="475" t="str">
        <f t="shared" ca="1" si="45"/>
        <v/>
      </c>
      <c r="AD208" s="477" t="str">
        <f t="shared" ca="1" si="46"/>
        <v/>
      </c>
      <c r="AE208" s="478">
        <f t="shared" ca="1" si="47"/>
        <v>0</v>
      </c>
      <c r="AF208" s="459" t="str">
        <f t="shared" ca="1" si="43"/>
        <v/>
      </c>
      <c r="AG208" s="460" t="str">
        <f t="shared" ca="1" si="43"/>
        <v/>
      </c>
      <c r="AH208" s="460" t="str">
        <f t="shared" ca="1" si="43"/>
        <v/>
      </c>
      <c r="AI208" s="460" t="str">
        <f t="shared" ca="1" si="43"/>
        <v/>
      </c>
      <c r="AJ208" s="460" t="str">
        <f t="shared" ca="1" si="43"/>
        <v/>
      </c>
      <c r="AK208" s="460" t="str">
        <f t="shared" ca="1" si="43"/>
        <v/>
      </c>
      <c r="AL208" s="460" t="str">
        <f t="shared" ca="1" si="43"/>
        <v/>
      </c>
      <c r="AM208" s="460" t="str">
        <f t="shared" ca="1" si="43"/>
        <v/>
      </c>
      <c r="AN208" s="461" t="str">
        <f t="shared" ca="1" si="43"/>
        <v/>
      </c>
      <c r="AO208" s="474" t="str">
        <f t="shared" ca="1" si="43"/>
        <v/>
      </c>
      <c r="AP208" s="475" t="str">
        <f t="shared" ca="1" si="43"/>
        <v/>
      </c>
      <c r="AQ208" s="479" t="str">
        <f t="array" aca="1" ref="AQ208" ca="1">IF(ROW()-5&lt;=COUNTIF(科目编号,$AR$2),SMALL(IF(科目编号=$AR$2,ROW(科目编号),""),ROW()-5),"")</f>
        <v/>
      </c>
      <c r="AR208" s="480" t="str">
        <f ca="1">IF($BG$2=0,"",IF(AR207="本月合计","本年累计",IF(OR(ROW()=$AU$3,ROW()=$AV$3,ROW()=$AW$3,ROW()=$AX$3,ROW()=$AY$3,ROW()=$AZ$3,ROW()=$BA$3,ROW()=$BB$3,ROW()=$BC$3,ROW()=$BD$3,ROW()=$BE$3,ROW()=$BF$3),"本月合计",IF(ROW()&lt;7,$AQ$6,OFFSET($AQ$6,COUNT($AR$6:AR207),0)))))</f>
        <v/>
      </c>
    </row>
    <row r="209" spans="1:44">
      <c r="A209" s="469" t="str">
        <f ca="1">IFERROR(INDEX(凭证录入!A:A,$AR209),"")</f>
        <v/>
      </c>
      <c r="B209" s="469" t="str">
        <f ca="1">IFERROR(INDEX(凭证录入!B:B,$AR209),"")</f>
        <v/>
      </c>
      <c r="C209" s="470" t="str">
        <f ca="1">IFERROR(INDEX(凭证录入!G:G,$AR209),"")</f>
        <v/>
      </c>
      <c r="D209" s="471" t="str">
        <f ca="1">IFERROR(INDEX(凭证录入!F:F,$AR209),"")</f>
        <v/>
      </c>
      <c r="E209" s="472" t="str">
        <f ca="1">IFERROR(INDEX(凭证录入!H:H,$AR209),$AR209)</f>
        <v/>
      </c>
      <c r="F209" s="473">
        <f ca="1">IF(OR($BG$2=0,$AR209=""),,IF($AR209="本月合计",IF(ROW()=$BG$3,SUM($F$6:$F208),SUM(INDIRECT("$F$"&amp;OFFSET($AU$3,,MATCH(ROW(),$AU$3:$BF$3,)-2)+2&amp;":$E"&amp;ROW()-1))),IF($AR209="本年累计",SUMIF($AR$6:$AR209,"本月合计",$F$6:$F208),INDEX(凭证录入!K:K,$AR209))))</f>
        <v>0</v>
      </c>
      <c r="G209" s="459" t="str">
        <f t="shared" ca="1" si="44"/>
        <v/>
      </c>
      <c r="H209" s="460" t="str">
        <f t="shared" ca="1" si="44"/>
        <v/>
      </c>
      <c r="I209" s="460" t="str">
        <f t="shared" ca="1" si="44"/>
        <v/>
      </c>
      <c r="J209" s="460" t="str">
        <f t="shared" ca="1" si="44"/>
        <v/>
      </c>
      <c r="K209" s="460" t="str">
        <f t="shared" ca="1" si="44"/>
        <v/>
      </c>
      <c r="L209" s="460" t="str">
        <f t="shared" ca="1" si="44"/>
        <v/>
      </c>
      <c r="M209" s="460" t="str">
        <f t="shared" ca="1" si="44"/>
        <v/>
      </c>
      <c r="N209" s="460" t="str">
        <f t="shared" ca="1" si="44"/>
        <v/>
      </c>
      <c r="O209" s="461" t="str">
        <f t="shared" ca="1" si="44"/>
        <v/>
      </c>
      <c r="P209" s="474" t="str">
        <f t="shared" ca="1" si="44"/>
        <v/>
      </c>
      <c r="Q209" s="475" t="str">
        <f t="shared" ca="1" si="44"/>
        <v/>
      </c>
      <c r="R209" s="476">
        <f ca="1">IF(OR($BG$2=0,$AR209=""),,IF($AR209="本月合计",IF(ROW()=$BG$3,SUM($R$6:$R208),SUM(INDIRECT("$R$"&amp;OFFSET($AU$3,,MATCH(ROW(),$AU$3:$BF$3,)-2)+2&amp;":$R"&amp;ROW()-1))),IF($AR209="本年累计",SUMIF($AR$6:$AR209,"本月合计",$R$6:$R208),INDEX(凭证录入!L:L,$AR209))))</f>
        <v>0</v>
      </c>
      <c r="S209" s="459" t="str">
        <f t="shared" ca="1" si="45"/>
        <v/>
      </c>
      <c r="T209" s="460" t="str">
        <f t="shared" ca="1" si="45"/>
        <v/>
      </c>
      <c r="U209" s="460" t="str">
        <f t="shared" ca="1" si="45"/>
        <v/>
      </c>
      <c r="V209" s="460" t="str">
        <f t="shared" ca="1" si="45"/>
        <v/>
      </c>
      <c r="W209" s="460" t="str">
        <f t="shared" ca="1" si="45"/>
        <v/>
      </c>
      <c r="X209" s="460" t="str">
        <f t="shared" ca="1" si="45"/>
        <v/>
      </c>
      <c r="Y209" s="460" t="str">
        <f t="shared" ca="1" si="45"/>
        <v/>
      </c>
      <c r="Z209" s="460" t="str">
        <f t="shared" ca="1" si="45"/>
        <v/>
      </c>
      <c r="AA209" s="461" t="str">
        <f t="shared" ca="1" si="45"/>
        <v/>
      </c>
      <c r="AB209" s="474" t="str">
        <f t="shared" ca="1" si="45"/>
        <v/>
      </c>
      <c r="AC209" s="475" t="str">
        <f t="shared" ca="1" si="45"/>
        <v/>
      </c>
      <c r="AD209" s="477" t="str">
        <f t="shared" ca="1" si="46"/>
        <v/>
      </c>
      <c r="AE209" s="478">
        <f t="shared" ca="1" si="47"/>
        <v>0</v>
      </c>
      <c r="AF209" s="459" t="str">
        <f t="shared" ca="1" si="43"/>
        <v/>
      </c>
      <c r="AG209" s="460" t="str">
        <f t="shared" ca="1" si="43"/>
        <v/>
      </c>
      <c r="AH209" s="460" t="str">
        <f t="shared" ca="1" si="43"/>
        <v/>
      </c>
      <c r="AI209" s="460" t="str">
        <f t="shared" ca="1" si="43"/>
        <v/>
      </c>
      <c r="AJ209" s="460" t="str">
        <f t="shared" ca="1" si="43"/>
        <v/>
      </c>
      <c r="AK209" s="460" t="str">
        <f t="shared" ca="1" si="43"/>
        <v/>
      </c>
      <c r="AL209" s="460" t="str">
        <f t="shared" ca="1" si="43"/>
        <v/>
      </c>
      <c r="AM209" s="460" t="str">
        <f t="shared" ca="1" si="43"/>
        <v/>
      </c>
      <c r="AN209" s="461" t="str">
        <f t="shared" ca="1" si="43"/>
        <v/>
      </c>
      <c r="AO209" s="474" t="str">
        <f t="shared" ca="1" si="43"/>
        <v/>
      </c>
      <c r="AP209" s="475" t="str">
        <f t="shared" ca="1" si="43"/>
        <v/>
      </c>
      <c r="AQ209" s="479" t="str">
        <f t="array" aca="1" ref="AQ209" ca="1">IF(ROW()-5&lt;=COUNTIF(科目编号,$AR$2),SMALL(IF(科目编号=$AR$2,ROW(科目编号),""),ROW()-5),"")</f>
        <v/>
      </c>
      <c r="AR209" s="480" t="str">
        <f ca="1">IF($BG$2=0,"",IF(AR208="本月合计","本年累计",IF(OR(ROW()=$AU$3,ROW()=$AV$3,ROW()=$AW$3,ROW()=$AX$3,ROW()=$AY$3,ROW()=$AZ$3,ROW()=$BA$3,ROW()=$BB$3,ROW()=$BC$3,ROW()=$BD$3,ROW()=$BE$3,ROW()=$BF$3),"本月合计",IF(ROW()&lt;7,$AQ$6,OFFSET($AQ$6,COUNT($AR$6:AR208),0)))))</f>
        <v/>
      </c>
    </row>
    <row r="210" spans="1:44">
      <c r="A210" s="469" t="str">
        <f ca="1">IFERROR(INDEX(凭证录入!A:A,$AR210),"")</f>
        <v/>
      </c>
      <c r="B210" s="469" t="str">
        <f ca="1">IFERROR(INDEX(凭证录入!B:B,$AR210),"")</f>
        <v/>
      </c>
      <c r="C210" s="470" t="str">
        <f ca="1">IFERROR(INDEX(凭证录入!G:G,$AR210),"")</f>
        <v/>
      </c>
      <c r="D210" s="471" t="str">
        <f ca="1">IFERROR(INDEX(凭证录入!F:F,$AR210),"")</f>
        <v/>
      </c>
      <c r="E210" s="472" t="str">
        <f ca="1">IFERROR(INDEX(凭证录入!H:H,$AR210),$AR210)</f>
        <v/>
      </c>
      <c r="F210" s="473">
        <f ca="1">IF(OR($BG$2=0,$AR210=""),,IF($AR210="本月合计",IF(ROW()=$BG$3,SUM($F$6:$F209),SUM(INDIRECT("$F$"&amp;OFFSET($AU$3,,MATCH(ROW(),$AU$3:$BF$3,)-2)+2&amp;":$E"&amp;ROW()-1))),IF($AR210="本年累计",SUMIF($AR$6:$AR210,"本月合计",$F$6:$F209),INDEX(凭证录入!K:K,$AR210))))</f>
        <v>0</v>
      </c>
      <c r="G210" s="459" t="str">
        <f t="shared" ca="1" si="44"/>
        <v/>
      </c>
      <c r="H210" s="460" t="str">
        <f t="shared" ca="1" si="44"/>
        <v/>
      </c>
      <c r="I210" s="460" t="str">
        <f t="shared" ca="1" si="44"/>
        <v/>
      </c>
      <c r="J210" s="460" t="str">
        <f t="shared" ca="1" si="44"/>
        <v/>
      </c>
      <c r="K210" s="460" t="str">
        <f t="shared" ca="1" si="44"/>
        <v/>
      </c>
      <c r="L210" s="460" t="str">
        <f t="shared" ca="1" si="44"/>
        <v/>
      </c>
      <c r="M210" s="460" t="str">
        <f t="shared" ca="1" si="44"/>
        <v/>
      </c>
      <c r="N210" s="460" t="str">
        <f t="shared" ca="1" si="44"/>
        <v/>
      </c>
      <c r="O210" s="461" t="str">
        <f t="shared" ca="1" si="44"/>
        <v/>
      </c>
      <c r="P210" s="474" t="str">
        <f t="shared" ca="1" si="44"/>
        <v/>
      </c>
      <c r="Q210" s="475" t="str">
        <f t="shared" ca="1" si="44"/>
        <v/>
      </c>
      <c r="R210" s="476">
        <f ca="1">IF(OR($BG$2=0,$AR210=""),,IF($AR210="本月合计",IF(ROW()=$BG$3,SUM($R$6:$R209),SUM(INDIRECT("$R$"&amp;OFFSET($AU$3,,MATCH(ROW(),$AU$3:$BF$3,)-2)+2&amp;":$R"&amp;ROW()-1))),IF($AR210="本年累计",SUMIF($AR$6:$AR210,"本月合计",$R$6:$R209),INDEX(凭证录入!L:L,$AR210))))</f>
        <v>0</v>
      </c>
      <c r="S210" s="459" t="str">
        <f t="shared" ca="1" si="45"/>
        <v/>
      </c>
      <c r="T210" s="460" t="str">
        <f t="shared" ca="1" si="45"/>
        <v/>
      </c>
      <c r="U210" s="460" t="str">
        <f t="shared" ca="1" si="45"/>
        <v/>
      </c>
      <c r="V210" s="460" t="str">
        <f t="shared" ca="1" si="45"/>
        <v/>
      </c>
      <c r="W210" s="460" t="str">
        <f t="shared" ca="1" si="45"/>
        <v/>
      </c>
      <c r="X210" s="460" t="str">
        <f t="shared" ca="1" si="45"/>
        <v/>
      </c>
      <c r="Y210" s="460" t="str">
        <f t="shared" ca="1" si="45"/>
        <v/>
      </c>
      <c r="Z210" s="460" t="str">
        <f t="shared" ca="1" si="45"/>
        <v/>
      </c>
      <c r="AA210" s="461" t="str">
        <f t="shared" ca="1" si="45"/>
        <v/>
      </c>
      <c r="AB210" s="474" t="str">
        <f t="shared" ca="1" si="45"/>
        <v/>
      </c>
      <c r="AC210" s="475" t="str">
        <f t="shared" ca="1" si="45"/>
        <v/>
      </c>
      <c r="AD210" s="477" t="str">
        <f t="shared" ca="1" si="46"/>
        <v/>
      </c>
      <c r="AE210" s="478">
        <f t="shared" ca="1" si="47"/>
        <v>0</v>
      </c>
      <c r="AF210" s="459" t="str">
        <f t="shared" ca="1" si="43"/>
        <v/>
      </c>
      <c r="AG210" s="460" t="str">
        <f t="shared" ca="1" si="43"/>
        <v/>
      </c>
      <c r="AH210" s="460" t="str">
        <f t="shared" ca="1" si="43"/>
        <v/>
      </c>
      <c r="AI210" s="460" t="str">
        <f t="shared" ca="1" si="43"/>
        <v/>
      </c>
      <c r="AJ210" s="460" t="str">
        <f t="shared" ca="1" si="43"/>
        <v/>
      </c>
      <c r="AK210" s="460" t="str">
        <f t="shared" ca="1" si="43"/>
        <v/>
      </c>
      <c r="AL210" s="460" t="str">
        <f t="shared" ca="1" si="43"/>
        <v/>
      </c>
      <c r="AM210" s="460" t="str">
        <f t="shared" ca="1" si="43"/>
        <v/>
      </c>
      <c r="AN210" s="461" t="str">
        <f t="shared" ca="1" si="43"/>
        <v/>
      </c>
      <c r="AO210" s="474" t="str">
        <f t="shared" ca="1" si="43"/>
        <v/>
      </c>
      <c r="AP210" s="475" t="str">
        <f t="shared" ca="1" si="43"/>
        <v/>
      </c>
      <c r="AQ210" s="479" t="str">
        <f t="array" aca="1" ref="AQ210" ca="1">IF(ROW()-5&lt;=COUNTIF(科目编号,$AR$2),SMALL(IF(科目编号=$AR$2,ROW(科目编号),""),ROW()-5),"")</f>
        <v/>
      </c>
      <c r="AR210" s="480" t="str">
        <f ca="1">IF($BG$2=0,"",IF(AR209="本月合计","本年累计",IF(OR(ROW()=$AU$3,ROW()=$AV$3,ROW()=$AW$3,ROW()=$AX$3,ROW()=$AY$3,ROW()=$AZ$3,ROW()=$BA$3,ROW()=$BB$3,ROW()=$BC$3,ROW()=$BD$3,ROW()=$BE$3,ROW()=$BF$3),"本月合计",IF(ROW()&lt;7,$AQ$6,OFFSET($AQ$6,COUNT($AR$6:AR209),0)))))</f>
        <v/>
      </c>
    </row>
    <row r="211" spans="1:44">
      <c r="A211" s="469" t="str">
        <f ca="1">IFERROR(INDEX(凭证录入!A:A,$AR211),"")</f>
        <v/>
      </c>
      <c r="B211" s="469" t="str">
        <f ca="1">IFERROR(INDEX(凭证录入!B:B,$AR211),"")</f>
        <v/>
      </c>
      <c r="C211" s="470" t="str">
        <f ca="1">IFERROR(INDEX(凭证录入!G:G,$AR211),"")</f>
        <v/>
      </c>
      <c r="D211" s="471" t="str">
        <f ca="1">IFERROR(INDEX(凭证录入!F:F,$AR211),"")</f>
        <v/>
      </c>
      <c r="E211" s="472" t="str">
        <f ca="1">IFERROR(INDEX(凭证录入!H:H,$AR211),$AR211)</f>
        <v/>
      </c>
      <c r="F211" s="473">
        <f ca="1">IF(OR($BG$2=0,$AR211=""),,IF($AR211="本月合计",IF(ROW()=$BG$3,SUM($F$6:$F210),SUM(INDIRECT("$F$"&amp;OFFSET($AU$3,,MATCH(ROW(),$AU$3:$BF$3,)-2)+2&amp;":$E"&amp;ROW()-1))),IF($AR211="本年累计",SUMIF($AR$6:$AR211,"本月合计",$F$6:$F210),INDEX(凭证录入!K:K,$AR211))))</f>
        <v>0</v>
      </c>
      <c r="G211" s="459" t="str">
        <f t="shared" ca="1" si="44"/>
        <v/>
      </c>
      <c r="H211" s="460" t="str">
        <f t="shared" ca="1" si="44"/>
        <v/>
      </c>
      <c r="I211" s="460" t="str">
        <f t="shared" ca="1" si="44"/>
        <v/>
      </c>
      <c r="J211" s="460" t="str">
        <f t="shared" ca="1" si="44"/>
        <v/>
      </c>
      <c r="K211" s="460" t="str">
        <f t="shared" ca="1" si="44"/>
        <v/>
      </c>
      <c r="L211" s="460" t="str">
        <f t="shared" ca="1" si="44"/>
        <v/>
      </c>
      <c r="M211" s="460" t="str">
        <f t="shared" ca="1" si="44"/>
        <v/>
      </c>
      <c r="N211" s="460" t="str">
        <f t="shared" ca="1" si="44"/>
        <v/>
      </c>
      <c r="O211" s="461" t="str">
        <f t="shared" ca="1" si="44"/>
        <v/>
      </c>
      <c r="P211" s="474" t="str">
        <f t="shared" ca="1" si="44"/>
        <v/>
      </c>
      <c r="Q211" s="475" t="str">
        <f t="shared" ca="1" si="44"/>
        <v/>
      </c>
      <c r="R211" s="476">
        <f ca="1">IF(OR($BG$2=0,$AR211=""),,IF($AR211="本月合计",IF(ROW()=$BG$3,SUM($R$6:$R210),SUM(INDIRECT("$R$"&amp;OFFSET($AU$3,,MATCH(ROW(),$AU$3:$BF$3,)-2)+2&amp;":$R"&amp;ROW()-1))),IF($AR211="本年累计",SUMIF($AR$6:$AR211,"本月合计",$R$6:$R210),INDEX(凭证录入!L:L,$AR211))))</f>
        <v>0</v>
      </c>
      <c r="S211" s="459" t="str">
        <f t="shared" ca="1" si="45"/>
        <v/>
      </c>
      <c r="T211" s="460" t="str">
        <f t="shared" ca="1" si="45"/>
        <v/>
      </c>
      <c r="U211" s="460" t="str">
        <f t="shared" ca="1" si="45"/>
        <v/>
      </c>
      <c r="V211" s="460" t="str">
        <f t="shared" ca="1" si="45"/>
        <v/>
      </c>
      <c r="W211" s="460" t="str">
        <f t="shared" ca="1" si="45"/>
        <v/>
      </c>
      <c r="X211" s="460" t="str">
        <f t="shared" ca="1" si="45"/>
        <v/>
      </c>
      <c r="Y211" s="460" t="str">
        <f t="shared" ca="1" si="45"/>
        <v/>
      </c>
      <c r="Z211" s="460" t="str">
        <f t="shared" ca="1" si="45"/>
        <v/>
      </c>
      <c r="AA211" s="461" t="str">
        <f t="shared" ca="1" si="45"/>
        <v/>
      </c>
      <c r="AB211" s="474" t="str">
        <f t="shared" ca="1" si="45"/>
        <v/>
      </c>
      <c r="AC211" s="475" t="str">
        <f t="shared" ca="1" si="45"/>
        <v/>
      </c>
      <c r="AD211" s="477" t="str">
        <f t="shared" ca="1" si="46"/>
        <v/>
      </c>
      <c r="AE211" s="478">
        <f t="shared" ca="1" si="47"/>
        <v>0</v>
      </c>
      <c r="AF211" s="459" t="str">
        <f t="shared" ca="1" si="43"/>
        <v/>
      </c>
      <c r="AG211" s="460" t="str">
        <f t="shared" ca="1" si="43"/>
        <v/>
      </c>
      <c r="AH211" s="460" t="str">
        <f t="shared" ca="1" si="43"/>
        <v/>
      </c>
      <c r="AI211" s="460" t="str">
        <f t="shared" ca="1" si="43"/>
        <v/>
      </c>
      <c r="AJ211" s="460" t="str">
        <f t="shared" ca="1" si="43"/>
        <v/>
      </c>
      <c r="AK211" s="460" t="str">
        <f t="shared" ca="1" si="43"/>
        <v/>
      </c>
      <c r="AL211" s="460" t="str">
        <f t="shared" ca="1" si="43"/>
        <v/>
      </c>
      <c r="AM211" s="460" t="str">
        <f t="shared" ca="1" si="43"/>
        <v/>
      </c>
      <c r="AN211" s="461" t="str">
        <f t="shared" ca="1" si="43"/>
        <v/>
      </c>
      <c r="AO211" s="474" t="str">
        <f t="shared" ca="1" si="43"/>
        <v/>
      </c>
      <c r="AP211" s="475" t="str">
        <f t="shared" ca="1" si="43"/>
        <v/>
      </c>
      <c r="AQ211" s="479" t="str">
        <f t="array" aca="1" ref="AQ211" ca="1">IF(ROW()-5&lt;=COUNTIF(科目编号,$AR$2),SMALL(IF(科目编号=$AR$2,ROW(科目编号),""),ROW()-5),"")</f>
        <v/>
      </c>
      <c r="AR211" s="480" t="str">
        <f ca="1">IF($BG$2=0,"",IF(AR210="本月合计","本年累计",IF(OR(ROW()=$AU$3,ROW()=$AV$3,ROW()=$AW$3,ROW()=$AX$3,ROW()=$AY$3,ROW()=$AZ$3,ROW()=$BA$3,ROW()=$BB$3,ROW()=$BC$3,ROW()=$BD$3,ROW()=$BE$3,ROW()=$BF$3),"本月合计",IF(ROW()&lt;7,$AQ$6,OFFSET($AQ$6,COUNT($AR$6:AR210),0)))))</f>
        <v/>
      </c>
    </row>
    <row r="212" spans="1:44">
      <c r="A212" s="469" t="str">
        <f ca="1">IFERROR(INDEX(凭证录入!A:A,$AR212),"")</f>
        <v/>
      </c>
      <c r="B212" s="469" t="str">
        <f ca="1">IFERROR(INDEX(凭证录入!B:B,$AR212),"")</f>
        <v/>
      </c>
      <c r="C212" s="470" t="str">
        <f ca="1">IFERROR(INDEX(凭证录入!G:G,$AR212),"")</f>
        <v/>
      </c>
      <c r="D212" s="471" t="str">
        <f ca="1">IFERROR(INDEX(凭证录入!F:F,$AR212),"")</f>
        <v/>
      </c>
      <c r="E212" s="472" t="str">
        <f ca="1">IFERROR(INDEX(凭证录入!H:H,$AR212),$AR212)</f>
        <v/>
      </c>
      <c r="F212" s="473">
        <f ca="1">IF(OR($BG$2=0,$AR212=""),,IF($AR212="本月合计",IF(ROW()=$BG$3,SUM($F$6:$F211),SUM(INDIRECT("$F$"&amp;OFFSET($AU$3,,MATCH(ROW(),$AU$3:$BF$3,)-2)+2&amp;":$E"&amp;ROW()-1))),IF($AR212="本年累计",SUMIF($AR$6:$AR212,"本月合计",$F$6:$F211),INDEX(凭证录入!K:K,$AR212))))</f>
        <v>0</v>
      </c>
      <c r="G212" s="459" t="str">
        <f t="shared" ca="1" si="44"/>
        <v/>
      </c>
      <c r="H212" s="460" t="str">
        <f t="shared" ca="1" si="44"/>
        <v/>
      </c>
      <c r="I212" s="460" t="str">
        <f t="shared" ca="1" si="44"/>
        <v/>
      </c>
      <c r="J212" s="460" t="str">
        <f t="shared" ca="1" si="44"/>
        <v/>
      </c>
      <c r="K212" s="460" t="str">
        <f t="shared" ca="1" si="44"/>
        <v/>
      </c>
      <c r="L212" s="460" t="str">
        <f t="shared" ca="1" si="44"/>
        <v/>
      </c>
      <c r="M212" s="460" t="str">
        <f t="shared" ca="1" si="44"/>
        <v/>
      </c>
      <c r="N212" s="460" t="str">
        <f t="shared" ca="1" si="44"/>
        <v/>
      </c>
      <c r="O212" s="461" t="str">
        <f t="shared" ca="1" si="44"/>
        <v/>
      </c>
      <c r="P212" s="474" t="str">
        <f t="shared" ca="1" si="44"/>
        <v/>
      </c>
      <c r="Q212" s="475" t="str">
        <f t="shared" ca="1" si="44"/>
        <v/>
      </c>
      <c r="R212" s="476">
        <f ca="1">IF(OR($BG$2=0,$AR212=""),,IF($AR212="本月合计",IF(ROW()=$BG$3,SUM($R$6:$R211),SUM(INDIRECT("$R$"&amp;OFFSET($AU$3,,MATCH(ROW(),$AU$3:$BF$3,)-2)+2&amp;":$R"&amp;ROW()-1))),IF($AR212="本年累计",SUMIF($AR$6:$AR212,"本月合计",$R$6:$R211),INDEX(凭证录入!L:L,$AR212))))</f>
        <v>0</v>
      </c>
      <c r="S212" s="459" t="str">
        <f t="shared" ca="1" si="45"/>
        <v/>
      </c>
      <c r="T212" s="460" t="str">
        <f t="shared" ca="1" si="45"/>
        <v/>
      </c>
      <c r="U212" s="460" t="str">
        <f t="shared" ca="1" si="45"/>
        <v/>
      </c>
      <c r="V212" s="460" t="str">
        <f t="shared" ca="1" si="45"/>
        <v/>
      </c>
      <c r="W212" s="460" t="str">
        <f t="shared" ca="1" si="45"/>
        <v/>
      </c>
      <c r="X212" s="460" t="str">
        <f t="shared" ca="1" si="45"/>
        <v/>
      </c>
      <c r="Y212" s="460" t="str">
        <f t="shared" ca="1" si="45"/>
        <v/>
      </c>
      <c r="Z212" s="460" t="str">
        <f t="shared" ca="1" si="45"/>
        <v/>
      </c>
      <c r="AA212" s="461" t="str">
        <f t="shared" ca="1" si="45"/>
        <v/>
      </c>
      <c r="AB212" s="474" t="str">
        <f t="shared" ca="1" si="45"/>
        <v/>
      </c>
      <c r="AC212" s="475" t="str">
        <f t="shared" ca="1" si="45"/>
        <v/>
      </c>
      <c r="AD212" s="477" t="str">
        <f t="shared" ca="1" si="46"/>
        <v/>
      </c>
      <c r="AE212" s="478">
        <f t="shared" ca="1" si="47"/>
        <v>0</v>
      </c>
      <c r="AF212" s="459" t="str">
        <f t="shared" ca="1" si="43"/>
        <v/>
      </c>
      <c r="AG212" s="460" t="str">
        <f t="shared" ca="1" si="43"/>
        <v/>
      </c>
      <c r="AH212" s="460" t="str">
        <f t="shared" ca="1" si="43"/>
        <v/>
      </c>
      <c r="AI212" s="460" t="str">
        <f t="shared" ca="1" si="43"/>
        <v/>
      </c>
      <c r="AJ212" s="460" t="str">
        <f t="shared" ca="1" si="43"/>
        <v/>
      </c>
      <c r="AK212" s="460" t="str">
        <f t="shared" ca="1" si="43"/>
        <v/>
      </c>
      <c r="AL212" s="460" t="str">
        <f t="shared" ca="1" si="43"/>
        <v/>
      </c>
      <c r="AM212" s="460" t="str">
        <f t="shared" ca="1" si="43"/>
        <v/>
      </c>
      <c r="AN212" s="461" t="str">
        <f t="shared" ca="1" si="43"/>
        <v/>
      </c>
      <c r="AO212" s="474" t="str">
        <f t="shared" ca="1" si="43"/>
        <v/>
      </c>
      <c r="AP212" s="475" t="str">
        <f t="shared" ca="1" si="43"/>
        <v/>
      </c>
      <c r="AQ212" s="479" t="str">
        <f t="array" aca="1" ref="AQ212" ca="1">IF(ROW()-5&lt;=COUNTIF(科目编号,$AR$2),SMALL(IF(科目编号=$AR$2,ROW(科目编号),""),ROW()-5),"")</f>
        <v/>
      </c>
      <c r="AR212" s="480" t="str">
        <f ca="1">IF($BG$2=0,"",IF(AR211="本月合计","本年累计",IF(OR(ROW()=$AU$3,ROW()=$AV$3,ROW()=$AW$3,ROW()=$AX$3,ROW()=$AY$3,ROW()=$AZ$3,ROW()=$BA$3,ROW()=$BB$3,ROW()=$BC$3,ROW()=$BD$3,ROW()=$BE$3,ROW()=$BF$3),"本月合计",IF(ROW()&lt;7,$AQ$6,OFFSET($AQ$6,COUNT($AR$6:AR211),0)))))</f>
        <v/>
      </c>
    </row>
    <row r="213" spans="1:44">
      <c r="A213" s="469" t="str">
        <f ca="1">IFERROR(INDEX(凭证录入!A:A,$AR213),"")</f>
        <v/>
      </c>
      <c r="B213" s="469" t="str">
        <f ca="1">IFERROR(INDEX(凭证录入!B:B,$AR213),"")</f>
        <v/>
      </c>
      <c r="C213" s="470" t="str">
        <f ca="1">IFERROR(INDEX(凭证录入!G:G,$AR213),"")</f>
        <v/>
      </c>
      <c r="D213" s="471" t="str">
        <f ca="1">IFERROR(INDEX(凭证录入!F:F,$AR213),"")</f>
        <v/>
      </c>
      <c r="E213" s="472" t="str">
        <f ca="1">IFERROR(INDEX(凭证录入!H:H,$AR213),$AR213)</f>
        <v/>
      </c>
      <c r="F213" s="473">
        <f ca="1">IF(OR($BG$2=0,$AR213=""),,IF($AR213="本月合计",IF(ROW()=$BG$3,SUM($F$6:$F212),SUM(INDIRECT("$F$"&amp;OFFSET($AU$3,,MATCH(ROW(),$AU$3:$BF$3,)-2)+2&amp;":$E"&amp;ROW()-1))),IF($AR213="本年累计",SUMIF($AR$6:$AR213,"本月合计",$F$6:$F212),INDEX(凭证录入!K:K,$AR213))))</f>
        <v>0</v>
      </c>
      <c r="G213" s="459" t="str">
        <f t="shared" ca="1" si="44"/>
        <v/>
      </c>
      <c r="H213" s="460" t="str">
        <f t="shared" ca="1" si="44"/>
        <v/>
      </c>
      <c r="I213" s="460" t="str">
        <f t="shared" ca="1" si="44"/>
        <v/>
      </c>
      <c r="J213" s="460" t="str">
        <f t="shared" ca="1" si="44"/>
        <v/>
      </c>
      <c r="K213" s="460" t="str">
        <f t="shared" ca="1" si="44"/>
        <v/>
      </c>
      <c r="L213" s="460" t="str">
        <f t="shared" ca="1" si="44"/>
        <v/>
      </c>
      <c r="M213" s="460" t="str">
        <f t="shared" ca="1" si="44"/>
        <v/>
      </c>
      <c r="N213" s="460" t="str">
        <f t="shared" ca="1" si="44"/>
        <v/>
      </c>
      <c r="O213" s="461" t="str">
        <f t="shared" ca="1" si="44"/>
        <v/>
      </c>
      <c r="P213" s="474" t="str">
        <f t="shared" ca="1" si="44"/>
        <v/>
      </c>
      <c r="Q213" s="475" t="str">
        <f t="shared" ca="1" si="44"/>
        <v/>
      </c>
      <c r="R213" s="476">
        <f ca="1">IF(OR($BG$2=0,$AR213=""),,IF($AR213="本月合计",IF(ROW()=$BG$3,SUM($R$6:$R212),SUM(INDIRECT("$R$"&amp;OFFSET($AU$3,,MATCH(ROW(),$AU$3:$BF$3,)-2)+2&amp;":$R"&amp;ROW()-1))),IF($AR213="本年累计",SUMIF($AR$6:$AR213,"本月合计",$R$6:$R212),INDEX(凭证录入!L:L,$AR213))))</f>
        <v>0</v>
      </c>
      <c r="S213" s="459" t="str">
        <f t="shared" ca="1" si="45"/>
        <v/>
      </c>
      <c r="T213" s="460" t="str">
        <f t="shared" ca="1" si="45"/>
        <v/>
      </c>
      <c r="U213" s="460" t="str">
        <f t="shared" ca="1" si="45"/>
        <v/>
      </c>
      <c r="V213" s="460" t="str">
        <f t="shared" ca="1" si="45"/>
        <v/>
      </c>
      <c r="W213" s="460" t="str">
        <f t="shared" ca="1" si="45"/>
        <v/>
      </c>
      <c r="X213" s="460" t="str">
        <f t="shared" ca="1" si="45"/>
        <v/>
      </c>
      <c r="Y213" s="460" t="str">
        <f t="shared" ca="1" si="45"/>
        <v/>
      </c>
      <c r="Z213" s="460" t="str">
        <f t="shared" ca="1" si="45"/>
        <v/>
      </c>
      <c r="AA213" s="461" t="str">
        <f t="shared" ca="1" si="45"/>
        <v/>
      </c>
      <c r="AB213" s="474" t="str">
        <f t="shared" ca="1" si="45"/>
        <v/>
      </c>
      <c r="AC213" s="475" t="str">
        <f t="shared" ca="1" si="45"/>
        <v/>
      </c>
      <c r="AD213" s="477" t="str">
        <f t="shared" ca="1" si="46"/>
        <v/>
      </c>
      <c r="AE213" s="478">
        <f t="shared" ca="1" si="47"/>
        <v>0</v>
      </c>
      <c r="AF213" s="459" t="str">
        <f t="shared" ref="AF213:AP228" ca="1" si="48">LEFT(RIGHT(TEXT($AE213/1%," ￥0; ￥-0;"),43-COLUMN()))</f>
        <v/>
      </c>
      <c r="AG213" s="460" t="str">
        <f t="shared" ca="1" si="48"/>
        <v/>
      </c>
      <c r="AH213" s="460" t="str">
        <f t="shared" ca="1" si="48"/>
        <v/>
      </c>
      <c r="AI213" s="460" t="str">
        <f t="shared" ca="1" si="48"/>
        <v/>
      </c>
      <c r="AJ213" s="460" t="str">
        <f t="shared" ca="1" si="48"/>
        <v/>
      </c>
      <c r="AK213" s="460" t="str">
        <f t="shared" ca="1" si="48"/>
        <v/>
      </c>
      <c r="AL213" s="460" t="str">
        <f t="shared" ca="1" si="48"/>
        <v/>
      </c>
      <c r="AM213" s="460" t="str">
        <f t="shared" ca="1" si="48"/>
        <v/>
      </c>
      <c r="AN213" s="461" t="str">
        <f t="shared" ca="1" si="48"/>
        <v/>
      </c>
      <c r="AO213" s="474" t="str">
        <f t="shared" ca="1" si="48"/>
        <v/>
      </c>
      <c r="AP213" s="475" t="str">
        <f t="shared" ca="1" si="48"/>
        <v/>
      </c>
      <c r="AQ213" s="479" t="str">
        <f t="array" aca="1" ref="AQ213" ca="1">IF(ROW()-5&lt;=COUNTIF(科目编号,$AR$2),SMALL(IF(科目编号=$AR$2,ROW(科目编号),""),ROW()-5),"")</f>
        <v/>
      </c>
      <c r="AR213" s="480" t="str">
        <f ca="1">IF($BG$2=0,"",IF(AR212="本月合计","本年累计",IF(OR(ROW()=$AU$3,ROW()=$AV$3,ROW()=$AW$3,ROW()=$AX$3,ROW()=$AY$3,ROW()=$AZ$3,ROW()=$BA$3,ROW()=$BB$3,ROW()=$BC$3,ROW()=$BD$3,ROW()=$BE$3,ROW()=$BF$3),"本月合计",IF(ROW()&lt;7,$AQ$6,OFFSET($AQ$6,COUNT($AR$6:AR212),0)))))</f>
        <v/>
      </c>
    </row>
    <row r="214" spans="1:44">
      <c r="A214" s="469" t="str">
        <f ca="1">IFERROR(INDEX(凭证录入!A:A,$AR214),"")</f>
        <v/>
      </c>
      <c r="B214" s="469" t="str">
        <f ca="1">IFERROR(INDEX(凭证录入!B:B,$AR214),"")</f>
        <v/>
      </c>
      <c r="C214" s="470" t="str">
        <f ca="1">IFERROR(INDEX(凭证录入!G:G,$AR214),"")</f>
        <v/>
      </c>
      <c r="D214" s="471" t="str">
        <f ca="1">IFERROR(INDEX(凭证录入!F:F,$AR214),"")</f>
        <v/>
      </c>
      <c r="E214" s="472" t="str">
        <f ca="1">IFERROR(INDEX(凭证录入!H:H,$AR214),$AR214)</f>
        <v/>
      </c>
      <c r="F214" s="473">
        <f ca="1">IF(OR($BG$2=0,$AR214=""),,IF($AR214="本月合计",IF(ROW()=$BG$3,SUM($F$6:$F213),SUM(INDIRECT("$F$"&amp;OFFSET($AU$3,,MATCH(ROW(),$AU$3:$BF$3,)-2)+2&amp;":$E"&amp;ROW()-1))),IF($AR214="本年累计",SUMIF($AR$6:$AR214,"本月合计",$F$6:$F213),INDEX(凭证录入!K:K,$AR214))))</f>
        <v>0</v>
      </c>
      <c r="G214" s="459" t="str">
        <f t="shared" ref="G214:Q229" ca="1" si="49">LEFT(RIGHT(TEXT($F214/1%," ￥0; ￥-0;"),18-COLUMN()))</f>
        <v/>
      </c>
      <c r="H214" s="460" t="str">
        <f t="shared" ca="1" si="49"/>
        <v/>
      </c>
      <c r="I214" s="460" t="str">
        <f t="shared" ca="1" si="49"/>
        <v/>
      </c>
      <c r="J214" s="460" t="str">
        <f t="shared" ca="1" si="49"/>
        <v/>
      </c>
      <c r="K214" s="460" t="str">
        <f t="shared" ca="1" si="49"/>
        <v/>
      </c>
      <c r="L214" s="460" t="str">
        <f t="shared" ca="1" si="49"/>
        <v/>
      </c>
      <c r="M214" s="460" t="str">
        <f t="shared" ca="1" si="49"/>
        <v/>
      </c>
      <c r="N214" s="460" t="str">
        <f t="shared" ca="1" si="49"/>
        <v/>
      </c>
      <c r="O214" s="461" t="str">
        <f t="shared" ca="1" si="49"/>
        <v/>
      </c>
      <c r="P214" s="474" t="str">
        <f t="shared" ca="1" si="49"/>
        <v/>
      </c>
      <c r="Q214" s="475" t="str">
        <f t="shared" ca="1" si="49"/>
        <v/>
      </c>
      <c r="R214" s="476">
        <f ca="1">IF(OR($BG$2=0,$AR214=""),,IF($AR214="本月合计",IF(ROW()=$BG$3,SUM($R$6:$R213),SUM(INDIRECT("$R$"&amp;OFFSET($AU$3,,MATCH(ROW(),$AU$3:$BF$3,)-2)+2&amp;":$R"&amp;ROW()-1))),IF($AR214="本年累计",SUMIF($AR$6:$AR214,"本月合计",$R$6:$R213),INDEX(凭证录入!L:L,$AR214))))</f>
        <v>0</v>
      </c>
      <c r="S214" s="459" t="str">
        <f t="shared" ref="S214:AC229" ca="1" si="50">LEFT(RIGHT(TEXT($R214/1%," ￥0; ￥-0;"),30-COLUMN()))</f>
        <v/>
      </c>
      <c r="T214" s="460" t="str">
        <f t="shared" ca="1" si="50"/>
        <v/>
      </c>
      <c r="U214" s="460" t="str">
        <f t="shared" ca="1" si="50"/>
        <v/>
      </c>
      <c r="V214" s="460" t="str">
        <f t="shared" ca="1" si="50"/>
        <v/>
      </c>
      <c r="W214" s="460" t="str">
        <f t="shared" ca="1" si="50"/>
        <v/>
      </c>
      <c r="X214" s="460" t="str">
        <f t="shared" ca="1" si="50"/>
        <v/>
      </c>
      <c r="Y214" s="460" t="str">
        <f t="shared" ca="1" si="50"/>
        <v/>
      </c>
      <c r="Z214" s="460" t="str">
        <f t="shared" ca="1" si="50"/>
        <v/>
      </c>
      <c r="AA214" s="461" t="str">
        <f t="shared" ca="1" si="50"/>
        <v/>
      </c>
      <c r="AB214" s="474" t="str">
        <f t="shared" ca="1" si="50"/>
        <v/>
      </c>
      <c r="AC214" s="475" t="str">
        <f t="shared" ca="1" si="50"/>
        <v/>
      </c>
      <c r="AD214" s="477" t="str">
        <f t="shared" ca="1" si="46"/>
        <v/>
      </c>
      <c r="AE214" s="478">
        <f t="shared" ca="1" si="47"/>
        <v>0</v>
      </c>
      <c r="AF214" s="459" t="str">
        <f t="shared" ca="1" si="48"/>
        <v/>
      </c>
      <c r="AG214" s="460" t="str">
        <f t="shared" ca="1" si="48"/>
        <v/>
      </c>
      <c r="AH214" s="460" t="str">
        <f t="shared" ca="1" si="48"/>
        <v/>
      </c>
      <c r="AI214" s="460" t="str">
        <f t="shared" ca="1" si="48"/>
        <v/>
      </c>
      <c r="AJ214" s="460" t="str">
        <f t="shared" ca="1" si="48"/>
        <v/>
      </c>
      <c r="AK214" s="460" t="str">
        <f t="shared" ca="1" si="48"/>
        <v/>
      </c>
      <c r="AL214" s="460" t="str">
        <f t="shared" ca="1" si="48"/>
        <v/>
      </c>
      <c r="AM214" s="460" t="str">
        <f t="shared" ca="1" si="48"/>
        <v/>
      </c>
      <c r="AN214" s="461" t="str">
        <f t="shared" ca="1" si="48"/>
        <v/>
      </c>
      <c r="AO214" s="474" t="str">
        <f t="shared" ca="1" si="48"/>
        <v/>
      </c>
      <c r="AP214" s="475" t="str">
        <f t="shared" ca="1" si="48"/>
        <v/>
      </c>
      <c r="AQ214" s="479" t="str">
        <f t="array" aca="1" ref="AQ214" ca="1">IF(ROW()-5&lt;=COUNTIF(科目编号,$AR$2),SMALL(IF(科目编号=$AR$2,ROW(科目编号),""),ROW()-5),"")</f>
        <v/>
      </c>
      <c r="AR214" s="480" t="str">
        <f ca="1">IF($BG$2=0,"",IF(AR213="本月合计","本年累计",IF(OR(ROW()=$AU$3,ROW()=$AV$3,ROW()=$AW$3,ROW()=$AX$3,ROW()=$AY$3,ROW()=$AZ$3,ROW()=$BA$3,ROW()=$BB$3,ROW()=$BC$3,ROW()=$BD$3,ROW()=$BE$3,ROW()=$BF$3),"本月合计",IF(ROW()&lt;7,$AQ$6,OFFSET($AQ$6,COUNT($AR$6:AR213),0)))))</f>
        <v/>
      </c>
    </row>
    <row r="215" spans="1:44">
      <c r="A215" s="469" t="str">
        <f ca="1">IFERROR(INDEX(凭证录入!A:A,$AR215),"")</f>
        <v/>
      </c>
      <c r="B215" s="469" t="str">
        <f ca="1">IFERROR(INDEX(凭证录入!B:B,$AR215),"")</f>
        <v/>
      </c>
      <c r="C215" s="470" t="str">
        <f ca="1">IFERROR(INDEX(凭证录入!G:G,$AR215),"")</f>
        <v/>
      </c>
      <c r="D215" s="471" t="str">
        <f ca="1">IFERROR(INDEX(凭证录入!F:F,$AR215),"")</f>
        <v/>
      </c>
      <c r="E215" s="472" t="str">
        <f ca="1">IFERROR(INDEX(凭证录入!H:H,$AR215),$AR215)</f>
        <v/>
      </c>
      <c r="F215" s="473">
        <f ca="1">IF(OR($BG$2=0,$AR215=""),,IF($AR215="本月合计",IF(ROW()=$BG$3,SUM($F$6:$F214),SUM(INDIRECT("$F$"&amp;OFFSET($AU$3,,MATCH(ROW(),$AU$3:$BF$3,)-2)+2&amp;":$E"&amp;ROW()-1))),IF($AR215="本年累计",SUMIF($AR$6:$AR215,"本月合计",$F$6:$F214),INDEX(凭证录入!K:K,$AR215))))</f>
        <v>0</v>
      </c>
      <c r="G215" s="459" t="str">
        <f t="shared" ca="1" si="49"/>
        <v/>
      </c>
      <c r="H215" s="460" t="str">
        <f t="shared" ca="1" si="49"/>
        <v/>
      </c>
      <c r="I215" s="460" t="str">
        <f t="shared" ca="1" si="49"/>
        <v/>
      </c>
      <c r="J215" s="460" t="str">
        <f t="shared" ca="1" si="49"/>
        <v/>
      </c>
      <c r="K215" s="460" t="str">
        <f t="shared" ca="1" si="49"/>
        <v/>
      </c>
      <c r="L215" s="460" t="str">
        <f t="shared" ca="1" si="49"/>
        <v/>
      </c>
      <c r="M215" s="460" t="str">
        <f t="shared" ca="1" si="49"/>
        <v/>
      </c>
      <c r="N215" s="460" t="str">
        <f t="shared" ca="1" si="49"/>
        <v/>
      </c>
      <c r="O215" s="461" t="str">
        <f t="shared" ca="1" si="49"/>
        <v/>
      </c>
      <c r="P215" s="474" t="str">
        <f t="shared" ca="1" si="49"/>
        <v/>
      </c>
      <c r="Q215" s="475" t="str">
        <f t="shared" ca="1" si="49"/>
        <v/>
      </c>
      <c r="R215" s="476">
        <f ca="1">IF(OR($BG$2=0,$AR215=""),,IF($AR215="本月合计",IF(ROW()=$BG$3,SUM($R$6:$R214),SUM(INDIRECT("$R$"&amp;OFFSET($AU$3,,MATCH(ROW(),$AU$3:$BF$3,)-2)+2&amp;":$R"&amp;ROW()-1))),IF($AR215="本年累计",SUMIF($AR$6:$AR215,"本月合计",$R$6:$R214),INDEX(凭证录入!L:L,$AR215))))</f>
        <v>0</v>
      </c>
      <c r="S215" s="459" t="str">
        <f t="shared" ca="1" si="50"/>
        <v/>
      </c>
      <c r="T215" s="460" t="str">
        <f t="shared" ca="1" si="50"/>
        <v/>
      </c>
      <c r="U215" s="460" t="str">
        <f t="shared" ca="1" si="50"/>
        <v/>
      </c>
      <c r="V215" s="460" t="str">
        <f t="shared" ca="1" si="50"/>
        <v/>
      </c>
      <c r="W215" s="460" t="str">
        <f t="shared" ca="1" si="50"/>
        <v/>
      </c>
      <c r="X215" s="460" t="str">
        <f t="shared" ca="1" si="50"/>
        <v/>
      </c>
      <c r="Y215" s="460" t="str">
        <f t="shared" ca="1" si="50"/>
        <v/>
      </c>
      <c r="Z215" s="460" t="str">
        <f t="shared" ca="1" si="50"/>
        <v/>
      </c>
      <c r="AA215" s="461" t="str">
        <f t="shared" ca="1" si="50"/>
        <v/>
      </c>
      <c r="AB215" s="474" t="str">
        <f t="shared" ca="1" si="50"/>
        <v/>
      </c>
      <c r="AC215" s="475" t="str">
        <f t="shared" ca="1" si="50"/>
        <v/>
      </c>
      <c r="AD215" s="477" t="str">
        <f t="shared" ca="1" si="46"/>
        <v/>
      </c>
      <c r="AE215" s="478">
        <f t="shared" ca="1" si="47"/>
        <v>0</v>
      </c>
      <c r="AF215" s="459" t="str">
        <f t="shared" ca="1" si="48"/>
        <v/>
      </c>
      <c r="AG215" s="460" t="str">
        <f t="shared" ca="1" si="48"/>
        <v/>
      </c>
      <c r="AH215" s="460" t="str">
        <f t="shared" ca="1" si="48"/>
        <v/>
      </c>
      <c r="AI215" s="460" t="str">
        <f t="shared" ca="1" si="48"/>
        <v/>
      </c>
      <c r="AJ215" s="460" t="str">
        <f t="shared" ca="1" si="48"/>
        <v/>
      </c>
      <c r="AK215" s="460" t="str">
        <f t="shared" ca="1" si="48"/>
        <v/>
      </c>
      <c r="AL215" s="460" t="str">
        <f t="shared" ca="1" si="48"/>
        <v/>
      </c>
      <c r="AM215" s="460" t="str">
        <f t="shared" ca="1" si="48"/>
        <v/>
      </c>
      <c r="AN215" s="461" t="str">
        <f t="shared" ca="1" si="48"/>
        <v/>
      </c>
      <c r="AO215" s="474" t="str">
        <f t="shared" ca="1" si="48"/>
        <v/>
      </c>
      <c r="AP215" s="475" t="str">
        <f t="shared" ca="1" si="48"/>
        <v/>
      </c>
      <c r="AQ215" s="479" t="str">
        <f t="array" aca="1" ref="AQ215" ca="1">IF(ROW()-5&lt;=COUNTIF(科目编号,$AR$2),SMALL(IF(科目编号=$AR$2,ROW(科目编号),""),ROW()-5),"")</f>
        <v/>
      </c>
      <c r="AR215" s="480" t="str">
        <f ca="1">IF($BG$2=0,"",IF(AR214="本月合计","本年累计",IF(OR(ROW()=$AU$3,ROW()=$AV$3,ROW()=$AW$3,ROW()=$AX$3,ROW()=$AY$3,ROW()=$AZ$3,ROW()=$BA$3,ROW()=$BB$3,ROW()=$BC$3,ROW()=$BD$3,ROW()=$BE$3,ROW()=$BF$3),"本月合计",IF(ROW()&lt;7,$AQ$6,OFFSET($AQ$6,COUNT($AR$6:AR214),0)))))</f>
        <v/>
      </c>
    </row>
    <row r="216" spans="1:44">
      <c r="A216" s="469" t="str">
        <f ca="1">IFERROR(INDEX(凭证录入!A:A,$AR216),"")</f>
        <v/>
      </c>
      <c r="B216" s="469" t="str">
        <f ca="1">IFERROR(INDEX(凭证录入!B:B,$AR216),"")</f>
        <v/>
      </c>
      <c r="C216" s="470" t="str">
        <f ca="1">IFERROR(INDEX(凭证录入!G:G,$AR216),"")</f>
        <v/>
      </c>
      <c r="D216" s="471" t="str">
        <f ca="1">IFERROR(INDEX(凭证录入!F:F,$AR216),"")</f>
        <v/>
      </c>
      <c r="E216" s="472" t="str">
        <f ca="1">IFERROR(INDEX(凭证录入!H:H,$AR216),$AR216)</f>
        <v/>
      </c>
      <c r="F216" s="473">
        <f ca="1">IF(OR($BG$2=0,$AR216=""),,IF($AR216="本月合计",IF(ROW()=$BG$3,SUM($F$6:$F215),SUM(INDIRECT("$F$"&amp;OFFSET($AU$3,,MATCH(ROW(),$AU$3:$BF$3,)-2)+2&amp;":$E"&amp;ROW()-1))),IF($AR216="本年累计",SUMIF($AR$6:$AR216,"本月合计",$F$6:$F215),INDEX(凭证录入!K:K,$AR216))))</f>
        <v>0</v>
      </c>
      <c r="G216" s="459" t="str">
        <f t="shared" ca="1" si="49"/>
        <v/>
      </c>
      <c r="H216" s="460" t="str">
        <f t="shared" ca="1" si="49"/>
        <v/>
      </c>
      <c r="I216" s="460" t="str">
        <f t="shared" ca="1" si="49"/>
        <v/>
      </c>
      <c r="J216" s="460" t="str">
        <f t="shared" ca="1" si="49"/>
        <v/>
      </c>
      <c r="K216" s="460" t="str">
        <f t="shared" ca="1" si="49"/>
        <v/>
      </c>
      <c r="L216" s="460" t="str">
        <f t="shared" ca="1" si="49"/>
        <v/>
      </c>
      <c r="M216" s="460" t="str">
        <f t="shared" ca="1" si="49"/>
        <v/>
      </c>
      <c r="N216" s="460" t="str">
        <f t="shared" ca="1" si="49"/>
        <v/>
      </c>
      <c r="O216" s="461" t="str">
        <f t="shared" ca="1" si="49"/>
        <v/>
      </c>
      <c r="P216" s="474" t="str">
        <f t="shared" ca="1" si="49"/>
        <v/>
      </c>
      <c r="Q216" s="475" t="str">
        <f t="shared" ca="1" si="49"/>
        <v/>
      </c>
      <c r="R216" s="476">
        <f ca="1">IF(OR($BG$2=0,$AR216=""),,IF($AR216="本月合计",IF(ROW()=$BG$3,SUM($R$6:$R215),SUM(INDIRECT("$R$"&amp;OFFSET($AU$3,,MATCH(ROW(),$AU$3:$BF$3,)-2)+2&amp;":$R"&amp;ROW()-1))),IF($AR216="本年累计",SUMIF($AR$6:$AR216,"本月合计",$R$6:$R215),INDEX(凭证录入!L:L,$AR216))))</f>
        <v>0</v>
      </c>
      <c r="S216" s="459" t="str">
        <f t="shared" ca="1" si="50"/>
        <v/>
      </c>
      <c r="T216" s="460" t="str">
        <f t="shared" ca="1" si="50"/>
        <v/>
      </c>
      <c r="U216" s="460" t="str">
        <f t="shared" ca="1" si="50"/>
        <v/>
      </c>
      <c r="V216" s="460" t="str">
        <f t="shared" ca="1" si="50"/>
        <v/>
      </c>
      <c r="W216" s="460" t="str">
        <f t="shared" ca="1" si="50"/>
        <v/>
      </c>
      <c r="X216" s="460" t="str">
        <f t="shared" ca="1" si="50"/>
        <v/>
      </c>
      <c r="Y216" s="460" t="str">
        <f t="shared" ca="1" si="50"/>
        <v/>
      </c>
      <c r="Z216" s="460" t="str">
        <f t="shared" ca="1" si="50"/>
        <v/>
      </c>
      <c r="AA216" s="461" t="str">
        <f t="shared" ca="1" si="50"/>
        <v/>
      </c>
      <c r="AB216" s="474" t="str">
        <f t="shared" ca="1" si="50"/>
        <v/>
      </c>
      <c r="AC216" s="475" t="str">
        <f t="shared" ca="1" si="50"/>
        <v/>
      </c>
      <c r="AD216" s="477" t="str">
        <f t="shared" ca="1" si="46"/>
        <v/>
      </c>
      <c r="AE216" s="478">
        <f t="shared" ca="1" si="47"/>
        <v>0</v>
      </c>
      <c r="AF216" s="459" t="str">
        <f t="shared" ca="1" si="48"/>
        <v/>
      </c>
      <c r="AG216" s="460" t="str">
        <f t="shared" ca="1" si="48"/>
        <v/>
      </c>
      <c r="AH216" s="460" t="str">
        <f t="shared" ca="1" si="48"/>
        <v/>
      </c>
      <c r="AI216" s="460" t="str">
        <f t="shared" ca="1" si="48"/>
        <v/>
      </c>
      <c r="AJ216" s="460" t="str">
        <f t="shared" ca="1" si="48"/>
        <v/>
      </c>
      <c r="AK216" s="460" t="str">
        <f t="shared" ca="1" si="48"/>
        <v/>
      </c>
      <c r="AL216" s="460" t="str">
        <f t="shared" ca="1" si="48"/>
        <v/>
      </c>
      <c r="AM216" s="460" t="str">
        <f t="shared" ca="1" si="48"/>
        <v/>
      </c>
      <c r="AN216" s="461" t="str">
        <f t="shared" ca="1" si="48"/>
        <v/>
      </c>
      <c r="AO216" s="474" t="str">
        <f t="shared" ca="1" si="48"/>
        <v/>
      </c>
      <c r="AP216" s="475" t="str">
        <f t="shared" ca="1" si="48"/>
        <v/>
      </c>
      <c r="AQ216" s="479" t="str">
        <f t="array" aca="1" ref="AQ216" ca="1">IF(ROW()-5&lt;=COUNTIF(科目编号,$AR$2),SMALL(IF(科目编号=$AR$2,ROW(科目编号),""),ROW()-5),"")</f>
        <v/>
      </c>
      <c r="AR216" s="480" t="str">
        <f ca="1">IF($BG$2=0,"",IF(AR215="本月合计","本年累计",IF(OR(ROW()=$AU$3,ROW()=$AV$3,ROW()=$AW$3,ROW()=$AX$3,ROW()=$AY$3,ROW()=$AZ$3,ROW()=$BA$3,ROW()=$BB$3,ROW()=$BC$3,ROW()=$BD$3,ROW()=$BE$3,ROW()=$BF$3),"本月合计",IF(ROW()&lt;7,$AQ$6,OFFSET($AQ$6,COUNT($AR$6:AR215),0)))))</f>
        <v/>
      </c>
    </row>
    <row r="217" spans="1:44">
      <c r="A217" s="469" t="str">
        <f ca="1">IFERROR(INDEX(凭证录入!A:A,$AR217),"")</f>
        <v/>
      </c>
      <c r="B217" s="469" t="str">
        <f ca="1">IFERROR(INDEX(凭证录入!B:B,$AR217),"")</f>
        <v/>
      </c>
      <c r="C217" s="470" t="str">
        <f ca="1">IFERROR(INDEX(凭证录入!G:G,$AR217),"")</f>
        <v/>
      </c>
      <c r="D217" s="471" t="str">
        <f ca="1">IFERROR(INDEX(凭证录入!F:F,$AR217),"")</f>
        <v/>
      </c>
      <c r="E217" s="472" t="str">
        <f ca="1">IFERROR(INDEX(凭证录入!H:H,$AR217),$AR217)</f>
        <v/>
      </c>
      <c r="F217" s="473">
        <f ca="1">IF(OR($BG$2=0,$AR217=""),,IF($AR217="本月合计",IF(ROW()=$BG$3,SUM($F$6:$F216),SUM(INDIRECT("$F$"&amp;OFFSET($AU$3,,MATCH(ROW(),$AU$3:$BF$3,)-2)+2&amp;":$E"&amp;ROW()-1))),IF($AR217="本年累计",SUMIF($AR$6:$AR217,"本月合计",$F$6:$F216),INDEX(凭证录入!K:K,$AR217))))</f>
        <v>0</v>
      </c>
      <c r="G217" s="459" t="str">
        <f t="shared" ca="1" si="49"/>
        <v/>
      </c>
      <c r="H217" s="460" t="str">
        <f t="shared" ca="1" si="49"/>
        <v/>
      </c>
      <c r="I217" s="460" t="str">
        <f t="shared" ca="1" si="49"/>
        <v/>
      </c>
      <c r="J217" s="460" t="str">
        <f t="shared" ca="1" si="49"/>
        <v/>
      </c>
      <c r="K217" s="460" t="str">
        <f t="shared" ca="1" si="49"/>
        <v/>
      </c>
      <c r="L217" s="460" t="str">
        <f t="shared" ca="1" si="49"/>
        <v/>
      </c>
      <c r="M217" s="460" t="str">
        <f t="shared" ca="1" si="49"/>
        <v/>
      </c>
      <c r="N217" s="460" t="str">
        <f t="shared" ca="1" si="49"/>
        <v/>
      </c>
      <c r="O217" s="461" t="str">
        <f t="shared" ca="1" si="49"/>
        <v/>
      </c>
      <c r="P217" s="474" t="str">
        <f t="shared" ca="1" si="49"/>
        <v/>
      </c>
      <c r="Q217" s="475" t="str">
        <f t="shared" ca="1" si="49"/>
        <v/>
      </c>
      <c r="R217" s="476">
        <f ca="1">IF(OR($BG$2=0,$AR217=""),,IF($AR217="本月合计",IF(ROW()=$BG$3,SUM($R$6:$R216),SUM(INDIRECT("$R$"&amp;OFFSET($AU$3,,MATCH(ROW(),$AU$3:$BF$3,)-2)+2&amp;":$R"&amp;ROW()-1))),IF($AR217="本年累计",SUMIF($AR$6:$AR217,"本月合计",$R$6:$R216),INDEX(凭证录入!L:L,$AR217))))</f>
        <v>0</v>
      </c>
      <c r="S217" s="459" t="str">
        <f t="shared" ca="1" si="50"/>
        <v/>
      </c>
      <c r="T217" s="460" t="str">
        <f t="shared" ca="1" si="50"/>
        <v/>
      </c>
      <c r="U217" s="460" t="str">
        <f t="shared" ca="1" si="50"/>
        <v/>
      </c>
      <c r="V217" s="460" t="str">
        <f t="shared" ca="1" si="50"/>
        <v/>
      </c>
      <c r="W217" s="460" t="str">
        <f t="shared" ca="1" si="50"/>
        <v/>
      </c>
      <c r="X217" s="460" t="str">
        <f t="shared" ca="1" si="50"/>
        <v/>
      </c>
      <c r="Y217" s="460" t="str">
        <f t="shared" ca="1" si="50"/>
        <v/>
      </c>
      <c r="Z217" s="460" t="str">
        <f t="shared" ca="1" si="50"/>
        <v/>
      </c>
      <c r="AA217" s="461" t="str">
        <f t="shared" ca="1" si="50"/>
        <v/>
      </c>
      <c r="AB217" s="474" t="str">
        <f t="shared" ca="1" si="50"/>
        <v/>
      </c>
      <c r="AC217" s="475" t="str">
        <f t="shared" ca="1" si="50"/>
        <v/>
      </c>
      <c r="AD217" s="477" t="str">
        <f t="shared" ca="1" si="46"/>
        <v/>
      </c>
      <c r="AE217" s="478">
        <f t="shared" ca="1" si="47"/>
        <v>0</v>
      </c>
      <c r="AF217" s="459" t="str">
        <f t="shared" ca="1" si="48"/>
        <v/>
      </c>
      <c r="AG217" s="460" t="str">
        <f t="shared" ca="1" si="48"/>
        <v/>
      </c>
      <c r="AH217" s="460" t="str">
        <f t="shared" ca="1" si="48"/>
        <v/>
      </c>
      <c r="AI217" s="460" t="str">
        <f t="shared" ca="1" si="48"/>
        <v/>
      </c>
      <c r="AJ217" s="460" t="str">
        <f t="shared" ca="1" si="48"/>
        <v/>
      </c>
      <c r="AK217" s="460" t="str">
        <f t="shared" ca="1" si="48"/>
        <v/>
      </c>
      <c r="AL217" s="460" t="str">
        <f t="shared" ca="1" si="48"/>
        <v/>
      </c>
      <c r="AM217" s="460" t="str">
        <f t="shared" ca="1" si="48"/>
        <v/>
      </c>
      <c r="AN217" s="461" t="str">
        <f t="shared" ca="1" si="48"/>
        <v/>
      </c>
      <c r="AO217" s="474" t="str">
        <f t="shared" ca="1" si="48"/>
        <v/>
      </c>
      <c r="AP217" s="475" t="str">
        <f t="shared" ca="1" si="48"/>
        <v/>
      </c>
      <c r="AQ217" s="479" t="str">
        <f t="array" aca="1" ref="AQ217" ca="1">IF(ROW()-5&lt;=COUNTIF(科目编号,$AR$2),SMALL(IF(科目编号=$AR$2,ROW(科目编号),""),ROW()-5),"")</f>
        <v/>
      </c>
      <c r="AR217" s="480" t="str">
        <f ca="1">IF($BG$2=0,"",IF(AR216="本月合计","本年累计",IF(OR(ROW()=$AU$3,ROW()=$AV$3,ROW()=$AW$3,ROW()=$AX$3,ROW()=$AY$3,ROW()=$AZ$3,ROW()=$BA$3,ROW()=$BB$3,ROW()=$BC$3,ROW()=$BD$3,ROW()=$BE$3,ROW()=$BF$3),"本月合计",IF(ROW()&lt;7,$AQ$6,OFFSET($AQ$6,COUNT($AR$6:AR216),0)))))</f>
        <v/>
      </c>
    </row>
    <row r="218" spans="1:44">
      <c r="A218" s="469" t="str">
        <f ca="1">IFERROR(INDEX(凭证录入!A:A,$AR218),"")</f>
        <v/>
      </c>
      <c r="B218" s="469" t="str">
        <f ca="1">IFERROR(INDEX(凭证录入!B:B,$AR218),"")</f>
        <v/>
      </c>
      <c r="C218" s="470" t="str">
        <f ca="1">IFERROR(INDEX(凭证录入!G:G,$AR218),"")</f>
        <v/>
      </c>
      <c r="D218" s="471" t="str">
        <f ca="1">IFERROR(INDEX(凭证录入!F:F,$AR218),"")</f>
        <v/>
      </c>
      <c r="E218" s="472" t="str">
        <f ca="1">IFERROR(INDEX(凭证录入!H:H,$AR218),$AR218)</f>
        <v/>
      </c>
      <c r="F218" s="473">
        <f ca="1">IF(OR($BG$2=0,$AR218=""),,IF($AR218="本月合计",IF(ROW()=$BG$3,SUM($F$6:$F217),SUM(INDIRECT("$F$"&amp;OFFSET($AU$3,,MATCH(ROW(),$AU$3:$BF$3,)-2)+2&amp;":$E"&amp;ROW()-1))),IF($AR218="本年累计",SUMIF($AR$6:$AR218,"本月合计",$F$6:$F217),INDEX(凭证录入!K:K,$AR218))))</f>
        <v>0</v>
      </c>
      <c r="G218" s="459" t="str">
        <f t="shared" ca="1" si="49"/>
        <v/>
      </c>
      <c r="H218" s="460" t="str">
        <f t="shared" ca="1" si="49"/>
        <v/>
      </c>
      <c r="I218" s="460" t="str">
        <f t="shared" ca="1" si="49"/>
        <v/>
      </c>
      <c r="J218" s="460" t="str">
        <f t="shared" ca="1" si="49"/>
        <v/>
      </c>
      <c r="K218" s="460" t="str">
        <f t="shared" ca="1" si="49"/>
        <v/>
      </c>
      <c r="L218" s="460" t="str">
        <f t="shared" ca="1" si="49"/>
        <v/>
      </c>
      <c r="M218" s="460" t="str">
        <f t="shared" ca="1" si="49"/>
        <v/>
      </c>
      <c r="N218" s="460" t="str">
        <f t="shared" ca="1" si="49"/>
        <v/>
      </c>
      <c r="O218" s="461" t="str">
        <f t="shared" ca="1" si="49"/>
        <v/>
      </c>
      <c r="P218" s="474" t="str">
        <f t="shared" ca="1" si="49"/>
        <v/>
      </c>
      <c r="Q218" s="475" t="str">
        <f t="shared" ca="1" si="49"/>
        <v/>
      </c>
      <c r="R218" s="476">
        <f ca="1">IF(OR($BG$2=0,$AR218=""),,IF($AR218="本月合计",IF(ROW()=$BG$3,SUM($R$6:$R217),SUM(INDIRECT("$R$"&amp;OFFSET($AU$3,,MATCH(ROW(),$AU$3:$BF$3,)-2)+2&amp;":$R"&amp;ROW()-1))),IF($AR218="本年累计",SUMIF($AR$6:$AR218,"本月合计",$R$6:$R217),INDEX(凭证录入!L:L,$AR218))))</f>
        <v>0</v>
      </c>
      <c r="S218" s="459" t="str">
        <f t="shared" ca="1" si="50"/>
        <v/>
      </c>
      <c r="T218" s="460" t="str">
        <f t="shared" ca="1" si="50"/>
        <v/>
      </c>
      <c r="U218" s="460" t="str">
        <f t="shared" ca="1" si="50"/>
        <v/>
      </c>
      <c r="V218" s="460" t="str">
        <f t="shared" ca="1" si="50"/>
        <v/>
      </c>
      <c r="W218" s="460" t="str">
        <f t="shared" ca="1" si="50"/>
        <v/>
      </c>
      <c r="X218" s="460" t="str">
        <f t="shared" ca="1" si="50"/>
        <v/>
      </c>
      <c r="Y218" s="460" t="str">
        <f t="shared" ca="1" si="50"/>
        <v/>
      </c>
      <c r="Z218" s="460" t="str">
        <f t="shared" ca="1" si="50"/>
        <v/>
      </c>
      <c r="AA218" s="461" t="str">
        <f t="shared" ca="1" si="50"/>
        <v/>
      </c>
      <c r="AB218" s="474" t="str">
        <f t="shared" ca="1" si="50"/>
        <v/>
      </c>
      <c r="AC218" s="475" t="str">
        <f t="shared" ca="1" si="50"/>
        <v/>
      </c>
      <c r="AD218" s="477" t="str">
        <f t="shared" ca="1" si="46"/>
        <v/>
      </c>
      <c r="AE218" s="478">
        <f t="shared" ca="1" si="47"/>
        <v>0</v>
      </c>
      <c r="AF218" s="459" t="str">
        <f t="shared" ca="1" si="48"/>
        <v/>
      </c>
      <c r="AG218" s="460" t="str">
        <f t="shared" ca="1" si="48"/>
        <v/>
      </c>
      <c r="AH218" s="460" t="str">
        <f t="shared" ca="1" si="48"/>
        <v/>
      </c>
      <c r="AI218" s="460" t="str">
        <f t="shared" ca="1" si="48"/>
        <v/>
      </c>
      <c r="AJ218" s="460" t="str">
        <f t="shared" ca="1" si="48"/>
        <v/>
      </c>
      <c r="AK218" s="460" t="str">
        <f t="shared" ca="1" si="48"/>
        <v/>
      </c>
      <c r="AL218" s="460" t="str">
        <f t="shared" ca="1" si="48"/>
        <v/>
      </c>
      <c r="AM218" s="460" t="str">
        <f t="shared" ca="1" si="48"/>
        <v/>
      </c>
      <c r="AN218" s="461" t="str">
        <f t="shared" ca="1" si="48"/>
        <v/>
      </c>
      <c r="AO218" s="474" t="str">
        <f t="shared" ca="1" si="48"/>
        <v/>
      </c>
      <c r="AP218" s="475" t="str">
        <f t="shared" ca="1" si="48"/>
        <v/>
      </c>
      <c r="AQ218" s="479" t="str">
        <f t="array" aca="1" ref="AQ218" ca="1">IF(ROW()-5&lt;=COUNTIF(科目编号,$AR$2),SMALL(IF(科目编号=$AR$2,ROW(科目编号),""),ROW()-5),"")</f>
        <v/>
      </c>
      <c r="AR218" s="480" t="str">
        <f ca="1">IF($BG$2=0,"",IF(AR217="本月合计","本年累计",IF(OR(ROW()=$AU$3,ROW()=$AV$3,ROW()=$AW$3,ROW()=$AX$3,ROW()=$AY$3,ROW()=$AZ$3,ROW()=$BA$3,ROW()=$BB$3,ROW()=$BC$3,ROW()=$BD$3,ROW()=$BE$3,ROW()=$BF$3),"本月合计",IF(ROW()&lt;7,$AQ$6,OFFSET($AQ$6,COUNT($AR$6:AR217),0)))))</f>
        <v/>
      </c>
    </row>
    <row r="219" spans="1:44">
      <c r="A219" s="469" t="str">
        <f ca="1">IFERROR(INDEX(凭证录入!A:A,$AR219),"")</f>
        <v/>
      </c>
      <c r="B219" s="469" t="str">
        <f ca="1">IFERROR(INDEX(凭证录入!B:B,$AR219),"")</f>
        <v/>
      </c>
      <c r="C219" s="470" t="str">
        <f ca="1">IFERROR(INDEX(凭证录入!G:G,$AR219),"")</f>
        <v/>
      </c>
      <c r="D219" s="471" t="str">
        <f ca="1">IFERROR(INDEX(凭证录入!F:F,$AR219),"")</f>
        <v/>
      </c>
      <c r="E219" s="472" t="str">
        <f ca="1">IFERROR(INDEX(凭证录入!H:H,$AR219),$AR219)</f>
        <v/>
      </c>
      <c r="F219" s="473">
        <f ca="1">IF(OR($BG$2=0,$AR219=""),,IF($AR219="本月合计",IF(ROW()=$BG$3,SUM($F$6:$F218),SUM(INDIRECT("$F$"&amp;OFFSET($AU$3,,MATCH(ROW(),$AU$3:$BF$3,)-2)+2&amp;":$E"&amp;ROW()-1))),IF($AR219="本年累计",SUMIF($AR$6:$AR219,"本月合计",$F$6:$F218),INDEX(凭证录入!K:K,$AR219))))</f>
        <v>0</v>
      </c>
      <c r="G219" s="459" t="str">
        <f t="shared" ca="1" si="49"/>
        <v/>
      </c>
      <c r="H219" s="460" t="str">
        <f t="shared" ca="1" si="49"/>
        <v/>
      </c>
      <c r="I219" s="460" t="str">
        <f t="shared" ca="1" si="49"/>
        <v/>
      </c>
      <c r="J219" s="460" t="str">
        <f t="shared" ca="1" si="49"/>
        <v/>
      </c>
      <c r="K219" s="460" t="str">
        <f t="shared" ca="1" si="49"/>
        <v/>
      </c>
      <c r="L219" s="460" t="str">
        <f t="shared" ca="1" si="49"/>
        <v/>
      </c>
      <c r="M219" s="460" t="str">
        <f t="shared" ca="1" si="49"/>
        <v/>
      </c>
      <c r="N219" s="460" t="str">
        <f t="shared" ca="1" si="49"/>
        <v/>
      </c>
      <c r="O219" s="461" t="str">
        <f t="shared" ca="1" si="49"/>
        <v/>
      </c>
      <c r="P219" s="474" t="str">
        <f t="shared" ca="1" si="49"/>
        <v/>
      </c>
      <c r="Q219" s="475" t="str">
        <f t="shared" ca="1" si="49"/>
        <v/>
      </c>
      <c r="R219" s="476">
        <f ca="1">IF(OR($BG$2=0,$AR219=""),,IF($AR219="本月合计",IF(ROW()=$BG$3,SUM($R$6:$R218),SUM(INDIRECT("$R$"&amp;OFFSET($AU$3,,MATCH(ROW(),$AU$3:$BF$3,)-2)+2&amp;":$R"&amp;ROW()-1))),IF($AR219="本年累计",SUMIF($AR$6:$AR219,"本月合计",$R$6:$R218),INDEX(凭证录入!L:L,$AR219))))</f>
        <v>0</v>
      </c>
      <c r="S219" s="459" t="str">
        <f t="shared" ca="1" si="50"/>
        <v/>
      </c>
      <c r="T219" s="460" t="str">
        <f t="shared" ca="1" si="50"/>
        <v/>
      </c>
      <c r="U219" s="460" t="str">
        <f t="shared" ca="1" si="50"/>
        <v/>
      </c>
      <c r="V219" s="460" t="str">
        <f t="shared" ca="1" si="50"/>
        <v/>
      </c>
      <c r="W219" s="460" t="str">
        <f t="shared" ca="1" si="50"/>
        <v/>
      </c>
      <c r="X219" s="460" t="str">
        <f t="shared" ca="1" si="50"/>
        <v/>
      </c>
      <c r="Y219" s="460" t="str">
        <f t="shared" ca="1" si="50"/>
        <v/>
      </c>
      <c r="Z219" s="460" t="str">
        <f t="shared" ca="1" si="50"/>
        <v/>
      </c>
      <c r="AA219" s="461" t="str">
        <f t="shared" ca="1" si="50"/>
        <v/>
      </c>
      <c r="AB219" s="474" t="str">
        <f t="shared" ca="1" si="50"/>
        <v/>
      </c>
      <c r="AC219" s="475" t="str">
        <f t="shared" ca="1" si="50"/>
        <v/>
      </c>
      <c r="AD219" s="477" t="str">
        <f t="shared" ca="1" si="46"/>
        <v/>
      </c>
      <c r="AE219" s="478">
        <f t="shared" ca="1" si="47"/>
        <v>0</v>
      </c>
      <c r="AF219" s="459" t="str">
        <f t="shared" ca="1" si="48"/>
        <v/>
      </c>
      <c r="AG219" s="460" t="str">
        <f t="shared" ca="1" si="48"/>
        <v/>
      </c>
      <c r="AH219" s="460" t="str">
        <f t="shared" ca="1" si="48"/>
        <v/>
      </c>
      <c r="AI219" s="460" t="str">
        <f t="shared" ca="1" si="48"/>
        <v/>
      </c>
      <c r="AJ219" s="460" t="str">
        <f t="shared" ca="1" si="48"/>
        <v/>
      </c>
      <c r="AK219" s="460" t="str">
        <f t="shared" ca="1" si="48"/>
        <v/>
      </c>
      <c r="AL219" s="460" t="str">
        <f t="shared" ca="1" si="48"/>
        <v/>
      </c>
      <c r="AM219" s="460" t="str">
        <f t="shared" ca="1" si="48"/>
        <v/>
      </c>
      <c r="AN219" s="461" t="str">
        <f t="shared" ca="1" si="48"/>
        <v/>
      </c>
      <c r="AO219" s="474" t="str">
        <f t="shared" ca="1" si="48"/>
        <v/>
      </c>
      <c r="AP219" s="475" t="str">
        <f t="shared" ca="1" si="48"/>
        <v/>
      </c>
      <c r="AQ219" s="479" t="str">
        <f t="array" aca="1" ref="AQ219" ca="1">IF(ROW()-5&lt;=COUNTIF(科目编号,$AR$2),SMALL(IF(科目编号=$AR$2,ROW(科目编号),""),ROW()-5),"")</f>
        <v/>
      </c>
      <c r="AR219" s="480" t="str">
        <f ca="1">IF($BG$2=0,"",IF(AR218="本月合计","本年累计",IF(OR(ROW()=$AU$3,ROW()=$AV$3,ROW()=$AW$3,ROW()=$AX$3,ROW()=$AY$3,ROW()=$AZ$3,ROW()=$BA$3,ROW()=$BB$3,ROW()=$BC$3,ROW()=$BD$3,ROW()=$BE$3,ROW()=$BF$3),"本月合计",IF(ROW()&lt;7,$AQ$6,OFFSET($AQ$6,COUNT($AR$6:AR218),0)))))</f>
        <v/>
      </c>
    </row>
    <row r="220" spans="1:44">
      <c r="A220" s="469" t="str">
        <f ca="1">IFERROR(INDEX(凭证录入!A:A,$AR220),"")</f>
        <v/>
      </c>
      <c r="B220" s="469" t="str">
        <f ca="1">IFERROR(INDEX(凭证录入!B:B,$AR220),"")</f>
        <v/>
      </c>
      <c r="C220" s="470" t="str">
        <f ca="1">IFERROR(INDEX(凭证录入!G:G,$AR220),"")</f>
        <v/>
      </c>
      <c r="D220" s="471" t="str">
        <f ca="1">IFERROR(INDEX(凭证录入!F:F,$AR220),"")</f>
        <v/>
      </c>
      <c r="E220" s="472" t="str">
        <f ca="1">IFERROR(INDEX(凭证录入!H:H,$AR220),$AR220)</f>
        <v/>
      </c>
      <c r="F220" s="473">
        <f ca="1">IF(OR($BG$2=0,$AR220=""),,IF($AR220="本月合计",IF(ROW()=$BG$3,SUM($F$6:$F219),SUM(INDIRECT("$F$"&amp;OFFSET($AU$3,,MATCH(ROW(),$AU$3:$BF$3,)-2)+2&amp;":$E"&amp;ROW()-1))),IF($AR220="本年累计",SUMIF($AR$6:$AR220,"本月合计",$F$6:$F219),INDEX(凭证录入!K:K,$AR220))))</f>
        <v>0</v>
      </c>
      <c r="G220" s="459" t="str">
        <f t="shared" ca="1" si="49"/>
        <v/>
      </c>
      <c r="H220" s="460" t="str">
        <f t="shared" ca="1" si="49"/>
        <v/>
      </c>
      <c r="I220" s="460" t="str">
        <f t="shared" ca="1" si="49"/>
        <v/>
      </c>
      <c r="J220" s="460" t="str">
        <f t="shared" ca="1" si="49"/>
        <v/>
      </c>
      <c r="K220" s="460" t="str">
        <f t="shared" ca="1" si="49"/>
        <v/>
      </c>
      <c r="L220" s="460" t="str">
        <f t="shared" ca="1" si="49"/>
        <v/>
      </c>
      <c r="M220" s="460" t="str">
        <f t="shared" ca="1" si="49"/>
        <v/>
      </c>
      <c r="N220" s="460" t="str">
        <f t="shared" ca="1" si="49"/>
        <v/>
      </c>
      <c r="O220" s="461" t="str">
        <f t="shared" ca="1" si="49"/>
        <v/>
      </c>
      <c r="P220" s="474" t="str">
        <f t="shared" ca="1" si="49"/>
        <v/>
      </c>
      <c r="Q220" s="475" t="str">
        <f t="shared" ca="1" si="49"/>
        <v/>
      </c>
      <c r="R220" s="476">
        <f ca="1">IF(OR($BG$2=0,$AR220=""),,IF($AR220="本月合计",IF(ROW()=$BG$3,SUM($R$6:$R219),SUM(INDIRECT("$R$"&amp;OFFSET($AU$3,,MATCH(ROW(),$AU$3:$BF$3,)-2)+2&amp;":$R"&amp;ROW()-1))),IF($AR220="本年累计",SUMIF($AR$6:$AR220,"本月合计",$R$6:$R219),INDEX(凭证录入!L:L,$AR220))))</f>
        <v>0</v>
      </c>
      <c r="S220" s="459" t="str">
        <f t="shared" ca="1" si="50"/>
        <v/>
      </c>
      <c r="T220" s="460" t="str">
        <f t="shared" ca="1" si="50"/>
        <v/>
      </c>
      <c r="U220" s="460" t="str">
        <f t="shared" ca="1" si="50"/>
        <v/>
      </c>
      <c r="V220" s="460" t="str">
        <f t="shared" ca="1" si="50"/>
        <v/>
      </c>
      <c r="W220" s="460" t="str">
        <f t="shared" ca="1" si="50"/>
        <v/>
      </c>
      <c r="X220" s="460" t="str">
        <f t="shared" ca="1" si="50"/>
        <v/>
      </c>
      <c r="Y220" s="460" t="str">
        <f t="shared" ca="1" si="50"/>
        <v/>
      </c>
      <c r="Z220" s="460" t="str">
        <f t="shared" ca="1" si="50"/>
        <v/>
      </c>
      <c r="AA220" s="461" t="str">
        <f t="shared" ca="1" si="50"/>
        <v/>
      </c>
      <c r="AB220" s="474" t="str">
        <f t="shared" ca="1" si="50"/>
        <v/>
      </c>
      <c r="AC220" s="475" t="str">
        <f t="shared" ca="1" si="50"/>
        <v/>
      </c>
      <c r="AD220" s="477" t="str">
        <f t="shared" ca="1" si="46"/>
        <v/>
      </c>
      <c r="AE220" s="478">
        <f t="shared" ca="1" si="47"/>
        <v>0</v>
      </c>
      <c r="AF220" s="459" t="str">
        <f t="shared" ca="1" si="48"/>
        <v/>
      </c>
      <c r="AG220" s="460" t="str">
        <f t="shared" ca="1" si="48"/>
        <v/>
      </c>
      <c r="AH220" s="460" t="str">
        <f t="shared" ca="1" si="48"/>
        <v/>
      </c>
      <c r="AI220" s="460" t="str">
        <f t="shared" ca="1" si="48"/>
        <v/>
      </c>
      <c r="AJ220" s="460" t="str">
        <f t="shared" ca="1" si="48"/>
        <v/>
      </c>
      <c r="AK220" s="460" t="str">
        <f t="shared" ca="1" si="48"/>
        <v/>
      </c>
      <c r="AL220" s="460" t="str">
        <f t="shared" ca="1" si="48"/>
        <v/>
      </c>
      <c r="AM220" s="460" t="str">
        <f t="shared" ca="1" si="48"/>
        <v/>
      </c>
      <c r="AN220" s="461" t="str">
        <f t="shared" ca="1" si="48"/>
        <v/>
      </c>
      <c r="AO220" s="474" t="str">
        <f t="shared" ca="1" si="48"/>
        <v/>
      </c>
      <c r="AP220" s="475" t="str">
        <f t="shared" ca="1" si="48"/>
        <v/>
      </c>
      <c r="AQ220" s="479" t="str">
        <f t="array" aca="1" ref="AQ220" ca="1">IF(ROW()-5&lt;=COUNTIF(科目编号,$AR$2),SMALL(IF(科目编号=$AR$2,ROW(科目编号),""),ROW()-5),"")</f>
        <v/>
      </c>
      <c r="AR220" s="480" t="str">
        <f ca="1">IF($BG$2=0,"",IF(AR219="本月合计","本年累计",IF(OR(ROW()=$AU$3,ROW()=$AV$3,ROW()=$AW$3,ROW()=$AX$3,ROW()=$AY$3,ROW()=$AZ$3,ROW()=$BA$3,ROW()=$BB$3,ROW()=$BC$3,ROW()=$BD$3,ROW()=$BE$3,ROW()=$BF$3),"本月合计",IF(ROW()&lt;7,$AQ$6,OFFSET($AQ$6,COUNT($AR$6:AR219),0)))))</f>
        <v/>
      </c>
    </row>
    <row r="221" spans="1:44">
      <c r="A221" s="469" t="str">
        <f ca="1">IFERROR(INDEX(凭证录入!A:A,$AR221),"")</f>
        <v/>
      </c>
      <c r="B221" s="469" t="str">
        <f ca="1">IFERROR(INDEX(凭证录入!B:B,$AR221),"")</f>
        <v/>
      </c>
      <c r="C221" s="470" t="str">
        <f ca="1">IFERROR(INDEX(凭证录入!G:G,$AR221),"")</f>
        <v/>
      </c>
      <c r="D221" s="471" t="str">
        <f ca="1">IFERROR(INDEX(凭证录入!F:F,$AR221),"")</f>
        <v/>
      </c>
      <c r="E221" s="472" t="str">
        <f ca="1">IFERROR(INDEX(凭证录入!H:H,$AR221),$AR221)</f>
        <v/>
      </c>
      <c r="F221" s="473">
        <f ca="1">IF(OR($BG$2=0,$AR221=""),,IF($AR221="本月合计",IF(ROW()=$BG$3,SUM($F$6:$F220),SUM(INDIRECT("$F$"&amp;OFFSET($AU$3,,MATCH(ROW(),$AU$3:$BF$3,)-2)+2&amp;":$E"&amp;ROW()-1))),IF($AR221="本年累计",SUMIF($AR$6:$AR221,"本月合计",$F$6:$F220),INDEX(凭证录入!K:K,$AR221))))</f>
        <v>0</v>
      </c>
      <c r="G221" s="459" t="str">
        <f t="shared" ca="1" si="49"/>
        <v/>
      </c>
      <c r="H221" s="460" t="str">
        <f t="shared" ca="1" si="49"/>
        <v/>
      </c>
      <c r="I221" s="460" t="str">
        <f t="shared" ca="1" si="49"/>
        <v/>
      </c>
      <c r="J221" s="460" t="str">
        <f t="shared" ca="1" si="49"/>
        <v/>
      </c>
      <c r="K221" s="460" t="str">
        <f t="shared" ca="1" si="49"/>
        <v/>
      </c>
      <c r="L221" s="460" t="str">
        <f t="shared" ca="1" si="49"/>
        <v/>
      </c>
      <c r="M221" s="460" t="str">
        <f t="shared" ca="1" si="49"/>
        <v/>
      </c>
      <c r="N221" s="460" t="str">
        <f t="shared" ca="1" si="49"/>
        <v/>
      </c>
      <c r="O221" s="461" t="str">
        <f t="shared" ca="1" si="49"/>
        <v/>
      </c>
      <c r="P221" s="474" t="str">
        <f t="shared" ca="1" si="49"/>
        <v/>
      </c>
      <c r="Q221" s="475" t="str">
        <f t="shared" ca="1" si="49"/>
        <v/>
      </c>
      <c r="R221" s="476">
        <f ca="1">IF(OR($BG$2=0,$AR221=""),,IF($AR221="本月合计",IF(ROW()=$BG$3,SUM($R$6:$R220),SUM(INDIRECT("$R$"&amp;OFFSET($AU$3,,MATCH(ROW(),$AU$3:$BF$3,)-2)+2&amp;":$R"&amp;ROW()-1))),IF($AR221="本年累计",SUMIF($AR$6:$AR221,"本月合计",$R$6:$R220),INDEX(凭证录入!L:L,$AR221))))</f>
        <v>0</v>
      </c>
      <c r="S221" s="459" t="str">
        <f t="shared" ca="1" si="50"/>
        <v/>
      </c>
      <c r="T221" s="460" t="str">
        <f t="shared" ca="1" si="50"/>
        <v/>
      </c>
      <c r="U221" s="460" t="str">
        <f t="shared" ca="1" si="50"/>
        <v/>
      </c>
      <c r="V221" s="460" t="str">
        <f t="shared" ca="1" si="50"/>
        <v/>
      </c>
      <c r="W221" s="460" t="str">
        <f t="shared" ca="1" si="50"/>
        <v/>
      </c>
      <c r="X221" s="460" t="str">
        <f t="shared" ca="1" si="50"/>
        <v/>
      </c>
      <c r="Y221" s="460" t="str">
        <f t="shared" ca="1" si="50"/>
        <v/>
      </c>
      <c r="Z221" s="460" t="str">
        <f t="shared" ca="1" si="50"/>
        <v/>
      </c>
      <c r="AA221" s="461" t="str">
        <f t="shared" ca="1" si="50"/>
        <v/>
      </c>
      <c r="AB221" s="474" t="str">
        <f t="shared" ca="1" si="50"/>
        <v/>
      </c>
      <c r="AC221" s="475" t="str">
        <f t="shared" ca="1" si="50"/>
        <v/>
      </c>
      <c r="AD221" s="477" t="str">
        <f t="shared" ca="1" si="46"/>
        <v/>
      </c>
      <c r="AE221" s="478">
        <f t="shared" ca="1" si="47"/>
        <v>0</v>
      </c>
      <c r="AF221" s="459" t="str">
        <f t="shared" ca="1" si="48"/>
        <v/>
      </c>
      <c r="AG221" s="460" t="str">
        <f t="shared" ca="1" si="48"/>
        <v/>
      </c>
      <c r="AH221" s="460" t="str">
        <f t="shared" ca="1" si="48"/>
        <v/>
      </c>
      <c r="AI221" s="460" t="str">
        <f t="shared" ca="1" si="48"/>
        <v/>
      </c>
      <c r="AJ221" s="460" t="str">
        <f t="shared" ca="1" si="48"/>
        <v/>
      </c>
      <c r="AK221" s="460" t="str">
        <f t="shared" ca="1" si="48"/>
        <v/>
      </c>
      <c r="AL221" s="460" t="str">
        <f t="shared" ca="1" si="48"/>
        <v/>
      </c>
      <c r="AM221" s="460" t="str">
        <f t="shared" ca="1" si="48"/>
        <v/>
      </c>
      <c r="AN221" s="461" t="str">
        <f t="shared" ca="1" si="48"/>
        <v/>
      </c>
      <c r="AO221" s="474" t="str">
        <f t="shared" ca="1" si="48"/>
        <v/>
      </c>
      <c r="AP221" s="475" t="str">
        <f t="shared" ca="1" si="48"/>
        <v/>
      </c>
      <c r="AQ221" s="479" t="str">
        <f t="array" aca="1" ref="AQ221" ca="1">IF(ROW()-5&lt;=COUNTIF(科目编号,$AR$2),SMALL(IF(科目编号=$AR$2,ROW(科目编号),""),ROW()-5),"")</f>
        <v/>
      </c>
      <c r="AR221" s="480" t="str">
        <f ca="1">IF($BG$2=0,"",IF(AR220="本月合计","本年累计",IF(OR(ROW()=$AU$3,ROW()=$AV$3,ROW()=$AW$3,ROW()=$AX$3,ROW()=$AY$3,ROW()=$AZ$3,ROW()=$BA$3,ROW()=$BB$3,ROW()=$BC$3,ROW()=$BD$3,ROW()=$BE$3,ROW()=$BF$3),"本月合计",IF(ROW()&lt;7,$AQ$6,OFFSET($AQ$6,COUNT($AR$6:AR220),0)))))</f>
        <v/>
      </c>
    </row>
    <row r="222" spans="1:44">
      <c r="A222" s="469" t="str">
        <f ca="1">IFERROR(INDEX(凭证录入!A:A,$AR222),"")</f>
        <v/>
      </c>
      <c r="B222" s="469" t="str">
        <f ca="1">IFERROR(INDEX(凭证录入!B:B,$AR222),"")</f>
        <v/>
      </c>
      <c r="C222" s="470" t="str">
        <f ca="1">IFERROR(INDEX(凭证录入!G:G,$AR222),"")</f>
        <v/>
      </c>
      <c r="D222" s="471" t="str">
        <f ca="1">IFERROR(INDEX(凭证录入!F:F,$AR222),"")</f>
        <v/>
      </c>
      <c r="E222" s="472" t="str">
        <f ca="1">IFERROR(INDEX(凭证录入!H:H,$AR222),$AR222)</f>
        <v/>
      </c>
      <c r="F222" s="473">
        <f ca="1">IF(OR($BG$2=0,$AR222=""),,IF($AR222="本月合计",IF(ROW()=$BG$3,SUM($F$6:$F221),SUM(INDIRECT("$F$"&amp;OFFSET($AU$3,,MATCH(ROW(),$AU$3:$BF$3,)-2)+2&amp;":$E"&amp;ROW()-1))),IF($AR222="本年累计",SUMIF($AR$6:$AR222,"本月合计",$F$6:$F221),INDEX(凭证录入!K:K,$AR222))))</f>
        <v>0</v>
      </c>
      <c r="G222" s="459" t="str">
        <f t="shared" ca="1" si="49"/>
        <v/>
      </c>
      <c r="H222" s="460" t="str">
        <f t="shared" ca="1" si="49"/>
        <v/>
      </c>
      <c r="I222" s="460" t="str">
        <f t="shared" ca="1" si="49"/>
        <v/>
      </c>
      <c r="J222" s="460" t="str">
        <f t="shared" ca="1" si="49"/>
        <v/>
      </c>
      <c r="K222" s="460" t="str">
        <f t="shared" ca="1" si="49"/>
        <v/>
      </c>
      <c r="L222" s="460" t="str">
        <f t="shared" ca="1" si="49"/>
        <v/>
      </c>
      <c r="M222" s="460" t="str">
        <f t="shared" ca="1" si="49"/>
        <v/>
      </c>
      <c r="N222" s="460" t="str">
        <f t="shared" ca="1" si="49"/>
        <v/>
      </c>
      <c r="O222" s="461" t="str">
        <f t="shared" ca="1" si="49"/>
        <v/>
      </c>
      <c r="P222" s="474" t="str">
        <f t="shared" ca="1" si="49"/>
        <v/>
      </c>
      <c r="Q222" s="475" t="str">
        <f t="shared" ca="1" si="49"/>
        <v/>
      </c>
      <c r="R222" s="476">
        <f ca="1">IF(OR($BG$2=0,$AR222=""),,IF($AR222="本月合计",IF(ROW()=$BG$3,SUM($R$6:$R221),SUM(INDIRECT("$R$"&amp;OFFSET($AU$3,,MATCH(ROW(),$AU$3:$BF$3,)-2)+2&amp;":$R"&amp;ROW()-1))),IF($AR222="本年累计",SUMIF($AR$6:$AR222,"本月合计",$R$6:$R221),INDEX(凭证录入!L:L,$AR222))))</f>
        <v>0</v>
      </c>
      <c r="S222" s="459" t="str">
        <f t="shared" ca="1" si="50"/>
        <v/>
      </c>
      <c r="T222" s="460" t="str">
        <f t="shared" ca="1" si="50"/>
        <v/>
      </c>
      <c r="U222" s="460" t="str">
        <f t="shared" ca="1" si="50"/>
        <v/>
      </c>
      <c r="V222" s="460" t="str">
        <f t="shared" ca="1" si="50"/>
        <v/>
      </c>
      <c r="W222" s="460" t="str">
        <f t="shared" ca="1" si="50"/>
        <v/>
      </c>
      <c r="X222" s="460" t="str">
        <f t="shared" ca="1" si="50"/>
        <v/>
      </c>
      <c r="Y222" s="460" t="str">
        <f t="shared" ca="1" si="50"/>
        <v/>
      </c>
      <c r="Z222" s="460" t="str">
        <f t="shared" ca="1" si="50"/>
        <v/>
      </c>
      <c r="AA222" s="461" t="str">
        <f t="shared" ca="1" si="50"/>
        <v/>
      </c>
      <c r="AB222" s="474" t="str">
        <f t="shared" ca="1" si="50"/>
        <v/>
      </c>
      <c r="AC222" s="475" t="str">
        <f t="shared" ca="1" si="50"/>
        <v/>
      </c>
      <c r="AD222" s="477" t="str">
        <f t="shared" ca="1" si="46"/>
        <v/>
      </c>
      <c r="AE222" s="478">
        <f t="shared" ca="1" si="47"/>
        <v>0</v>
      </c>
      <c r="AF222" s="459" t="str">
        <f t="shared" ca="1" si="48"/>
        <v/>
      </c>
      <c r="AG222" s="460" t="str">
        <f t="shared" ca="1" si="48"/>
        <v/>
      </c>
      <c r="AH222" s="460" t="str">
        <f t="shared" ca="1" si="48"/>
        <v/>
      </c>
      <c r="AI222" s="460" t="str">
        <f t="shared" ca="1" si="48"/>
        <v/>
      </c>
      <c r="AJ222" s="460" t="str">
        <f t="shared" ca="1" si="48"/>
        <v/>
      </c>
      <c r="AK222" s="460" t="str">
        <f t="shared" ca="1" si="48"/>
        <v/>
      </c>
      <c r="AL222" s="460" t="str">
        <f t="shared" ca="1" si="48"/>
        <v/>
      </c>
      <c r="AM222" s="460" t="str">
        <f t="shared" ca="1" si="48"/>
        <v/>
      </c>
      <c r="AN222" s="461" t="str">
        <f t="shared" ca="1" si="48"/>
        <v/>
      </c>
      <c r="AO222" s="474" t="str">
        <f t="shared" ca="1" si="48"/>
        <v/>
      </c>
      <c r="AP222" s="475" t="str">
        <f t="shared" ca="1" si="48"/>
        <v/>
      </c>
      <c r="AQ222" s="479" t="str">
        <f t="array" aca="1" ref="AQ222" ca="1">IF(ROW()-5&lt;=COUNTIF(科目编号,$AR$2),SMALL(IF(科目编号=$AR$2,ROW(科目编号),""),ROW()-5),"")</f>
        <v/>
      </c>
      <c r="AR222" s="480" t="str">
        <f ca="1">IF($BG$2=0,"",IF(AR221="本月合计","本年累计",IF(OR(ROW()=$AU$3,ROW()=$AV$3,ROW()=$AW$3,ROW()=$AX$3,ROW()=$AY$3,ROW()=$AZ$3,ROW()=$BA$3,ROW()=$BB$3,ROW()=$BC$3,ROW()=$BD$3,ROW()=$BE$3,ROW()=$BF$3),"本月合计",IF(ROW()&lt;7,$AQ$6,OFFSET($AQ$6,COUNT($AR$6:AR221),0)))))</f>
        <v/>
      </c>
    </row>
    <row r="223" spans="1:44">
      <c r="A223" s="469" t="str">
        <f ca="1">IFERROR(INDEX(凭证录入!A:A,$AR223),"")</f>
        <v/>
      </c>
      <c r="B223" s="469" t="str">
        <f ca="1">IFERROR(INDEX(凭证录入!B:B,$AR223),"")</f>
        <v/>
      </c>
      <c r="C223" s="470" t="str">
        <f ca="1">IFERROR(INDEX(凭证录入!G:G,$AR223),"")</f>
        <v/>
      </c>
      <c r="D223" s="471" t="str">
        <f ca="1">IFERROR(INDEX(凭证录入!F:F,$AR223),"")</f>
        <v/>
      </c>
      <c r="E223" s="472" t="str">
        <f ca="1">IFERROR(INDEX(凭证录入!H:H,$AR223),$AR223)</f>
        <v/>
      </c>
      <c r="F223" s="473">
        <f ca="1">IF(OR($BG$2=0,$AR223=""),,IF($AR223="本月合计",IF(ROW()=$BG$3,SUM($F$6:$F222),SUM(INDIRECT("$F$"&amp;OFFSET($AU$3,,MATCH(ROW(),$AU$3:$BF$3,)-2)+2&amp;":$E"&amp;ROW()-1))),IF($AR223="本年累计",SUMIF($AR$6:$AR223,"本月合计",$F$6:$F222),INDEX(凭证录入!K:K,$AR223))))</f>
        <v>0</v>
      </c>
      <c r="G223" s="459" t="str">
        <f t="shared" ca="1" si="49"/>
        <v/>
      </c>
      <c r="H223" s="460" t="str">
        <f t="shared" ca="1" si="49"/>
        <v/>
      </c>
      <c r="I223" s="460" t="str">
        <f t="shared" ca="1" si="49"/>
        <v/>
      </c>
      <c r="J223" s="460" t="str">
        <f t="shared" ca="1" si="49"/>
        <v/>
      </c>
      <c r="K223" s="460" t="str">
        <f t="shared" ca="1" si="49"/>
        <v/>
      </c>
      <c r="L223" s="460" t="str">
        <f t="shared" ca="1" si="49"/>
        <v/>
      </c>
      <c r="M223" s="460" t="str">
        <f t="shared" ca="1" si="49"/>
        <v/>
      </c>
      <c r="N223" s="460" t="str">
        <f t="shared" ca="1" si="49"/>
        <v/>
      </c>
      <c r="O223" s="461" t="str">
        <f t="shared" ca="1" si="49"/>
        <v/>
      </c>
      <c r="P223" s="474" t="str">
        <f t="shared" ca="1" si="49"/>
        <v/>
      </c>
      <c r="Q223" s="475" t="str">
        <f t="shared" ca="1" si="49"/>
        <v/>
      </c>
      <c r="R223" s="476">
        <f ca="1">IF(OR($BG$2=0,$AR223=""),,IF($AR223="本月合计",IF(ROW()=$BG$3,SUM($R$6:$R222),SUM(INDIRECT("$R$"&amp;OFFSET($AU$3,,MATCH(ROW(),$AU$3:$BF$3,)-2)+2&amp;":$R"&amp;ROW()-1))),IF($AR223="本年累计",SUMIF($AR$6:$AR223,"本月合计",$R$6:$R222),INDEX(凭证录入!L:L,$AR223))))</f>
        <v>0</v>
      </c>
      <c r="S223" s="459" t="str">
        <f t="shared" ca="1" si="50"/>
        <v/>
      </c>
      <c r="T223" s="460" t="str">
        <f t="shared" ca="1" si="50"/>
        <v/>
      </c>
      <c r="U223" s="460" t="str">
        <f t="shared" ca="1" si="50"/>
        <v/>
      </c>
      <c r="V223" s="460" t="str">
        <f t="shared" ca="1" si="50"/>
        <v/>
      </c>
      <c r="W223" s="460" t="str">
        <f t="shared" ca="1" si="50"/>
        <v/>
      </c>
      <c r="X223" s="460" t="str">
        <f t="shared" ca="1" si="50"/>
        <v/>
      </c>
      <c r="Y223" s="460" t="str">
        <f t="shared" ca="1" si="50"/>
        <v/>
      </c>
      <c r="Z223" s="460" t="str">
        <f t="shared" ca="1" si="50"/>
        <v/>
      </c>
      <c r="AA223" s="461" t="str">
        <f t="shared" ca="1" si="50"/>
        <v/>
      </c>
      <c r="AB223" s="474" t="str">
        <f t="shared" ca="1" si="50"/>
        <v/>
      </c>
      <c r="AC223" s="475" t="str">
        <f t="shared" ca="1" si="50"/>
        <v/>
      </c>
      <c r="AD223" s="477" t="str">
        <f t="shared" ca="1" si="46"/>
        <v/>
      </c>
      <c r="AE223" s="478">
        <f t="shared" ca="1" si="47"/>
        <v>0</v>
      </c>
      <c r="AF223" s="459" t="str">
        <f t="shared" ca="1" si="48"/>
        <v/>
      </c>
      <c r="AG223" s="460" t="str">
        <f t="shared" ca="1" si="48"/>
        <v/>
      </c>
      <c r="AH223" s="460" t="str">
        <f t="shared" ca="1" si="48"/>
        <v/>
      </c>
      <c r="AI223" s="460" t="str">
        <f t="shared" ca="1" si="48"/>
        <v/>
      </c>
      <c r="AJ223" s="460" t="str">
        <f t="shared" ca="1" si="48"/>
        <v/>
      </c>
      <c r="AK223" s="460" t="str">
        <f t="shared" ca="1" si="48"/>
        <v/>
      </c>
      <c r="AL223" s="460" t="str">
        <f t="shared" ca="1" si="48"/>
        <v/>
      </c>
      <c r="AM223" s="460" t="str">
        <f t="shared" ca="1" si="48"/>
        <v/>
      </c>
      <c r="AN223" s="461" t="str">
        <f t="shared" ca="1" si="48"/>
        <v/>
      </c>
      <c r="AO223" s="474" t="str">
        <f t="shared" ca="1" si="48"/>
        <v/>
      </c>
      <c r="AP223" s="475" t="str">
        <f t="shared" ca="1" si="48"/>
        <v/>
      </c>
      <c r="AQ223" s="479" t="str">
        <f t="array" aca="1" ref="AQ223" ca="1">IF(ROW()-5&lt;=COUNTIF(科目编号,$AR$2),SMALL(IF(科目编号=$AR$2,ROW(科目编号),""),ROW()-5),"")</f>
        <v/>
      </c>
      <c r="AR223" s="480" t="str">
        <f ca="1">IF($BG$2=0,"",IF(AR222="本月合计","本年累计",IF(OR(ROW()=$AU$3,ROW()=$AV$3,ROW()=$AW$3,ROW()=$AX$3,ROW()=$AY$3,ROW()=$AZ$3,ROW()=$BA$3,ROW()=$BB$3,ROW()=$BC$3,ROW()=$BD$3,ROW()=$BE$3,ROW()=$BF$3),"本月合计",IF(ROW()&lt;7,$AQ$6,OFFSET($AQ$6,COUNT($AR$6:AR222),0)))))</f>
        <v/>
      </c>
    </row>
    <row r="224" spans="1:44">
      <c r="A224" s="469" t="str">
        <f ca="1">IFERROR(INDEX(凭证录入!A:A,$AR224),"")</f>
        <v/>
      </c>
      <c r="B224" s="469" t="str">
        <f ca="1">IFERROR(INDEX(凭证录入!B:B,$AR224),"")</f>
        <v/>
      </c>
      <c r="C224" s="470" t="str">
        <f ca="1">IFERROR(INDEX(凭证录入!G:G,$AR224),"")</f>
        <v/>
      </c>
      <c r="D224" s="471" t="str">
        <f ca="1">IFERROR(INDEX(凭证录入!F:F,$AR224),"")</f>
        <v/>
      </c>
      <c r="E224" s="472" t="str">
        <f ca="1">IFERROR(INDEX(凭证录入!H:H,$AR224),$AR224)</f>
        <v/>
      </c>
      <c r="F224" s="473">
        <f ca="1">IF(OR($BG$2=0,$AR224=""),,IF($AR224="本月合计",IF(ROW()=$BG$3,SUM($F$6:$F223),SUM(INDIRECT("$F$"&amp;OFFSET($AU$3,,MATCH(ROW(),$AU$3:$BF$3,)-2)+2&amp;":$E"&amp;ROW()-1))),IF($AR224="本年累计",SUMIF($AR$6:$AR224,"本月合计",$F$6:$F223),INDEX(凭证录入!K:K,$AR224))))</f>
        <v>0</v>
      </c>
      <c r="G224" s="459" t="str">
        <f t="shared" ca="1" si="49"/>
        <v/>
      </c>
      <c r="H224" s="460" t="str">
        <f t="shared" ca="1" si="49"/>
        <v/>
      </c>
      <c r="I224" s="460" t="str">
        <f t="shared" ca="1" si="49"/>
        <v/>
      </c>
      <c r="J224" s="460" t="str">
        <f t="shared" ca="1" si="49"/>
        <v/>
      </c>
      <c r="K224" s="460" t="str">
        <f t="shared" ca="1" si="49"/>
        <v/>
      </c>
      <c r="L224" s="460" t="str">
        <f t="shared" ca="1" si="49"/>
        <v/>
      </c>
      <c r="M224" s="460" t="str">
        <f t="shared" ca="1" si="49"/>
        <v/>
      </c>
      <c r="N224" s="460" t="str">
        <f t="shared" ca="1" si="49"/>
        <v/>
      </c>
      <c r="O224" s="461" t="str">
        <f t="shared" ca="1" si="49"/>
        <v/>
      </c>
      <c r="P224" s="474" t="str">
        <f t="shared" ca="1" si="49"/>
        <v/>
      </c>
      <c r="Q224" s="475" t="str">
        <f t="shared" ca="1" si="49"/>
        <v/>
      </c>
      <c r="R224" s="476">
        <f ca="1">IF(OR($BG$2=0,$AR224=""),,IF($AR224="本月合计",IF(ROW()=$BG$3,SUM($R$6:$R223),SUM(INDIRECT("$R$"&amp;OFFSET($AU$3,,MATCH(ROW(),$AU$3:$BF$3,)-2)+2&amp;":$R"&amp;ROW()-1))),IF($AR224="本年累计",SUMIF($AR$6:$AR224,"本月合计",$R$6:$R223),INDEX(凭证录入!L:L,$AR224))))</f>
        <v>0</v>
      </c>
      <c r="S224" s="459" t="str">
        <f t="shared" ca="1" si="50"/>
        <v/>
      </c>
      <c r="T224" s="460" t="str">
        <f t="shared" ca="1" si="50"/>
        <v/>
      </c>
      <c r="U224" s="460" t="str">
        <f t="shared" ca="1" si="50"/>
        <v/>
      </c>
      <c r="V224" s="460" t="str">
        <f t="shared" ca="1" si="50"/>
        <v/>
      </c>
      <c r="W224" s="460" t="str">
        <f t="shared" ca="1" si="50"/>
        <v/>
      </c>
      <c r="X224" s="460" t="str">
        <f t="shared" ca="1" si="50"/>
        <v/>
      </c>
      <c r="Y224" s="460" t="str">
        <f t="shared" ca="1" si="50"/>
        <v/>
      </c>
      <c r="Z224" s="460" t="str">
        <f t="shared" ca="1" si="50"/>
        <v/>
      </c>
      <c r="AA224" s="461" t="str">
        <f t="shared" ca="1" si="50"/>
        <v/>
      </c>
      <c r="AB224" s="474" t="str">
        <f t="shared" ca="1" si="50"/>
        <v/>
      </c>
      <c r="AC224" s="475" t="str">
        <f t="shared" ca="1" si="50"/>
        <v/>
      </c>
      <c r="AD224" s="477" t="str">
        <f t="shared" ca="1" si="46"/>
        <v/>
      </c>
      <c r="AE224" s="478">
        <f t="shared" ca="1" si="47"/>
        <v>0</v>
      </c>
      <c r="AF224" s="459" t="str">
        <f t="shared" ca="1" si="48"/>
        <v/>
      </c>
      <c r="AG224" s="460" t="str">
        <f t="shared" ca="1" si="48"/>
        <v/>
      </c>
      <c r="AH224" s="460" t="str">
        <f t="shared" ca="1" si="48"/>
        <v/>
      </c>
      <c r="AI224" s="460" t="str">
        <f t="shared" ca="1" si="48"/>
        <v/>
      </c>
      <c r="AJ224" s="460" t="str">
        <f t="shared" ca="1" si="48"/>
        <v/>
      </c>
      <c r="AK224" s="460" t="str">
        <f t="shared" ca="1" si="48"/>
        <v/>
      </c>
      <c r="AL224" s="460" t="str">
        <f t="shared" ca="1" si="48"/>
        <v/>
      </c>
      <c r="AM224" s="460" t="str">
        <f t="shared" ca="1" si="48"/>
        <v/>
      </c>
      <c r="AN224" s="461" t="str">
        <f t="shared" ca="1" si="48"/>
        <v/>
      </c>
      <c r="AO224" s="474" t="str">
        <f t="shared" ca="1" si="48"/>
        <v/>
      </c>
      <c r="AP224" s="475" t="str">
        <f t="shared" ca="1" si="48"/>
        <v/>
      </c>
      <c r="AQ224" s="479" t="str">
        <f t="array" aca="1" ref="AQ224" ca="1">IF(ROW()-5&lt;=COUNTIF(科目编号,$AR$2),SMALL(IF(科目编号=$AR$2,ROW(科目编号),""),ROW()-5),"")</f>
        <v/>
      </c>
      <c r="AR224" s="480" t="str">
        <f ca="1">IF($BG$2=0,"",IF(AR223="本月合计","本年累计",IF(OR(ROW()=$AU$3,ROW()=$AV$3,ROW()=$AW$3,ROW()=$AX$3,ROW()=$AY$3,ROW()=$AZ$3,ROW()=$BA$3,ROW()=$BB$3,ROW()=$BC$3,ROW()=$BD$3,ROW()=$BE$3,ROW()=$BF$3),"本月合计",IF(ROW()&lt;7,$AQ$6,OFFSET($AQ$6,COUNT($AR$6:AR223),0)))))</f>
        <v/>
      </c>
    </row>
    <row r="225" spans="1:44">
      <c r="A225" s="469" t="str">
        <f ca="1">IFERROR(INDEX(凭证录入!A:A,$AR225),"")</f>
        <v/>
      </c>
      <c r="B225" s="469" t="str">
        <f ca="1">IFERROR(INDEX(凭证录入!B:B,$AR225),"")</f>
        <v/>
      </c>
      <c r="C225" s="470" t="str">
        <f ca="1">IFERROR(INDEX(凭证录入!G:G,$AR225),"")</f>
        <v/>
      </c>
      <c r="D225" s="471" t="str">
        <f ca="1">IFERROR(INDEX(凭证录入!F:F,$AR225),"")</f>
        <v/>
      </c>
      <c r="E225" s="472" t="str">
        <f ca="1">IFERROR(INDEX(凭证录入!H:H,$AR225),$AR225)</f>
        <v/>
      </c>
      <c r="F225" s="473">
        <f ca="1">IF(OR($BG$2=0,$AR225=""),,IF($AR225="本月合计",IF(ROW()=$BG$3,SUM($F$6:$F224),SUM(INDIRECT("$F$"&amp;OFFSET($AU$3,,MATCH(ROW(),$AU$3:$BF$3,)-2)+2&amp;":$E"&amp;ROW()-1))),IF($AR225="本年累计",SUMIF($AR$6:$AR225,"本月合计",$F$6:$F224),INDEX(凭证录入!K:K,$AR225))))</f>
        <v>0</v>
      </c>
      <c r="G225" s="459" t="str">
        <f t="shared" ca="1" si="49"/>
        <v/>
      </c>
      <c r="H225" s="460" t="str">
        <f t="shared" ca="1" si="49"/>
        <v/>
      </c>
      <c r="I225" s="460" t="str">
        <f t="shared" ca="1" si="49"/>
        <v/>
      </c>
      <c r="J225" s="460" t="str">
        <f t="shared" ca="1" si="49"/>
        <v/>
      </c>
      <c r="K225" s="460" t="str">
        <f t="shared" ca="1" si="49"/>
        <v/>
      </c>
      <c r="L225" s="460" t="str">
        <f t="shared" ca="1" si="49"/>
        <v/>
      </c>
      <c r="M225" s="460" t="str">
        <f t="shared" ca="1" si="49"/>
        <v/>
      </c>
      <c r="N225" s="460" t="str">
        <f t="shared" ca="1" si="49"/>
        <v/>
      </c>
      <c r="O225" s="461" t="str">
        <f t="shared" ca="1" si="49"/>
        <v/>
      </c>
      <c r="P225" s="474" t="str">
        <f t="shared" ca="1" si="49"/>
        <v/>
      </c>
      <c r="Q225" s="475" t="str">
        <f t="shared" ca="1" si="49"/>
        <v/>
      </c>
      <c r="R225" s="476">
        <f ca="1">IF(OR($BG$2=0,$AR225=""),,IF($AR225="本月合计",IF(ROW()=$BG$3,SUM($R$6:$R224),SUM(INDIRECT("$R$"&amp;OFFSET($AU$3,,MATCH(ROW(),$AU$3:$BF$3,)-2)+2&amp;":$R"&amp;ROW()-1))),IF($AR225="本年累计",SUMIF($AR$6:$AR225,"本月合计",$R$6:$R224),INDEX(凭证录入!L:L,$AR225))))</f>
        <v>0</v>
      </c>
      <c r="S225" s="459" t="str">
        <f t="shared" ca="1" si="50"/>
        <v/>
      </c>
      <c r="T225" s="460" t="str">
        <f t="shared" ca="1" si="50"/>
        <v/>
      </c>
      <c r="U225" s="460" t="str">
        <f t="shared" ca="1" si="50"/>
        <v/>
      </c>
      <c r="V225" s="460" t="str">
        <f t="shared" ca="1" si="50"/>
        <v/>
      </c>
      <c r="W225" s="460" t="str">
        <f t="shared" ca="1" si="50"/>
        <v/>
      </c>
      <c r="X225" s="460" t="str">
        <f t="shared" ca="1" si="50"/>
        <v/>
      </c>
      <c r="Y225" s="460" t="str">
        <f t="shared" ca="1" si="50"/>
        <v/>
      </c>
      <c r="Z225" s="460" t="str">
        <f t="shared" ca="1" si="50"/>
        <v/>
      </c>
      <c r="AA225" s="461" t="str">
        <f t="shared" ca="1" si="50"/>
        <v/>
      </c>
      <c r="AB225" s="474" t="str">
        <f t="shared" ca="1" si="50"/>
        <v/>
      </c>
      <c r="AC225" s="475" t="str">
        <f t="shared" ca="1" si="50"/>
        <v/>
      </c>
      <c r="AD225" s="477" t="str">
        <f t="shared" ca="1" si="46"/>
        <v/>
      </c>
      <c r="AE225" s="478">
        <f t="shared" ca="1" si="47"/>
        <v>0</v>
      </c>
      <c r="AF225" s="459" t="str">
        <f t="shared" ca="1" si="48"/>
        <v/>
      </c>
      <c r="AG225" s="460" t="str">
        <f t="shared" ca="1" si="48"/>
        <v/>
      </c>
      <c r="AH225" s="460" t="str">
        <f t="shared" ca="1" si="48"/>
        <v/>
      </c>
      <c r="AI225" s="460" t="str">
        <f t="shared" ca="1" si="48"/>
        <v/>
      </c>
      <c r="AJ225" s="460" t="str">
        <f t="shared" ca="1" si="48"/>
        <v/>
      </c>
      <c r="AK225" s="460" t="str">
        <f t="shared" ca="1" si="48"/>
        <v/>
      </c>
      <c r="AL225" s="460" t="str">
        <f t="shared" ca="1" si="48"/>
        <v/>
      </c>
      <c r="AM225" s="460" t="str">
        <f t="shared" ca="1" si="48"/>
        <v/>
      </c>
      <c r="AN225" s="461" t="str">
        <f t="shared" ca="1" si="48"/>
        <v/>
      </c>
      <c r="AO225" s="474" t="str">
        <f t="shared" ca="1" si="48"/>
        <v/>
      </c>
      <c r="AP225" s="475" t="str">
        <f t="shared" ca="1" si="48"/>
        <v/>
      </c>
      <c r="AQ225" s="479" t="str">
        <f t="array" aca="1" ref="AQ225" ca="1">IF(ROW()-5&lt;=COUNTIF(科目编号,$AR$2),SMALL(IF(科目编号=$AR$2,ROW(科目编号),""),ROW()-5),"")</f>
        <v/>
      </c>
      <c r="AR225" s="480" t="str">
        <f ca="1">IF($BG$2=0,"",IF(AR224="本月合计","本年累计",IF(OR(ROW()=$AU$3,ROW()=$AV$3,ROW()=$AW$3,ROW()=$AX$3,ROW()=$AY$3,ROW()=$AZ$3,ROW()=$BA$3,ROW()=$BB$3,ROW()=$BC$3,ROW()=$BD$3,ROW()=$BE$3,ROW()=$BF$3),"本月合计",IF(ROW()&lt;7,$AQ$6,OFFSET($AQ$6,COUNT($AR$6:AR224),0)))))</f>
        <v/>
      </c>
    </row>
    <row r="226" spans="1:44">
      <c r="A226" s="469" t="str">
        <f ca="1">IFERROR(INDEX(凭证录入!A:A,$AR226),"")</f>
        <v/>
      </c>
      <c r="B226" s="469" t="str">
        <f ca="1">IFERROR(INDEX(凭证录入!B:B,$AR226),"")</f>
        <v/>
      </c>
      <c r="C226" s="470" t="str">
        <f ca="1">IFERROR(INDEX(凭证录入!G:G,$AR226),"")</f>
        <v/>
      </c>
      <c r="D226" s="471" t="str">
        <f ca="1">IFERROR(INDEX(凭证录入!F:F,$AR226),"")</f>
        <v/>
      </c>
      <c r="E226" s="472" t="str">
        <f ca="1">IFERROR(INDEX(凭证录入!H:H,$AR226),$AR226)</f>
        <v/>
      </c>
      <c r="F226" s="473">
        <f ca="1">IF(OR($BG$2=0,$AR226=""),,IF($AR226="本月合计",IF(ROW()=$BG$3,SUM($F$6:$F225),SUM(INDIRECT("$F$"&amp;OFFSET($AU$3,,MATCH(ROW(),$AU$3:$BF$3,)-2)+2&amp;":$E"&amp;ROW()-1))),IF($AR226="本年累计",SUMIF($AR$6:$AR226,"本月合计",$F$6:$F225),INDEX(凭证录入!K:K,$AR226))))</f>
        <v>0</v>
      </c>
      <c r="G226" s="459" t="str">
        <f t="shared" ca="1" si="49"/>
        <v/>
      </c>
      <c r="H226" s="460" t="str">
        <f t="shared" ca="1" si="49"/>
        <v/>
      </c>
      <c r="I226" s="460" t="str">
        <f t="shared" ca="1" si="49"/>
        <v/>
      </c>
      <c r="J226" s="460" t="str">
        <f t="shared" ca="1" si="49"/>
        <v/>
      </c>
      <c r="K226" s="460" t="str">
        <f t="shared" ca="1" si="49"/>
        <v/>
      </c>
      <c r="L226" s="460" t="str">
        <f t="shared" ca="1" si="49"/>
        <v/>
      </c>
      <c r="M226" s="460" t="str">
        <f t="shared" ca="1" si="49"/>
        <v/>
      </c>
      <c r="N226" s="460" t="str">
        <f t="shared" ca="1" si="49"/>
        <v/>
      </c>
      <c r="O226" s="461" t="str">
        <f t="shared" ca="1" si="49"/>
        <v/>
      </c>
      <c r="P226" s="474" t="str">
        <f t="shared" ca="1" si="49"/>
        <v/>
      </c>
      <c r="Q226" s="475" t="str">
        <f t="shared" ca="1" si="49"/>
        <v/>
      </c>
      <c r="R226" s="476">
        <f ca="1">IF(OR($BG$2=0,$AR226=""),,IF($AR226="本月合计",IF(ROW()=$BG$3,SUM($R$6:$R225),SUM(INDIRECT("$R$"&amp;OFFSET($AU$3,,MATCH(ROW(),$AU$3:$BF$3,)-2)+2&amp;":$R"&amp;ROW()-1))),IF($AR226="本年累计",SUMIF($AR$6:$AR226,"本月合计",$R$6:$R225),INDEX(凭证录入!L:L,$AR226))))</f>
        <v>0</v>
      </c>
      <c r="S226" s="459" t="str">
        <f t="shared" ca="1" si="50"/>
        <v/>
      </c>
      <c r="T226" s="460" t="str">
        <f t="shared" ca="1" si="50"/>
        <v/>
      </c>
      <c r="U226" s="460" t="str">
        <f t="shared" ca="1" si="50"/>
        <v/>
      </c>
      <c r="V226" s="460" t="str">
        <f t="shared" ca="1" si="50"/>
        <v/>
      </c>
      <c r="W226" s="460" t="str">
        <f t="shared" ca="1" si="50"/>
        <v/>
      </c>
      <c r="X226" s="460" t="str">
        <f t="shared" ca="1" si="50"/>
        <v/>
      </c>
      <c r="Y226" s="460" t="str">
        <f t="shared" ca="1" si="50"/>
        <v/>
      </c>
      <c r="Z226" s="460" t="str">
        <f t="shared" ca="1" si="50"/>
        <v/>
      </c>
      <c r="AA226" s="461" t="str">
        <f t="shared" ca="1" si="50"/>
        <v/>
      </c>
      <c r="AB226" s="474" t="str">
        <f t="shared" ca="1" si="50"/>
        <v/>
      </c>
      <c r="AC226" s="475" t="str">
        <f t="shared" ca="1" si="50"/>
        <v/>
      </c>
      <c r="AD226" s="477" t="str">
        <f t="shared" ca="1" si="46"/>
        <v/>
      </c>
      <c r="AE226" s="478">
        <f t="shared" ca="1" si="47"/>
        <v>0</v>
      </c>
      <c r="AF226" s="459" t="str">
        <f t="shared" ca="1" si="48"/>
        <v/>
      </c>
      <c r="AG226" s="460" t="str">
        <f t="shared" ca="1" si="48"/>
        <v/>
      </c>
      <c r="AH226" s="460" t="str">
        <f t="shared" ca="1" si="48"/>
        <v/>
      </c>
      <c r="AI226" s="460" t="str">
        <f t="shared" ca="1" si="48"/>
        <v/>
      </c>
      <c r="AJ226" s="460" t="str">
        <f t="shared" ca="1" si="48"/>
        <v/>
      </c>
      <c r="AK226" s="460" t="str">
        <f t="shared" ca="1" si="48"/>
        <v/>
      </c>
      <c r="AL226" s="460" t="str">
        <f t="shared" ca="1" si="48"/>
        <v/>
      </c>
      <c r="AM226" s="460" t="str">
        <f t="shared" ca="1" si="48"/>
        <v/>
      </c>
      <c r="AN226" s="461" t="str">
        <f t="shared" ca="1" si="48"/>
        <v/>
      </c>
      <c r="AO226" s="474" t="str">
        <f t="shared" ca="1" si="48"/>
        <v/>
      </c>
      <c r="AP226" s="475" t="str">
        <f t="shared" ca="1" si="48"/>
        <v/>
      </c>
      <c r="AQ226" s="479" t="str">
        <f t="array" aca="1" ref="AQ226" ca="1">IF(ROW()-5&lt;=COUNTIF(科目编号,$AR$2),SMALL(IF(科目编号=$AR$2,ROW(科目编号),""),ROW()-5),"")</f>
        <v/>
      </c>
      <c r="AR226" s="480" t="str">
        <f ca="1">IF($BG$2=0,"",IF(AR225="本月合计","本年累计",IF(OR(ROW()=$AU$3,ROW()=$AV$3,ROW()=$AW$3,ROW()=$AX$3,ROW()=$AY$3,ROW()=$AZ$3,ROW()=$BA$3,ROW()=$BB$3,ROW()=$BC$3,ROW()=$BD$3,ROW()=$BE$3,ROW()=$BF$3),"本月合计",IF(ROW()&lt;7,$AQ$6,OFFSET($AQ$6,COUNT($AR$6:AR225),0)))))</f>
        <v/>
      </c>
    </row>
    <row r="227" spans="1:44">
      <c r="A227" s="469" t="str">
        <f ca="1">IFERROR(INDEX(凭证录入!A:A,$AR227),"")</f>
        <v/>
      </c>
      <c r="B227" s="469" t="str">
        <f ca="1">IFERROR(INDEX(凭证录入!B:B,$AR227),"")</f>
        <v/>
      </c>
      <c r="C227" s="470" t="str">
        <f ca="1">IFERROR(INDEX(凭证录入!G:G,$AR227),"")</f>
        <v/>
      </c>
      <c r="D227" s="471" t="str">
        <f ca="1">IFERROR(INDEX(凭证录入!F:F,$AR227),"")</f>
        <v/>
      </c>
      <c r="E227" s="472" t="str">
        <f ca="1">IFERROR(INDEX(凭证录入!H:H,$AR227),$AR227)</f>
        <v/>
      </c>
      <c r="F227" s="473">
        <f ca="1">IF(OR($BG$2=0,$AR227=""),,IF($AR227="本月合计",IF(ROW()=$BG$3,SUM($F$6:$F226),SUM(INDIRECT("$F$"&amp;OFFSET($AU$3,,MATCH(ROW(),$AU$3:$BF$3,)-2)+2&amp;":$E"&amp;ROW()-1))),IF($AR227="本年累计",SUMIF($AR$6:$AR227,"本月合计",$F$6:$F226),INDEX(凭证录入!K:K,$AR227))))</f>
        <v>0</v>
      </c>
      <c r="G227" s="459" t="str">
        <f t="shared" ca="1" si="49"/>
        <v/>
      </c>
      <c r="H227" s="460" t="str">
        <f t="shared" ca="1" si="49"/>
        <v/>
      </c>
      <c r="I227" s="460" t="str">
        <f t="shared" ca="1" si="49"/>
        <v/>
      </c>
      <c r="J227" s="460" t="str">
        <f t="shared" ca="1" si="49"/>
        <v/>
      </c>
      <c r="K227" s="460" t="str">
        <f t="shared" ca="1" si="49"/>
        <v/>
      </c>
      <c r="L227" s="460" t="str">
        <f t="shared" ca="1" si="49"/>
        <v/>
      </c>
      <c r="M227" s="460" t="str">
        <f t="shared" ca="1" si="49"/>
        <v/>
      </c>
      <c r="N227" s="460" t="str">
        <f t="shared" ca="1" si="49"/>
        <v/>
      </c>
      <c r="O227" s="461" t="str">
        <f t="shared" ca="1" si="49"/>
        <v/>
      </c>
      <c r="P227" s="474" t="str">
        <f t="shared" ca="1" si="49"/>
        <v/>
      </c>
      <c r="Q227" s="475" t="str">
        <f t="shared" ca="1" si="49"/>
        <v/>
      </c>
      <c r="R227" s="476">
        <f ca="1">IF(OR($BG$2=0,$AR227=""),,IF($AR227="本月合计",IF(ROW()=$BG$3,SUM($R$6:$R226),SUM(INDIRECT("$R$"&amp;OFFSET($AU$3,,MATCH(ROW(),$AU$3:$BF$3,)-2)+2&amp;":$R"&amp;ROW()-1))),IF($AR227="本年累计",SUMIF($AR$6:$AR227,"本月合计",$R$6:$R226),INDEX(凭证录入!L:L,$AR227))))</f>
        <v>0</v>
      </c>
      <c r="S227" s="459" t="str">
        <f t="shared" ca="1" si="50"/>
        <v/>
      </c>
      <c r="T227" s="460" t="str">
        <f t="shared" ca="1" si="50"/>
        <v/>
      </c>
      <c r="U227" s="460" t="str">
        <f t="shared" ca="1" si="50"/>
        <v/>
      </c>
      <c r="V227" s="460" t="str">
        <f t="shared" ca="1" si="50"/>
        <v/>
      </c>
      <c r="W227" s="460" t="str">
        <f t="shared" ca="1" si="50"/>
        <v/>
      </c>
      <c r="X227" s="460" t="str">
        <f t="shared" ca="1" si="50"/>
        <v/>
      </c>
      <c r="Y227" s="460" t="str">
        <f t="shared" ca="1" si="50"/>
        <v/>
      </c>
      <c r="Z227" s="460" t="str">
        <f t="shared" ca="1" si="50"/>
        <v/>
      </c>
      <c r="AA227" s="461" t="str">
        <f t="shared" ca="1" si="50"/>
        <v/>
      </c>
      <c r="AB227" s="474" t="str">
        <f t="shared" ca="1" si="50"/>
        <v/>
      </c>
      <c r="AC227" s="475" t="str">
        <f t="shared" ca="1" si="50"/>
        <v/>
      </c>
      <c r="AD227" s="477" t="str">
        <f t="shared" ca="1" si="46"/>
        <v/>
      </c>
      <c r="AE227" s="478">
        <f t="shared" ca="1" si="47"/>
        <v>0</v>
      </c>
      <c r="AF227" s="459" t="str">
        <f t="shared" ca="1" si="48"/>
        <v/>
      </c>
      <c r="AG227" s="460" t="str">
        <f t="shared" ca="1" si="48"/>
        <v/>
      </c>
      <c r="AH227" s="460" t="str">
        <f t="shared" ca="1" si="48"/>
        <v/>
      </c>
      <c r="AI227" s="460" t="str">
        <f t="shared" ca="1" si="48"/>
        <v/>
      </c>
      <c r="AJ227" s="460" t="str">
        <f t="shared" ca="1" si="48"/>
        <v/>
      </c>
      <c r="AK227" s="460" t="str">
        <f t="shared" ca="1" si="48"/>
        <v/>
      </c>
      <c r="AL227" s="460" t="str">
        <f t="shared" ca="1" si="48"/>
        <v/>
      </c>
      <c r="AM227" s="460" t="str">
        <f t="shared" ca="1" si="48"/>
        <v/>
      </c>
      <c r="AN227" s="461" t="str">
        <f t="shared" ca="1" si="48"/>
        <v/>
      </c>
      <c r="AO227" s="474" t="str">
        <f t="shared" ca="1" si="48"/>
        <v/>
      </c>
      <c r="AP227" s="475" t="str">
        <f t="shared" ca="1" si="48"/>
        <v/>
      </c>
      <c r="AQ227" s="479" t="str">
        <f t="array" aca="1" ref="AQ227" ca="1">IF(ROW()-5&lt;=COUNTIF(科目编号,$AR$2),SMALL(IF(科目编号=$AR$2,ROW(科目编号),""),ROW()-5),"")</f>
        <v/>
      </c>
      <c r="AR227" s="480" t="str">
        <f ca="1">IF($BG$2=0,"",IF(AR226="本月合计","本年累计",IF(OR(ROW()=$AU$3,ROW()=$AV$3,ROW()=$AW$3,ROW()=$AX$3,ROW()=$AY$3,ROW()=$AZ$3,ROW()=$BA$3,ROW()=$BB$3,ROW()=$BC$3,ROW()=$BD$3,ROW()=$BE$3,ROW()=$BF$3),"本月合计",IF(ROW()&lt;7,$AQ$6,OFFSET($AQ$6,COUNT($AR$6:AR226),0)))))</f>
        <v/>
      </c>
    </row>
    <row r="228" spans="1:44">
      <c r="A228" s="469" t="str">
        <f ca="1">IFERROR(INDEX(凭证录入!A:A,$AR228),"")</f>
        <v/>
      </c>
      <c r="B228" s="469" t="str">
        <f ca="1">IFERROR(INDEX(凭证录入!B:B,$AR228),"")</f>
        <v/>
      </c>
      <c r="C228" s="470" t="str">
        <f ca="1">IFERROR(INDEX(凭证录入!G:G,$AR228),"")</f>
        <v/>
      </c>
      <c r="D228" s="471" t="str">
        <f ca="1">IFERROR(INDEX(凭证录入!F:F,$AR228),"")</f>
        <v/>
      </c>
      <c r="E228" s="472" t="str">
        <f ca="1">IFERROR(INDEX(凭证录入!H:H,$AR228),$AR228)</f>
        <v/>
      </c>
      <c r="F228" s="473">
        <f ca="1">IF(OR($BG$2=0,$AR228=""),,IF($AR228="本月合计",IF(ROW()=$BG$3,SUM($F$6:$F227),SUM(INDIRECT("$F$"&amp;OFFSET($AU$3,,MATCH(ROW(),$AU$3:$BF$3,)-2)+2&amp;":$E"&amp;ROW()-1))),IF($AR228="本年累计",SUMIF($AR$6:$AR228,"本月合计",$F$6:$F227),INDEX(凭证录入!K:K,$AR228))))</f>
        <v>0</v>
      </c>
      <c r="G228" s="459" t="str">
        <f t="shared" ca="1" si="49"/>
        <v/>
      </c>
      <c r="H228" s="460" t="str">
        <f t="shared" ca="1" si="49"/>
        <v/>
      </c>
      <c r="I228" s="460" t="str">
        <f t="shared" ca="1" si="49"/>
        <v/>
      </c>
      <c r="J228" s="460" t="str">
        <f t="shared" ca="1" si="49"/>
        <v/>
      </c>
      <c r="K228" s="460" t="str">
        <f t="shared" ca="1" si="49"/>
        <v/>
      </c>
      <c r="L228" s="460" t="str">
        <f t="shared" ca="1" si="49"/>
        <v/>
      </c>
      <c r="M228" s="460" t="str">
        <f t="shared" ca="1" si="49"/>
        <v/>
      </c>
      <c r="N228" s="460" t="str">
        <f t="shared" ca="1" si="49"/>
        <v/>
      </c>
      <c r="O228" s="461" t="str">
        <f t="shared" ca="1" si="49"/>
        <v/>
      </c>
      <c r="P228" s="474" t="str">
        <f t="shared" ca="1" si="49"/>
        <v/>
      </c>
      <c r="Q228" s="475" t="str">
        <f t="shared" ca="1" si="49"/>
        <v/>
      </c>
      <c r="R228" s="476">
        <f ca="1">IF(OR($BG$2=0,$AR228=""),,IF($AR228="本月合计",IF(ROW()=$BG$3,SUM($R$6:$R227),SUM(INDIRECT("$R$"&amp;OFFSET($AU$3,,MATCH(ROW(),$AU$3:$BF$3,)-2)+2&amp;":$R"&amp;ROW()-1))),IF($AR228="本年累计",SUMIF($AR$6:$AR228,"本月合计",$R$6:$R227),INDEX(凭证录入!L:L,$AR228))))</f>
        <v>0</v>
      </c>
      <c r="S228" s="459" t="str">
        <f t="shared" ca="1" si="50"/>
        <v/>
      </c>
      <c r="T228" s="460" t="str">
        <f t="shared" ca="1" si="50"/>
        <v/>
      </c>
      <c r="U228" s="460" t="str">
        <f t="shared" ca="1" si="50"/>
        <v/>
      </c>
      <c r="V228" s="460" t="str">
        <f t="shared" ca="1" si="50"/>
        <v/>
      </c>
      <c r="W228" s="460" t="str">
        <f t="shared" ca="1" si="50"/>
        <v/>
      </c>
      <c r="X228" s="460" t="str">
        <f t="shared" ca="1" si="50"/>
        <v/>
      </c>
      <c r="Y228" s="460" t="str">
        <f t="shared" ca="1" si="50"/>
        <v/>
      </c>
      <c r="Z228" s="460" t="str">
        <f t="shared" ca="1" si="50"/>
        <v/>
      </c>
      <c r="AA228" s="461" t="str">
        <f t="shared" ca="1" si="50"/>
        <v/>
      </c>
      <c r="AB228" s="474" t="str">
        <f t="shared" ca="1" si="50"/>
        <v/>
      </c>
      <c r="AC228" s="475" t="str">
        <f t="shared" ca="1" si="50"/>
        <v/>
      </c>
      <c r="AD228" s="477" t="str">
        <f t="shared" ca="1" si="46"/>
        <v/>
      </c>
      <c r="AE228" s="478">
        <f t="shared" ca="1" si="47"/>
        <v>0</v>
      </c>
      <c r="AF228" s="459" t="str">
        <f t="shared" ca="1" si="48"/>
        <v/>
      </c>
      <c r="AG228" s="460" t="str">
        <f t="shared" ca="1" si="48"/>
        <v/>
      </c>
      <c r="AH228" s="460" t="str">
        <f t="shared" ca="1" si="48"/>
        <v/>
      </c>
      <c r="AI228" s="460" t="str">
        <f t="shared" ca="1" si="48"/>
        <v/>
      </c>
      <c r="AJ228" s="460" t="str">
        <f t="shared" ca="1" si="48"/>
        <v/>
      </c>
      <c r="AK228" s="460" t="str">
        <f t="shared" ca="1" si="48"/>
        <v/>
      </c>
      <c r="AL228" s="460" t="str">
        <f t="shared" ca="1" si="48"/>
        <v/>
      </c>
      <c r="AM228" s="460" t="str">
        <f t="shared" ca="1" si="48"/>
        <v/>
      </c>
      <c r="AN228" s="461" t="str">
        <f t="shared" ca="1" si="48"/>
        <v/>
      </c>
      <c r="AO228" s="474" t="str">
        <f t="shared" ca="1" si="48"/>
        <v/>
      </c>
      <c r="AP228" s="475" t="str">
        <f t="shared" ca="1" si="48"/>
        <v/>
      </c>
      <c r="AQ228" s="479" t="str">
        <f t="array" aca="1" ref="AQ228" ca="1">IF(ROW()-5&lt;=COUNTIF(科目编号,$AR$2),SMALL(IF(科目编号=$AR$2,ROW(科目编号),""),ROW()-5),"")</f>
        <v/>
      </c>
      <c r="AR228" s="480" t="str">
        <f ca="1">IF($BG$2=0,"",IF(AR227="本月合计","本年累计",IF(OR(ROW()=$AU$3,ROW()=$AV$3,ROW()=$AW$3,ROW()=$AX$3,ROW()=$AY$3,ROW()=$AZ$3,ROW()=$BA$3,ROW()=$BB$3,ROW()=$BC$3,ROW()=$BD$3,ROW()=$BE$3,ROW()=$BF$3),"本月合计",IF(ROW()&lt;7,$AQ$6,OFFSET($AQ$6,COUNT($AR$6:AR227),0)))))</f>
        <v/>
      </c>
    </row>
    <row r="229" spans="1:44">
      <c r="A229" s="469" t="str">
        <f ca="1">IFERROR(INDEX(凭证录入!A:A,$AR229),"")</f>
        <v/>
      </c>
      <c r="B229" s="469" t="str">
        <f ca="1">IFERROR(INDEX(凭证录入!B:B,$AR229),"")</f>
        <v/>
      </c>
      <c r="C229" s="470" t="str">
        <f ca="1">IFERROR(INDEX(凭证录入!G:G,$AR229),"")</f>
        <v/>
      </c>
      <c r="D229" s="471" t="str">
        <f ca="1">IFERROR(INDEX(凭证录入!F:F,$AR229),"")</f>
        <v/>
      </c>
      <c r="E229" s="472" t="str">
        <f ca="1">IFERROR(INDEX(凭证录入!H:H,$AR229),$AR229)</f>
        <v/>
      </c>
      <c r="F229" s="473">
        <f ca="1">IF(OR($BG$2=0,$AR229=""),,IF($AR229="本月合计",IF(ROW()=$BG$3,SUM($F$6:$F228),SUM(INDIRECT("$F$"&amp;OFFSET($AU$3,,MATCH(ROW(),$AU$3:$BF$3,)-2)+2&amp;":$E"&amp;ROW()-1))),IF($AR229="本年累计",SUMIF($AR$6:$AR229,"本月合计",$F$6:$F228),INDEX(凭证录入!K:K,$AR229))))</f>
        <v>0</v>
      </c>
      <c r="G229" s="459" t="str">
        <f t="shared" ca="1" si="49"/>
        <v/>
      </c>
      <c r="H229" s="460" t="str">
        <f t="shared" ca="1" si="49"/>
        <v/>
      </c>
      <c r="I229" s="460" t="str">
        <f t="shared" ca="1" si="49"/>
        <v/>
      </c>
      <c r="J229" s="460" t="str">
        <f t="shared" ca="1" si="49"/>
        <v/>
      </c>
      <c r="K229" s="460" t="str">
        <f t="shared" ca="1" si="49"/>
        <v/>
      </c>
      <c r="L229" s="460" t="str">
        <f t="shared" ca="1" si="49"/>
        <v/>
      </c>
      <c r="M229" s="460" t="str">
        <f t="shared" ca="1" si="49"/>
        <v/>
      </c>
      <c r="N229" s="460" t="str">
        <f t="shared" ca="1" si="49"/>
        <v/>
      </c>
      <c r="O229" s="461" t="str">
        <f t="shared" ca="1" si="49"/>
        <v/>
      </c>
      <c r="P229" s="474" t="str">
        <f t="shared" ca="1" si="49"/>
        <v/>
      </c>
      <c r="Q229" s="475" t="str">
        <f t="shared" ca="1" si="49"/>
        <v/>
      </c>
      <c r="R229" s="476">
        <f ca="1">IF(OR($BG$2=0,$AR229=""),,IF($AR229="本月合计",IF(ROW()=$BG$3,SUM($R$6:$R228),SUM(INDIRECT("$R$"&amp;OFFSET($AU$3,,MATCH(ROW(),$AU$3:$BF$3,)-2)+2&amp;":$R"&amp;ROW()-1))),IF($AR229="本年累计",SUMIF($AR$6:$AR229,"本月合计",$R$6:$R228),INDEX(凭证录入!L:L,$AR229))))</f>
        <v>0</v>
      </c>
      <c r="S229" s="459" t="str">
        <f t="shared" ca="1" si="50"/>
        <v/>
      </c>
      <c r="T229" s="460" t="str">
        <f t="shared" ca="1" si="50"/>
        <v/>
      </c>
      <c r="U229" s="460" t="str">
        <f t="shared" ca="1" si="50"/>
        <v/>
      </c>
      <c r="V229" s="460" t="str">
        <f t="shared" ca="1" si="50"/>
        <v/>
      </c>
      <c r="W229" s="460" t="str">
        <f t="shared" ca="1" si="50"/>
        <v/>
      </c>
      <c r="X229" s="460" t="str">
        <f t="shared" ca="1" si="50"/>
        <v/>
      </c>
      <c r="Y229" s="460" t="str">
        <f t="shared" ca="1" si="50"/>
        <v/>
      </c>
      <c r="Z229" s="460" t="str">
        <f t="shared" ca="1" si="50"/>
        <v/>
      </c>
      <c r="AA229" s="461" t="str">
        <f t="shared" ca="1" si="50"/>
        <v/>
      </c>
      <c r="AB229" s="474" t="str">
        <f t="shared" ca="1" si="50"/>
        <v/>
      </c>
      <c r="AC229" s="475" t="str">
        <f t="shared" ca="1" si="50"/>
        <v/>
      </c>
      <c r="AD229" s="477" t="str">
        <f t="shared" ca="1" si="46"/>
        <v/>
      </c>
      <c r="AE229" s="478">
        <f t="shared" ca="1" si="47"/>
        <v>0</v>
      </c>
      <c r="AF229" s="459" t="str">
        <f t="shared" ref="AF229:AP244" ca="1" si="51">LEFT(RIGHT(TEXT($AE229/1%," ￥0; ￥-0;"),43-COLUMN()))</f>
        <v/>
      </c>
      <c r="AG229" s="460" t="str">
        <f t="shared" ca="1" si="51"/>
        <v/>
      </c>
      <c r="AH229" s="460" t="str">
        <f t="shared" ca="1" si="51"/>
        <v/>
      </c>
      <c r="AI229" s="460" t="str">
        <f t="shared" ca="1" si="51"/>
        <v/>
      </c>
      <c r="AJ229" s="460" t="str">
        <f t="shared" ca="1" si="51"/>
        <v/>
      </c>
      <c r="AK229" s="460" t="str">
        <f t="shared" ca="1" si="51"/>
        <v/>
      </c>
      <c r="AL229" s="460" t="str">
        <f t="shared" ca="1" si="51"/>
        <v/>
      </c>
      <c r="AM229" s="460" t="str">
        <f t="shared" ca="1" si="51"/>
        <v/>
      </c>
      <c r="AN229" s="461" t="str">
        <f t="shared" ca="1" si="51"/>
        <v/>
      </c>
      <c r="AO229" s="474" t="str">
        <f t="shared" ca="1" si="51"/>
        <v/>
      </c>
      <c r="AP229" s="475" t="str">
        <f t="shared" ca="1" si="51"/>
        <v/>
      </c>
      <c r="AQ229" s="479" t="str">
        <f t="array" aca="1" ref="AQ229" ca="1">IF(ROW()-5&lt;=COUNTIF(科目编号,$AR$2),SMALL(IF(科目编号=$AR$2,ROW(科目编号),""),ROW()-5),"")</f>
        <v/>
      </c>
      <c r="AR229" s="480" t="str">
        <f ca="1">IF($BG$2=0,"",IF(AR228="本月合计","本年累计",IF(OR(ROW()=$AU$3,ROW()=$AV$3,ROW()=$AW$3,ROW()=$AX$3,ROW()=$AY$3,ROW()=$AZ$3,ROW()=$BA$3,ROW()=$BB$3,ROW()=$BC$3,ROW()=$BD$3,ROW()=$BE$3,ROW()=$BF$3),"本月合计",IF(ROW()&lt;7,$AQ$6,OFFSET($AQ$6,COUNT($AR$6:AR228),0)))))</f>
        <v/>
      </c>
    </row>
    <row r="230" spans="1:44">
      <c r="A230" s="469" t="str">
        <f ca="1">IFERROR(INDEX(凭证录入!A:A,$AR230),"")</f>
        <v/>
      </c>
      <c r="B230" s="469" t="str">
        <f ca="1">IFERROR(INDEX(凭证录入!B:B,$AR230),"")</f>
        <v/>
      </c>
      <c r="C230" s="470" t="str">
        <f ca="1">IFERROR(INDEX(凭证录入!G:G,$AR230),"")</f>
        <v/>
      </c>
      <c r="D230" s="471" t="str">
        <f ca="1">IFERROR(INDEX(凭证录入!F:F,$AR230),"")</f>
        <v/>
      </c>
      <c r="E230" s="472" t="str">
        <f ca="1">IFERROR(INDEX(凭证录入!H:H,$AR230),$AR230)</f>
        <v/>
      </c>
      <c r="F230" s="473">
        <f ca="1">IF(OR($BG$2=0,$AR230=""),,IF($AR230="本月合计",IF(ROW()=$BG$3,SUM($F$6:$F229),SUM(INDIRECT("$F$"&amp;OFFSET($AU$3,,MATCH(ROW(),$AU$3:$BF$3,)-2)+2&amp;":$E"&amp;ROW()-1))),IF($AR230="本年累计",SUMIF($AR$6:$AR230,"本月合计",$F$6:$F229),INDEX(凭证录入!K:K,$AR230))))</f>
        <v>0</v>
      </c>
      <c r="G230" s="459" t="str">
        <f t="shared" ref="G230:Q245" ca="1" si="52">LEFT(RIGHT(TEXT($F230/1%," ￥0; ￥-0;"),18-COLUMN()))</f>
        <v/>
      </c>
      <c r="H230" s="460" t="str">
        <f t="shared" ca="1" si="52"/>
        <v/>
      </c>
      <c r="I230" s="460" t="str">
        <f t="shared" ca="1" si="52"/>
        <v/>
      </c>
      <c r="J230" s="460" t="str">
        <f t="shared" ca="1" si="52"/>
        <v/>
      </c>
      <c r="K230" s="460" t="str">
        <f t="shared" ca="1" si="52"/>
        <v/>
      </c>
      <c r="L230" s="460" t="str">
        <f t="shared" ca="1" si="52"/>
        <v/>
      </c>
      <c r="M230" s="460" t="str">
        <f t="shared" ca="1" si="52"/>
        <v/>
      </c>
      <c r="N230" s="460" t="str">
        <f t="shared" ca="1" si="52"/>
        <v/>
      </c>
      <c r="O230" s="461" t="str">
        <f t="shared" ca="1" si="52"/>
        <v/>
      </c>
      <c r="P230" s="474" t="str">
        <f t="shared" ca="1" si="52"/>
        <v/>
      </c>
      <c r="Q230" s="475" t="str">
        <f t="shared" ca="1" si="52"/>
        <v/>
      </c>
      <c r="R230" s="476">
        <f ca="1">IF(OR($BG$2=0,$AR230=""),,IF($AR230="本月合计",IF(ROW()=$BG$3,SUM($R$6:$R229),SUM(INDIRECT("$R$"&amp;OFFSET($AU$3,,MATCH(ROW(),$AU$3:$BF$3,)-2)+2&amp;":$R"&amp;ROW()-1))),IF($AR230="本年累计",SUMIF($AR$6:$AR230,"本月合计",$R$6:$R229),INDEX(凭证录入!L:L,$AR230))))</f>
        <v>0</v>
      </c>
      <c r="S230" s="459" t="str">
        <f t="shared" ref="S230:AC245" ca="1" si="53">LEFT(RIGHT(TEXT($R230/1%," ￥0; ￥-0;"),30-COLUMN()))</f>
        <v/>
      </c>
      <c r="T230" s="460" t="str">
        <f t="shared" ca="1" si="53"/>
        <v/>
      </c>
      <c r="U230" s="460" t="str">
        <f t="shared" ca="1" si="53"/>
        <v/>
      </c>
      <c r="V230" s="460" t="str">
        <f t="shared" ca="1" si="53"/>
        <v/>
      </c>
      <c r="W230" s="460" t="str">
        <f t="shared" ca="1" si="53"/>
        <v/>
      </c>
      <c r="X230" s="460" t="str">
        <f t="shared" ca="1" si="53"/>
        <v/>
      </c>
      <c r="Y230" s="460" t="str">
        <f t="shared" ca="1" si="53"/>
        <v/>
      </c>
      <c r="Z230" s="460" t="str">
        <f t="shared" ca="1" si="53"/>
        <v/>
      </c>
      <c r="AA230" s="461" t="str">
        <f t="shared" ca="1" si="53"/>
        <v/>
      </c>
      <c r="AB230" s="474" t="str">
        <f t="shared" ca="1" si="53"/>
        <v/>
      </c>
      <c r="AC230" s="475" t="str">
        <f t="shared" ca="1" si="53"/>
        <v/>
      </c>
      <c r="AD230" s="477" t="str">
        <f t="shared" ca="1" si="46"/>
        <v/>
      </c>
      <c r="AE230" s="478">
        <f t="shared" ca="1" si="47"/>
        <v>0</v>
      </c>
      <c r="AF230" s="459" t="str">
        <f t="shared" ca="1" si="51"/>
        <v/>
      </c>
      <c r="AG230" s="460" t="str">
        <f t="shared" ca="1" si="51"/>
        <v/>
      </c>
      <c r="AH230" s="460" t="str">
        <f t="shared" ca="1" si="51"/>
        <v/>
      </c>
      <c r="AI230" s="460" t="str">
        <f t="shared" ca="1" si="51"/>
        <v/>
      </c>
      <c r="AJ230" s="460" t="str">
        <f t="shared" ca="1" si="51"/>
        <v/>
      </c>
      <c r="AK230" s="460" t="str">
        <f t="shared" ca="1" si="51"/>
        <v/>
      </c>
      <c r="AL230" s="460" t="str">
        <f t="shared" ca="1" si="51"/>
        <v/>
      </c>
      <c r="AM230" s="460" t="str">
        <f t="shared" ca="1" si="51"/>
        <v/>
      </c>
      <c r="AN230" s="461" t="str">
        <f t="shared" ca="1" si="51"/>
        <v/>
      </c>
      <c r="AO230" s="474" t="str">
        <f t="shared" ca="1" si="51"/>
        <v/>
      </c>
      <c r="AP230" s="475" t="str">
        <f t="shared" ca="1" si="51"/>
        <v/>
      </c>
      <c r="AQ230" s="479" t="str">
        <f t="array" aca="1" ref="AQ230" ca="1">IF(ROW()-5&lt;=COUNTIF(科目编号,$AR$2),SMALL(IF(科目编号=$AR$2,ROW(科目编号),""),ROW()-5),"")</f>
        <v/>
      </c>
      <c r="AR230" s="480" t="str">
        <f ca="1">IF($BG$2=0,"",IF(AR229="本月合计","本年累计",IF(OR(ROW()=$AU$3,ROW()=$AV$3,ROW()=$AW$3,ROW()=$AX$3,ROW()=$AY$3,ROW()=$AZ$3,ROW()=$BA$3,ROW()=$BB$3,ROW()=$BC$3,ROW()=$BD$3,ROW()=$BE$3,ROW()=$BF$3),"本月合计",IF(ROW()&lt;7,$AQ$6,OFFSET($AQ$6,COUNT($AR$6:AR229),0)))))</f>
        <v/>
      </c>
    </row>
    <row r="231" spans="1:44">
      <c r="A231" s="469" t="str">
        <f ca="1">IFERROR(INDEX(凭证录入!A:A,$AR231),"")</f>
        <v/>
      </c>
      <c r="B231" s="469" t="str">
        <f ca="1">IFERROR(INDEX(凭证录入!B:B,$AR231),"")</f>
        <v/>
      </c>
      <c r="C231" s="470" t="str">
        <f ca="1">IFERROR(INDEX(凭证录入!G:G,$AR231),"")</f>
        <v/>
      </c>
      <c r="D231" s="471" t="str">
        <f ca="1">IFERROR(INDEX(凭证录入!F:F,$AR231),"")</f>
        <v/>
      </c>
      <c r="E231" s="472" t="str">
        <f ca="1">IFERROR(INDEX(凭证录入!H:H,$AR231),$AR231)</f>
        <v/>
      </c>
      <c r="F231" s="473">
        <f ca="1">IF(OR($BG$2=0,$AR231=""),,IF($AR231="本月合计",IF(ROW()=$BG$3,SUM($F$6:$F230),SUM(INDIRECT("$F$"&amp;OFFSET($AU$3,,MATCH(ROW(),$AU$3:$BF$3,)-2)+2&amp;":$E"&amp;ROW()-1))),IF($AR231="本年累计",SUMIF($AR$6:$AR231,"本月合计",$F$6:$F230),INDEX(凭证录入!K:K,$AR231))))</f>
        <v>0</v>
      </c>
      <c r="G231" s="459" t="str">
        <f t="shared" ca="1" si="52"/>
        <v/>
      </c>
      <c r="H231" s="460" t="str">
        <f t="shared" ca="1" si="52"/>
        <v/>
      </c>
      <c r="I231" s="460" t="str">
        <f t="shared" ca="1" si="52"/>
        <v/>
      </c>
      <c r="J231" s="460" t="str">
        <f t="shared" ca="1" si="52"/>
        <v/>
      </c>
      <c r="K231" s="460" t="str">
        <f t="shared" ca="1" si="52"/>
        <v/>
      </c>
      <c r="L231" s="460" t="str">
        <f t="shared" ca="1" si="52"/>
        <v/>
      </c>
      <c r="M231" s="460" t="str">
        <f t="shared" ca="1" si="52"/>
        <v/>
      </c>
      <c r="N231" s="460" t="str">
        <f t="shared" ca="1" si="52"/>
        <v/>
      </c>
      <c r="O231" s="461" t="str">
        <f t="shared" ca="1" si="52"/>
        <v/>
      </c>
      <c r="P231" s="474" t="str">
        <f t="shared" ca="1" si="52"/>
        <v/>
      </c>
      <c r="Q231" s="475" t="str">
        <f t="shared" ca="1" si="52"/>
        <v/>
      </c>
      <c r="R231" s="476">
        <f ca="1">IF(OR($BG$2=0,$AR231=""),,IF($AR231="本月合计",IF(ROW()=$BG$3,SUM($R$6:$R230),SUM(INDIRECT("$R$"&amp;OFFSET($AU$3,,MATCH(ROW(),$AU$3:$BF$3,)-2)+2&amp;":$R"&amp;ROW()-1))),IF($AR231="本年累计",SUMIF($AR$6:$AR231,"本月合计",$R$6:$R230),INDEX(凭证录入!L:L,$AR231))))</f>
        <v>0</v>
      </c>
      <c r="S231" s="459" t="str">
        <f t="shared" ca="1" si="53"/>
        <v/>
      </c>
      <c r="T231" s="460" t="str">
        <f t="shared" ca="1" si="53"/>
        <v/>
      </c>
      <c r="U231" s="460" t="str">
        <f t="shared" ca="1" si="53"/>
        <v/>
      </c>
      <c r="V231" s="460" t="str">
        <f t="shared" ca="1" si="53"/>
        <v/>
      </c>
      <c r="W231" s="460" t="str">
        <f t="shared" ca="1" si="53"/>
        <v/>
      </c>
      <c r="X231" s="460" t="str">
        <f t="shared" ca="1" si="53"/>
        <v/>
      </c>
      <c r="Y231" s="460" t="str">
        <f t="shared" ca="1" si="53"/>
        <v/>
      </c>
      <c r="Z231" s="460" t="str">
        <f t="shared" ca="1" si="53"/>
        <v/>
      </c>
      <c r="AA231" s="461" t="str">
        <f t="shared" ca="1" si="53"/>
        <v/>
      </c>
      <c r="AB231" s="474" t="str">
        <f t="shared" ca="1" si="53"/>
        <v/>
      </c>
      <c r="AC231" s="475" t="str">
        <f t="shared" ca="1" si="53"/>
        <v/>
      </c>
      <c r="AD231" s="477" t="str">
        <f t="shared" ca="1" si="46"/>
        <v/>
      </c>
      <c r="AE231" s="478">
        <f t="shared" ca="1" si="47"/>
        <v>0</v>
      </c>
      <c r="AF231" s="459" t="str">
        <f t="shared" ca="1" si="51"/>
        <v/>
      </c>
      <c r="AG231" s="460" t="str">
        <f t="shared" ca="1" si="51"/>
        <v/>
      </c>
      <c r="AH231" s="460" t="str">
        <f t="shared" ca="1" si="51"/>
        <v/>
      </c>
      <c r="AI231" s="460" t="str">
        <f t="shared" ca="1" si="51"/>
        <v/>
      </c>
      <c r="AJ231" s="460" t="str">
        <f t="shared" ca="1" si="51"/>
        <v/>
      </c>
      <c r="AK231" s="460" t="str">
        <f t="shared" ca="1" si="51"/>
        <v/>
      </c>
      <c r="AL231" s="460" t="str">
        <f t="shared" ca="1" si="51"/>
        <v/>
      </c>
      <c r="AM231" s="460" t="str">
        <f t="shared" ca="1" si="51"/>
        <v/>
      </c>
      <c r="AN231" s="461" t="str">
        <f t="shared" ca="1" si="51"/>
        <v/>
      </c>
      <c r="AO231" s="474" t="str">
        <f t="shared" ca="1" si="51"/>
        <v/>
      </c>
      <c r="AP231" s="475" t="str">
        <f t="shared" ca="1" si="51"/>
        <v/>
      </c>
      <c r="AQ231" s="479" t="str">
        <f t="array" aca="1" ref="AQ231" ca="1">IF(ROW()-5&lt;=COUNTIF(科目编号,$AR$2),SMALL(IF(科目编号=$AR$2,ROW(科目编号),""),ROW()-5),"")</f>
        <v/>
      </c>
      <c r="AR231" s="480" t="str">
        <f ca="1">IF($BG$2=0,"",IF(AR230="本月合计","本年累计",IF(OR(ROW()=$AU$3,ROW()=$AV$3,ROW()=$AW$3,ROW()=$AX$3,ROW()=$AY$3,ROW()=$AZ$3,ROW()=$BA$3,ROW()=$BB$3,ROW()=$BC$3,ROW()=$BD$3,ROW()=$BE$3,ROW()=$BF$3),"本月合计",IF(ROW()&lt;7,$AQ$6,OFFSET($AQ$6,COUNT($AR$6:AR230),0)))))</f>
        <v/>
      </c>
    </row>
    <row r="232" spans="1:44">
      <c r="A232" s="469" t="str">
        <f ca="1">IFERROR(INDEX(凭证录入!A:A,$AR232),"")</f>
        <v/>
      </c>
      <c r="B232" s="469" t="str">
        <f ca="1">IFERROR(INDEX(凭证录入!B:B,$AR232),"")</f>
        <v/>
      </c>
      <c r="C232" s="470" t="str">
        <f ca="1">IFERROR(INDEX(凭证录入!G:G,$AR232),"")</f>
        <v/>
      </c>
      <c r="D232" s="471" t="str">
        <f ca="1">IFERROR(INDEX(凭证录入!F:F,$AR232),"")</f>
        <v/>
      </c>
      <c r="E232" s="472" t="str">
        <f ca="1">IFERROR(INDEX(凭证录入!H:H,$AR232),$AR232)</f>
        <v/>
      </c>
      <c r="F232" s="473">
        <f ca="1">IF(OR($BG$2=0,$AR232=""),,IF($AR232="本月合计",IF(ROW()=$BG$3,SUM($F$6:$F231),SUM(INDIRECT("$F$"&amp;OFFSET($AU$3,,MATCH(ROW(),$AU$3:$BF$3,)-2)+2&amp;":$E"&amp;ROW()-1))),IF($AR232="本年累计",SUMIF($AR$6:$AR232,"本月合计",$F$6:$F231),INDEX(凭证录入!K:K,$AR232))))</f>
        <v>0</v>
      </c>
      <c r="G232" s="459" t="str">
        <f t="shared" ca="1" si="52"/>
        <v/>
      </c>
      <c r="H232" s="460" t="str">
        <f t="shared" ca="1" si="52"/>
        <v/>
      </c>
      <c r="I232" s="460" t="str">
        <f t="shared" ca="1" si="52"/>
        <v/>
      </c>
      <c r="J232" s="460" t="str">
        <f t="shared" ca="1" si="52"/>
        <v/>
      </c>
      <c r="K232" s="460" t="str">
        <f t="shared" ca="1" si="52"/>
        <v/>
      </c>
      <c r="L232" s="460" t="str">
        <f t="shared" ca="1" si="52"/>
        <v/>
      </c>
      <c r="M232" s="460" t="str">
        <f t="shared" ca="1" si="52"/>
        <v/>
      </c>
      <c r="N232" s="460" t="str">
        <f t="shared" ca="1" si="52"/>
        <v/>
      </c>
      <c r="O232" s="461" t="str">
        <f t="shared" ca="1" si="52"/>
        <v/>
      </c>
      <c r="P232" s="474" t="str">
        <f t="shared" ca="1" si="52"/>
        <v/>
      </c>
      <c r="Q232" s="475" t="str">
        <f t="shared" ca="1" si="52"/>
        <v/>
      </c>
      <c r="R232" s="476">
        <f ca="1">IF(OR($BG$2=0,$AR232=""),,IF($AR232="本月合计",IF(ROW()=$BG$3,SUM($R$6:$R231),SUM(INDIRECT("$R$"&amp;OFFSET($AU$3,,MATCH(ROW(),$AU$3:$BF$3,)-2)+2&amp;":$R"&amp;ROW()-1))),IF($AR232="本年累计",SUMIF($AR$6:$AR232,"本月合计",$R$6:$R231),INDEX(凭证录入!L:L,$AR232))))</f>
        <v>0</v>
      </c>
      <c r="S232" s="459" t="str">
        <f t="shared" ca="1" si="53"/>
        <v/>
      </c>
      <c r="T232" s="460" t="str">
        <f t="shared" ca="1" si="53"/>
        <v/>
      </c>
      <c r="U232" s="460" t="str">
        <f t="shared" ca="1" si="53"/>
        <v/>
      </c>
      <c r="V232" s="460" t="str">
        <f t="shared" ca="1" si="53"/>
        <v/>
      </c>
      <c r="W232" s="460" t="str">
        <f t="shared" ca="1" si="53"/>
        <v/>
      </c>
      <c r="X232" s="460" t="str">
        <f t="shared" ca="1" si="53"/>
        <v/>
      </c>
      <c r="Y232" s="460" t="str">
        <f t="shared" ca="1" si="53"/>
        <v/>
      </c>
      <c r="Z232" s="460" t="str">
        <f t="shared" ca="1" si="53"/>
        <v/>
      </c>
      <c r="AA232" s="461" t="str">
        <f t="shared" ca="1" si="53"/>
        <v/>
      </c>
      <c r="AB232" s="474" t="str">
        <f t="shared" ca="1" si="53"/>
        <v/>
      </c>
      <c r="AC232" s="475" t="str">
        <f t="shared" ca="1" si="53"/>
        <v/>
      </c>
      <c r="AD232" s="477" t="str">
        <f t="shared" ca="1" si="46"/>
        <v/>
      </c>
      <c r="AE232" s="478">
        <f t="shared" ca="1" si="47"/>
        <v>0</v>
      </c>
      <c r="AF232" s="459" t="str">
        <f t="shared" ca="1" si="51"/>
        <v/>
      </c>
      <c r="AG232" s="460" t="str">
        <f t="shared" ca="1" si="51"/>
        <v/>
      </c>
      <c r="AH232" s="460" t="str">
        <f t="shared" ca="1" si="51"/>
        <v/>
      </c>
      <c r="AI232" s="460" t="str">
        <f t="shared" ca="1" si="51"/>
        <v/>
      </c>
      <c r="AJ232" s="460" t="str">
        <f t="shared" ca="1" si="51"/>
        <v/>
      </c>
      <c r="AK232" s="460" t="str">
        <f t="shared" ca="1" si="51"/>
        <v/>
      </c>
      <c r="AL232" s="460" t="str">
        <f t="shared" ca="1" si="51"/>
        <v/>
      </c>
      <c r="AM232" s="460" t="str">
        <f t="shared" ca="1" si="51"/>
        <v/>
      </c>
      <c r="AN232" s="461" t="str">
        <f t="shared" ca="1" si="51"/>
        <v/>
      </c>
      <c r="AO232" s="474" t="str">
        <f t="shared" ca="1" si="51"/>
        <v/>
      </c>
      <c r="AP232" s="475" t="str">
        <f t="shared" ca="1" si="51"/>
        <v/>
      </c>
      <c r="AQ232" s="479" t="str">
        <f t="array" aca="1" ref="AQ232" ca="1">IF(ROW()-5&lt;=COUNTIF(科目编号,$AR$2),SMALL(IF(科目编号=$AR$2,ROW(科目编号),""),ROW()-5),"")</f>
        <v/>
      </c>
      <c r="AR232" s="480" t="str">
        <f ca="1">IF($BG$2=0,"",IF(AR231="本月合计","本年累计",IF(OR(ROW()=$AU$3,ROW()=$AV$3,ROW()=$AW$3,ROW()=$AX$3,ROW()=$AY$3,ROW()=$AZ$3,ROW()=$BA$3,ROW()=$BB$3,ROW()=$BC$3,ROW()=$BD$3,ROW()=$BE$3,ROW()=$BF$3),"本月合计",IF(ROW()&lt;7,$AQ$6,OFFSET($AQ$6,COUNT($AR$6:AR231),0)))))</f>
        <v/>
      </c>
    </row>
    <row r="233" spans="1:44">
      <c r="A233" s="469" t="str">
        <f ca="1">IFERROR(INDEX(凭证录入!A:A,$AR233),"")</f>
        <v/>
      </c>
      <c r="B233" s="469" t="str">
        <f ca="1">IFERROR(INDEX(凭证录入!B:B,$AR233),"")</f>
        <v/>
      </c>
      <c r="C233" s="470" t="str">
        <f ca="1">IFERROR(INDEX(凭证录入!G:G,$AR233),"")</f>
        <v/>
      </c>
      <c r="D233" s="471" t="str">
        <f ca="1">IFERROR(INDEX(凭证录入!F:F,$AR233),"")</f>
        <v/>
      </c>
      <c r="E233" s="472" t="str">
        <f ca="1">IFERROR(INDEX(凭证录入!H:H,$AR233),$AR233)</f>
        <v/>
      </c>
      <c r="F233" s="473">
        <f ca="1">IF(OR($BG$2=0,$AR233=""),,IF($AR233="本月合计",IF(ROW()=$BG$3,SUM($F$6:$F232),SUM(INDIRECT("$F$"&amp;OFFSET($AU$3,,MATCH(ROW(),$AU$3:$BF$3,)-2)+2&amp;":$E"&amp;ROW()-1))),IF($AR233="本年累计",SUMIF($AR$6:$AR233,"本月合计",$F$6:$F232),INDEX(凭证录入!K:K,$AR233))))</f>
        <v>0</v>
      </c>
      <c r="G233" s="459" t="str">
        <f t="shared" ca="1" si="52"/>
        <v/>
      </c>
      <c r="H233" s="460" t="str">
        <f t="shared" ca="1" si="52"/>
        <v/>
      </c>
      <c r="I233" s="460" t="str">
        <f t="shared" ca="1" si="52"/>
        <v/>
      </c>
      <c r="J233" s="460" t="str">
        <f t="shared" ca="1" si="52"/>
        <v/>
      </c>
      <c r="K233" s="460" t="str">
        <f t="shared" ca="1" si="52"/>
        <v/>
      </c>
      <c r="L233" s="460" t="str">
        <f t="shared" ca="1" si="52"/>
        <v/>
      </c>
      <c r="M233" s="460" t="str">
        <f t="shared" ca="1" si="52"/>
        <v/>
      </c>
      <c r="N233" s="460" t="str">
        <f t="shared" ca="1" si="52"/>
        <v/>
      </c>
      <c r="O233" s="461" t="str">
        <f t="shared" ca="1" si="52"/>
        <v/>
      </c>
      <c r="P233" s="474" t="str">
        <f t="shared" ca="1" si="52"/>
        <v/>
      </c>
      <c r="Q233" s="475" t="str">
        <f t="shared" ca="1" si="52"/>
        <v/>
      </c>
      <c r="R233" s="476">
        <f ca="1">IF(OR($BG$2=0,$AR233=""),,IF($AR233="本月合计",IF(ROW()=$BG$3,SUM($R$6:$R232),SUM(INDIRECT("$R$"&amp;OFFSET($AU$3,,MATCH(ROW(),$AU$3:$BF$3,)-2)+2&amp;":$R"&amp;ROW()-1))),IF($AR233="本年累计",SUMIF($AR$6:$AR233,"本月合计",$R$6:$R232),INDEX(凭证录入!L:L,$AR233))))</f>
        <v>0</v>
      </c>
      <c r="S233" s="459" t="str">
        <f t="shared" ca="1" si="53"/>
        <v/>
      </c>
      <c r="T233" s="460" t="str">
        <f t="shared" ca="1" si="53"/>
        <v/>
      </c>
      <c r="U233" s="460" t="str">
        <f t="shared" ca="1" si="53"/>
        <v/>
      </c>
      <c r="V233" s="460" t="str">
        <f t="shared" ca="1" si="53"/>
        <v/>
      </c>
      <c r="W233" s="460" t="str">
        <f t="shared" ca="1" si="53"/>
        <v/>
      </c>
      <c r="X233" s="460" t="str">
        <f t="shared" ca="1" si="53"/>
        <v/>
      </c>
      <c r="Y233" s="460" t="str">
        <f t="shared" ca="1" si="53"/>
        <v/>
      </c>
      <c r="Z233" s="460" t="str">
        <f t="shared" ca="1" si="53"/>
        <v/>
      </c>
      <c r="AA233" s="461" t="str">
        <f t="shared" ca="1" si="53"/>
        <v/>
      </c>
      <c r="AB233" s="474" t="str">
        <f t="shared" ca="1" si="53"/>
        <v/>
      </c>
      <c r="AC233" s="475" t="str">
        <f t="shared" ca="1" si="53"/>
        <v/>
      </c>
      <c r="AD233" s="477" t="str">
        <f t="shared" ca="1" si="46"/>
        <v/>
      </c>
      <c r="AE233" s="478">
        <f t="shared" ca="1" si="47"/>
        <v>0</v>
      </c>
      <c r="AF233" s="459" t="str">
        <f t="shared" ca="1" si="51"/>
        <v/>
      </c>
      <c r="AG233" s="460" t="str">
        <f t="shared" ca="1" si="51"/>
        <v/>
      </c>
      <c r="AH233" s="460" t="str">
        <f t="shared" ca="1" si="51"/>
        <v/>
      </c>
      <c r="AI233" s="460" t="str">
        <f t="shared" ca="1" si="51"/>
        <v/>
      </c>
      <c r="AJ233" s="460" t="str">
        <f t="shared" ca="1" si="51"/>
        <v/>
      </c>
      <c r="AK233" s="460" t="str">
        <f t="shared" ca="1" si="51"/>
        <v/>
      </c>
      <c r="AL233" s="460" t="str">
        <f t="shared" ca="1" si="51"/>
        <v/>
      </c>
      <c r="AM233" s="460" t="str">
        <f t="shared" ca="1" si="51"/>
        <v/>
      </c>
      <c r="AN233" s="461" t="str">
        <f t="shared" ca="1" si="51"/>
        <v/>
      </c>
      <c r="AO233" s="474" t="str">
        <f t="shared" ca="1" si="51"/>
        <v/>
      </c>
      <c r="AP233" s="475" t="str">
        <f t="shared" ca="1" si="51"/>
        <v/>
      </c>
      <c r="AQ233" s="479" t="str">
        <f t="array" aca="1" ref="AQ233" ca="1">IF(ROW()-5&lt;=COUNTIF(科目编号,$AR$2),SMALL(IF(科目编号=$AR$2,ROW(科目编号),""),ROW()-5),"")</f>
        <v/>
      </c>
      <c r="AR233" s="480" t="str">
        <f ca="1">IF($BG$2=0,"",IF(AR232="本月合计","本年累计",IF(OR(ROW()=$AU$3,ROW()=$AV$3,ROW()=$AW$3,ROW()=$AX$3,ROW()=$AY$3,ROW()=$AZ$3,ROW()=$BA$3,ROW()=$BB$3,ROW()=$BC$3,ROW()=$BD$3,ROW()=$BE$3,ROW()=$BF$3),"本月合计",IF(ROW()&lt;7,$AQ$6,OFFSET($AQ$6,COUNT($AR$6:AR232),0)))))</f>
        <v/>
      </c>
    </row>
    <row r="234" spans="1:44">
      <c r="A234" s="469" t="str">
        <f ca="1">IFERROR(INDEX(凭证录入!A:A,$AR234),"")</f>
        <v/>
      </c>
      <c r="B234" s="469" t="str">
        <f ca="1">IFERROR(INDEX(凭证录入!B:B,$AR234),"")</f>
        <v/>
      </c>
      <c r="C234" s="470" t="str">
        <f ca="1">IFERROR(INDEX(凭证录入!G:G,$AR234),"")</f>
        <v/>
      </c>
      <c r="D234" s="471" t="str">
        <f ca="1">IFERROR(INDEX(凭证录入!F:F,$AR234),"")</f>
        <v/>
      </c>
      <c r="E234" s="472" t="str">
        <f ca="1">IFERROR(INDEX(凭证录入!H:H,$AR234),$AR234)</f>
        <v/>
      </c>
      <c r="F234" s="473">
        <f ca="1">IF(OR($BG$2=0,$AR234=""),,IF($AR234="本月合计",IF(ROW()=$BG$3,SUM($F$6:$F233),SUM(INDIRECT("$F$"&amp;OFFSET($AU$3,,MATCH(ROW(),$AU$3:$BF$3,)-2)+2&amp;":$E"&amp;ROW()-1))),IF($AR234="本年累计",SUMIF($AR$6:$AR234,"本月合计",$F$6:$F233),INDEX(凭证录入!K:K,$AR234))))</f>
        <v>0</v>
      </c>
      <c r="G234" s="459" t="str">
        <f t="shared" ca="1" si="52"/>
        <v/>
      </c>
      <c r="H234" s="460" t="str">
        <f t="shared" ca="1" si="52"/>
        <v/>
      </c>
      <c r="I234" s="460" t="str">
        <f t="shared" ca="1" si="52"/>
        <v/>
      </c>
      <c r="J234" s="460" t="str">
        <f t="shared" ca="1" si="52"/>
        <v/>
      </c>
      <c r="K234" s="460" t="str">
        <f t="shared" ca="1" si="52"/>
        <v/>
      </c>
      <c r="L234" s="460" t="str">
        <f t="shared" ca="1" si="52"/>
        <v/>
      </c>
      <c r="M234" s="460" t="str">
        <f t="shared" ca="1" si="52"/>
        <v/>
      </c>
      <c r="N234" s="460" t="str">
        <f t="shared" ca="1" si="52"/>
        <v/>
      </c>
      <c r="O234" s="461" t="str">
        <f t="shared" ca="1" si="52"/>
        <v/>
      </c>
      <c r="P234" s="474" t="str">
        <f t="shared" ca="1" si="52"/>
        <v/>
      </c>
      <c r="Q234" s="475" t="str">
        <f t="shared" ca="1" si="52"/>
        <v/>
      </c>
      <c r="R234" s="476">
        <f ca="1">IF(OR($BG$2=0,$AR234=""),,IF($AR234="本月合计",IF(ROW()=$BG$3,SUM($R$6:$R233),SUM(INDIRECT("$R$"&amp;OFFSET($AU$3,,MATCH(ROW(),$AU$3:$BF$3,)-2)+2&amp;":$R"&amp;ROW()-1))),IF($AR234="本年累计",SUMIF($AR$6:$AR234,"本月合计",$R$6:$R233),INDEX(凭证录入!L:L,$AR234))))</f>
        <v>0</v>
      </c>
      <c r="S234" s="459" t="str">
        <f t="shared" ca="1" si="53"/>
        <v/>
      </c>
      <c r="T234" s="460" t="str">
        <f t="shared" ca="1" si="53"/>
        <v/>
      </c>
      <c r="U234" s="460" t="str">
        <f t="shared" ca="1" si="53"/>
        <v/>
      </c>
      <c r="V234" s="460" t="str">
        <f t="shared" ca="1" si="53"/>
        <v/>
      </c>
      <c r="W234" s="460" t="str">
        <f t="shared" ca="1" si="53"/>
        <v/>
      </c>
      <c r="X234" s="460" t="str">
        <f t="shared" ca="1" si="53"/>
        <v/>
      </c>
      <c r="Y234" s="460" t="str">
        <f t="shared" ca="1" si="53"/>
        <v/>
      </c>
      <c r="Z234" s="460" t="str">
        <f t="shared" ca="1" si="53"/>
        <v/>
      </c>
      <c r="AA234" s="461" t="str">
        <f t="shared" ca="1" si="53"/>
        <v/>
      </c>
      <c r="AB234" s="474" t="str">
        <f t="shared" ca="1" si="53"/>
        <v/>
      </c>
      <c r="AC234" s="475" t="str">
        <f t="shared" ca="1" si="53"/>
        <v/>
      </c>
      <c r="AD234" s="477" t="str">
        <f t="shared" ca="1" si="46"/>
        <v/>
      </c>
      <c r="AE234" s="478">
        <f t="shared" ca="1" si="47"/>
        <v>0</v>
      </c>
      <c r="AF234" s="459" t="str">
        <f t="shared" ca="1" si="51"/>
        <v/>
      </c>
      <c r="AG234" s="460" t="str">
        <f t="shared" ca="1" si="51"/>
        <v/>
      </c>
      <c r="AH234" s="460" t="str">
        <f t="shared" ca="1" si="51"/>
        <v/>
      </c>
      <c r="AI234" s="460" t="str">
        <f t="shared" ca="1" si="51"/>
        <v/>
      </c>
      <c r="AJ234" s="460" t="str">
        <f t="shared" ca="1" si="51"/>
        <v/>
      </c>
      <c r="AK234" s="460" t="str">
        <f t="shared" ca="1" si="51"/>
        <v/>
      </c>
      <c r="AL234" s="460" t="str">
        <f t="shared" ca="1" si="51"/>
        <v/>
      </c>
      <c r="AM234" s="460" t="str">
        <f t="shared" ca="1" si="51"/>
        <v/>
      </c>
      <c r="AN234" s="461" t="str">
        <f t="shared" ca="1" si="51"/>
        <v/>
      </c>
      <c r="AO234" s="474" t="str">
        <f t="shared" ca="1" si="51"/>
        <v/>
      </c>
      <c r="AP234" s="475" t="str">
        <f t="shared" ca="1" si="51"/>
        <v/>
      </c>
      <c r="AQ234" s="479" t="str">
        <f t="array" aca="1" ref="AQ234" ca="1">IF(ROW()-5&lt;=COUNTIF(科目编号,$AR$2),SMALL(IF(科目编号=$AR$2,ROW(科目编号),""),ROW()-5),"")</f>
        <v/>
      </c>
      <c r="AR234" s="480" t="str">
        <f ca="1">IF($BG$2=0,"",IF(AR233="本月合计","本年累计",IF(OR(ROW()=$AU$3,ROW()=$AV$3,ROW()=$AW$3,ROW()=$AX$3,ROW()=$AY$3,ROW()=$AZ$3,ROW()=$BA$3,ROW()=$BB$3,ROW()=$BC$3,ROW()=$BD$3,ROW()=$BE$3,ROW()=$BF$3),"本月合计",IF(ROW()&lt;7,$AQ$6,OFFSET($AQ$6,COUNT($AR$6:AR233),0)))))</f>
        <v/>
      </c>
    </row>
    <row r="235" spans="1:44">
      <c r="A235" s="469" t="str">
        <f ca="1">IFERROR(INDEX(凭证录入!A:A,$AR235),"")</f>
        <v/>
      </c>
      <c r="B235" s="469" t="str">
        <f ca="1">IFERROR(INDEX(凭证录入!B:B,$AR235),"")</f>
        <v/>
      </c>
      <c r="C235" s="470" t="str">
        <f ca="1">IFERROR(INDEX(凭证录入!G:G,$AR235),"")</f>
        <v/>
      </c>
      <c r="D235" s="471" t="str">
        <f ca="1">IFERROR(INDEX(凭证录入!F:F,$AR235),"")</f>
        <v/>
      </c>
      <c r="E235" s="472" t="str">
        <f ca="1">IFERROR(INDEX(凭证录入!H:H,$AR235),$AR235)</f>
        <v/>
      </c>
      <c r="F235" s="473">
        <f ca="1">IF(OR($BG$2=0,$AR235=""),,IF($AR235="本月合计",IF(ROW()=$BG$3,SUM($F$6:$F234),SUM(INDIRECT("$F$"&amp;OFFSET($AU$3,,MATCH(ROW(),$AU$3:$BF$3,)-2)+2&amp;":$E"&amp;ROW()-1))),IF($AR235="本年累计",SUMIF($AR$6:$AR235,"本月合计",$F$6:$F234),INDEX(凭证录入!K:K,$AR235))))</f>
        <v>0</v>
      </c>
      <c r="G235" s="459" t="str">
        <f t="shared" ca="1" si="52"/>
        <v/>
      </c>
      <c r="H235" s="460" t="str">
        <f t="shared" ca="1" si="52"/>
        <v/>
      </c>
      <c r="I235" s="460" t="str">
        <f t="shared" ca="1" si="52"/>
        <v/>
      </c>
      <c r="J235" s="460" t="str">
        <f t="shared" ca="1" si="52"/>
        <v/>
      </c>
      <c r="K235" s="460" t="str">
        <f t="shared" ca="1" si="52"/>
        <v/>
      </c>
      <c r="L235" s="460" t="str">
        <f t="shared" ca="1" si="52"/>
        <v/>
      </c>
      <c r="M235" s="460" t="str">
        <f t="shared" ca="1" si="52"/>
        <v/>
      </c>
      <c r="N235" s="460" t="str">
        <f t="shared" ca="1" si="52"/>
        <v/>
      </c>
      <c r="O235" s="461" t="str">
        <f t="shared" ca="1" si="52"/>
        <v/>
      </c>
      <c r="P235" s="474" t="str">
        <f t="shared" ca="1" si="52"/>
        <v/>
      </c>
      <c r="Q235" s="475" t="str">
        <f t="shared" ca="1" si="52"/>
        <v/>
      </c>
      <c r="R235" s="476">
        <f ca="1">IF(OR($BG$2=0,$AR235=""),,IF($AR235="本月合计",IF(ROW()=$BG$3,SUM($R$6:$R234),SUM(INDIRECT("$R$"&amp;OFFSET($AU$3,,MATCH(ROW(),$AU$3:$BF$3,)-2)+2&amp;":$R"&amp;ROW()-1))),IF($AR235="本年累计",SUMIF($AR$6:$AR235,"本月合计",$R$6:$R234),INDEX(凭证录入!L:L,$AR235))))</f>
        <v>0</v>
      </c>
      <c r="S235" s="459" t="str">
        <f t="shared" ca="1" si="53"/>
        <v/>
      </c>
      <c r="T235" s="460" t="str">
        <f t="shared" ca="1" si="53"/>
        <v/>
      </c>
      <c r="U235" s="460" t="str">
        <f t="shared" ca="1" si="53"/>
        <v/>
      </c>
      <c r="V235" s="460" t="str">
        <f t="shared" ca="1" si="53"/>
        <v/>
      </c>
      <c r="W235" s="460" t="str">
        <f t="shared" ca="1" si="53"/>
        <v/>
      </c>
      <c r="X235" s="460" t="str">
        <f t="shared" ca="1" si="53"/>
        <v/>
      </c>
      <c r="Y235" s="460" t="str">
        <f t="shared" ca="1" si="53"/>
        <v/>
      </c>
      <c r="Z235" s="460" t="str">
        <f t="shared" ca="1" si="53"/>
        <v/>
      </c>
      <c r="AA235" s="461" t="str">
        <f t="shared" ca="1" si="53"/>
        <v/>
      </c>
      <c r="AB235" s="474" t="str">
        <f t="shared" ca="1" si="53"/>
        <v/>
      </c>
      <c r="AC235" s="475" t="str">
        <f t="shared" ca="1" si="53"/>
        <v/>
      </c>
      <c r="AD235" s="477" t="str">
        <f t="shared" ca="1" si="46"/>
        <v/>
      </c>
      <c r="AE235" s="478">
        <f t="shared" ca="1" si="47"/>
        <v>0</v>
      </c>
      <c r="AF235" s="459" t="str">
        <f t="shared" ca="1" si="51"/>
        <v/>
      </c>
      <c r="AG235" s="460" t="str">
        <f t="shared" ca="1" si="51"/>
        <v/>
      </c>
      <c r="AH235" s="460" t="str">
        <f t="shared" ca="1" si="51"/>
        <v/>
      </c>
      <c r="AI235" s="460" t="str">
        <f t="shared" ca="1" si="51"/>
        <v/>
      </c>
      <c r="AJ235" s="460" t="str">
        <f t="shared" ca="1" si="51"/>
        <v/>
      </c>
      <c r="AK235" s="460" t="str">
        <f t="shared" ca="1" si="51"/>
        <v/>
      </c>
      <c r="AL235" s="460" t="str">
        <f t="shared" ca="1" si="51"/>
        <v/>
      </c>
      <c r="AM235" s="460" t="str">
        <f t="shared" ca="1" si="51"/>
        <v/>
      </c>
      <c r="AN235" s="461" t="str">
        <f t="shared" ca="1" si="51"/>
        <v/>
      </c>
      <c r="AO235" s="474" t="str">
        <f t="shared" ca="1" si="51"/>
        <v/>
      </c>
      <c r="AP235" s="475" t="str">
        <f t="shared" ca="1" si="51"/>
        <v/>
      </c>
      <c r="AQ235" s="479" t="str">
        <f t="array" aca="1" ref="AQ235" ca="1">IF(ROW()-5&lt;=COUNTIF(科目编号,$AR$2),SMALL(IF(科目编号=$AR$2,ROW(科目编号),""),ROW()-5),"")</f>
        <v/>
      </c>
      <c r="AR235" s="480" t="str">
        <f ca="1">IF($BG$2=0,"",IF(AR234="本月合计","本年累计",IF(OR(ROW()=$AU$3,ROW()=$AV$3,ROW()=$AW$3,ROW()=$AX$3,ROW()=$AY$3,ROW()=$AZ$3,ROW()=$BA$3,ROW()=$BB$3,ROW()=$BC$3,ROW()=$BD$3,ROW()=$BE$3,ROW()=$BF$3),"本月合计",IF(ROW()&lt;7,$AQ$6,OFFSET($AQ$6,COUNT($AR$6:AR234),0)))))</f>
        <v/>
      </c>
    </row>
    <row r="236" spans="1:44">
      <c r="A236" s="469" t="str">
        <f ca="1">IFERROR(INDEX(凭证录入!A:A,$AR236),"")</f>
        <v/>
      </c>
      <c r="B236" s="469" t="str">
        <f ca="1">IFERROR(INDEX(凭证录入!B:B,$AR236),"")</f>
        <v/>
      </c>
      <c r="C236" s="470" t="str">
        <f ca="1">IFERROR(INDEX(凭证录入!G:G,$AR236),"")</f>
        <v/>
      </c>
      <c r="D236" s="471" t="str">
        <f ca="1">IFERROR(INDEX(凭证录入!F:F,$AR236),"")</f>
        <v/>
      </c>
      <c r="E236" s="472" t="str">
        <f ca="1">IFERROR(INDEX(凭证录入!H:H,$AR236),$AR236)</f>
        <v/>
      </c>
      <c r="F236" s="473">
        <f ca="1">IF(OR($BG$2=0,$AR236=""),,IF($AR236="本月合计",IF(ROW()=$BG$3,SUM($F$6:$F235),SUM(INDIRECT("$F$"&amp;OFFSET($AU$3,,MATCH(ROW(),$AU$3:$BF$3,)-2)+2&amp;":$E"&amp;ROW()-1))),IF($AR236="本年累计",SUMIF($AR$6:$AR236,"本月合计",$F$6:$F235),INDEX(凭证录入!K:K,$AR236))))</f>
        <v>0</v>
      </c>
      <c r="G236" s="459" t="str">
        <f t="shared" ca="1" si="52"/>
        <v/>
      </c>
      <c r="H236" s="460" t="str">
        <f t="shared" ca="1" si="52"/>
        <v/>
      </c>
      <c r="I236" s="460" t="str">
        <f t="shared" ca="1" si="52"/>
        <v/>
      </c>
      <c r="J236" s="460" t="str">
        <f t="shared" ca="1" si="52"/>
        <v/>
      </c>
      <c r="K236" s="460" t="str">
        <f t="shared" ca="1" si="52"/>
        <v/>
      </c>
      <c r="L236" s="460" t="str">
        <f t="shared" ca="1" si="52"/>
        <v/>
      </c>
      <c r="M236" s="460" t="str">
        <f t="shared" ca="1" si="52"/>
        <v/>
      </c>
      <c r="N236" s="460" t="str">
        <f t="shared" ca="1" si="52"/>
        <v/>
      </c>
      <c r="O236" s="461" t="str">
        <f t="shared" ca="1" si="52"/>
        <v/>
      </c>
      <c r="P236" s="474" t="str">
        <f t="shared" ca="1" si="52"/>
        <v/>
      </c>
      <c r="Q236" s="475" t="str">
        <f t="shared" ca="1" si="52"/>
        <v/>
      </c>
      <c r="R236" s="476">
        <f ca="1">IF(OR($BG$2=0,$AR236=""),,IF($AR236="本月合计",IF(ROW()=$BG$3,SUM($R$6:$R235),SUM(INDIRECT("$R$"&amp;OFFSET($AU$3,,MATCH(ROW(),$AU$3:$BF$3,)-2)+2&amp;":$R"&amp;ROW()-1))),IF($AR236="本年累计",SUMIF($AR$6:$AR236,"本月合计",$R$6:$R235),INDEX(凭证录入!L:L,$AR236))))</f>
        <v>0</v>
      </c>
      <c r="S236" s="459" t="str">
        <f t="shared" ca="1" si="53"/>
        <v/>
      </c>
      <c r="T236" s="460" t="str">
        <f t="shared" ca="1" si="53"/>
        <v/>
      </c>
      <c r="U236" s="460" t="str">
        <f t="shared" ca="1" si="53"/>
        <v/>
      </c>
      <c r="V236" s="460" t="str">
        <f t="shared" ca="1" si="53"/>
        <v/>
      </c>
      <c r="W236" s="460" t="str">
        <f t="shared" ca="1" si="53"/>
        <v/>
      </c>
      <c r="X236" s="460" t="str">
        <f t="shared" ca="1" si="53"/>
        <v/>
      </c>
      <c r="Y236" s="460" t="str">
        <f t="shared" ca="1" si="53"/>
        <v/>
      </c>
      <c r="Z236" s="460" t="str">
        <f t="shared" ca="1" si="53"/>
        <v/>
      </c>
      <c r="AA236" s="461" t="str">
        <f t="shared" ca="1" si="53"/>
        <v/>
      </c>
      <c r="AB236" s="474" t="str">
        <f t="shared" ca="1" si="53"/>
        <v/>
      </c>
      <c r="AC236" s="475" t="str">
        <f t="shared" ca="1" si="53"/>
        <v/>
      </c>
      <c r="AD236" s="477" t="str">
        <f t="shared" ca="1" si="46"/>
        <v/>
      </c>
      <c r="AE236" s="478">
        <f t="shared" ca="1" si="47"/>
        <v>0</v>
      </c>
      <c r="AF236" s="459" t="str">
        <f t="shared" ca="1" si="51"/>
        <v/>
      </c>
      <c r="AG236" s="460" t="str">
        <f t="shared" ca="1" si="51"/>
        <v/>
      </c>
      <c r="AH236" s="460" t="str">
        <f t="shared" ca="1" si="51"/>
        <v/>
      </c>
      <c r="AI236" s="460" t="str">
        <f t="shared" ca="1" si="51"/>
        <v/>
      </c>
      <c r="AJ236" s="460" t="str">
        <f t="shared" ca="1" si="51"/>
        <v/>
      </c>
      <c r="AK236" s="460" t="str">
        <f t="shared" ca="1" si="51"/>
        <v/>
      </c>
      <c r="AL236" s="460" t="str">
        <f t="shared" ca="1" si="51"/>
        <v/>
      </c>
      <c r="AM236" s="460" t="str">
        <f t="shared" ca="1" si="51"/>
        <v/>
      </c>
      <c r="AN236" s="461" t="str">
        <f t="shared" ca="1" si="51"/>
        <v/>
      </c>
      <c r="AO236" s="474" t="str">
        <f t="shared" ca="1" si="51"/>
        <v/>
      </c>
      <c r="AP236" s="475" t="str">
        <f t="shared" ca="1" si="51"/>
        <v/>
      </c>
      <c r="AQ236" s="479" t="str">
        <f t="array" aca="1" ref="AQ236" ca="1">IF(ROW()-5&lt;=COUNTIF(科目编号,$AR$2),SMALL(IF(科目编号=$AR$2,ROW(科目编号),""),ROW()-5),"")</f>
        <v/>
      </c>
      <c r="AR236" s="480" t="str">
        <f ca="1">IF($BG$2=0,"",IF(AR235="本月合计","本年累计",IF(OR(ROW()=$AU$3,ROW()=$AV$3,ROW()=$AW$3,ROW()=$AX$3,ROW()=$AY$3,ROW()=$AZ$3,ROW()=$BA$3,ROW()=$BB$3,ROW()=$BC$3,ROW()=$BD$3,ROW()=$BE$3,ROW()=$BF$3),"本月合计",IF(ROW()&lt;7,$AQ$6,OFFSET($AQ$6,COUNT($AR$6:AR235),0)))))</f>
        <v/>
      </c>
    </row>
    <row r="237" spans="1:44">
      <c r="A237" s="469" t="str">
        <f ca="1">IFERROR(INDEX(凭证录入!A:A,$AR237),"")</f>
        <v/>
      </c>
      <c r="B237" s="469" t="str">
        <f ca="1">IFERROR(INDEX(凭证录入!B:B,$AR237),"")</f>
        <v/>
      </c>
      <c r="C237" s="470" t="str">
        <f ca="1">IFERROR(INDEX(凭证录入!G:G,$AR237),"")</f>
        <v/>
      </c>
      <c r="D237" s="471" t="str">
        <f ca="1">IFERROR(INDEX(凭证录入!F:F,$AR237),"")</f>
        <v/>
      </c>
      <c r="E237" s="472" t="str">
        <f ca="1">IFERROR(INDEX(凭证录入!H:H,$AR237),$AR237)</f>
        <v/>
      </c>
      <c r="F237" s="473">
        <f ca="1">IF(OR($BG$2=0,$AR237=""),,IF($AR237="本月合计",IF(ROW()=$BG$3,SUM($F$6:$F236),SUM(INDIRECT("$F$"&amp;OFFSET($AU$3,,MATCH(ROW(),$AU$3:$BF$3,)-2)+2&amp;":$E"&amp;ROW()-1))),IF($AR237="本年累计",SUMIF($AR$6:$AR237,"本月合计",$F$6:$F236),INDEX(凭证录入!K:K,$AR237))))</f>
        <v>0</v>
      </c>
      <c r="G237" s="459" t="str">
        <f t="shared" ca="1" si="52"/>
        <v/>
      </c>
      <c r="H237" s="460" t="str">
        <f t="shared" ca="1" si="52"/>
        <v/>
      </c>
      <c r="I237" s="460" t="str">
        <f t="shared" ca="1" si="52"/>
        <v/>
      </c>
      <c r="J237" s="460" t="str">
        <f t="shared" ca="1" si="52"/>
        <v/>
      </c>
      <c r="K237" s="460" t="str">
        <f t="shared" ca="1" si="52"/>
        <v/>
      </c>
      <c r="L237" s="460" t="str">
        <f t="shared" ca="1" si="52"/>
        <v/>
      </c>
      <c r="M237" s="460" t="str">
        <f t="shared" ca="1" si="52"/>
        <v/>
      </c>
      <c r="N237" s="460" t="str">
        <f t="shared" ca="1" si="52"/>
        <v/>
      </c>
      <c r="O237" s="461" t="str">
        <f t="shared" ca="1" si="52"/>
        <v/>
      </c>
      <c r="P237" s="474" t="str">
        <f t="shared" ca="1" si="52"/>
        <v/>
      </c>
      <c r="Q237" s="475" t="str">
        <f t="shared" ca="1" si="52"/>
        <v/>
      </c>
      <c r="R237" s="476">
        <f ca="1">IF(OR($BG$2=0,$AR237=""),,IF($AR237="本月合计",IF(ROW()=$BG$3,SUM($R$6:$R236),SUM(INDIRECT("$R$"&amp;OFFSET($AU$3,,MATCH(ROW(),$AU$3:$BF$3,)-2)+2&amp;":$R"&amp;ROW()-1))),IF($AR237="本年累计",SUMIF($AR$6:$AR237,"本月合计",$R$6:$R236),INDEX(凭证录入!L:L,$AR237))))</f>
        <v>0</v>
      </c>
      <c r="S237" s="459" t="str">
        <f t="shared" ca="1" si="53"/>
        <v/>
      </c>
      <c r="T237" s="460" t="str">
        <f t="shared" ca="1" si="53"/>
        <v/>
      </c>
      <c r="U237" s="460" t="str">
        <f t="shared" ca="1" si="53"/>
        <v/>
      </c>
      <c r="V237" s="460" t="str">
        <f t="shared" ca="1" si="53"/>
        <v/>
      </c>
      <c r="W237" s="460" t="str">
        <f t="shared" ca="1" si="53"/>
        <v/>
      </c>
      <c r="X237" s="460" t="str">
        <f t="shared" ca="1" si="53"/>
        <v/>
      </c>
      <c r="Y237" s="460" t="str">
        <f t="shared" ca="1" si="53"/>
        <v/>
      </c>
      <c r="Z237" s="460" t="str">
        <f t="shared" ca="1" si="53"/>
        <v/>
      </c>
      <c r="AA237" s="461" t="str">
        <f t="shared" ca="1" si="53"/>
        <v/>
      </c>
      <c r="AB237" s="474" t="str">
        <f t="shared" ca="1" si="53"/>
        <v/>
      </c>
      <c r="AC237" s="475" t="str">
        <f t="shared" ca="1" si="53"/>
        <v/>
      </c>
      <c r="AD237" s="477" t="str">
        <f t="shared" ca="1" si="46"/>
        <v/>
      </c>
      <c r="AE237" s="478">
        <f t="shared" ca="1" si="47"/>
        <v>0</v>
      </c>
      <c r="AF237" s="459" t="str">
        <f t="shared" ca="1" si="51"/>
        <v/>
      </c>
      <c r="AG237" s="460" t="str">
        <f t="shared" ca="1" si="51"/>
        <v/>
      </c>
      <c r="AH237" s="460" t="str">
        <f t="shared" ca="1" si="51"/>
        <v/>
      </c>
      <c r="AI237" s="460" t="str">
        <f t="shared" ca="1" si="51"/>
        <v/>
      </c>
      <c r="AJ237" s="460" t="str">
        <f t="shared" ca="1" si="51"/>
        <v/>
      </c>
      <c r="AK237" s="460" t="str">
        <f t="shared" ca="1" si="51"/>
        <v/>
      </c>
      <c r="AL237" s="460" t="str">
        <f t="shared" ca="1" si="51"/>
        <v/>
      </c>
      <c r="AM237" s="460" t="str">
        <f t="shared" ca="1" si="51"/>
        <v/>
      </c>
      <c r="AN237" s="461" t="str">
        <f t="shared" ca="1" si="51"/>
        <v/>
      </c>
      <c r="AO237" s="474" t="str">
        <f t="shared" ca="1" si="51"/>
        <v/>
      </c>
      <c r="AP237" s="475" t="str">
        <f t="shared" ca="1" si="51"/>
        <v/>
      </c>
      <c r="AQ237" s="479" t="str">
        <f t="array" aca="1" ref="AQ237" ca="1">IF(ROW()-5&lt;=COUNTIF(科目编号,$AR$2),SMALL(IF(科目编号=$AR$2,ROW(科目编号),""),ROW()-5),"")</f>
        <v/>
      </c>
      <c r="AR237" s="480" t="str">
        <f ca="1">IF($BG$2=0,"",IF(AR236="本月合计","本年累计",IF(OR(ROW()=$AU$3,ROW()=$AV$3,ROW()=$AW$3,ROW()=$AX$3,ROW()=$AY$3,ROW()=$AZ$3,ROW()=$BA$3,ROW()=$BB$3,ROW()=$BC$3,ROW()=$BD$3,ROW()=$BE$3,ROW()=$BF$3),"本月合计",IF(ROW()&lt;7,$AQ$6,OFFSET($AQ$6,COUNT($AR$6:AR236),0)))))</f>
        <v/>
      </c>
    </row>
    <row r="238" spans="1:44">
      <c r="A238" s="469" t="str">
        <f ca="1">IFERROR(INDEX(凭证录入!A:A,$AR238),"")</f>
        <v/>
      </c>
      <c r="B238" s="469" t="str">
        <f ca="1">IFERROR(INDEX(凭证录入!B:B,$AR238),"")</f>
        <v/>
      </c>
      <c r="C238" s="470" t="str">
        <f ca="1">IFERROR(INDEX(凭证录入!G:G,$AR238),"")</f>
        <v/>
      </c>
      <c r="D238" s="471" t="str">
        <f ca="1">IFERROR(INDEX(凭证录入!F:F,$AR238),"")</f>
        <v/>
      </c>
      <c r="E238" s="472" t="str">
        <f ca="1">IFERROR(INDEX(凭证录入!H:H,$AR238),$AR238)</f>
        <v/>
      </c>
      <c r="F238" s="473">
        <f ca="1">IF(OR($BG$2=0,$AR238=""),,IF($AR238="本月合计",IF(ROW()=$BG$3,SUM($F$6:$F237),SUM(INDIRECT("$F$"&amp;OFFSET($AU$3,,MATCH(ROW(),$AU$3:$BF$3,)-2)+2&amp;":$E"&amp;ROW()-1))),IF($AR238="本年累计",SUMIF($AR$6:$AR238,"本月合计",$F$6:$F237),INDEX(凭证录入!K:K,$AR238))))</f>
        <v>0</v>
      </c>
      <c r="G238" s="459" t="str">
        <f t="shared" ca="1" si="52"/>
        <v/>
      </c>
      <c r="H238" s="460" t="str">
        <f t="shared" ca="1" si="52"/>
        <v/>
      </c>
      <c r="I238" s="460" t="str">
        <f t="shared" ca="1" si="52"/>
        <v/>
      </c>
      <c r="J238" s="460" t="str">
        <f t="shared" ca="1" si="52"/>
        <v/>
      </c>
      <c r="K238" s="460" t="str">
        <f t="shared" ca="1" si="52"/>
        <v/>
      </c>
      <c r="L238" s="460" t="str">
        <f t="shared" ca="1" si="52"/>
        <v/>
      </c>
      <c r="M238" s="460" t="str">
        <f t="shared" ca="1" si="52"/>
        <v/>
      </c>
      <c r="N238" s="460" t="str">
        <f t="shared" ca="1" si="52"/>
        <v/>
      </c>
      <c r="O238" s="461" t="str">
        <f t="shared" ca="1" si="52"/>
        <v/>
      </c>
      <c r="P238" s="474" t="str">
        <f t="shared" ca="1" si="52"/>
        <v/>
      </c>
      <c r="Q238" s="475" t="str">
        <f t="shared" ca="1" si="52"/>
        <v/>
      </c>
      <c r="R238" s="476">
        <f ca="1">IF(OR($BG$2=0,$AR238=""),,IF($AR238="本月合计",IF(ROW()=$BG$3,SUM($R$6:$R237),SUM(INDIRECT("$R$"&amp;OFFSET($AU$3,,MATCH(ROW(),$AU$3:$BF$3,)-2)+2&amp;":$R"&amp;ROW()-1))),IF($AR238="本年累计",SUMIF($AR$6:$AR238,"本月合计",$R$6:$R237),INDEX(凭证录入!L:L,$AR238))))</f>
        <v>0</v>
      </c>
      <c r="S238" s="459" t="str">
        <f t="shared" ca="1" si="53"/>
        <v/>
      </c>
      <c r="T238" s="460" t="str">
        <f t="shared" ca="1" si="53"/>
        <v/>
      </c>
      <c r="U238" s="460" t="str">
        <f t="shared" ca="1" si="53"/>
        <v/>
      </c>
      <c r="V238" s="460" t="str">
        <f t="shared" ca="1" si="53"/>
        <v/>
      </c>
      <c r="W238" s="460" t="str">
        <f t="shared" ca="1" si="53"/>
        <v/>
      </c>
      <c r="X238" s="460" t="str">
        <f t="shared" ca="1" si="53"/>
        <v/>
      </c>
      <c r="Y238" s="460" t="str">
        <f t="shared" ca="1" si="53"/>
        <v/>
      </c>
      <c r="Z238" s="460" t="str">
        <f t="shared" ca="1" si="53"/>
        <v/>
      </c>
      <c r="AA238" s="461" t="str">
        <f t="shared" ca="1" si="53"/>
        <v/>
      </c>
      <c r="AB238" s="474" t="str">
        <f t="shared" ca="1" si="53"/>
        <v/>
      </c>
      <c r="AC238" s="475" t="str">
        <f t="shared" ca="1" si="53"/>
        <v/>
      </c>
      <c r="AD238" s="477" t="str">
        <f t="shared" ca="1" si="46"/>
        <v/>
      </c>
      <c r="AE238" s="478">
        <f t="shared" ca="1" si="47"/>
        <v>0</v>
      </c>
      <c r="AF238" s="459" t="str">
        <f t="shared" ca="1" si="51"/>
        <v/>
      </c>
      <c r="AG238" s="460" t="str">
        <f t="shared" ca="1" si="51"/>
        <v/>
      </c>
      <c r="AH238" s="460" t="str">
        <f t="shared" ca="1" si="51"/>
        <v/>
      </c>
      <c r="AI238" s="460" t="str">
        <f t="shared" ca="1" si="51"/>
        <v/>
      </c>
      <c r="AJ238" s="460" t="str">
        <f t="shared" ca="1" si="51"/>
        <v/>
      </c>
      <c r="AK238" s="460" t="str">
        <f t="shared" ca="1" si="51"/>
        <v/>
      </c>
      <c r="AL238" s="460" t="str">
        <f t="shared" ca="1" si="51"/>
        <v/>
      </c>
      <c r="AM238" s="460" t="str">
        <f t="shared" ca="1" si="51"/>
        <v/>
      </c>
      <c r="AN238" s="461" t="str">
        <f t="shared" ca="1" si="51"/>
        <v/>
      </c>
      <c r="AO238" s="474" t="str">
        <f t="shared" ca="1" si="51"/>
        <v/>
      </c>
      <c r="AP238" s="475" t="str">
        <f t="shared" ca="1" si="51"/>
        <v/>
      </c>
      <c r="AQ238" s="479" t="str">
        <f t="array" aca="1" ref="AQ238" ca="1">IF(ROW()-5&lt;=COUNTIF(科目编号,$AR$2),SMALL(IF(科目编号=$AR$2,ROW(科目编号),""),ROW()-5),"")</f>
        <v/>
      </c>
      <c r="AR238" s="480" t="str">
        <f ca="1">IF($BG$2=0,"",IF(AR237="本月合计","本年累计",IF(OR(ROW()=$AU$3,ROW()=$AV$3,ROW()=$AW$3,ROW()=$AX$3,ROW()=$AY$3,ROW()=$AZ$3,ROW()=$BA$3,ROW()=$BB$3,ROW()=$BC$3,ROW()=$BD$3,ROW()=$BE$3,ROW()=$BF$3),"本月合计",IF(ROW()&lt;7,$AQ$6,OFFSET($AQ$6,COUNT($AR$6:AR237),0)))))</f>
        <v/>
      </c>
    </row>
    <row r="239" spans="1:44">
      <c r="A239" s="469" t="str">
        <f ca="1">IFERROR(INDEX(凭证录入!A:A,$AR239),"")</f>
        <v/>
      </c>
      <c r="B239" s="469" t="str">
        <f ca="1">IFERROR(INDEX(凭证录入!B:B,$AR239),"")</f>
        <v/>
      </c>
      <c r="C239" s="470" t="str">
        <f ca="1">IFERROR(INDEX(凭证录入!G:G,$AR239),"")</f>
        <v/>
      </c>
      <c r="D239" s="471" t="str">
        <f ca="1">IFERROR(INDEX(凭证录入!F:F,$AR239),"")</f>
        <v/>
      </c>
      <c r="E239" s="472" t="str">
        <f ca="1">IFERROR(INDEX(凭证录入!H:H,$AR239),$AR239)</f>
        <v/>
      </c>
      <c r="F239" s="473">
        <f ca="1">IF(OR($BG$2=0,$AR239=""),,IF($AR239="本月合计",IF(ROW()=$BG$3,SUM($F$6:$F238),SUM(INDIRECT("$F$"&amp;OFFSET($AU$3,,MATCH(ROW(),$AU$3:$BF$3,)-2)+2&amp;":$E"&amp;ROW()-1))),IF($AR239="本年累计",SUMIF($AR$6:$AR239,"本月合计",$F$6:$F238),INDEX(凭证录入!K:K,$AR239))))</f>
        <v>0</v>
      </c>
      <c r="G239" s="459" t="str">
        <f t="shared" ca="1" si="52"/>
        <v/>
      </c>
      <c r="H239" s="460" t="str">
        <f t="shared" ca="1" si="52"/>
        <v/>
      </c>
      <c r="I239" s="460" t="str">
        <f t="shared" ca="1" si="52"/>
        <v/>
      </c>
      <c r="J239" s="460" t="str">
        <f t="shared" ca="1" si="52"/>
        <v/>
      </c>
      <c r="K239" s="460" t="str">
        <f t="shared" ca="1" si="52"/>
        <v/>
      </c>
      <c r="L239" s="460" t="str">
        <f t="shared" ca="1" si="52"/>
        <v/>
      </c>
      <c r="M239" s="460" t="str">
        <f t="shared" ca="1" si="52"/>
        <v/>
      </c>
      <c r="N239" s="460" t="str">
        <f t="shared" ca="1" si="52"/>
        <v/>
      </c>
      <c r="O239" s="461" t="str">
        <f t="shared" ca="1" si="52"/>
        <v/>
      </c>
      <c r="P239" s="474" t="str">
        <f t="shared" ca="1" si="52"/>
        <v/>
      </c>
      <c r="Q239" s="475" t="str">
        <f t="shared" ca="1" si="52"/>
        <v/>
      </c>
      <c r="R239" s="476">
        <f ca="1">IF(OR($BG$2=0,$AR239=""),,IF($AR239="本月合计",IF(ROW()=$BG$3,SUM($R$6:$R238),SUM(INDIRECT("$R$"&amp;OFFSET($AU$3,,MATCH(ROW(),$AU$3:$BF$3,)-2)+2&amp;":$R"&amp;ROW()-1))),IF($AR239="本年累计",SUMIF($AR$6:$AR239,"本月合计",$R$6:$R238),INDEX(凭证录入!L:L,$AR239))))</f>
        <v>0</v>
      </c>
      <c r="S239" s="459" t="str">
        <f t="shared" ca="1" si="53"/>
        <v/>
      </c>
      <c r="T239" s="460" t="str">
        <f t="shared" ca="1" si="53"/>
        <v/>
      </c>
      <c r="U239" s="460" t="str">
        <f t="shared" ca="1" si="53"/>
        <v/>
      </c>
      <c r="V239" s="460" t="str">
        <f t="shared" ca="1" si="53"/>
        <v/>
      </c>
      <c r="W239" s="460" t="str">
        <f t="shared" ca="1" si="53"/>
        <v/>
      </c>
      <c r="X239" s="460" t="str">
        <f t="shared" ca="1" si="53"/>
        <v/>
      </c>
      <c r="Y239" s="460" t="str">
        <f t="shared" ca="1" si="53"/>
        <v/>
      </c>
      <c r="Z239" s="460" t="str">
        <f t="shared" ca="1" si="53"/>
        <v/>
      </c>
      <c r="AA239" s="461" t="str">
        <f t="shared" ca="1" si="53"/>
        <v/>
      </c>
      <c r="AB239" s="474" t="str">
        <f t="shared" ca="1" si="53"/>
        <v/>
      </c>
      <c r="AC239" s="475" t="str">
        <f t="shared" ca="1" si="53"/>
        <v/>
      </c>
      <c r="AD239" s="477" t="str">
        <f t="shared" ca="1" si="46"/>
        <v/>
      </c>
      <c r="AE239" s="478">
        <f t="shared" ca="1" si="47"/>
        <v>0</v>
      </c>
      <c r="AF239" s="459" t="str">
        <f t="shared" ca="1" si="51"/>
        <v/>
      </c>
      <c r="AG239" s="460" t="str">
        <f t="shared" ca="1" si="51"/>
        <v/>
      </c>
      <c r="AH239" s="460" t="str">
        <f t="shared" ca="1" si="51"/>
        <v/>
      </c>
      <c r="AI239" s="460" t="str">
        <f t="shared" ca="1" si="51"/>
        <v/>
      </c>
      <c r="AJ239" s="460" t="str">
        <f t="shared" ca="1" si="51"/>
        <v/>
      </c>
      <c r="AK239" s="460" t="str">
        <f t="shared" ca="1" si="51"/>
        <v/>
      </c>
      <c r="AL239" s="460" t="str">
        <f t="shared" ca="1" si="51"/>
        <v/>
      </c>
      <c r="AM239" s="460" t="str">
        <f t="shared" ca="1" si="51"/>
        <v/>
      </c>
      <c r="AN239" s="461" t="str">
        <f t="shared" ca="1" si="51"/>
        <v/>
      </c>
      <c r="AO239" s="474" t="str">
        <f t="shared" ca="1" si="51"/>
        <v/>
      </c>
      <c r="AP239" s="475" t="str">
        <f t="shared" ca="1" si="51"/>
        <v/>
      </c>
      <c r="AQ239" s="479" t="str">
        <f t="array" aca="1" ref="AQ239" ca="1">IF(ROW()-5&lt;=COUNTIF(科目编号,$AR$2),SMALL(IF(科目编号=$AR$2,ROW(科目编号),""),ROW()-5),"")</f>
        <v/>
      </c>
      <c r="AR239" s="480" t="str">
        <f ca="1">IF($BG$2=0,"",IF(AR238="本月合计","本年累计",IF(OR(ROW()=$AU$3,ROW()=$AV$3,ROW()=$AW$3,ROW()=$AX$3,ROW()=$AY$3,ROW()=$AZ$3,ROW()=$BA$3,ROW()=$BB$3,ROW()=$BC$3,ROW()=$BD$3,ROW()=$BE$3,ROW()=$BF$3),"本月合计",IF(ROW()&lt;7,$AQ$6,OFFSET($AQ$6,COUNT($AR$6:AR238),0)))))</f>
        <v/>
      </c>
    </row>
    <row r="240" spans="1:44">
      <c r="A240" s="469" t="str">
        <f ca="1">IFERROR(INDEX(凭证录入!A:A,$AR240),"")</f>
        <v/>
      </c>
      <c r="B240" s="469" t="str">
        <f ca="1">IFERROR(INDEX(凭证录入!B:B,$AR240),"")</f>
        <v/>
      </c>
      <c r="C240" s="470" t="str">
        <f ca="1">IFERROR(INDEX(凭证录入!G:G,$AR240),"")</f>
        <v/>
      </c>
      <c r="D240" s="471" t="str">
        <f ca="1">IFERROR(INDEX(凭证录入!F:F,$AR240),"")</f>
        <v/>
      </c>
      <c r="E240" s="472" t="str">
        <f ca="1">IFERROR(INDEX(凭证录入!H:H,$AR240),$AR240)</f>
        <v/>
      </c>
      <c r="F240" s="473">
        <f ca="1">IF(OR($BG$2=0,$AR240=""),,IF($AR240="本月合计",IF(ROW()=$BG$3,SUM($F$6:$F239),SUM(INDIRECT("$F$"&amp;OFFSET($AU$3,,MATCH(ROW(),$AU$3:$BF$3,)-2)+2&amp;":$E"&amp;ROW()-1))),IF($AR240="本年累计",SUMIF($AR$6:$AR240,"本月合计",$F$6:$F239),INDEX(凭证录入!K:K,$AR240))))</f>
        <v>0</v>
      </c>
      <c r="G240" s="459" t="str">
        <f t="shared" ca="1" si="52"/>
        <v/>
      </c>
      <c r="H240" s="460" t="str">
        <f t="shared" ca="1" si="52"/>
        <v/>
      </c>
      <c r="I240" s="460" t="str">
        <f t="shared" ca="1" si="52"/>
        <v/>
      </c>
      <c r="J240" s="460" t="str">
        <f t="shared" ca="1" si="52"/>
        <v/>
      </c>
      <c r="K240" s="460" t="str">
        <f t="shared" ca="1" si="52"/>
        <v/>
      </c>
      <c r="L240" s="460" t="str">
        <f t="shared" ca="1" si="52"/>
        <v/>
      </c>
      <c r="M240" s="460" t="str">
        <f t="shared" ca="1" si="52"/>
        <v/>
      </c>
      <c r="N240" s="460" t="str">
        <f t="shared" ca="1" si="52"/>
        <v/>
      </c>
      <c r="O240" s="461" t="str">
        <f t="shared" ca="1" si="52"/>
        <v/>
      </c>
      <c r="P240" s="474" t="str">
        <f t="shared" ca="1" si="52"/>
        <v/>
      </c>
      <c r="Q240" s="475" t="str">
        <f t="shared" ca="1" si="52"/>
        <v/>
      </c>
      <c r="R240" s="476">
        <f ca="1">IF(OR($BG$2=0,$AR240=""),,IF($AR240="本月合计",IF(ROW()=$BG$3,SUM($R$6:$R239),SUM(INDIRECT("$R$"&amp;OFFSET($AU$3,,MATCH(ROW(),$AU$3:$BF$3,)-2)+2&amp;":$R"&amp;ROW()-1))),IF($AR240="本年累计",SUMIF($AR$6:$AR240,"本月合计",$R$6:$R239),INDEX(凭证录入!L:L,$AR240))))</f>
        <v>0</v>
      </c>
      <c r="S240" s="459" t="str">
        <f t="shared" ca="1" si="53"/>
        <v/>
      </c>
      <c r="T240" s="460" t="str">
        <f t="shared" ca="1" si="53"/>
        <v/>
      </c>
      <c r="U240" s="460" t="str">
        <f t="shared" ca="1" si="53"/>
        <v/>
      </c>
      <c r="V240" s="460" t="str">
        <f t="shared" ca="1" si="53"/>
        <v/>
      </c>
      <c r="W240" s="460" t="str">
        <f t="shared" ca="1" si="53"/>
        <v/>
      </c>
      <c r="X240" s="460" t="str">
        <f t="shared" ca="1" si="53"/>
        <v/>
      </c>
      <c r="Y240" s="460" t="str">
        <f t="shared" ca="1" si="53"/>
        <v/>
      </c>
      <c r="Z240" s="460" t="str">
        <f t="shared" ca="1" si="53"/>
        <v/>
      </c>
      <c r="AA240" s="461" t="str">
        <f t="shared" ca="1" si="53"/>
        <v/>
      </c>
      <c r="AB240" s="474" t="str">
        <f t="shared" ca="1" si="53"/>
        <v/>
      </c>
      <c r="AC240" s="475" t="str">
        <f t="shared" ca="1" si="53"/>
        <v/>
      </c>
      <c r="AD240" s="477" t="str">
        <f t="shared" ca="1" si="46"/>
        <v/>
      </c>
      <c r="AE240" s="478">
        <f t="shared" ca="1" si="47"/>
        <v>0</v>
      </c>
      <c r="AF240" s="459" t="str">
        <f t="shared" ca="1" si="51"/>
        <v/>
      </c>
      <c r="AG240" s="460" t="str">
        <f t="shared" ca="1" si="51"/>
        <v/>
      </c>
      <c r="AH240" s="460" t="str">
        <f t="shared" ca="1" si="51"/>
        <v/>
      </c>
      <c r="AI240" s="460" t="str">
        <f t="shared" ca="1" si="51"/>
        <v/>
      </c>
      <c r="AJ240" s="460" t="str">
        <f t="shared" ca="1" si="51"/>
        <v/>
      </c>
      <c r="AK240" s="460" t="str">
        <f t="shared" ca="1" si="51"/>
        <v/>
      </c>
      <c r="AL240" s="460" t="str">
        <f t="shared" ca="1" si="51"/>
        <v/>
      </c>
      <c r="AM240" s="460" t="str">
        <f t="shared" ca="1" si="51"/>
        <v/>
      </c>
      <c r="AN240" s="461" t="str">
        <f t="shared" ca="1" si="51"/>
        <v/>
      </c>
      <c r="AO240" s="474" t="str">
        <f t="shared" ca="1" si="51"/>
        <v/>
      </c>
      <c r="AP240" s="475" t="str">
        <f t="shared" ca="1" si="51"/>
        <v/>
      </c>
      <c r="AQ240" s="479" t="str">
        <f t="array" aca="1" ref="AQ240" ca="1">IF(ROW()-5&lt;=COUNTIF(科目编号,$AR$2),SMALL(IF(科目编号=$AR$2,ROW(科目编号),""),ROW()-5),"")</f>
        <v/>
      </c>
      <c r="AR240" s="480" t="str">
        <f ca="1">IF($BG$2=0,"",IF(AR239="本月合计","本年累计",IF(OR(ROW()=$AU$3,ROW()=$AV$3,ROW()=$AW$3,ROW()=$AX$3,ROW()=$AY$3,ROW()=$AZ$3,ROW()=$BA$3,ROW()=$BB$3,ROW()=$BC$3,ROW()=$BD$3,ROW()=$BE$3,ROW()=$BF$3),"本月合计",IF(ROW()&lt;7,$AQ$6,OFFSET($AQ$6,COUNT($AR$6:AR239),0)))))</f>
        <v/>
      </c>
    </row>
    <row r="241" spans="1:44">
      <c r="A241" s="469" t="str">
        <f ca="1">IFERROR(INDEX(凭证录入!A:A,$AR241),"")</f>
        <v/>
      </c>
      <c r="B241" s="469" t="str">
        <f ca="1">IFERROR(INDEX(凭证录入!B:B,$AR241),"")</f>
        <v/>
      </c>
      <c r="C241" s="470" t="str">
        <f ca="1">IFERROR(INDEX(凭证录入!G:G,$AR241),"")</f>
        <v/>
      </c>
      <c r="D241" s="471" t="str">
        <f ca="1">IFERROR(INDEX(凭证录入!F:F,$AR241),"")</f>
        <v/>
      </c>
      <c r="E241" s="472" t="str">
        <f ca="1">IFERROR(INDEX(凭证录入!H:H,$AR241),$AR241)</f>
        <v/>
      </c>
      <c r="F241" s="473">
        <f ca="1">IF(OR($BG$2=0,$AR241=""),,IF($AR241="本月合计",IF(ROW()=$BG$3,SUM($F$6:$F240),SUM(INDIRECT("$F$"&amp;OFFSET($AU$3,,MATCH(ROW(),$AU$3:$BF$3,)-2)+2&amp;":$E"&amp;ROW()-1))),IF($AR241="本年累计",SUMIF($AR$6:$AR241,"本月合计",$F$6:$F240),INDEX(凭证录入!K:K,$AR241))))</f>
        <v>0</v>
      </c>
      <c r="G241" s="459" t="str">
        <f t="shared" ca="1" si="52"/>
        <v/>
      </c>
      <c r="H241" s="460" t="str">
        <f t="shared" ca="1" si="52"/>
        <v/>
      </c>
      <c r="I241" s="460" t="str">
        <f t="shared" ca="1" si="52"/>
        <v/>
      </c>
      <c r="J241" s="460" t="str">
        <f t="shared" ca="1" si="52"/>
        <v/>
      </c>
      <c r="K241" s="460" t="str">
        <f t="shared" ca="1" si="52"/>
        <v/>
      </c>
      <c r="L241" s="460" t="str">
        <f t="shared" ca="1" si="52"/>
        <v/>
      </c>
      <c r="M241" s="460" t="str">
        <f t="shared" ca="1" si="52"/>
        <v/>
      </c>
      <c r="N241" s="460" t="str">
        <f t="shared" ca="1" si="52"/>
        <v/>
      </c>
      <c r="O241" s="461" t="str">
        <f t="shared" ca="1" si="52"/>
        <v/>
      </c>
      <c r="P241" s="474" t="str">
        <f t="shared" ca="1" si="52"/>
        <v/>
      </c>
      <c r="Q241" s="475" t="str">
        <f t="shared" ca="1" si="52"/>
        <v/>
      </c>
      <c r="R241" s="476">
        <f ca="1">IF(OR($BG$2=0,$AR241=""),,IF($AR241="本月合计",IF(ROW()=$BG$3,SUM($R$6:$R240),SUM(INDIRECT("$R$"&amp;OFFSET($AU$3,,MATCH(ROW(),$AU$3:$BF$3,)-2)+2&amp;":$R"&amp;ROW()-1))),IF($AR241="本年累计",SUMIF($AR$6:$AR241,"本月合计",$R$6:$R240),INDEX(凭证录入!L:L,$AR241))))</f>
        <v>0</v>
      </c>
      <c r="S241" s="459" t="str">
        <f t="shared" ca="1" si="53"/>
        <v/>
      </c>
      <c r="T241" s="460" t="str">
        <f t="shared" ca="1" si="53"/>
        <v/>
      </c>
      <c r="U241" s="460" t="str">
        <f t="shared" ca="1" si="53"/>
        <v/>
      </c>
      <c r="V241" s="460" t="str">
        <f t="shared" ca="1" si="53"/>
        <v/>
      </c>
      <c r="W241" s="460" t="str">
        <f t="shared" ca="1" si="53"/>
        <v/>
      </c>
      <c r="X241" s="460" t="str">
        <f t="shared" ca="1" si="53"/>
        <v/>
      </c>
      <c r="Y241" s="460" t="str">
        <f t="shared" ca="1" si="53"/>
        <v/>
      </c>
      <c r="Z241" s="460" t="str">
        <f t="shared" ca="1" si="53"/>
        <v/>
      </c>
      <c r="AA241" s="461" t="str">
        <f t="shared" ca="1" si="53"/>
        <v/>
      </c>
      <c r="AB241" s="474" t="str">
        <f t="shared" ca="1" si="53"/>
        <v/>
      </c>
      <c r="AC241" s="475" t="str">
        <f t="shared" ca="1" si="53"/>
        <v/>
      </c>
      <c r="AD241" s="477" t="str">
        <f t="shared" ca="1" si="46"/>
        <v/>
      </c>
      <c r="AE241" s="478">
        <f t="shared" ca="1" si="47"/>
        <v>0</v>
      </c>
      <c r="AF241" s="459" t="str">
        <f t="shared" ca="1" si="51"/>
        <v/>
      </c>
      <c r="AG241" s="460" t="str">
        <f t="shared" ca="1" si="51"/>
        <v/>
      </c>
      <c r="AH241" s="460" t="str">
        <f t="shared" ca="1" si="51"/>
        <v/>
      </c>
      <c r="AI241" s="460" t="str">
        <f t="shared" ca="1" si="51"/>
        <v/>
      </c>
      <c r="AJ241" s="460" t="str">
        <f t="shared" ca="1" si="51"/>
        <v/>
      </c>
      <c r="AK241" s="460" t="str">
        <f t="shared" ca="1" si="51"/>
        <v/>
      </c>
      <c r="AL241" s="460" t="str">
        <f t="shared" ca="1" si="51"/>
        <v/>
      </c>
      <c r="AM241" s="460" t="str">
        <f t="shared" ca="1" si="51"/>
        <v/>
      </c>
      <c r="AN241" s="461" t="str">
        <f t="shared" ca="1" si="51"/>
        <v/>
      </c>
      <c r="AO241" s="474" t="str">
        <f t="shared" ca="1" si="51"/>
        <v/>
      </c>
      <c r="AP241" s="475" t="str">
        <f t="shared" ca="1" si="51"/>
        <v/>
      </c>
      <c r="AQ241" s="479" t="str">
        <f t="array" aca="1" ref="AQ241" ca="1">IF(ROW()-5&lt;=COUNTIF(科目编号,$AR$2),SMALL(IF(科目编号=$AR$2,ROW(科目编号),""),ROW()-5),"")</f>
        <v/>
      </c>
      <c r="AR241" s="480" t="str">
        <f ca="1">IF($BG$2=0,"",IF(AR240="本月合计","本年累计",IF(OR(ROW()=$AU$3,ROW()=$AV$3,ROW()=$AW$3,ROW()=$AX$3,ROW()=$AY$3,ROW()=$AZ$3,ROW()=$BA$3,ROW()=$BB$3,ROW()=$BC$3,ROW()=$BD$3,ROW()=$BE$3,ROW()=$BF$3),"本月合计",IF(ROW()&lt;7,$AQ$6,OFFSET($AQ$6,COUNT($AR$6:AR240),0)))))</f>
        <v/>
      </c>
    </row>
    <row r="242" spans="1:44">
      <c r="A242" s="469" t="str">
        <f ca="1">IFERROR(INDEX(凭证录入!A:A,$AR242),"")</f>
        <v/>
      </c>
      <c r="B242" s="469" t="str">
        <f ca="1">IFERROR(INDEX(凭证录入!B:B,$AR242),"")</f>
        <v/>
      </c>
      <c r="C242" s="470" t="str">
        <f ca="1">IFERROR(INDEX(凭证录入!G:G,$AR242),"")</f>
        <v/>
      </c>
      <c r="D242" s="471" t="str">
        <f ca="1">IFERROR(INDEX(凭证录入!F:F,$AR242),"")</f>
        <v/>
      </c>
      <c r="E242" s="472" t="str">
        <f ca="1">IFERROR(INDEX(凭证录入!H:H,$AR242),$AR242)</f>
        <v/>
      </c>
      <c r="F242" s="473">
        <f ca="1">IF(OR($BG$2=0,$AR242=""),,IF($AR242="本月合计",IF(ROW()=$BG$3,SUM($F$6:$F241),SUM(INDIRECT("$F$"&amp;OFFSET($AU$3,,MATCH(ROW(),$AU$3:$BF$3,)-2)+2&amp;":$E"&amp;ROW()-1))),IF($AR242="本年累计",SUMIF($AR$6:$AR242,"本月合计",$F$6:$F241),INDEX(凭证录入!K:K,$AR242))))</f>
        <v>0</v>
      </c>
      <c r="G242" s="459" t="str">
        <f t="shared" ca="1" si="52"/>
        <v/>
      </c>
      <c r="H242" s="460" t="str">
        <f t="shared" ca="1" si="52"/>
        <v/>
      </c>
      <c r="I242" s="460" t="str">
        <f t="shared" ca="1" si="52"/>
        <v/>
      </c>
      <c r="J242" s="460" t="str">
        <f t="shared" ca="1" si="52"/>
        <v/>
      </c>
      <c r="K242" s="460" t="str">
        <f t="shared" ca="1" si="52"/>
        <v/>
      </c>
      <c r="L242" s="460" t="str">
        <f t="shared" ca="1" si="52"/>
        <v/>
      </c>
      <c r="M242" s="460" t="str">
        <f t="shared" ca="1" si="52"/>
        <v/>
      </c>
      <c r="N242" s="460" t="str">
        <f t="shared" ca="1" si="52"/>
        <v/>
      </c>
      <c r="O242" s="461" t="str">
        <f t="shared" ca="1" si="52"/>
        <v/>
      </c>
      <c r="P242" s="474" t="str">
        <f t="shared" ca="1" si="52"/>
        <v/>
      </c>
      <c r="Q242" s="475" t="str">
        <f t="shared" ca="1" si="52"/>
        <v/>
      </c>
      <c r="R242" s="476">
        <f ca="1">IF(OR($BG$2=0,$AR242=""),,IF($AR242="本月合计",IF(ROW()=$BG$3,SUM($R$6:$R241),SUM(INDIRECT("$R$"&amp;OFFSET($AU$3,,MATCH(ROW(),$AU$3:$BF$3,)-2)+2&amp;":$R"&amp;ROW()-1))),IF($AR242="本年累计",SUMIF($AR$6:$AR242,"本月合计",$R$6:$R241),INDEX(凭证录入!L:L,$AR242))))</f>
        <v>0</v>
      </c>
      <c r="S242" s="459" t="str">
        <f t="shared" ca="1" si="53"/>
        <v/>
      </c>
      <c r="T242" s="460" t="str">
        <f t="shared" ca="1" si="53"/>
        <v/>
      </c>
      <c r="U242" s="460" t="str">
        <f t="shared" ca="1" si="53"/>
        <v/>
      </c>
      <c r="V242" s="460" t="str">
        <f t="shared" ca="1" si="53"/>
        <v/>
      </c>
      <c r="W242" s="460" t="str">
        <f t="shared" ca="1" si="53"/>
        <v/>
      </c>
      <c r="X242" s="460" t="str">
        <f t="shared" ca="1" si="53"/>
        <v/>
      </c>
      <c r="Y242" s="460" t="str">
        <f t="shared" ca="1" si="53"/>
        <v/>
      </c>
      <c r="Z242" s="460" t="str">
        <f t="shared" ca="1" si="53"/>
        <v/>
      </c>
      <c r="AA242" s="461" t="str">
        <f t="shared" ca="1" si="53"/>
        <v/>
      </c>
      <c r="AB242" s="474" t="str">
        <f t="shared" ca="1" si="53"/>
        <v/>
      </c>
      <c r="AC242" s="475" t="str">
        <f t="shared" ca="1" si="53"/>
        <v/>
      </c>
      <c r="AD242" s="477" t="str">
        <f t="shared" ca="1" si="46"/>
        <v/>
      </c>
      <c r="AE242" s="478">
        <f t="shared" ca="1" si="47"/>
        <v>0</v>
      </c>
      <c r="AF242" s="459" t="str">
        <f t="shared" ca="1" si="51"/>
        <v/>
      </c>
      <c r="AG242" s="460" t="str">
        <f t="shared" ca="1" si="51"/>
        <v/>
      </c>
      <c r="AH242" s="460" t="str">
        <f t="shared" ca="1" si="51"/>
        <v/>
      </c>
      <c r="AI242" s="460" t="str">
        <f t="shared" ca="1" si="51"/>
        <v/>
      </c>
      <c r="AJ242" s="460" t="str">
        <f t="shared" ca="1" si="51"/>
        <v/>
      </c>
      <c r="AK242" s="460" t="str">
        <f t="shared" ca="1" si="51"/>
        <v/>
      </c>
      <c r="AL242" s="460" t="str">
        <f t="shared" ca="1" si="51"/>
        <v/>
      </c>
      <c r="AM242" s="460" t="str">
        <f t="shared" ca="1" si="51"/>
        <v/>
      </c>
      <c r="AN242" s="461" t="str">
        <f t="shared" ca="1" si="51"/>
        <v/>
      </c>
      <c r="AO242" s="474" t="str">
        <f t="shared" ca="1" si="51"/>
        <v/>
      </c>
      <c r="AP242" s="475" t="str">
        <f t="shared" ca="1" si="51"/>
        <v/>
      </c>
      <c r="AQ242" s="479" t="str">
        <f t="array" aca="1" ref="AQ242" ca="1">IF(ROW()-5&lt;=COUNTIF(科目编号,$AR$2),SMALL(IF(科目编号=$AR$2,ROW(科目编号),""),ROW()-5),"")</f>
        <v/>
      </c>
      <c r="AR242" s="480" t="str">
        <f ca="1">IF($BG$2=0,"",IF(AR241="本月合计","本年累计",IF(OR(ROW()=$AU$3,ROW()=$AV$3,ROW()=$AW$3,ROW()=$AX$3,ROW()=$AY$3,ROW()=$AZ$3,ROW()=$BA$3,ROW()=$BB$3,ROW()=$BC$3,ROW()=$BD$3,ROW()=$BE$3,ROW()=$BF$3),"本月合计",IF(ROW()&lt;7,$AQ$6,OFFSET($AQ$6,COUNT($AR$6:AR241),0)))))</f>
        <v/>
      </c>
    </row>
    <row r="243" spans="1:44">
      <c r="A243" s="469" t="str">
        <f ca="1">IFERROR(INDEX(凭证录入!A:A,$AR243),"")</f>
        <v/>
      </c>
      <c r="B243" s="469" t="str">
        <f ca="1">IFERROR(INDEX(凭证录入!B:B,$AR243),"")</f>
        <v/>
      </c>
      <c r="C243" s="470" t="str">
        <f ca="1">IFERROR(INDEX(凭证录入!G:G,$AR243),"")</f>
        <v/>
      </c>
      <c r="D243" s="471" t="str">
        <f ca="1">IFERROR(INDEX(凭证录入!F:F,$AR243),"")</f>
        <v/>
      </c>
      <c r="E243" s="472" t="str">
        <f ca="1">IFERROR(INDEX(凭证录入!H:H,$AR243),$AR243)</f>
        <v/>
      </c>
      <c r="F243" s="473">
        <f ca="1">IF(OR($BG$2=0,$AR243=""),,IF($AR243="本月合计",IF(ROW()=$BG$3,SUM($F$6:$F242),SUM(INDIRECT("$F$"&amp;OFFSET($AU$3,,MATCH(ROW(),$AU$3:$BF$3,)-2)+2&amp;":$E"&amp;ROW()-1))),IF($AR243="本年累计",SUMIF($AR$6:$AR243,"本月合计",$F$6:$F242),INDEX(凭证录入!K:K,$AR243))))</f>
        <v>0</v>
      </c>
      <c r="G243" s="459" t="str">
        <f t="shared" ca="1" si="52"/>
        <v/>
      </c>
      <c r="H243" s="460" t="str">
        <f t="shared" ca="1" si="52"/>
        <v/>
      </c>
      <c r="I243" s="460" t="str">
        <f t="shared" ca="1" si="52"/>
        <v/>
      </c>
      <c r="J243" s="460" t="str">
        <f t="shared" ca="1" si="52"/>
        <v/>
      </c>
      <c r="K243" s="460" t="str">
        <f t="shared" ca="1" si="52"/>
        <v/>
      </c>
      <c r="L243" s="460" t="str">
        <f t="shared" ca="1" si="52"/>
        <v/>
      </c>
      <c r="M243" s="460" t="str">
        <f t="shared" ca="1" si="52"/>
        <v/>
      </c>
      <c r="N243" s="460" t="str">
        <f t="shared" ca="1" si="52"/>
        <v/>
      </c>
      <c r="O243" s="461" t="str">
        <f t="shared" ca="1" si="52"/>
        <v/>
      </c>
      <c r="P243" s="474" t="str">
        <f t="shared" ca="1" si="52"/>
        <v/>
      </c>
      <c r="Q243" s="475" t="str">
        <f t="shared" ca="1" si="52"/>
        <v/>
      </c>
      <c r="R243" s="476">
        <f ca="1">IF(OR($BG$2=0,$AR243=""),,IF($AR243="本月合计",IF(ROW()=$BG$3,SUM($R$6:$R242),SUM(INDIRECT("$R$"&amp;OFFSET($AU$3,,MATCH(ROW(),$AU$3:$BF$3,)-2)+2&amp;":$R"&amp;ROW()-1))),IF($AR243="本年累计",SUMIF($AR$6:$AR243,"本月合计",$R$6:$R242),INDEX(凭证录入!L:L,$AR243))))</f>
        <v>0</v>
      </c>
      <c r="S243" s="459" t="str">
        <f t="shared" ca="1" si="53"/>
        <v/>
      </c>
      <c r="T243" s="460" t="str">
        <f t="shared" ca="1" si="53"/>
        <v/>
      </c>
      <c r="U243" s="460" t="str">
        <f t="shared" ca="1" si="53"/>
        <v/>
      </c>
      <c r="V243" s="460" t="str">
        <f t="shared" ca="1" si="53"/>
        <v/>
      </c>
      <c r="W243" s="460" t="str">
        <f t="shared" ca="1" si="53"/>
        <v/>
      </c>
      <c r="X243" s="460" t="str">
        <f t="shared" ca="1" si="53"/>
        <v/>
      </c>
      <c r="Y243" s="460" t="str">
        <f t="shared" ca="1" si="53"/>
        <v/>
      </c>
      <c r="Z243" s="460" t="str">
        <f t="shared" ca="1" si="53"/>
        <v/>
      </c>
      <c r="AA243" s="461" t="str">
        <f t="shared" ca="1" si="53"/>
        <v/>
      </c>
      <c r="AB243" s="474" t="str">
        <f t="shared" ca="1" si="53"/>
        <v/>
      </c>
      <c r="AC243" s="475" t="str">
        <f t="shared" ca="1" si="53"/>
        <v/>
      </c>
      <c r="AD243" s="477" t="str">
        <f t="shared" ca="1" si="46"/>
        <v/>
      </c>
      <c r="AE243" s="478">
        <f t="shared" ca="1" si="47"/>
        <v>0</v>
      </c>
      <c r="AF243" s="459" t="str">
        <f t="shared" ca="1" si="51"/>
        <v/>
      </c>
      <c r="AG243" s="460" t="str">
        <f t="shared" ca="1" si="51"/>
        <v/>
      </c>
      <c r="AH243" s="460" t="str">
        <f t="shared" ca="1" si="51"/>
        <v/>
      </c>
      <c r="AI243" s="460" t="str">
        <f t="shared" ca="1" si="51"/>
        <v/>
      </c>
      <c r="AJ243" s="460" t="str">
        <f t="shared" ca="1" si="51"/>
        <v/>
      </c>
      <c r="AK243" s="460" t="str">
        <f t="shared" ca="1" si="51"/>
        <v/>
      </c>
      <c r="AL243" s="460" t="str">
        <f t="shared" ca="1" si="51"/>
        <v/>
      </c>
      <c r="AM243" s="460" t="str">
        <f t="shared" ca="1" si="51"/>
        <v/>
      </c>
      <c r="AN243" s="461" t="str">
        <f t="shared" ca="1" si="51"/>
        <v/>
      </c>
      <c r="AO243" s="474" t="str">
        <f t="shared" ca="1" si="51"/>
        <v/>
      </c>
      <c r="AP243" s="475" t="str">
        <f t="shared" ca="1" si="51"/>
        <v/>
      </c>
      <c r="AQ243" s="479" t="str">
        <f t="array" aca="1" ref="AQ243" ca="1">IF(ROW()-5&lt;=COUNTIF(科目编号,$AR$2),SMALL(IF(科目编号=$AR$2,ROW(科目编号),""),ROW()-5),"")</f>
        <v/>
      </c>
      <c r="AR243" s="480" t="str">
        <f ca="1">IF($BG$2=0,"",IF(AR242="本月合计","本年累计",IF(OR(ROW()=$AU$3,ROW()=$AV$3,ROW()=$AW$3,ROW()=$AX$3,ROW()=$AY$3,ROW()=$AZ$3,ROW()=$BA$3,ROW()=$BB$3,ROW()=$BC$3,ROW()=$BD$3,ROW()=$BE$3,ROW()=$BF$3),"本月合计",IF(ROW()&lt;7,$AQ$6,OFFSET($AQ$6,COUNT($AR$6:AR242),0)))))</f>
        <v/>
      </c>
    </row>
    <row r="244" spans="1:44">
      <c r="A244" s="469" t="str">
        <f ca="1">IFERROR(INDEX(凭证录入!A:A,$AR244),"")</f>
        <v/>
      </c>
      <c r="B244" s="469" t="str">
        <f ca="1">IFERROR(INDEX(凭证录入!B:B,$AR244),"")</f>
        <v/>
      </c>
      <c r="C244" s="470" t="str">
        <f ca="1">IFERROR(INDEX(凭证录入!G:G,$AR244),"")</f>
        <v/>
      </c>
      <c r="D244" s="471" t="str">
        <f ca="1">IFERROR(INDEX(凭证录入!F:F,$AR244),"")</f>
        <v/>
      </c>
      <c r="E244" s="472" t="str">
        <f ca="1">IFERROR(INDEX(凭证录入!H:H,$AR244),$AR244)</f>
        <v/>
      </c>
      <c r="F244" s="473">
        <f ca="1">IF(OR($BG$2=0,$AR244=""),,IF($AR244="本月合计",IF(ROW()=$BG$3,SUM($F$6:$F243),SUM(INDIRECT("$F$"&amp;OFFSET($AU$3,,MATCH(ROW(),$AU$3:$BF$3,)-2)+2&amp;":$E"&amp;ROW()-1))),IF($AR244="本年累计",SUMIF($AR$6:$AR244,"本月合计",$F$6:$F243),INDEX(凭证录入!K:K,$AR244))))</f>
        <v>0</v>
      </c>
      <c r="G244" s="459" t="str">
        <f t="shared" ca="1" si="52"/>
        <v/>
      </c>
      <c r="H244" s="460" t="str">
        <f t="shared" ca="1" si="52"/>
        <v/>
      </c>
      <c r="I244" s="460" t="str">
        <f t="shared" ca="1" si="52"/>
        <v/>
      </c>
      <c r="J244" s="460" t="str">
        <f t="shared" ca="1" si="52"/>
        <v/>
      </c>
      <c r="K244" s="460" t="str">
        <f t="shared" ca="1" si="52"/>
        <v/>
      </c>
      <c r="L244" s="460" t="str">
        <f t="shared" ca="1" si="52"/>
        <v/>
      </c>
      <c r="M244" s="460" t="str">
        <f t="shared" ca="1" si="52"/>
        <v/>
      </c>
      <c r="N244" s="460" t="str">
        <f t="shared" ca="1" si="52"/>
        <v/>
      </c>
      <c r="O244" s="461" t="str">
        <f t="shared" ca="1" si="52"/>
        <v/>
      </c>
      <c r="P244" s="474" t="str">
        <f t="shared" ca="1" si="52"/>
        <v/>
      </c>
      <c r="Q244" s="475" t="str">
        <f t="shared" ca="1" si="52"/>
        <v/>
      </c>
      <c r="R244" s="476">
        <f ca="1">IF(OR($BG$2=0,$AR244=""),,IF($AR244="本月合计",IF(ROW()=$BG$3,SUM($R$6:$R243),SUM(INDIRECT("$R$"&amp;OFFSET($AU$3,,MATCH(ROW(),$AU$3:$BF$3,)-2)+2&amp;":$R"&amp;ROW()-1))),IF($AR244="本年累计",SUMIF($AR$6:$AR244,"本月合计",$R$6:$R243),INDEX(凭证录入!L:L,$AR244))))</f>
        <v>0</v>
      </c>
      <c r="S244" s="459" t="str">
        <f t="shared" ca="1" si="53"/>
        <v/>
      </c>
      <c r="T244" s="460" t="str">
        <f t="shared" ca="1" si="53"/>
        <v/>
      </c>
      <c r="U244" s="460" t="str">
        <f t="shared" ca="1" si="53"/>
        <v/>
      </c>
      <c r="V244" s="460" t="str">
        <f t="shared" ca="1" si="53"/>
        <v/>
      </c>
      <c r="W244" s="460" t="str">
        <f t="shared" ca="1" si="53"/>
        <v/>
      </c>
      <c r="X244" s="460" t="str">
        <f t="shared" ca="1" si="53"/>
        <v/>
      </c>
      <c r="Y244" s="460" t="str">
        <f t="shared" ca="1" si="53"/>
        <v/>
      </c>
      <c r="Z244" s="460" t="str">
        <f t="shared" ca="1" si="53"/>
        <v/>
      </c>
      <c r="AA244" s="461" t="str">
        <f t="shared" ca="1" si="53"/>
        <v/>
      </c>
      <c r="AB244" s="474" t="str">
        <f t="shared" ca="1" si="53"/>
        <v/>
      </c>
      <c r="AC244" s="475" t="str">
        <f t="shared" ca="1" si="53"/>
        <v/>
      </c>
      <c r="AD244" s="477" t="str">
        <f t="shared" ca="1" si="46"/>
        <v/>
      </c>
      <c r="AE244" s="478">
        <f t="shared" ca="1" si="47"/>
        <v>0</v>
      </c>
      <c r="AF244" s="459" t="str">
        <f t="shared" ca="1" si="51"/>
        <v/>
      </c>
      <c r="AG244" s="460" t="str">
        <f t="shared" ca="1" si="51"/>
        <v/>
      </c>
      <c r="AH244" s="460" t="str">
        <f t="shared" ca="1" si="51"/>
        <v/>
      </c>
      <c r="AI244" s="460" t="str">
        <f t="shared" ca="1" si="51"/>
        <v/>
      </c>
      <c r="AJ244" s="460" t="str">
        <f t="shared" ca="1" si="51"/>
        <v/>
      </c>
      <c r="AK244" s="460" t="str">
        <f t="shared" ca="1" si="51"/>
        <v/>
      </c>
      <c r="AL244" s="460" t="str">
        <f t="shared" ca="1" si="51"/>
        <v/>
      </c>
      <c r="AM244" s="460" t="str">
        <f t="shared" ca="1" si="51"/>
        <v/>
      </c>
      <c r="AN244" s="461" t="str">
        <f t="shared" ca="1" si="51"/>
        <v/>
      </c>
      <c r="AO244" s="474" t="str">
        <f t="shared" ca="1" si="51"/>
        <v/>
      </c>
      <c r="AP244" s="475" t="str">
        <f t="shared" ca="1" si="51"/>
        <v/>
      </c>
      <c r="AQ244" s="479" t="str">
        <f t="array" aca="1" ref="AQ244" ca="1">IF(ROW()-5&lt;=COUNTIF(科目编号,$AR$2),SMALL(IF(科目编号=$AR$2,ROW(科目编号),""),ROW()-5),"")</f>
        <v/>
      </c>
      <c r="AR244" s="480" t="str">
        <f ca="1">IF($BG$2=0,"",IF(AR243="本月合计","本年累计",IF(OR(ROW()=$AU$3,ROW()=$AV$3,ROW()=$AW$3,ROW()=$AX$3,ROW()=$AY$3,ROW()=$AZ$3,ROW()=$BA$3,ROW()=$BB$3,ROW()=$BC$3,ROW()=$BD$3,ROW()=$BE$3,ROW()=$BF$3),"本月合计",IF(ROW()&lt;7,$AQ$6,OFFSET($AQ$6,COUNT($AR$6:AR243),0)))))</f>
        <v/>
      </c>
    </row>
    <row r="245" spans="1:44">
      <c r="A245" s="469" t="str">
        <f ca="1">IFERROR(INDEX(凭证录入!A:A,$AR245),"")</f>
        <v/>
      </c>
      <c r="B245" s="469" t="str">
        <f ca="1">IFERROR(INDEX(凭证录入!B:B,$AR245),"")</f>
        <v/>
      </c>
      <c r="C245" s="470" t="str">
        <f ca="1">IFERROR(INDEX(凭证录入!G:G,$AR245),"")</f>
        <v/>
      </c>
      <c r="D245" s="471" t="str">
        <f ca="1">IFERROR(INDEX(凭证录入!F:F,$AR245),"")</f>
        <v/>
      </c>
      <c r="E245" s="472" t="str">
        <f ca="1">IFERROR(INDEX(凭证录入!H:H,$AR245),$AR245)</f>
        <v/>
      </c>
      <c r="F245" s="473">
        <f ca="1">IF(OR($BG$2=0,$AR245=""),,IF($AR245="本月合计",IF(ROW()=$BG$3,SUM($F$6:$F244),SUM(INDIRECT("$F$"&amp;OFFSET($AU$3,,MATCH(ROW(),$AU$3:$BF$3,)-2)+2&amp;":$E"&amp;ROW()-1))),IF($AR245="本年累计",SUMIF($AR$6:$AR245,"本月合计",$F$6:$F244),INDEX(凭证录入!K:K,$AR245))))</f>
        <v>0</v>
      </c>
      <c r="G245" s="459" t="str">
        <f t="shared" ca="1" si="52"/>
        <v/>
      </c>
      <c r="H245" s="460" t="str">
        <f t="shared" ca="1" si="52"/>
        <v/>
      </c>
      <c r="I245" s="460" t="str">
        <f t="shared" ca="1" si="52"/>
        <v/>
      </c>
      <c r="J245" s="460" t="str">
        <f t="shared" ca="1" si="52"/>
        <v/>
      </c>
      <c r="K245" s="460" t="str">
        <f t="shared" ca="1" si="52"/>
        <v/>
      </c>
      <c r="L245" s="460" t="str">
        <f t="shared" ca="1" si="52"/>
        <v/>
      </c>
      <c r="M245" s="460" t="str">
        <f t="shared" ca="1" si="52"/>
        <v/>
      </c>
      <c r="N245" s="460" t="str">
        <f t="shared" ca="1" si="52"/>
        <v/>
      </c>
      <c r="O245" s="461" t="str">
        <f t="shared" ca="1" si="52"/>
        <v/>
      </c>
      <c r="P245" s="474" t="str">
        <f t="shared" ca="1" si="52"/>
        <v/>
      </c>
      <c r="Q245" s="475" t="str">
        <f t="shared" ca="1" si="52"/>
        <v/>
      </c>
      <c r="R245" s="476">
        <f ca="1">IF(OR($BG$2=0,$AR245=""),,IF($AR245="本月合计",IF(ROW()=$BG$3,SUM($R$6:$R244),SUM(INDIRECT("$R$"&amp;OFFSET($AU$3,,MATCH(ROW(),$AU$3:$BF$3,)-2)+2&amp;":$R"&amp;ROW()-1))),IF($AR245="本年累计",SUMIF($AR$6:$AR245,"本月合计",$R$6:$R244),INDEX(凭证录入!L:L,$AR245))))</f>
        <v>0</v>
      </c>
      <c r="S245" s="459" t="str">
        <f t="shared" ca="1" si="53"/>
        <v/>
      </c>
      <c r="T245" s="460" t="str">
        <f t="shared" ca="1" si="53"/>
        <v/>
      </c>
      <c r="U245" s="460" t="str">
        <f t="shared" ca="1" si="53"/>
        <v/>
      </c>
      <c r="V245" s="460" t="str">
        <f t="shared" ca="1" si="53"/>
        <v/>
      </c>
      <c r="W245" s="460" t="str">
        <f t="shared" ca="1" si="53"/>
        <v/>
      </c>
      <c r="X245" s="460" t="str">
        <f t="shared" ca="1" si="53"/>
        <v/>
      </c>
      <c r="Y245" s="460" t="str">
        <f t="shared" ca="1" si="53"/>
        <v/>
      </c>
      <c r="Z245" s="460" t="str">
        <f t="shared" ca="1" si="53"/>
        <v/>
      </c>
      <c r="AA245" s="461" t="str">
        <f t="shared" ca="1" si="53"/>
        <v/>
      </c>
      <c r="AB245" s="474" t="str">
        <f t="shared" ca="1" si="53"/>
        <v/>
      </c>
      <c r="AC245" s="475" t="str">
        <f t="shared" ca="1" si="53"/>
        <v/>
      </c>
      <c r="AD245" s="477" t="str">
        <f t="shared" ca="1" si="46"/>
        <v/>
      </c>
      <c r="AE245" s="478">
        <f t="shared" ca="1" si="47"/>
        <v>0</v>
      </c>
      <c r="AF245" s="459" t="str">
        <f t="shared" ref="AF245:AP260" ca="1" si="54">LEFT(RIGHT(TEXT($AE245/1%," ￥0; ￥-0;"),43-COLUMN()))</f>
        <v/>
      </c>
      <c r="AG245" s="460" t="str">
        <f t="shared" ca="1" si="54"/>
        <v/>
      </c>
      <c r="AH245" s="460" t="str">
        <f t="shared" ca="1" si="54"/>
        <v/>
      </c>
      <c r="AI245" s="460" t="str">
        <f t="shared" ca="1" si="54"/>
        <v/>
      </c>
      <c r="AJ245" s="460" t="str">
        <f t="shared" ca="1" si="54"/>
        <v/>
      </c>
      <c r="AK245" s="460" t="str">
        <f t="shared" ca="1" si="54"/>
        <v/>
      </c>
      <c r="AL245" s="460" t="str">
        <f t="shared" ca="1" si="54"/>
        <v/>
      </c>
      <c r="AM245" s="460" t="str">
        <f t="shared" ca="1" si="54"/>
        <v/>
      </c>
      <c r="AN245" s="461" t="str">
        <f t="shared" ca="1" si="54"/>
        <v/>
      </c>
      <c r="AO245" s="474" t="str">
        <f t="shared" ca="1" si="54"/>
        <v/>
      </c>
      <c r="AP245" s="475" t="str">
        <f t="shared" ca="1" si="54"/>
        <v/>
      </c>
      <c r="AQ245" s="479" t="str">
        <f t="array" aca="1" ref="AQ245" ca="1">IF(ROW()-5&lt;=COUNTIF(科目编号,$AR$2),SMALL(IF(科目编号=$AR$2,ROW(科目编号),""),ROW()-5),"")</f>
        <v/>
      </c>
      <c r="AR245" s="480" t="str">
        <f ca="1">IF($BG$2=0,"",IF(AR244="本月合计","本年累计",IF(OR(ROW()=$AU$3,ROW()=$AV$3,ROW()=$AW$3,ROW()=$AX$3,ROW()=$AY$3,ROW()=$AZ$3,ROW()=$BA$3,ROW()=$BB$3,ROW()=$BC$3,ROW()=$BD$3,ROW()=$BE$3,ROW()=$BF$3),"本月合计",IF(ROW()&lt;7,$AQ$6,OFFSET($AQ$6,COUNT($AR$6:AR244),0)))))</f>
        <v/>
      </c>
    </row>
    <row r="246" spans="1:44">
      <c r="A246" s="469" t="str">
        <f ca="1">IFERROR(INDEX(凭证录入!A:A,$AR246),"")</f>
        <v/>
      </c>
      <c r="B246" s="469" t="str">
        <f ca="1">IFERROR(INDEX(凭证录入!B:B,$AR246),"")</f>
        <v/>
      </c>
      <c r="C246" s="470" t="str">
        <f ca="1">IFERROR(INDEX(凭证录入!G:G,$AR246),"")</f>
        <v/>
      </c>
      <c r="D246" s="471" t="str">
        <f ca="1">IFERROR(INDEX(凭证录入!F:F,$AR246),"")</f>
        <v/>
      </c>
      <c r="E246" s="472" t="str">
        <f ca="1">IFERROR(INDEX(凭证录入!H:H,$AR246),$AR246)</f>
        <v/>
      </c>
      <c r="F246" s="473">
        <f ca="1">IF(OR($BG$2=0,$AR246=""),,IF($AR246="本月合计",IF(ROW()=$BG$3,SUM($F$6:$F245),SUM(INDIRECT("$F$"&amp;OFFSET($AU$3,,MATCH(ROW(),$AU$3:$BF$3,)-2)+2&amp;":$E"&amp;ROW()-1))),IF($AR246="本年累计",SUMIF($AR$6:$AR246,"本月合计",$F$6:$F245),INDEX(凭证录入!K:K,$AR246))))</f>
        <v>0</v>
      </c>
      <c r="G246" s="459" t="str">
        <f t="shared" ref="G246:Q261" ca="1" si="55">LEFT(RIGHT(TEXT($F246/1%," ￥0; ￥-0;"),18-COLUMN()))</f>
        <v/>
      </c>
      <c r="H246" s="460" t="str">
        <f t="shared" ca="1" si="55"/>
        <v/>
      </c>
      <c r="I246" s="460" t="str">
        <f t="shared" ca="1" si="55"/>
        <v/>
      </c>
      <c r="J246" s="460" t="str">
        <f t="shared" ca="1" si="55"/>
        <v/>
      </c>
      <c r="K246" s="460" t="str">
        <f t="shared" ca="1" si="55"/>
        <v/>
      </c>
      <c r="L246" s="460" t="str">
        <f t="shared" ca="1" si="55"/>
        <v/>
      </c>
      <c r="M246" s="460" t="str">
        <f t="shared" ca="1" si="55"/>
        <v/>
      </c>
      <c r="N246" s="460" t="str">
        <f t="shared" ca="1" si="55"/>
        <v/>
      </c>
      <c r="O246" s="461" t="str">
        <f t="shared" ca="1" si="55"/>
        <v/>
      </c>
      <c r="P246" s="474" t="str">
        <f t="shared" ca="1" si="55"/>
        <v/>
      </c>
      <c r="Q246" s="475" t="str">
        <f t="shared" ca="1" si="55"/>
        <v/>
      </c>
      <c r="R246" s="476">
        <f ca="1">IF(OR($BG$2=0,$AR246=""),,IF($AR246="本月合计",IF(ROW()=$BG$3,SUM($R$6:$R245),SUM(INDIRECT("$R$"&amp;OFFSET($AU$3,,MATCH(ROW(),$AU$3:$BF$3,)-2)+2&amp;":$R"&amp;ROW()-1))),IF($AR246="本年累计",SUMIF($AR$6:$AR246,"本月合计",$R$6:$R245),INDEX(凭证录入!L:L,$AR246))))</f>
        <v>0</v>
      </c>
      <c r="S246" s="459" t="str">
        <f t="shared" ref="S246:AC261" ca="1" si="56">LEFT(RIGHT(TEXT($R246/1%," ￥0; ￥-0;"),30-COLUMN()))</f>
        <v/>
      </c>
      <c r="T246" s="460" t="str">
        <f t="shared" ca="1" si="56"/>
        <v/>
      </c>
      <c r="U246" s="460" t="str">
        <f t="shared" ca="1" si="56"/>
        <v/>
      </c>
      <c r="V246" s="460" t="str">
        <f t="shared" ca="1" si="56"/>
        <v/>
      </c>
      <c r="W246" s="460" t="str">
        <f t="shared" ca="1" si="56"/>
        <v/>
      </c>
      <c r="X246" s="460" t="str">
        <f t="shared" ca="1" si="56"/>
        <v/>
      </c>
      <c r="Y246" s="460" t="str">
        <f t="shared" ca="1" si="56"/>
        <v/>
      </c>
      <c r="Z246" s="460" t="str">
        <f t="shared" ca="1" si="56"/>
        <v/>
      </c>
      <c r="AA246" s="461" t="str">
        <f t="shared" ca="1" si="56"/>
        <v/>
      </c>
      <c r="AB246" s="474" t="str">
        <f t="shared" ca="1" si="56"/>
        <v/>
      </c>
      <c r="AC246" s="475" t="str">
        <f t="shared" ca="1" si="56"/>
        <v/>
      </c>
      <c r="AD246" s="477" t="str">
        <f t="shared" ca="1" si="46"/>
        <v/>
      </c>
      <c r="AE246" s="478">
        <f t="shared" ca="1" si="47"/>
        <v>0</v>
      </c>
      <c r="AF246" s="459" t="str">
        <f t="shared" ca="1" si="54"/>
        <v/>
      </c>
      <c r="AG246" s="460" t="str">
        <f t="shared" ca="1" si="54"/>
        <v/>
      </c>
      <c r="AH246" s="460" t="str">
        <f t="shared" ca="1" si="54"/>
        <v/>
      </c>
      <c r="AI246" s="460" t="str">
        <f t="shared" ca="1" si="54"/>
        <v/>
      </c>
      <c r="AJ246" s="460" t="str">
        <f t="shared" ca="1" si="54"/>
        <v/>
      </c>
      <c r="AK246" s="460" t="str">
        <f t="shared" ca="1" si="54"/>
        <v/>
      </c>
      <c r="AL246" s="460" t="str">
        <f t="shared" ca="1" si="54"/>
        <v/>
      </c>
      <c r="AM246" s="460" t="str">
        <f t="shared" ca="1" si="54"/>
        <v/>
      </c>
      <c r="AN246" s="461" t="str">
        <f t="shared" ca="1" si="54"/>
        <v/>
      </c>
      <c r="AO246" s="474" t="str">
        <f t="shared" ca="1" si="54"/>
        <v/>
      </c>
      <c r="AP246" s="475" t="str">
        <f t="shared" ca="1" si="54"/>
        <v/>
      </c>
      <c r="AQ246" s="479" t="str">
        <f t="array" aca="1" ref="AQ246" ca="1">IF(ROW()-5&lt;=COUNTIF(科目编号,$AR$2),SMALL(IF(科目编号=$AR$2,ROW(科目编号),""),ROW()-5),"")</f>
        <v/>
      </c>
      <c r="AR246" s="480" t="str">
        <f ca="1">IF($BG$2=0,"",IF(AR245="本月合计","本年累计",IF(OR(ROW()=$AU$3,ROW()=$AV$3,ROW()=$AW$3,ROW()=$AX$3,ROW()=$AY$3,ROW()=$AZ$3,ROW()=$BA$3,ROW()=$BB$3,ROW()=$BC$3,ROW()=$BD$3,ROW()=$BE$3,ROW()=$BF$3),"本月合计",IF(ROW()&lt;7,$AQ$6,OFFSET($AQ$6,COUNT($AR$6:AR245),0)))))</f>
        <v/>
      </c>
    </row>
    <row r="247" spans="1:44">
      <c r="A247" s="469" t="str">
        <f ca="1">IFERROR(INDEX(凭证录入!A:A,$AR247),"")</f>
        <v/>
      </c>
      <c r="B247" s="469" t="str">
        <f ca="1">IFERROR(INDEX(凭证录入!B:B,$AR247),"")</f>
        <v/>
      </c>
      <c r="C247" s="470" t="str">
        <f ca="1">IFERROR(INDEX(凭证录入!G:G,$AR247),"")</f>
        <v/>
      </c>
      <c r="D247" s="471" t="str">
        <f ca="1">IFERROR(INDEX(凭证录入!F:F,$AR247),"")</f>
        <v/>
      </c>
      <c r="E247" s="472" t="str">
        <f ca="1">IFERROR(INDEX(凭证录入!H:H,$AR247),$AR247)</f>
        <v/>
      </c>
      <c r="F247" s="473">
        <f ca="1">IF(OR($BG$2=0,$AR247=""),,IF($AR247="本月合计",IF(ROW()=$BG$3,SUM($F$6:$F246),SUM(INDIRECT("$F$"&amp;OFFSET($AU$3,,MATCH(ROW(),$AU$3:$BF$3,)-2)+2&amp;":$E"&amp;ROW()-1))),IF($AR247="本年累计",SUMIF($AR$6:$AR247,"本月合计",$F$6:$F246),INDEX(凭证录入!K:K,$AR247))))</f>
        <v>0</v>
      </c>
      <c r="G247" s="459" t="str">
        <f t="shared" ca="1" si="55"/>
        <v/>
      </c>
      <c r="H247" s="460" t="str">
        <f t="shared" ca="1" si="55"/>
        <v/>
      </c>
      <c r="I247" s="460" t="str">
        <f t="shared" ca="1" si="55"/>
        <v/>
      </c>
      <c r="J247" s="460" t="str">
        <f t="shared" ca="1" si="55"/>
        <v/>
      </c>
      <c r="K247" s="460" t="str">
        <f t="shared" ca="1" si="55"/>
        <v/>
      </c>
      <c r="L247" s="460" t="str">
        <f t="shared" ca="1" si="55"/>
        <v/>
      </c>
      <c r="M247" s="460" t="str">
        <f t="shared" ca="1" si="55"/>
        <v/>
      </c>
      <c r="N247" s="460" t="str">
        <f t="shared" ca="1" si="55"/>
        <v/>
      </c>
      <c r="O247" s="461" t="str">
        <f t="shared" ca="1" si="55"/>
        <v/>
      </c>
      <c r="P247" s="474" t="str">
        <f t="shared" ca="1" si="55"/>
        <v/>
      </c>
      <c r="Q247" s="475" t="str">
        <f t="shared" ca="1" si="55"/>
        <v/>
      </c>
      <c r="R247" s="476">
        <f ca="1">IF(OR($BG$2=0,$AR247=""),,IF($AR247="本月合计",IF(ROW()=$BG$3,SUM($R$6:$R246),SUM(INDIRECT("$R$"&amp;OFFSET($AU$3,,MATCH(ROW(),$AU$3:$BF$3,)-2)+2&amp;":$R"&amp;ROW()-1))),IF($AR247="本年累计",SUMIF($AR$6:$AR247,"本月合计",$R$6:$R246),INDEX(凭证录入!L:L,$AR247))))</f>
        <v>0</v>
      </c>
      <c r="S247" s="459" t="str">
        <f t="shared" ca="1" si="56"/>
        <v/>
      </c>
      <c r="T247" s="460" t="str">
        <f t="shared" ca="1" si="56"/>
        <v/>
      </c>
      <c r="U247" s="460" t="str">
        <f t="shared" ca="1" si="56"/>
        <v/>
      </c>
      <c r="V247" s="460" t="str">
        <f t="shared" ca="1" si="56"/>
        <v/>
      </c>
      <c r="W247" s="460" t="str">
        <f t="shared" ca="1" si="56"/>
        <v/>
      </c>
      <c r="X247" s="460" t="str">
        <f t="shared" ca="1" si="56"/>
        <v/>
      </c>
      <c r="Y247" s="460" t="str">
        <f t="shared" ca="1" si="56"/>
        <v/>
      </c>
      <c r="Z247" s="460" t="str">
        <f t="shared" ca="1" si="56"/>
        <v/>
      </c>
      <c r="AA247" s="461" t="str">
        <f t="shared" ca="1" si="56"/>
        <v/>
      </c>
      <c r="AB247" s="474" t="str">
        <f t="shared" ca="1" si="56"/>
        <v/>
      </c>
      <c r="AC247" s="475" t="str">
        <f t="shared" ca="1" si="56"/>
        <v/>
      </c>
      <c r="AD247" s="477" t="str">
        <f t="shared" ca="1" si="46"/>
        <v/>
      </c>
      <c r="AE247" s="478">
        <f t="shared" ca="1" si="47"/>
        <v>0</v>
      </c>
      <c r="AF247" s="459" t="str">
        <f t="shared" ca="1" si="54"/>
        <v/>
      </c>
      <c r="AG247" s="460" t="str">
        <f t="shared" ca="1" si="54"/>
        <v/>
      </c>
      <c r="AH247" s="460" t="str">
        <f t="shared" ca="1" si="54"/>
        <v/>
      </c>
      <c r="AI247" s="460" t="str">
        <f t="shared" ca="1" si="54"/>
        <v/>
      </c>
      <c r="AJ247" s="460" t="str">
        <f t="shared" ca="1" si="54"/>
        <v/>
      </c>
      <c r="AK247" s="460" t="str">
        <f t="shared" ca="1" si="54"/>
        <v/>
      </c>
      <c r="AL247" s="460" t="str">
        <f t="shared" ca="1" si="54"/>
        <v/>
      </c>
      <c r="AM247" s="460" t="str">
        <f t="shared" ca="1" si="54"/>
        <v/>
      </c>
      <c r="AN247" s="461" t="str">
        <f t="shared" ca="1" si="54"/>
        <v/>
      </c>
      <c r="AO247" s="474" t="str">
        <f t="shared" ca="1" si="54"/>
        <v/>
      </c>
      <c r="AP247" s="475" t="str">
        <f t="shared" ca="1" si="54"/>
        <v/>
      </c>
      <c r="AQ247" s="479" t="str">
        <f t="array" aca="1" ref="AQ247" ca="1">IF(ROW()-5&lt;=COUNTIF(科目编号,$AR$2),SMALL(IF(科目编号=$AR$2,ROW(科目编号),""),ROW()-5),"")</f>
        <v/>
      </c>
      <c r="AR247" s="480" t="str">
        <f ca="1">IF($BG$2=0,"",IF(AR246="本月合计","本年累计",IF(OR(ROW()=$AU$3,ROW()=$AV$3,ROW()=$AW$3,ROW()=$AX$3,ROW()=$AY$3,ROW()=$AZ$3,ROW()=$BA$3,ROW()=$BB$3,ROW()=$BC$3,ROW()=$BD$3,ROW()=$BE$3,ROW()=$BF$3),"本月合计",IF(ROW()&lt;7,$AQ$6,OFFSET($AQ$6,COUNT($AR$6:AR246),0)))))</f>
        <v/>
      </c>
    </row>
    <row r="248" spans="1:44">
      <c r="A248" s="469" t="str">
        <f ca="1">IFERROR(INDEX(凭证录入!A:A,$AR248),"")</f>
        <v/>
      </c>
      <c r="B248" s="469" t="str">
        <f ca="1">IFERROR(INDEX(凭证录入!B:B,$AR248),"")</f>
        <v/>
      </c>
      <c r="C248" s="470" t="str">
        <f ca="1">IFERROR(INDEX(凭证录入!G:G,$AR248),"")</f>
        <v/>
      </c>
      <c r="D248" s="471" t="str">
        <f ca="1">IFERROR(INDEX(凭证录入!F:F,$AR248),"")</f>
        <v/>
      </c>
      <c r="E248" s="472" t="str">
        <f ca="1">IFERROR(INDEX(凭证录入!H:H,$AR248),$AR248)</f>
        <v/>
      </c>
      <c r="F248" s="473">
        <f ca="1">IF(OR($BG$2=0,$AR248=""),,IF($AR248="本月合计",IF(ROW()=$BG$3,SUM($F$6:$F247),SUM(INDIRECT("$F$"&amp;OFFSET($AU$3,,MATCH(ROW(),$AU$3:$BF$3,)-2)+2&amp;":$E"&amp;ROW()-1))),IF($AR248="本年累计",SUMIF($AR$6:$AR248,"本月合计",$F$6:$F247),INDEX(凭证录入!K:K,$AR248))))</f>
        <v>0</v>
      </c>
      <c r="G248" s="459" t="str">
        <f t="shared" ca="1" si="55"/>
        <v/>
      </c>
      <c r="H248" s="460" t="str">
        <f t="shared" ca="1" si="55"/>
        <v/>
      </c>
      <c r="I248" s="460" t="str">
        <f t="shared" ca="1" si="55"/>
        <v/>
      </c>
      <c r="J248" s="460" t="str">
        <f t="shared" ca="1" si="55"/>
        <v/>
      </c>
      <c r="K248" s="460" t="str">
        <f t="shared" ca="1" si="55"/>
        <v/>
      </c>
      <c r="L248" s="460" t="str">
        <f t="shared" ca="1" si="55"/>
        <v/>
      </c>
      <c r="M248" s="460" t="str">
        <f t="shared" ca="1" si="55"/>
        <v/>
      </c>
      <c r="N248" s="460" t="str">
        <f t="shared" ca="1" si="55"/>
        <v/>
      </c>
      <c r="O248" s="461" t="str">
        <f t="shared" ca="1" si="55"/>
        <v/>
      </c>
      <c r="P248" s="474" t="str">
        <f t="shared" ca="1" si="55"/>
        <v/>
      </c>
      <c r="Q248" s="475" t="str">
        <f t="shared" ca="1" si="55"/>
        <v/>
      </c>
      <c r="R248" s="476">
        <f ca="1">IF(OR($BG$2=0,$AR248=""),,IF($AR248="本月合计",IF(ROW()=$BG$3,SUM($R$6:$R247),SUM(INDIRECT("$R$"&amp;OFFSET($AU$3,,MATCH(ROW(),$AU$3:$BF$3,)-2)+2&amp;":$R"&amp;ROW()-1))),IF($AR248="本年累计",SUMIF($AR$6:$AR248,"本月合计",$R$6:$R247),INDEX(凭证录入!L:L,$AR248))))</f>
        <v>0</v>
      </c>
      <c r="S248" s="459" t="str">
        <f t="shared" ca="1" si="56"/>
        <v/>
      </c>
      <c r="T248" s="460" t="str">
        <f t="shared" ca="1" si="56"/>
        <v/>
      </c>
      <c r="U248" s="460" t="str">
        <f t="shared" ca="1" si="56"/>
        <v/>
      </c>
      <c r="V248" s="460" t="str">
        <f t="shared" ca="1" si="56"/>
        <v/>
      </c>
      <c r="W248" s="460" t="str">
        <f t="shared" ca="1" si="56"/>
        <v/>
      </c>
      <c r="X248" s="460" t="str">
        <f t="shared" ca="1" si="56"/>
        <v/>
      </c>
      <c r="Y248" s="460" t="str">
        <f t="shared" ca="1" si="56"/>
        <v/>
      </c>
      <c r="Z248" s="460" t="str">
        <f t="shared" ca="1" si="56"/>
        <v/>
      </c>
      <c r="AA248" s="461" t="str">
        <f t="shared" ca="1" si="56"/>
        <v/>
      </c>
      <c r="AB248" s="474" t="str">
        <f t="shared" ca="1" si="56"/>
        <v/>
      </c>
      <c r="AC248" s="475" t="str">
        <f t="shared" ca="1" si="56"/>
        <v/>
      </c>
      <c r="AD248" s="477" t="str">
        <f t="shared" ca="1" si="46"/>
        <v/>
      </c>
      <c r="AE248" s="478">
        <f t="shared" ca="1" si="47"/>
        <v>0</v>
      </c>
      <c r="AF248" s="459" t="str">
        <f t="shared" ca="1" si="54"/>
        <v/>
      </c>
      <c r="AG248" s="460" t="str">
        <f t="shared" ca="1" si="54"/>
        <v/>
      </c>
      <c r="AH248" s="460" t="str">
        <f t="shared" ca="1" si="54"/>
        <v/>
      </c>
      <c r="AI248" s="460" t="str">
        <f t="shared" ca="1" si="54"/>
        <v/>
      </c>
      <c r="AJ248" s="460" t="str">
        <f t="shared" ca="1" si="54"/>
        <v/>
      </c>
      <c r="AK248" s="460" t="str">
        <f t="shared" ca="1" si="54"/>
        <v/>
      </c>
      <c r="AL248" s="460" t="str">
        <f t="shared" ca="1" si="54"/>
        <v/>
      </c>
      <c r="AM248" s="460" t="str">
        <f t="shared" ca="1" si="54"/>
        <v/>
      </c>
      <c r="AN248" s="461" t="str">
        <f t="shared" ca="1" si="54"/>
        <v/>
      </c>
      <c r="AO248" s="474" t="str">
        <f t="shared" ca="1" si="54"/>
        <v/>
      </c>
      <c r="AP248" s="475" t="str">
        <f t="shared" ca="1" si="54"/>
        <v/>
      </c>
      <c r="AQ248" s="479" t="str">
        <f t="array" aca="1" ref="AQ248" ca="1">IF(ROW()-5&lt;=COUNTIF(科目编号,$AR$2),SMALL(IF(科目编号=$AR$2,ROW(科目编号),""),ROW()-5),"")</f>
        <v/>
      </c>
      <c r="AR248" s="480" t="str">
        <f ca="1">IF($BG$2=0,"",IF(AR247="本月合计","本年累计",IF(OR(ROW()=$AU$3,ROW()=$AV$3,ROW()=$AW$3,ROW()=$AX$3,ROW()=$AY$3,ROW()=$AZ$3,ROW()=$BA$3,ROW()=$BB$3,ROW()=$BC$3,ROW()=$BD$3,ROW()=$BE$3,ROW()=$BF$3),"本月合计",IF(ROW()&lt;7,$AQ$6,OFFSET($AQ$6,COUNT($AR$6:AR247),0)))))</f>
        <v/>
      </c>
    </row>
    <row r="249" spans="1:44">
      <c r="A249" s="469" t="str">
        <f ca="1">IFERROR(INDEX(凭证录入!A:A,$AR249),"")</f>
        <v/>
      </c>
      <c r="B249" s="469" t="str">
        <f ca="1">IFERROR(INDEX(凭证录入!B:B,$AR249),"")</f>
        <v/>
      </c>
      <c r="C249" s="470" t="str">
        <f ca="1">IFERROR(INDEX(凭证录入!G:G,$AR249),"")</f>
        <v/>
      </c>
      <c r="D249" s="471" t="str">
        <f ca="1">IFERROR(INDEX(凭证录入!F:F,$AR249),"")</f>
        <v/>
      </c>
      <c r="E249" s="472" t="str">
        <f ca="1">IFERROR(INDEX(凭证录入!H:H,$AR249),$AR249)</f>
        <v/>
      </c>
      <c r="F249" s="473">
        <f ca="1">IF(OR($BG$2=0,$AR249=""),,IF($AR249="本月合计",IF(ROW()=$BG$3,SUM($F$6:$F248),SUM(INDIRECT("$F$"&amp;OFFSET($AU$3,,MATCH(ROW(),$AU$3:$BF$3,)-2)+2&amp;":$E"&amp;ROW()-1))),IF($AR249="本年累计",SUMIF($AR$6:$AR249,"本月合计",$F$6:$F248),INDEX(凭证录入!K:K,$AR249))))</f>
        <v>0</v>
      </c>
      <c r="G249" s="459" t="str">
        <f t="shared" ca="1" si="55"/>
        <v/>
      </c>
      <c r="H249" s="460" t="str">
        <f t="shared" ca="1" si="55"/>
        <v/>
      </c>
      <c r="I249" s="460" t="str">
        <f t="shared" ca="1" si="55"/>
        <v/>
      </c>
      <c r="J249" s="460" t="str">
        <f t="shared" ca="1" si="55"/>
        <v/>
      </c>
      <c r="K249" s="460" t="str">
        <f t="shared" ca="1" si="55"/>
        <v/>
      </c>
      <c r="L249" s="460" t="str">
        <f t="shared" ca="1" si="55"/>
        <v/>
      </c>
      <c r="M249" s="460" t="str">
        <f t="shared" ca="1" si="55"/>
        <v/>
      </c>
      <c r="N249" s="460" t="str">
        <f t="shared" ca="1" si="55"/>
        <v/>
      </c>
      <c r="O249" s="461" t="str">
        <f t="shared" ca="1" si="55"/>
        <v/>
      </c>
      <c r="P249" s="474" t="str">
        <f t="shared" ca="1" si="55"/>
        <v/>
      </c>
      <c r="Q249" s="475" t="str">
        <f t="shared" ca="1" si="55"/>
        <v/>
      </c>
      <c r="R249" s="476">
        <f ca="1">IF(OR($BG$2=0,$AR249=""),,IF($AR249="本月合计",IF(ROW()=$BG$3,SUM($R$6:$R248),SUM(INDIRECT("$R$"&amp;OFFSET($AU$3,,MATCH(ROW(),$AU$3:$BF$3,)-2)+2&amp;":$R"&amp;ROW()-1))),IF($AR249="本年累计",SUMIF($AR$6:$AR249,"本月合计",$R$6:$R248),INDEX(凭证录入!L:L,$AR249))))</f>
        <v>0</v>
      </c>
      <c r="S249" s="459" t="str">
        <f t="shared" ca="1" si="56"/>
        <v/>
      </c>
      <c r="T249" s="460" t="str">
        <f t="shared" ca="1" si="56"/>
        <v/>
      </c>
      <c r="U249" s="460" t="str">
        <f t="shared" ca="1" si="56"/>
        <v/>
      </c>
      <c r="V249" s="460" t="str">
        <f t="shared" ca="1" si="56"/>
        <v/>
      </c>
      <c r="W249" s="460" t="str">
        <f t="shared" ca="1" si="56"/>
        <v/>
      </c>
      <c r="X249" s="460" t="str">
        <f t="shared" ca="1" si="56"/>
        <v/>
      </c>
      <c r="Y249" s="460" t="str">
        <f t="shared" ca="1" si="56"/>
        <v/>
      </c>
      <c r="Z249" s="460" t="str">
        <f t="shared" ca="1" si="56"/>
        <v/>
      </c>
      <c r="AA249" s="461" t="str">
        <f t="shared" ca="1" si="56"/>
        <v/>
      </c>
      <c r="AB249" s="474" t="str">
        <f t="shared" ca="1" si="56"/>
        <v/>
      </c>
      <c r="AC249" s="475" t="str">
        <f t="shared" ca="1" si="56"/>
        <v/>
      </c>
      <c r="AD249" s="477" t="str">
        <f t="shared" ca="1" si="46"/>
        <v/>
      </c>
      <c r="AE249" s="478">
        <f t="shared" ca="1" si="47"/>
        <v>0</v>
      </c>
      <c r="AF249" s="459" t="str">
        <f t="shared" ca="1" si="54"/>
        <v/>
      </c>
      <c r="AG249" s="460" t="str">
        <f t="shared" ca="1" si="54"/>
        <v/>
      </c>
      <c r="AH249" s="460" t="str">
        <f t="shared" ca="1" si="54"/>
        <v/>
      </c>
      <c r="AI249" s="460" t="str">
        <f t="shared" ca="1" si="54"/>
        <v/>
      </c>
      <c r="AJ249" s="460" t="str">
        <f t="shared" ca="1" si="54"/>
        <v/>
      </c>
      <c r="AK249" s="460" t="str">
        <f t="shared" ca="1" si="54"/>
        <v/>
      </c>
      <c r="AL249" s="460" t="str">
        <f t="shared" ca="1" si="54"/>
        <v/>
      </c>
      <c r="AM249" s="460" t="str">
        <f t="shared" ca="1" si="54"/>
        <v/>
      </c>
      <c r="AN249" s="461" t="str">
        <f t="shared" ca="1" si="54"/>
        <v/>
      </c>
      <c r="AO249" s="474" t="str">
        <f t="shared" ca="1" si="54"/>
        <v/>
      </c>
      <c r="AP249" s="475" t="str">
        <f t="shared" ca="1" si="54"/>
        <v/>
      </c>
      <c r="AQ249" s="479" t="str">
        <f t="array" aca="1" ref="AQ249" ca="1">IF(ROW()-5&lt;=COUNTIF(科目编号,$AR$2),SMALL(IF(科目编号=$AR$2,ROW(科目编号),""),ROW()-5),"")</f>
        <v/>
      </c>
      <c r="AR249" s="480" t="str">
        <f ca="1">IF($BG$2=0,"",IF(AR248="本月合计","本年累计",IF(OR(ROW()=$AU$3,ROW()=$AV$3,ROW()=$AW$3,ROW()=$AX$3,ROW()=$AY$3,ROW()=$AZ$3,ROW()=$BA$3,ROW()=$BB$3,ROW()=$BC$3,ROW()=$BD$3,ROW()=$BE$3,ROW()=$BF$3),"本月合计",IF(ROW()&lt;7,$AQ$6,OFFSET($AQ$6,COUNT($AR$6:AR248),0)))))</f>
        <v/>
      </c>
    </row>
    <row r="250" spans="1:44">
      <c r="A250" s="469" t="str">
        <f ca="1">IFERROR(INDEX(凭证录入!A:A,$AR250),"")</f>
        <v/>
      </c>
      <c r="B250" s="469" t="str">
        <f ca="1">IFERROR(INDEX(凭证录入!B:B,$AR250),"")</f>
        <v/>
      </c>
      <c r="C250" s="470" t="str">
        <f ca="1">IFERROR(INDEX(凭证录入!G:G,$AR250),"")</f>
        <v/>
      </c>
      <c r="D250" s="471" t="str">
        <f ca="1">IFERROR(INDEX(凭证录入!F:F,$AR250),"")</f>
        <v/>
      </c>
      <c r="E250" s="472" t="str">
        <f ca="1">IFERROR(INDEX(凭证录入!H:H,$AR250),$AR250)</f>
        <v/>
      </c>
      <c r="F250" s="473">
        <f ca="1">IF(OR($BG$2=0,$AR250=""),,IF($AR250="本月合计",IF(ROW()=$BG$3,SUM($F$6:$F249),SUM(INDIRECT("$F$"&amp;OFFSET($AU$3,,MATCH(ROW(),$AU$3:$BF$3,)-2)+2&amp;":$E"&amp;ROW()-1))),IF($AR250="本年累计",SUMIF($AR$6:$AR250,"本月合计",$F$6:$F249),INDEX(凭证录入!K:K,$AR250))))</f>
        <v>0</v>
      </c>
      <c r="G250" s="459" t="str">
        <f t="shared" ca="1" si="55"/>
        <v/>
      </c>
      <c r="H250" s="460" t="str">
        <f t="shared" ca="1" si="55"/>
        <v/>
      </c>
      <c r="I250" s="460" t="str">
        <f t="shared" ca="1" si="55"/>
        <v/>
      </c>
      <c r="J250" s="460" t="str">
        <f t="shared" ca="1" si="55"/>
        <v/>
      </c>
      <c r="K250" s="460" t="str">
        <f t="shared" ca="1" si="55"/>
        <v/>
      </c>
      <c r="L250" s="460" t="str">
        <f t="shared" ca="1" si="55"/>
        <v/>
      </c>
      <c r="M250" s="460" t="str">
        <f t="shared" ca="1" si="55"/>
        <v/>
      </c>
      <c r="N250" s="460" t="str">
        <f t="shared" ca="1" si="55"/>
        <v/>
      </c>
      <c r="O250" s="461" t="str">
        <f t="shared" ca="1" si="55"/>
        <v/>
      </c>
      <c r="P250" s="474" t="str">
        <f t="shared" ca="1" si="55"/>
        <v/>
      </c>
      <c r="Q250" s="475" t="str">
        <f t="shared" ca="1" si="55"/>
        <v/>
      </c>
      <c r="R250" s="476">
        <f ca="1">IF(OR($BG$2=0,$AR250=""),,IF($AR250="本月合计",IF(ROW()=$BG$3,SUM($R$6:$R249),SUM(INDIRECT("$R$"&amp;OFFSET($AU$3,,MATCH(ROW(),$AU$3:$BF$3,)-2)+2&amp;":$R"&amp;ROW()-1))),IF($AR250="本年累计",SUMIF($AR$6:$AR250,"本月合计",$R$6:$R249),INDEX(凭证录入!L:L,$AR250))))</f>
        <v>0</v>
      </c>
      <c r="S250" s="459" t="str">
        <f t="shared" ca="1" si="56"/>
        <v/>
      </c>
      <c r="T250" s="460" t="str">
        <f t="shared" ca="1" si="56"/>
        <v/>
      </c>
      <c r="U250" s="460" t="str">
        <f t="shared" ca="1" si="56"/>
        <v/>
      </c>
      <c r="V250" s="460" t="str">
        <f t="shared" ca="1" si="56"/>
        <v/>
      </c>
      <c r="W250" s="460" t="str">
        <f t="shared" ca="1" si="56"/>
        <v/>
      </c>
      <c r="X250" s="460" t="str">
        <f t="shared" ca="1" si="56"/>
        <v/>
      </c>
      <c r="Y250" s="460" t="str">
        <f t="shared" ca="1" si="56"/>
        <v/>
      </c>
      <c r="Z250" s="460" t="str">
        <f t="shared" ca="1" si="56"/>
        <v/>
      </c>
      <c r="AA250" s="461" t="str">
        <f t="shared" ca="1" si="56"/>
        <v/>
      </c>
      <c r="AB250" s="474" t="str">
        <f t="shared" ca="1" si="56"/>
        <v/>
      </c>
      <c r="AC250" s="475" t="str">
        <f t="shared" ca="1" si="56"/>
        <v/>
      </c>
      <c r="AD250" s="477" t="str">
        <f t="shared" ca="1" si="46"/>
        <v/>
      </c>
      <c r="AE250" s="478">
        <f t="shared" ca="1" si="47"/>
        <v>0</v>
      </c>
      <c r="AF250" s="459" t="str">
        <f t="shared" ca="1" si="54"/>
        <v/>
      </c>
      <c r="AG250" s="460" t="str">
        <f t="shared" ca="1" si="54"/>
        <v/>
      </c>
      <c r="AH250" s="460" t="str">
        <f t="shared" ca="1" si="54"/>
        <v/>
      </c>
      <c r="AI250" s="460" t="str">
        <f t="shared" ca="1" si="54"/>
        <v/>
      </c>
      <c r="AJ250" s="460" t="str">
        <f t="shared" ca="1" si="54"/>
        <v/>
      </c>
      <c r="AK250" s="460" t="str">
        <f t="shared" ca="1" si="54"/>
        <v/>
      </c>
      <c r="AL250" s="460" t="str">
        <f t="shared" ca="1" si="54"/>
        <v/>
      </c>
      <c r="AM250" s="460" t="str">
        <f t="shared" ca="1" si="54"/>
        <v/>
      </c>
      <c r="AN250" s="461" t="str">
        <f t="shared" ca="1" si="54"/>
        <v/>
      </c>
      <c r="AO250" s="474" t="str">
        <f t="shared" ca="1" si="54"/>
        <v/>
      </c>
      <c r="AP250" s="475" t="str">
        <f t="shared" ca="1" si="54"/>
        <v/>
      </c>
      <c r="AQ250" s="479" t="str">
        <f t="array" aca="1" ref="AQ250" ca="1">IF(ROW()-5&lt;=COUNTIF(科目编号,$AR$2),SMALL(IF(科目编号=$AR$2,ROW(科目编号),""),ROW()-5),"")</f>
        <v/>
      </c>
      <c r="AR250" s="480" t="str">
        <f ca="1">IF($BG$2=0,"",IF(AR249="本月合计","本年累计",IF(OR(ROW()=$AU$3,ROW()=$AV$3,ROW()=$AW$3,ROW()=$AX$3,ROW()=$AY$3,ROW()=$AZ$3,ROW()=$BA$3,ROW()=$BB$3,ROW()=$BC$3,ROW()=$BD$3,ROW()=$BE$3,ROW()=$BF$3),"本月合计",IF(ROW()&lt;7,$AQ$6,OFFSET($AQ$6,COUNT($AR$6:AR249),0)))))</f>
        <v/>
      </c>
    </row>
    <row r="251" spans="1:44">
      <c r="A251" s="469" t="str">
        <f ca="1">IFERROR(INDEX(凭证录入!A:A,$AR251),"")</f>
        <v/>
      </c>
      <c r="B251" s="469" t="str">
        <f ca="1">IFERROR(INDEX(凭证录入!B:B,$AR251),"")</f>
        <v/>
      </c>
      <c r="C251" s="470" t="str">
        <f ca="1">IFERROR(INDEX(凭证录入!G:G,$AR251),"")</f>
        <v/>
      </c>
      <c r="D251" s="471" t="str">
        <f ca="1">IFERROR(INDEX(凭证录入!F:F,$AR251),"")</f>
        <v/>
      </c>
      <c r="E251" s="472" t="str">
        <f ca="1">IFERROR(INDEX(凭证录入!H:H,$AR251),$AR251)</f>
        <v/>
      </c>
      <c r="F251" s="473">
        <f ca="1">IF(OR($BG$2=0,$AR251=""),,IF($AR251="本月合计",IF(ROW()=$BG$3,SUM($F$6:$F250),SUM(INDIRECT("$F$"&amp;OFFSET($AU$3,,MATCH(ROW(),$AU$3:$BF$3,)-2)+2&amp;":$E"&amp;ROW()-1))),IF($AR251="本年累计",SUMIF($AR$6:$AR251,"本月合计",$F$6:$F250),INDEX(凭证录入!K:K,$AR251))))</f>
        <v>0</v>
      </c>
      <c r="G251" s="459" t="str">
        <f t="shared" ca="1" si="55"/>
        <v/>
      </c>
      <c r="H251" s="460" t="str">
        <f t="shared" ca="1" si="55"/>
        <v/>
      </c>
      <c r="I251" s="460" t="str">
        <f t="shared" ca="1" si="55"/>
        <v/>
      </c>
      <c r="J251" s="460" t="str">
        <f t="shared" ca="1" si="55"/>
        <v/>
      </c>
      <c r="K251" s="460" t="str">
        <f t="shared" ca="1" si="55"/>
        <v/>
      </c>
      <c r="L251" s="460" t="str">
        <f t="shared" ca="1" si="55"/>
        <v/>
      </c>
      <c r="M251" s="460" t="str">
        <f t="shared" ca="1" si="55"/>
        <v/>
      </c>
      <c r="N251" s="460" t="str">
        <f t="shared" ca="1" si="55"/>
        <v/>
      </c>
      <c r="O251" s="461" t="str">
        <f t="shared" ca="1" si="55"/>
        <v/>
      </c>
      <c r="P251" s="474" t="str">
        <f t="shared" ca="1" si="55"/>
        <v/>
      </c>
      <c r="Q251" s="475" t="str">
        <f t="shared" ca="1" si="55"/>
        <v/>
      </c>
      <c r="R251" s="476">
        <f ca="1">IF(OR($BG$2=0,$AR251=""),,IF($AR251="本月合计",IF(ROW()=$BG$3,SUM($R$6:$R250),SUM(INDIRECT("$R$"&amp;OFFSET($AU$3,,MATCH(ROW(),$AU$3:$BF$3,)-2)+2&amp;":$R"&amp;ROW()-1))),IF($AR251="本年累计",SUMIF($AR$6:$AR251,"本月合计",$R$6:$R250),INDEX(凭证录入!L:L,$AR251))))</f>
        <v>0</v>
      </c>
      <c r="S251" s="459" t="str">
        <f t="shared" ca="1" si="56"/>
        <v/>
      </c>
      <c r="T251" s="460" t="str">
        <f t="shared" ca="1" si="56"/>
        <v/>
      </c>
      <c r="U251" s="460" t="str">
        <f t="shared" ca="1" si="56"/>
        <v/>
      </c>
      <c r="V251" s="460" t="str">
        <f t="shared" ca="1" si="56"/>
        <v/>
      </c>
      <c r="W251" s="460" t="str">
        <f t="shared" ca="1" si="56"/>
        <v/>
      </c>
      <c r="X251" s="460" t="str">
        <f t="shared" ca="1" si="56"/>
        <v/>
      </c>
      <c r="Y251" s="460" t="str">
        <f t="shared" ca="1" si="56"/>
        <v/>
      </c>
      <c r="Z251" s="460" t="str">
        <f t="shared" ca="1" si="56"/>
        <v/>
      </c>
      <c r="AA251" s="461" t="str">
        <f t="shared" ca="1" si="56"/>
        <v/>
      </c>
      <c r="AB251" s="474" t="str">
        <f t="shared" ca="1" si="56"/>
        <v/>
      </c>
      <c r="AC251" s="475" t="str">
        <f t="shared" ca="1" si="56"/>
        <v/>
      </c>
      <c r="AD251" s="477" t="str">
        <f t="shared" ca="1" si="46"/>
        <v/>
      </c>
      <c r="AE251" s="478">
        <f t="shared" ca="1" si="47"/>
        <v>0</v>
      </c>
      <c r="AF251" s="459" t="str">
        <f t="shared" ca="1" si="54"/>
        <v/>
      </c>
      <c r="AG251" s="460" t="str">
        <f t="shared" ca="1" si="54"/>
        <v/>
      </c>
      <c r="AH251" s="460" t="str">
        <f t="shared" ca="1" si="54"/>
        <v/>
      </c>
      <c r="AI251" s="460" t="str">
        <f t="shared" ca="1" si="54"/>
        <v/>
      </c>
      <c r="AJ251" s="460" t="str">
        <f t="shared" ca="1" si="54"/>
        <v/>
      </c>
      <c r="AK251" s="460" t="str">
        <f t="shared" ca="1" si="54"/>
        <v/>
      </c>
      <c r="AL251" s="460" t="str">
        <f t="shared" ca="1" si="54"/>
        <v/>
      </c>
      <c r="AM251" s="460" t="str">
        <f t="shared" ca="1" si="54"/>
        <v/>
      </c>
      <c r="AN251" s="461" t="str">
        <f t="shared" ca="1" si="54"/>
        <v/>
      </c>
      <c r="AO251" s="474" t="str">
        <f t="shared" ca="1" si="54"/>
        <v/>
      </c>
      <c r="AP251" s="475" t="str">
        <f t="shared" ca="1" si="54"/>
        <v/>
      </c>
      <c r="AQ251" s="479" t="str">
        <f t="array" aca="1" ref="AQ251" ca="1">IF(ROW()-5&lt;=COUNTIF(科目编号,$AR$2),SMALL(IF(科目编号=$AR$2,ROW(科目编号),""),ROW()-5),"")</f>
        <v/>
      </c>
      <c r="AR251" s="480" t="str">
        <f ca="1">IF($BG$2=0,"",IF(AR250="本月合计","本年累计",IF(OR(ROW()=$AU$3,ROW()=$AV$3,ROW()=$AW$3,ROW()=$AX$3,ROW()=$AY$3,ROW()=$AZ$3,ROW()=$BA$3,ROW()=$BB$3,ROW()=$BC$3,ROW()=$BD$3,ROW()=$BE$3,ROW()=$BF$3),"本月合计",IF(ROW()&lt;7,$AQ$6,OFFSET($AQ$6,COUNT($AR$6:AR250),0)))))</f>
        <v/>
      </c>
    </row>
    <row r="252" spans="1:44">
      <c r="A252" s="469" t="str">
        <f ca="1">IFERROR(INDEX(凭证录入!A:A,$AR252),"")</f>
        <v/>
      </c>
      <c r="B252" s="469" t="str">
        <f ca="1">IFERROR(INDEX(凭证录入!B:B,$AR252),"")</f>
        <v/>
      </c>
      <c r="C252" s="470" t="str">
        <f ca="1">IFERROR(INDEX(凭证录入!G:G,$AR252),"")</f>
        <v/>
      </c>
      <c r="D252" s="471" t="str">
        <f ca="1">IFERROR(INDEX(凭证录入!F:F,$AR252),"")</f>
        <v/>
      </c>
      <c r="E252" s="472" t="str">
        <f ca="1">IFERROR(INDEX(凭证录入!H:H,$AR252),$AR252)</f>
        <v/>
      </c>
      <c r="F252" s="473">
        <f ca="1">IF(OR($BG$2=0,$AR252=""),,IF($AR252="本月合计",IF(ROW()=$BG$3,SUM($F$6:$F251),SUM(INDIRECT("$F$"&amp;OFFSET($AU$3,,MATCH(ROW(),$AU$3:$BF$3,)-2)+2&amp;":$E"&amp;ROW()-1))),IF($AR252="本年累计",SUMIF($AR$6:$AR252,"本月合计",$F$6:$F251),INDEX(凭证录入!K:K,$AR252))))</f>
        <v>0</v>
      </c>
      <c r="G252" s="459" t="str">
        <f t="shared" ca="1" si="55"/>
        <v/>
      </c>
      <c r="H252" s="460" t="str">
        <f t="shared" ca="1" si="55"/>
        <v/>
      </c>
      <c r="I252" s="460" t="str">
        <f t="shared" ca="1" si="55"/>
        <v/>
      </c>
      <c r="J252" s="460" t="str">
        <f t="shared" ca="1" si="55"/>
        <v/>
      </c>
      <c r="K252" s="460" t="str">
        <f t="shared" ca="1" si="55"/>
        <v/>
      </c>
      <c r="L252" s="460" t="str">
        <f t="shared" ca="1" si="55"/>
        <v/>
      </c>
      <c r="M252" s="460" t="str">
        <f t="shared" ca="1" si="55"/>
        <v/>
      </c>
      <c r="N252" s="460" t="str">
        <f t="shared" ca="1" si="55"/>
        <v/>
      </c>
      <c r="O252" s="461" t="str">
        <f t="shared" ca="1" si="55"/>
        <v/>
      </c>
      <c r="P252" s="474" t="str">
        <f t="shared" ca="1" si="55"/>
        <v/>
      </c>
      <c r="Q252" s="475" t="str">
        <f t="shared" ca="1" si="55"/>
        <v/>
      </c>
      <c r="R252" s="476">
        <f ca="1">IF(OR($BG$2=0,$AR252=""),,IF($AR252="本月合计",IF(ROW()=$BG$3,SUM($R$6:$R251),SUM(INDIRECT("$R$"&amp;OFFSET($AU$3,,MATCH(ROW(),$AU$3:$BF$3,)-2)+2&amp;":$R"&amp;ROW()-1))),IF($AR252="本年累计",SUMIF($AR$6:$AR252,"本月合计",$R$6:$R251),INDEX(凭证录入!L:L,$AR252))))</f>
        <v>0</v>
      </c>
      <c r="S252" s="459" t="str">
        <f t="shared" ca="1" si="56"/>
        <v/>
      </c>
      <c r="T252" s="460" t="str">
        <f t="shared" ca="1" si="56"/>
        <v/>
      </c>
      <c r="U252" s="460" t="str">
        <f t="shared" ca="1" si="56"/>
        <v/>
      </c>
      <c r="V252" s="460" t="str">
        <f t="shared" ca="1" si="56"/>
        <v/>
      </c>
      <c r="W252" s="460" t="str">
        <f t="shared" ca="1" si="56"/>
        <v/>
      </c>
      <c r="X252" s="460" t="str">
        <f t="shared" ca="1" si="56"/>
        <v/>
      </c>
      <c r="Y252" s="460" t="str">
        <f t="shared" ca="1" si="56"/>
        <v/>
      </c>
      <c r="Z252" s="460" t="str">
        <f t="shared" ca="1" si="56"/>
        <v/>
      </c>
      <c r="AA252" s="461" t="str">
        <f t="shared" ca="1" si="56"/>
        <v/>
      </c>
      <c r="AB252" s="474" t="str">
        <f t="shared" ca="1" si="56"/>
        <v/>
      </c>
      <c r="AC252" s="475" t="str">
        <f t="shared" ca="1" si="56"/>
        <v/>
      </c>
      <c r="AD252" s="477" t="str">
        <f t="shared" ca="1" si="46"/>
        <v/>
      </c>
      <c r="AE252" s="478">
        <f t="shared" ca="1" si="47"/>
        <v>0</v>
      </c>
      <c r="AF252" s="459" t="str">
        <f t="shared" ca="1" si="54"/>
        <v/>
      </c>
      <c r="AG252" s="460" t="str">
        <f t="shared" ca="1" si="54"/>
        <v/>
      </c>
      <c r="AH252" s="460" t="str">
        <f t="shared" ca="1" si="54"/>
        <v/>
      </c>
      <c r="AI252" s="460" t="str">
        <f t="shared" ca="1" si="54"/>
        <v/>
      </c>
      <c r="AJ252" s="460" t="str">
        <f t="shared" ca="1" si="54"/>
        <v/>
      </c>
      <c r="AK252" s="460" t="str">
        <f t="shared" ca="1" si="54"/>
        <v/>
      </c>
      <c r="AL252" s="460" t="str">
        <f t="shared" ca="1" si="54"/>
        <v/>
      </c>
      <c r="AM252" s="460" t="str">
        <f t="shared" ca="1" si="54"/>
        <v/>
      </c>
      <c r="AN252" s="461" t="str">
        <f t="shared" ca="1" si="54"/>
        <v/>
      </c>
      <c r="AO252" s="474" t="str">
        <f t="shared" ca="1" si="54"/>
        <v/>
      </c>
      <c r="AP252" s="475" t="str">
        <f t="shared" ca="1" si="54"/>
        <v/>
      </c>
      <c r="AQ252" s="479" t="str">
        <f t="array" aca="1" ref="AQ252" ca="1">IF(ROW()-5&lt;=COUNTIF(科目编号,$AR$2),SMALL(IF(科目编号=$AR$2,ROW(科目编号),""),ROW()-5),"")</f>
        <v/>
      </c>
      <c r="AR252" s="480" t="str">
        <f ca="1">IF($BG$2=0,"",IF(AR251="本月合计","本年累计",IF(OR(ROW()=$AU$3,ROW()=$AV$3,ROW()=$AW$3,ROW()=$AX$3,ROW()=$AY$3,ROW()=$AZ$3,ROW()=$BA$3,ROW()=$BB$3,ROW()=$BC$3,ROW()=$BD$3,ROW()=$BE$3,ROW()=$BF$3),"本月合计",IF(ROW()&lt;7,$AQ$6,OFFSET($AQ$6,COUNT($AR$6:AR251),0)))))</f>
        <v/>
      </c>
    </row>
    <row r="253" spans="1:44">
      <c r="A253" s="469" t="str">
        <f ca="1">IFERROR(INDEX(凭证录入!A:A,$AR253),"")</f>
        <v/>
      </c>
      <c r="B253" s="469" t="str">
        <f ca="1">IFERROR(INDEX(凭证录入!B:B,$AR253),"")</f>
        <v/>
      </c>
      <c r="C253" s="470" t="str">
        <f ca="1">IFERROR(INDEX(凭证录入!G:G,$AR253),"")</f>
        <v/>
      </c>
      <c r="D253" s="471" t="str">
        <f ca="1">IFERROR(INDEX(凭证录入!F:F,$AR253),"")</f>
        <v/>
      </c>
      <c r="E253" s="472" t="str">
        <f ca="1">IFERROR(INDEX(凭证录入!H:H,$AR253),$AR253)</f>
        <v/>
      </c>
      <c r="F253" s="473">
        <f ca="1">IF(OR($BG$2=0,$AR253=""),,IF($AR253="本月合计",IF(ROW()=$BG$3,SUM($F$6:$F252),SUM(INDIRECT("$F$"&amp;OFFSET($AU$3,,MATCH(ROW(),$AU$3:$BF$3,)-2)+2&amp;":$E"&amp;ROW()-1))),IF($AR253="本年累计",SUMIF($AR$6:$AR253,"本月合计",$F$6:$F252),INDEX(凭证录入!K:K,$AR253))))</f>
        <v>0</v>
      </c>
      <c r="G253" s="459" t="str">
        <f t="shared" ca="1" si="55"/>
        <v/>
      </c>
      <c r="H253" s="460" t="str">
        <f t="shared" ca="1" si="55"/>
        <v/>
      </c>
      <c r="I253" s="460" t="str">
        <f t="shared" ca="1" si="55"/>
        <v/>
      </c>
      <c r="J253" s="460" t="str">
        <f t="shared" ca="1" si="55"/>
        <v/>
      </c>
      <c r="K253" s="460" t="str">
        <f t="shared" ca="1" si="55"/>
        <v/>
      </c>
      <c r="L253" s="460" t="str">
        <f t="shared" ca="1" si="55"/>
        <v/>
      </c>
      <c r="M253" s="460" t="str">
        <f t="shared" ca="1" si="55"/>
        <v/>
      </c>
      <c r="N253" s="460" t="str">
        <f t="shared" ca="1" si="55"/>
        <v/>
      </c>
      <c r="O253" s="461" t="str">
        <f t="shared" ca="1" si="55"/>
        <v/>
      </c>
      <c r="P253" s="474" t="str">
        <f t="shared" ca="1" si="55"/>
        <v/>
      </c>
      <c r="Q253" s="475" t="str">
        <f t="shared" ca="1" si="55"/>
        <v/>
      </c>
      <c r="R253" s="476">
        <f ca="1">IF(OR($BG$2=0,$AR253=""),,IF($AR253="本月合计",IF(ROW()=$BG$3,SUM($R$6:$R252),SUM(INDIRECT("$R$"&amp;OFFSET($AU$3,,MATCH(ROW(),$AU$3:$BF$3,)-2)+2&amp;":$R"&amp;ROW()-1))),IF($AR253="本年累计",SUMIF($AR$6:$AR253,"本月合计",$R$6:$R252),INDEX(凭证录入!L:L,$AR253))))</f>
        <v>0</v>
      </c>
      <c r="S253" s="459" t="str">
        <f t="shared" ca="1" si="56"/>
        <v/>
      </c>
      <c r="T253" s="460" t="str">
        <f t="shared" ca="1" si="56"/>
        <v/>
      </c>
      <c r="U253" s="460" t="str">
        <f t="shared" ca="1" si="56"/>
        <v/>
      </c>
      <c r="V253" s="460" t="str">
        <f t="shared" ca="1" si="56"/>
        <v/>
      </c>
      <c r="W253" s="460" t="str">
        <f t="shared" ca="1" si="56"/>
        <v/>
      </c>
      <c r="X253" s="460" t="str">
        <f t="shared" ca="1" si="56"/>
        <v/>
      </c>
      <c r="Y253" s="460" t="str">
        <f t="shared" ca="1" si="56"/>
        <v/>
      </c>
      <c r="Z253" s="460" t="str">
        <f t="shared" ca="1" si="56"/>
        <v/>
      </c>
      <c r="AA253" s="461" t="str">
        <f t="shared" ca="1" si="56"/>
        <v/>
      </c>
      <c r="AB253" s="474" t="str">
        <f t="shared" ca="1" si="56"/>
        <v/>
      </c>
      <c r="AC253" s="475" t="str">
        <f t="shared" ca="1" si="56"/>
        <v/>
      </c>
      <c r="AD253" s="477" t="str">
        <f t="shared" ca="1" si="46"/>
        <v/>
      </c>
      <c r="AE253" s="478">
        <f t="shared" ca="1" si="47"/>
        <v>0</v>
      </c>
      <c r="AF253" s="459" t="str">
        <f t="shared" ca="1" si="54"/>
        <v/>
      </c>
      <c r="AG253" s="460" t="str">
        <f t="shared" ca="1" si="54"/>
        <v/>
      </c>
      <c r="AH253" s="460" t="str">
        <f t="shared" ca="1" si="54"/>
        <v/>
      </c>
      <c r="AI253" s="460" t="str">
        <f t="shared" ca="1" si="54"/>
        <v/>
      </c>
      <c r="AJ253" s="460" t="str">
        <f t="shared" ca="1" si="54"/>
        <v/>
      </c>
      <c r="AK253" s="460" t="str">
        <f t="shared" ca="1" si="54"/>
        <v/>
      </c>
      <c r="AL253" s="460" t="str">
        <f t="shared" ca="1" si="54"/>
        <v/>
      </c>
      <c r="AM253" s="460" t="str">
        <f t="shared" ca="1" si="54"/>
        <v/>
      </c>
      <c r="AN253" s="461" t="str">
        <f t="shared" ca="1" si="54"/>
        <v/>
      </c>
      <c r="AO253" s="474" t="str">
        <f t="shared" ca="1" si="54"/>
        <v/>
      </c>
      <c r="AP253" s="475" t="str">
        <f t="shared" ca="1" si="54"/>
        <v/>
      </c>
      <c r="AQ253" s="479" t="str">
        <f t="array" aca="1" ref="AQ253" ca="1">IF(ROW()-5&lt;=COUNTIF(科目编号,$AR$2),SMALL(IF(科目编号=$AR$2,ROW(科目编号),""),ROW()-5),"")</f>
        <v/>
      </c>
      <c r="AR253" s="480" t="str">
        <f ca="1">IF($BG$2=0,"",IF(AR252="本月合计","本年累计",IF(OR(ROW()=$AU$3,ROW()=$AV$3,ROW()=$AW$3,ROW()=$AX$3,ROW()=$AY$3,ROW()=$AZ$3,ROW()=$BA$3,ROW()=$BB$3,ROW()=$BC$3,ROW()=$BD$3,ROW()=$BE$3,ROW()=$BF$3),"本月合计",IF(ROW()&lt;7,$AQ$6,OFFSET($AQ$6,COUNT($AR$6:AR252),0)))))</f>
        <v/>
      </c>
    </row>
    <row r="254" spans="1:44">
      <c r="A254" s="469" t="str">
        <f ca="1">IFERROR(INDEX(凭证录入!A:A,$AR254),"")</f>
        <v/>
      </c>
      <c r="B254" s="469" t="str">
        <f ca="1">IFERROR(INDEX(凭证录入!B:B,$AR254),"")</f>
        <v/>
      </c>
      <c r="C254" s="470" t="str">
        <f ca="1">IFERROR(INDEX(凭证录入!G:G,$AR254),"")</f>
        <v/>
      </c>
      <c r="D254" s="471" t="str">
        <f ca="1">IFERROR(INDEX(凭证录入!F:F,$AR254),"")</f>
        <v/>
      </c>
      <c r="E254" s="472" t="str">
        <f ca="1">IFERROR(INDEX(凭证录入!H:H,$AR254),$AR254)</f>
        <v/>
      </c>
      <c r="F254" s="473">
        <f ca="1">IF(OR($BG$2=0,$AR254=""),,IF($AR254="本月合计",IF(ROW()=$BG$3,SUM($F$6:$F253),SUM(INDIRECT("$F$"&amp;OFFSET($AU$3,,MATCH(ROW(),$AU$3:$BF$3,)-2)+2&amp;":$E"&amp;ROW()-1))),IF($AR254="本年累计",SUMIF($AR$6:$AR254,"本月合计",$F$6:$F253),INDEX(凭证录入!K:K,$AR254))))</f>
        <v>0</v>
      </c>
      <c r="G254" s="459" t="str">
        <f t="shared" ca="1" si="55"/>
        <v/>
      </c>
      <c r="H254" s="460" t="str">
        <f t="shared" ca="1" si="55"/>
        <v/>
      </c>
      <c r="I254" s="460" t="str">
        <f t="shared" ca="1" si="55"/>
        <v/>
      </c>
      <c r="J254" s="460" t="str">
        <f t="shared" ca="1" si="55"/>
        <v/>
      </c>
      <c r="K254" s="460" t="str">
        <f t="shared" ca="1" si="55"/>
        <v/>
      </c>
      <c r="L254" s="460" t="str">
        <f t="shared" ca="1" si="55"/>
        <v/>
      </c>
      <c r="M254" s="460" t="str">
        <f t="shared" ca="1" si="55"/>
        <v/>
      </c>
      <c r="N254" s="460" t="str">
        <f t="shared" ca="1" si="55"/>
        <v/>
      </c>
      <c r="O254" s="461" t="str">
        <f t="shared" ca="1" si="55"/>
        <v/>
      </c>
      <c r="P254" s="474" t="str">
        <f t="shared" ca="1" si="55"/>
        <v/>
      </c>
      <c r="Q254" s="475" t="str">
        <f t="shared" ca="1" si="55"/>
        <v/>
      </c>
      <c r="R254" s="476">
        <f ca="1">IF(OR($BG$2=0,$AR254=""),,IF($AR254="本月合计",IF(ROW()=$BG$3,SUM($R$6:$R253),SUM(INDIRECT("$R$"&amp;OFFSET($AU$3,,MATCH(ROW(),$AU$3:$BF$3,)-2)+2&amp;":$R"&amp;ROW()-1))),IF($AR254="本年累计",SUMIF($AR$6:$AR254,"本月合计",$R$6:$R253),INDEX(凭证录入!L:L,$AR254))))</f>
        <v>0</v>
      </c>
      <c r="S254" s="459" t="str">
        <f t="shared" ca="1" si="56"/>
        <v/>
      </c>
      <c r="T254" s="460" t="str">
        <f t="shared" ca="1" si="56"/>
        <v/>
      </c>
      <c r="U254" s="460" t="str">
        <f t="shared" ca="1" si="56"/>
        <v/>
      </c>
      <c r="V254" s="460" t="str">
        <f t="shared" ca="1" si="56"/>
        <v/>
      </c>
      <c r="W254" s="460" t="str">
        <f t="shared" ca="1" si="56"/>
        <v/>
      </c>
      <c r="X254" s="460" t="str">
        <f t="shared" ca="1" si="56"/>
        <v/>
      </c>
      <c r="Y254" s="460" t="str">
        <f t="shared" ca="1" si="56"/>
        <v/>
      </c>
      <c r="Z254" s="460" t="str">
        <f t="shared" ca="1" si="56"/>
        <v/>
      </c>
      <c r="AA254" s="461" t="str">
        <f t="shared" ca="1" si="56"/>
        <v/>
      </c>
      <c r="AB254" s="474" t="str">
        <f t="shared" ca="1" si="56"/>
        <v/>
      </c>
      <c r="AC254" s="475" t="str">
        <f t="shared" ca="1" si="56"/>
        <v/>
      </c>
      <c r="AD254" s="477" t="str">
        <f t="shared" ca="1" si="46"/>
        <v/>
      </c>
      <c r="AE254" s="478">
        <f t="shared" ca="1" si="47"/>
        <v>0</v>
      </c>
      <c r="AF254" s="459" t="str">
        <f t="shared" ca="1" si="54"/>
        <v/>
      </c>
      <c r="AG254" s="460" t="str">
        <f t="shared" ca="1" si="54"/>
        <v/>
      </c>
      <c r="AH254" s="460" t="str">
        <f t="shared" ca="1" si="54"/>
        <v/>
      </c>
      <c r="AI254" s="460" t="str">
        <f t="shared" ca="1" si="54"/>
        <v/>
      </c>
      <c r="AJ254" s="460" t="str">
        <f t="shared" ca="1" si="54"/>
        <v/>
      </c>
      <c r="AK254" s="460" t="str">
        <f t="shared" ca="1" si="54"/>
        <v/>
      </c>
      <c r="AL254" s="460" t="str">
        <f t="shared" ca="1" si="54"/>
        <v/>
      </c>
      <c r="AM254" s="460" t="str">
        <f t="shared" ca="1" si="54"/>
        <v/>
      </c>
      <c r="AN254" s="461" t="str">
        <f t="shared" ca="1" si="54"/>
        <v/>
      </c>
      <c r="AO254" s="474" t="str">
        <f t="shared" ca="1" si="54"/>
        <v/>
      </c>
      <c r="AP254" s="475" t="str">
        <f t="shared" ca="1" si="54"/>
        <v/>
      </c>
      <c r="AQ254" s="479" t="str">
        <f t="array" aca="1" ref="AQ254" ca="1">IF(ROW()-5&lt;=COUNTIF(科目编号,$AR$2),SMALL(IF(科目编号=$AR$2,ROW(科目编号),""),ROW()-5),"")</f>
        <v/>
      </c>
      <c r="AR254" s="480" t="str">
        <f ca="1">IF($BG$2=0,"",IF(AR253="本月合计","本年累计",IF(OR(ROW()=$AU$3,ROW()=$AV$3,ROW()=$AW$3,ROW()=$AX$3,ROW()=$AY$3,ROW()=$AZ$3,ROW()=$BA$3,ROW()=$BB$3,ROW()=$BC$3,ROW()=$BD$3,ROW()=$BE$3,ROW()=$BF$3),"本月合计",IF(ROW()&lt;7,$AQ$6,OFFSET($AQ$6,COUNT($AR$6:AR253),0)))))</f>
        <v/>
      </c>
    </row>
    <row r="255" spans="1:44">
      <c r="A255" s="469" t="str">
        <f ca="1">IFERROR(INDEX(凭证录入!A:A,$AR255),"")</f>
        <v/>
      </c>
      <c r="B255" s="469" t="str">
        <f ca="1">IFERROR(INDEX(凭证录入!B:B,$AR255),"")</f>
        <v/>
      </c>
      <c r="C255" s="470" t="str">
        <f ca="1">IFERROR(INDEX(凭证录入!G:G,$AR255),"")</f>
        <v/>
      </c>
      <c r="D255" s="471" t="str">
        <f ca="1">IFERROR(INDEX(凭证录入!F:F,$AR255),"")</f>
        <v/>
      </c>
      <c r="E255" s="472" t="str">
        <f ca="1">IFERROR(INDEX(凭证录入!H:H,$AR255),$AR255)</f>
        <v/>
      </c>
      <c r="F255" s="473">
        <f ca="1">IF(OR($BG$2=0,$AR255=""),,IF($AR255="本月合计",IF(ROW()=$BG$3,SUM($F$6:$F254),SUM(INDIRECT("$F$"&amp;OFFSET($AU$3,,MATCH(ROW(),$AU$3:$BF$3,)-2)+2&amp;":$E"&amp;ROW()-1))),IF($AR255="本年累计",SUMIF($AR$6:$AR255,"本月合计",$F$6:$F254),INDEX(凭证录入!K:K,$AR255))))</f>
        <v>0</v>
      </c>
      <c r="G255" s="459" t="str">
        <f t="shared" ca="1" si="55"/>
        <v/>
      </c>
      <c r="H255" s="460" t="str">
        <f t="shared" ca="1" si="55"/>
        <v/>
      </c>
      <c r="I255" s="460" t="str">
        <f t="shared" ca="1" si="55"/>
        <v/>
      </c>
      <c r="J255" s="460" t="str">
        <f t="shared" ca="1" si="55"/>
        <v/>
      </c>
      <c r="K255" s="460" t="str">
        <f t="shared" ca="1" si="55"/>
        <v/>
      </c>
      <c r="L255" s="460" t="str">
        <f t="shared" ca="1" si="55"/>
        <v/>
      </c>
      <c r="M255" s="460" t="str">
        <f t="shared" ca="1" si="55"/>
        <v/>
      </c>
      <c r="N255" s="460" t="str">
        <f t="shared" ca="1" si="55"/>
        <v/>
      </c>
      <c r="O255" s="461" t="str">
        <f t="shared" ca="1" si="55"/>
        <v/>
      </c>
      <c r="P255" s="474" t="str">
        <f t="shared" ca="1" si="55"/>
        <v/>
      </c>
      <c r="Q255" s="475" t="str">
        <f t="shared" ca="1" si="55"/>
        <v/>
      </c>
      <c r="R255" s="476">
        <f ca="1">IF(OR($BG$2=0,$AR255=""),,IF($AR255="本月合计",IF(ROW()=$BG$3,SUM($R$6:$R254),SUM(INDIRECT("$R$"&amp;OFFSET($AU$3,,MATCH(ROW(),$AU$3:$BF$3,)-2)+2&amp;":$R"&amp;ROW()-1))),IF($AR255="本年累计",SUMIF($AR$6:$AR255,"本月合计",$R$6:$R254),INDEX(凭证录入!L:L,$AR255))))</f>
        <v>0</v>
      </c>
      <c r="S255" s="459" t="str">
        <f t="shared" ca="1" si="56"/>
        <v/>
      </c>
      <c r="T255" s="460" t="str">
        <f t="shared" ca="1" si="56"/>
        <v/>
      </c>
      <c r="U255" s="460" t="str">
        <f t="shared" ca="1" si="56"/>
        <v/>
      </c>
      <c r="V255" s="460" t="str">
        <f t="shared" ca="1" si="56"/>
        <v/>
      </c>
      <c r="W255" s="460" t="str">
        <f t="shared" ca="1" si="56"/>
        <v/>
      </c>
      <c r="X255" s="460" t="str">
        <f t="shared" ca="1" si="56"/>
        <v/>
      </c>
      <c r="Y255" s="460" t="str">
        <f t="shared" ca="1" si="56"/>
        <v/>
      </c>
      <c r="Z255" s="460" t="str">
        <f t="shared" ca="1" si="56"/>
        <v/>
      </c>
      <c r="AA255" s="461" t="str">
        <f t="shared" ca="1" si="56"/>
        <v/>
      </c>
      <c r="AB255" s="474" t="str">
        <f t="shared" ca="1" si="56"/>
        <v/>
      </c>
      <c r="AC255" s="475" t="str">
        <f t="shared" ca="1" si="56"/>
        <v/>
      </c>
      <c r="AD255" s="477" t="str">
        <f t="shared" ca="1" si="46"/>
        <v/>
      </c>
      <c r="AE255" s="478">
        <f t="shared" ca="1" si="47"/>
        <v>0</v>
      </c>
      <c r="AF255" s="459" t="str">
        <f t="shared" ca="1" si="54"/>
        <v/>
      </c>
      <c r="AG255" s="460" t="str">
        <f t="shared" ca="1" si="54"/>
        <v/>
      </c>
      <c r="AH255" s="460" t="str">
        <f t="shared" ca="1" si="54"/>
        <v/>
      </c>
      <c r="AI255" s="460" t="str">
        <f t="shared" ca="1" si="54"/>
        <v/>
      </c>
      <c r="AJ255" s="460" t="str">
        <f t="shared" ca="1" si="54"/>
        <v/>
      </c>
      <c r="AK255" s="460" t="str">
        <f t="shared" ca="1" si="54"/>
        <v/>
      </c>
      <c r="AL255" s="460" t="str">
        <f t="shared" ca="1" si="54"/>
        <v/>
      </c>
      <c r="AM255" s="460" t="str">
        <f t="shared" ca="1" si="54"/>
        <v/>
      </c>
      <c r="AN255" s="461" t="str">
        <f t="shared" ca="1" si="54"/>
        <v/>
      </c>
      <c r="AO255" s="474" t="str">
        <f t="shared" ca="1" si="54"/>
        <v/>
      </c>
      <c r="AP255" s="475" t="str">
        <f t="shared" ca="1" si="54"/>
        <v/>
      </c>
      <c r="AQ255" s="479" t="str">
        <f t="array" aca="1" ref="AQ255" ca="1">IF(ROW()-5&lt;=COUNTIF(科目编号,$AR$2),SMALL(IF(科目编号=$AR$2,ROW(科目编号),""),ROW()-5),"")</f>
        <v/>
      </c>
      <c r="AR255" s="480" t="str">
        <f ca="1">IF($BG$2=0,"",IF(AR254="本月合计","本年累计",IF(OR(ROW()=$AU$3,ROW()=$AV$3,ROW()=$AW$3,ROW()=$AX$3,ROW()=$AY$3,ROW()=$AZ$3,ROW()=$BA$3,ROW()=$BB$3,ROW()=$BC$3,ROW()=$BD$3,ROW()=$BE$3,ROW()=$BF$3),"本月合计",IF(ROW()&lt;7,$AQ$6,OFFSET($AQ$6,COUNT($AR$6:AR254),0)))))</f>
        <v/>
      </c>
    </row>
    <row r="256" spans="1:44">
      <c r="A256" s="469" t="str">
        <f ca="1">IFERROR(INDEX(凭证录入!A:A,$AR256),"")</f>
        <v/>
      </c>
      <c r="B256" s="469" t="str">
        <f ca="1">IFERROR(INDEX(凭证录入!B:B,$AR256),"")</f>
        <v/>
      </c>
      <c r="C256" s="470" t="str">
        <f ca="1">IFERROR(INDEX(凭证录入!G:G,$AR256),"")</f>
        <v/>
      </c>
      <c r="D256" s="471" t="str">
        <f ca="1">IFERROR(INDEX(凭证录入!F:F,$AR256),"")</f>
        <v/>
      </c>
      <c r="E256" s="472" t="str">
        <f ca="1">IFERROR(INDEX(凭证录入!H:H,$AR256),$AR256)</f>
        <v/>
      </c>
      <c r="F256" s="473">
        <f ca="1">IF(OR($BG$2=0,$AR256=""),,IF($AR256="本月合计",IF(ROW()=$BG$3,SUM($F$6:$F255),SUM(INDIRECT("$F$"&amp;OFFSET($AU$3,,MATCH(ROW(),$AU$3:$BF$3,)-2)+2&amp;":$E"&amp;ROW()-1))),IF($AR256="本年累计",SUMIF($AR$6:$AR256,"本月合计",$F$6:$F255),INDEX(凭证录入!K:K,$AR256))))</f>
        <v>0</v>
      </c>
      <c r="G256" s="459" t="str">
        <f t="shared" ca="1" si="55"/>
        <v/>
      </c>
      <c r="H256" s="460" t="str">
        <f t="shared" ca="1" si="55"/>
        <v/>
      </c>
      <c r="I256" s="460" t="str">
        <f t="shared" ca="1" si="55"/>
        <v/>
      </c>
      <c r="J256" s="460" t="str">
        <f t="shared" ca="1" si="55"/>
        <v/>
      </c>
      <c r="K256" s="460" t="str">
        <f t="shared" ca="1" si="55"/>
        <v/>
      </c>
      <c r="L256" s="460" t="str">
        <f t="shared" ca="1" si="55"/>
        <v/>
      </c>
      <c r="M256" s="460" t="str">
        <f t="shared" ca="1" si="55"/>
        <v/>
      </c>
      <c r="N256" s="460" t="str">
        <f t="shared" ca="1" si="55"/>
        <v/>
      </c>
      <c r="O256" s="461" t="str">
        <f t="shared" ca="1" si="55"/>
        <v/>
      </c>
      <c r="P256" s="474" t="str">
        <f t="shared" ca="1" si="55"/>
        <v/>
      </c>
      <c r="Q256" s="475" t="str">
        <f t="shared" ca="1" si="55"/>
        <v/>
      </c>
      <c r="R256" s="476">
        <f ca="1">IF(OR($BG$2=0,$AR256=""),,IF($AR256="本月合计",IF(ROW()=$BG$3,SUM($R$6:$R255),SUM(INDIRECT("$R$"&amp;OFFSET($AU$3,,MATCH(ROW(),$AU$3:$BF$3,)-2)+2&amp;":$R"&amp;ROW()-1))),IF($AR256="本年累计",SUMIF($AR$6:$AR256,"本月合计",$R$6:$R255),INDEX(凭证录入!L:L,$AR256))))</f>
        <v>0</v>
      </c>
      <c r="S256" s="459" t="str">
        <f t="shared" ca="1" si="56"/>
        <v/>
      </c>
      <c r="T256" s="460" t="str">
        <f t="shared" ca="1" si="56"/>
        <v/>
      </c>
      <c r="U256" s="460" t="str">
        <f t="shared" ca="1" si="56"/>
        <v/>
      </c>
      <c r="V256" s="460" t="str">
        <f t="shared" ca="1" si="56"/>
        <v/>
      </c>
      <c r="W256" s="460" t="str">
        <f t="shared" ca="1" si="56"/>
        <v/>
      </c>
      <c r="X256" s="460" t="str">
        <f t="shared" ca="1" si="56"/>
        <v/>
      </c>
      <c r="Y256" s="460" t="str">
        <f t="shared" ca="1" si="56"/>
        <v/>
      </c>
      <c r="Z256" s="460" t="str">
        <f t="shared" ca="1" si="56"/>
        <v/>
      </c>
      <c r="AA256" s="461" t="str">
        <f t="shared" ca="1" si="56"/>
        <v/>
      </c>
      <c r="AB256" s="474" t="str">
        <f t="shared" ca="1" si="56"/>
        <v/>
      </c>
      <c r="AC256" s="475" t="str">
        <f t="shared" ca="1" si="56"/>
        <v/>
      </c>
      <c r="AD256" s="477" t="str">
        <f t="shared" ca="1" si="46"/>
        <v/>
      </c>
      <c r="AE256" s="478">
        <f t="shared" ca="1" si="47"/>
        <v>0</v>
      </c>
      <c r="AF256" s="459" t="str">
        <f t="shared" ca="1" si="54"/>
        <v/>
      </c>
      <c r="AG256" s="460" t="str">
        <f t="shared" ca="1" si="54"/>
        <v/>
      </c>
      <c r="AH256" s="460" t="str">
        <f t="shared" ca="1" si="54"/>
        <v/>
      </c>
      <c r="AI256" s="460" t="str">
        <f t="shared" ca="1" si="54"/>
        <v/>
      </c>
      <c r="AJ256" s="460" t="str">
        <f t="shared" ca="1" si="54"/>
        <v/>
      </c>
      <c r="AK256" s="460" t="str">
        <f t="shared" ca="1" si="54"/>
        <v/>
      </c>
      <c r="AL256" s="460" t="str">
        <f t="shared" ca="1" si="54"/>
        <v/>
      </c>
      <c r="AM256" s="460" t="str">
        <f t="shared" ca="1" si="54"/>
        <v/>
      </c>
      <c r="AN256" s="461" t="str">
        <f t="shared" ca="1" si="54"/>
        <v/>
      </c>
      <c r="AO256" s="474" t="str">
        <f t="shared" ca="1" si="54"/>
        <v/>
      </c>
      <c r="AP256" s="475" t="str">
        <f t="shared" ca="1" si="54"/>
        <v/>
      </c>
      <c r="AQ256" s="479" t="str">
        <f t="array" aca="1" ref="AQ256" ca="1">IF(ROW()-5&lt;=COUNTIF(科目编号,$AR$2),SMALL(IF(科目编号=$AR$2,ROW(科目编号),""),ROW()-5),"")</f>
        <v/>
      </c>
      <c r="AR256" s="480" t="str">
        <f ca="1">IF($BG$2=0,"",IF(AR255="本月合计","本年累计",IF(OR(ROW()=$AU$3,ROW()=$AV$3,ROW()=$AW$3,ROW()=$AX$3,ROW()=$AY$3,ROW()=$AZ$3,ROW()=$BA$3,ROW()=$BB$3,ROW()=$BC$3,ROW()=$BD$3,ROW()=$BE$3,ROW()=$BF$3),"本月合计",IF(ROW()&lt;7,$AQ$6,OFFSET($AQ$6,COUNT($AR$6:AR255),0)))))</f>
        <v/>
      </c>
    </row>
    <row r="257" spans="1:44">
      <c r="A257" s="469" t="str">
        <f ca="1">IFERROR(INDEX(凭证录入!A:A,$AR257),"")</f>
        <v/>
      </c>
      <c r="B257" s="469" t="str">
        <f ca="1">IFERROR(INDEX(凭证录入!B:B,$AR257),"")</f>
        <v/>
      </c>
      <c r="C257" s="470" t="str">
        <f ca="1">IFERROR(INDEX(凭证录入!G:G,$AR257),"")</f>
        <v/>
      </c>
      <c r="D257" s="471" t="str">
        <f ca="1">IFERROR(INDEX(凭证录入!F:F,$AR257),"")</f>
        <v/>
      </c>
      <c r="E257" s="472" t="str">
        <f ca="1">IFERROR(INDEX(凭证录入!H:H,$AR257),$AR257)</f>
        <v/>
      </c>
      <c r="F257" s="473">
        <f ca="1">IF(OR($BG$2=0,$AR257=""),,IF($AR257="本月合计",IF(ROW()=$BG$3,SUM($F$6:$F256),SUM(INDIRECT("$F$"&amp;OFFSET($AU$3,,MATCH(ROW(),$AU$3:$BF$3,)-2)+2&amp;":$E"&amp;ROW()-1))),IF($AR257="本年累计",SUMIF($AR$6:$AR257,"本月合计",$F$6:$F256),INDEX(凭证录入!K:K,$AR257))))</f>
        <v>0</v>
      </c>
      <c r="G257" s="459" t="str">
        <f t="shared" ca="1" si="55"/>
        <v/>
      </c>
      <c r="H257" s="460" t="str">
        <f t="shared" ca="1" si="55"/>
        <v/>
      </c>
      <c r="I257" s="460" t="str">
        <f t="shared" ca="1" si="55"/>
        <v/>
      </c>
      <c r="J257" s="460" t="str">
        <f t="shared" ca="1" si="55"/>
        <v/>
      </c>
      <c r="K257" s="460" t="str">
        <f t="shared" ca="1" si="55"/>
        <v/>
      </c>
      <c r="L257" s="460" t="str">
        <f t="shared" ca="1" si="55"/>
        <v/>
      </c>
      <c r="M257" s="460" t="str">
        <f t="shared" ca="1" si="55"/>
        <v/>
      </c>
      <c r="N257" s="460" t="str">
        <f t="shared" ca="1" si="55"/>
        <v/>
      </c>
      <c r="O257" s="461" t="str">
        <f t="shared" ca="1" si="55"/>
        <v/>
      </c>
      <c r="P257" s="474" t="str">
        <f t="shared" ca="1" si="55"/>
        <v/>
      </c>
      <c r="Q257" s="475" t="str">
        <f t="shared" ca="1" si="55"/>
        <v/>
      </c>
      <c r="R257" s="476">
        <f ca="1">IF(OR($BG$2=0,$AR257=""),,IF($AR257="本月合计",IF(ROW()=$BG$3,SUM($R$6:$R256),SUM(INDIRECT("$R$"&amp;OFFSET($AU$3,,MATCH(ROW(),$AU$3:$BF$3,)-2)+2&amp;":$R"&amp;ROW()-1))),IF($AR257="本年累计",SUMIF($AR$6:$AR257,"本月合计",$R$6:$R256),INDEX(凭证录入!L:L,$AR257))))</f>
        <v>0</v>
      </c>
      <c r="S257" s="459" t="str">
        <f t="shared" ca="1" si="56"/>
        <v/>
      </c>
      <c r="T257" s="460" t="str">
        <f t="shared" ca="1" si="56"/>
        <v/>
      </c>
      <c r="U257" s="460" t="str">
        <f t="shared" ca="1" si="56"/>
        <v/>
      </c>
      <c r="V257" s="460" t="str">
        <f t="shared" ca="1" si="56"/>
        <v/>
      </c>
      <c r="W257" s="460" t="str">
        <f t="shared" ca="1" si="56"/>
        <v/>
      </c>
      <c r="X257" s="460" t="str">
        <f t="shared" ca="1" si="56"/>
        <v/>
      </c>
      <c r="Y257" s="460" t="str">
        <f t="shared" ca="1" si="56"/>
        <v/>
      </c>
      <c r="Z257" s="460" t="str">
        <f t="shared" ca="1" si="56"/>
        <v/>
      </c>
      <c r="AA257" s="461" t="str">
        <f t="shared" ca="1" si="56"/>
        <v/>
      </c>
      <c r="AB257" s="474" t="str">
        <f t="shared" ca="1" si="56"/>
        <v/>
      </c>
      <c r="AC257" s="475" t="str">
        <f t="shared" ca="1" si="56"/>
        <v/>
      </c>
      <c r="AD257" s="477" t="str">
        <f t="shared" ca="1" si="46"/>
        <v/>
      </c>
      <c r="AE257" s="478">
        <f t="shared" ca="1" si="47"/>
        <v>0</v>
      </c>
      <c r="AF257" s="459" t="str">
        <f t="shared" ca="1" si="54"/>
        <v/>
      </c>
      <c r="AG257" s="460" t="str">
        <f t="shared" ca="1" si="54"/>
        <v/>
      </c>
      <c r="AH257" s="460" t="str">
        <f t="shared" ca="1" si="54"/>
        <v/>
      </c>
      <c r="AI257" s="460" t="str">
        <f t="shared" ca="1" si="54"/>
        <v/>
      </c>
      <c r="AJ257" s="460" t="str">
        <f t="shared" ca="1" si="54"/>
        <v/>
      </c>
      <c r="AK257" s="460" t="str">
        <f t="shared" ca="1" si="54"/>
        <v/>
      </c>
      <c r="AL257" s="460" t="str">
        <f t="shared" ca="1" si="54"/>
        <v/>
      </c>
      <c r="AM257" s="460" t="str">
        <f t="shared" ca="1" si="54"/>
        <v/>
      </c>
      <c r="AN257" s="461" t="str">
        <f t="shared" ca="1" si="54"/>
        <v/>
      </c>
      <c r="AO257" s="474" t="str">
        <f t="shared" ca="1" si="54"/>
        <v/>
      </c>
      <c r="AP257" s="475" t="str">
        <f t="shared" ca="1" si="54"/>
        <v/>
      </c>
      <c r="AQ257" s="479" t="str">
        <f t="array" aca="1" ref="AQ257" ca="1">IF(ROW()-5&lt;=COUNTIF(科目编号,$AR$2),SMALL(IF(科目编号=$AR$2,ROW(科目编号),""),ROW()-5),"")</f>
        <v/>
      </c>
      <c r="AR257" s="480" t="str">
        <f ca="1">IF($BG$2=0,"",IF(AR256="本月合计","本年累计",IF(OR(ROW()=$AU$3,ROW()=$AV$3,ROW()=$AW$3,ROW()=$AX$3,ROW()=$AY$3,ROW()=$AZ$3,ROW()=$BA$3,ROW()=$BB$3,ROW()=$BC$3,ROW()=$BD$3,ROW()=$BE$3,ROW()=$BF$3),"本月合计",IF(ROW()&lt;7,$AQ$6,OFFSET($AQ$6,COUNT($AR$6:AR256),0)))))</f>
        <v/>
      </c>
    </row>
    <row r="258" spans="1:44">
      <c r="A258" s="469" t="str">
        <f ca="1">IFERROR(INDEX(凭证录入!A:A,$AR258),"")</f>
        <v/>
      </c>
      <c r="B258" s="469" t="str">
        <f ca="1">IFERROR(INDEX(凭证录入!B:B,$AR258),"")</f>
        <v/>
      </c>
      <c r="C258" s="470" t="str">
        <f ca="1">IFERROR(INDEX(凭证录入!G:G,$AR258),"")</f>
        <v/>
      </c>
      <c r="D258" s="471" t="str">
        <f ca="1">IFERROR(INDEX(凭证录入!F:F,$AR258),"")</f>
        <v/>
      </c>
      <c r="E258" s="472" t="str">
        <f ca="1">IFERROR(INDEX(凭证录入!H:H,$AR258),$AR258)</f>
        <v/>
      </c>
      <c r="F258" s="473">
        <f ca="1">IF(OR($BG$2=0,$AR258=""),,IF($AR258="本月合计",IF(ROW()=$BG$3,SUM($F$6:$F257),SUM(INDIRECT("$F$"&amp;OFFSET($AU$3,,MATCH(ROW(),$AU$3:$BF$3,)-2)+2&amp;":$E"&amp;ROW()-1))),IF($AR258="本年累计",SUMIF($AR$6:$AR258,"本月合计",$F$6:$F257),INDEX(凭证录入!K:K,$AR258))))</f>
        <v>0</v>
      </c>
      <c r="G258" s="459" t="str">
        <f t="shared" ca="1" si="55"/>
        <v/>
      </c>
      <c r="H258" s="460" t="str">
        <f t="shared" ca="1" si="55"/>
        <v/>
      </c>
      <c r="I258" s="460" t="str">
        <f t="shared" ca="1" si="55"/>
        <v/>
      </c>
      <c r="J258" s="460" t="str">
        <f t="shared" ca="1" si="55"/>
        <v/>
      </c>
      <c r="K258" s="460" t="str">
        <f t="shared" ca="1" si="55"/>
        <v/>
      </c>
      <c r="L258" s="460" t="str">
        <f t="shared" ca="1" si="55"/>
        <v/>
      </c>
      <c r="M258" s="460" t="str">
        <f t="shared" ca="1" si="55"/>
        <v/>
      </c>
      <c r="N258" s="460" t="str">
        <f t="shared" ca="1" si="55"/>
        <v/>
      </c>
      <c r="O258" s="461" t="str">
        <f t="shared" ca="1" si="55"/>
        <v/>
      </c>
      <c r="P258" s="474" t="str">
        <f t="shared" ca="1" si="55"/>
        <v/>
      </c>
      <c r="Q258" s="475" t="str">
        <f t="shared" ca="1" si="55"/>
        <v/>
      </c>
      <c r="R258" s="476">
        <f ca="1">IF(OR($BG$2=0,$AR258=""),,IF($AR258="本月合计",IF(ROW()=$BG$3,SUM($R$6:$R257),SUM(INDIRECT("$R$"&amp;OFFSET($AU$3,,MATCH(ROW(),$AU$3:$BF$3,)-2)+2&amp;":$R"&amp;ROW()-1))),IF($AR258="本年累计",SUMIF($AR$6:$AR258,"本月合计",$R$6:$R257),INDEX(凭证录入!L:L,$AR258))))</f>
        <v>0</v>
      </c>
      <c r="S258" s="459" t="str">
        <f t="shared" ca="1" si="56"/>
        <v/>
      </c>
      <c r="T258" s="460" t="str">
        <f t="shared" ca="1" si="56"/>
        <v/>
      </c>
      <c r="U258" s="460" t="str">
        <f t="shared" ca="1" si="56"/>
        <v/>
      </c>
      <c r="V258" s="460" t="str">
        <f t="shared" ca="1" si="56"/>
        <v/>
      </c>
      <c r="W258" s="460" t="str">
        <f t="shared" ca="1" si="56"/>
        <v/>
      </c>
      <c r="X258" s="460" t="str">
        <f t="shared" ca="1" si="56"/>
        <v/>
      </c>
      <c r="Y258" s="460" t="str">
        <f t="shared" ca="1" si="56"/>
        <v/>
      </c>
      <c r="Z258" s="460" t="str">
        <f t="shared" ca="1" si="56"/>
        <v/>
      </c>
      <c r="AA258" s="461" t="str">
        <f t="shared" ca="1" si="56"/>
        <v/>
      </c>
      <c r="AB258" s="474" t="str">
        <f t="shared" ca="1" si="56"/>
        <v/>
      </c>
      <c r="AC258" s="475" t="str">
        <f t="shared" ca="1" si="56"/>
        <v/>
      </c>
      <c r="AD258" s="477" t="str">
        <f t="shared" ca="1" si="46"/>
        <v/>
      </c>
      <c r="AE258" s="478">
        <f t="shared" ca="1" si="47"/>
        <v>0</v>
      </c>
      <c r="AF258" s="459" t="str">
        <f t="shared" ca="1" si="54"/>
        <v/>
      </c>
      <c r="AG258" s="460" t="str">
        <f t="shared" ca="1" si="54"/>
        <v/>
      </c>
      <c r="AH258" s="460" t="str">
        <f t="shared" ca="1" si="54"/>
        <v/>
      </c>
      <c r="AI258" s="460" t="str">
        <f t="shared" ca="1" si="54"/>
        <v/>
      </c>
      <c r="AJ258" s="460" t="str">
        <f t="shared" ca="1" si="54"/>
        <v/>
      </c>
      <c r="AK258" s="460" t="str">
        <f t="shared" ca="1" si="54"/>
        <v/>
      </c>
      <c r="AL258" s="460" t="str">
        <f t="shared" ca="1" si="54"/>
        <v/>
      </c>
      <c r="AM258" s="460" t="str">
        <f t="shared" ca="1" si="54"/>
        <v/>
      </c>
      <c r="AN258" s="461" t="str">
        <f t="shared" ca="1" si="54"/>
        <v/>
      </c>
      <c r="AO258" s="474" t="str">
        <f t="shared" ca="1" si="54"/>
        <v/>
      </c>
      <c r="AP258" s="475" t="str">
        <f t="shared" ca="1" si="54"/>
        <v/>
      </c>
      <c r="AQ258" s="479" t="str">
        <f t="array" aca="1" ref="AQ258" ca="1">IF(ROW()-5&lt;=COUNTIF(科目编号,$AR$2),SMALL(IF(科目编号=$AR$2,ROW(科目编号),""),ROW()-5),"")</f>
        <v/>
      </c>
      <c r="AR258" s="480" t="str">
        <f ca="1">IF($BG$2=0,"",IF(AR257="本月合计","本年累计",IF(OR(ROW()=$AU$3,ROW()=$AV$3,ROW()=$AW$3,ROW()=$AX$3,ROW()=$AY$3,ROW()=$AZ$3,ROW()=$BA$3,ROW()=$BB$3,ROW()=$BC$3,ROW()=$BD$3,ROW()=$BE$3,ROW()=$BF$3),"本月合计",IF(ROW()&lt;7,$AQ$6,OFFSET($AQ$6,COUNT($AR$6:AR257),0)))))</f>
        <v/>
      </c>
    </row>
    <row r="259" spans="1:44">
      <c r="A259" s="469" t="str">
        <f ca="1">IFERROR(INDEX(凭证录入!A:A,$AR259),"")</f>
        <v/>
      </c>
      <c r="B259" s="469" t="str">
        <f ca="1">IFERROR(INDEX(凭证录入!B:B,$AR259),"")</f>
        <v/>
      </c>
      <c r="C259" s="470" t="str">
        <f ca="1">IFERROR(INDEX(凭证录入!G:G,$AR259),"")</f>
        <v/>
      </c>
      <c r="D259" s="471" t="str">
        <f ca="1">IFERROR(INDEX(凭证录入!F:F,$AR259),"")</f>
        <v/>
      </c>
      <c r="E259" s="472" t="str">
        <f ca="1">IFERROR(INDEX(凭证录入!H:H,$AR259),$AR259)</f>
        <v/>
      </c>
      <c r="F259" s="473">
        <f ca="1">IF(OR($BG$2=0,$AR259=""),,IF($AR259="本月合计",IF(ROW()=$BG$3,SUM($F$6:$F258),SUM(INDIRECT("$F$"&amp;OFFSET($AU$3,,MATCH(ROW(),$AU$3:$BF$3,)-2)+2&amp;":$E"&amp;ROW()-1))),IF($AR259="本年累计",SUMIF($AR$6:$AR259,"本月合计",$F$6:$F258),INDEX(凭证录入!K:K,$AR259))))</f>
        <v>0</v>
      </c>
      <c r="G259" s="459" t="str">
        <f t="shared" ca="1" si="55"/>
        <v/>
      </c>
      <c r="H259" s="460" t="str">
        <f t="shared" ca="1" si="55"/>
        <v/>
      </c>
      <c r="I259" s="460" t="str">
        <f t="shared" ca="1" si="55"/>
        <v/>
      </c>
      <c r="J259" s="460" t="str">
        <f t="shared" ca="1" si="55"/>
        <v/>
      </c>
      <c r="K259" s="460" t="str">
        <f t="shared" ca="1" si="55"/>
        <v/>
      </c>
      <c r="L259" s="460" t="str">
        <f t="shared" ca="1" si="55"/>
        <v/>
      </c>
      <c r="M259" s="460" t="str">
        <f t="shared" ca="1" si="55"/>
        <v/>
      </c>
      <c r="N259" s="460" t="str">
        <f t="shared" ca="1" si="55"/>
        <v/>
      </c>
      <c r="O259" s="461" t="str">
        <f t="shared" ca="1" si="55"/>
        <v/>
      </c>
      <c r="P259" s="474" t="str">
        <f t="shared" ca="1" si="55"/>
        <v/>
      </c>
      <c r="Q259" s="475" t="str">
        <f t="shared" ca="1" si="55"/>
        <v/>
      </c>
      <c r="R259" s="476">
        <f ca="1">IF(OR($BG$2=0,$AR259=""),,IF($AR259="本月合计",IF(ROW()=$BG$3,SUM($R$6:$R258),SUM(INDIRECT("$R$"&amp;OFFSET($AU$3,,MATCH(ROW(),$AU$3:$BF$3,)-2)+2&amp;":$R"&amp;ROW()-1))),IF($AR259="本年累计",SUMIF($AR$6:$AR259,"本月合计",$R$6:$R258),INDEX(凭证录入!L:L,$AR259))))</f>
        <v>0</v>
      </c>
      <c r="S259" s="459" t="str">
        <f t="shared" ca="1" si="56"/>
        <v/>
      </c>
      <c r="T259" s="460" t="str">
        <f t="shared" ca="1" si="56"/>
        <v/>
      </c>
      <c r="U259" s="460" t="str">
        <f t="shared" ca="1" si="56"/>
        <v/>
      </c>
      <c r="V259" s="460" t="str">
        <f t="shared" ca="1" si="56"/>
        <v/>
      </c>
      <c r="W259" s="460" t="str">
        <f t="shared" ca="1" si="56"/>
        <v/>
      </c>
      <c r="X259" s="460" t="str">
        <f t="shared" ca="1" si="56"/>
        <v/>
      </c>
      <c r="Y259" s="460" t="str">
        <f t="shared" ca="1" si="56"/>
        <v/>
      </c>
      <c r="Z259" s="460" t="str">
        <f t="shared" ca="1" si="56"/>
        <v/>
      </c>
      <c r="AA259" s="461" t="str">
        <f t="shared" ca="1" si="56"/>
        <v/>
      </c>
      <c r="AB259" s="474" t="str">
        <f t="shared" ca="1" si="56"/>
        <v/>
      </c>
      <c r="AC259" s="475" t="str">
        <f t="shared" ca="1" si="56"/>
        <v/>
      </c>
      <c r="AD259" s="477" t="str">
        <f t="shared" ca="1" si="46"/>
        <v/>
      </c>
      <c r="AE259" s="478">
        <f t="shared" ca="1" si="47"/>
        <v>0</v>
      </c>
      <c r="AF259" s="459" t="str">
        <f t="shared" ca="1" si="54"/>
        <v/>
      </c>
      <c r="AG259" s="460" t="str">
        <f t="shared" ca="1" si="54"/>
        <v/>
      </c>
      <c r="AH259" s="460" t="str">
        <f t="shared" ca="1" si="54"/>
        <v/>
      </c>
      <c r="AI259" s="460" t="str">
        <f t="shared" ca="1" si="54"/>
        <v/>
      </c>
      <c r="AJ259" s="460" t="str">
        <f t="shared" ca="1" si="54"/>
        <v/>
      </c>
      <c r="AK259" s="460" t="str">
        <f t="shared" ca="1" si="54"/>
        <v/>
      </c>
      <c r="AL259" s="460" t="str">
        <f t="shared" ca="1" si="54"/>
        <v/>
      </c>
      <c r="AM259" s="460" t="str">
        <f t="shared" ca="1" si="54"/>
        <v/>
      </c>
      <c r="AN259" s="461" t="str">
        <f t="shared" ca="1" si="54"/>
        <v/>
      </c>
      <c r="AO259" s="474" t="str">
        <f t="shared" ca="1" si="54"/>
        <v/>
      </c>
      <c r="AP259" s="475" t="str">
        <f t="shared" ca="1" si="54"/>
        <v/>
      </c>
      <c r="AQ259" s="479" t="str">
        <f t="array" aca="1" ref="AQ259" ca="1">IF(ROW()-5&lt;=COUNTIF(科目编号,$AR$2),SMALL(IF(科目编号=$AR$2,ROW(科目编号),""),ROW()-5),"")</f>
        <v/>
      </c>
      <c r="AR259" s="480" t="str">
        <f ca="1">IF($BG$2=0,"",IF(AR258="本月合计","本年累计",IF(OR(ROW()=$AU$3,ROW()=$AV$3,ROW()=$AW$3,ROW()=$AX$3,ROW()=$AY$3,ROW()=$AZ$3,ROW()=$BA$3,ROW()=$BB$3,ROW()=$BC$3,ROW()=$BD$3,ROW()=$BE$3,ROW()=$BF$3),"本月合计",IF(ROW()&lt;7,$AQ$6,OFFSET($AQ$6,COUNT($AR$6:AR258),0)))))</f>
        <v/>
      </c>
    </row>
    <row r="260" spans="1:44">
      <c r="A260" s="469" t="str">
        <f ca="1">IFERROR(INDEX(凭证录入!A:A,$AR260),"")</f>
        <v/>
      </c>
      <c r="B260" s="469" t="str">
        <f ca="1">IFERROR(INDEX(凭证录入!B:B,$AR260),"")</f>
        <v/>
      </c>
      <c r="C260" s="470" t="str">
        <f ca="1">IFERROR(INDEX(凭证录入!G:G,$AR260),"")</f>
        <v/>
      </c>
      <c r="D260" s="471" t="str">
        <f ca="1">IFERROR(INDEX(凭证录入!F:F,$AR260),"")</f>
        <v/>
      </c>
      <c r="E260" s="472" t="str">
        <f ca="1">IFERROR(INDEX(凭证录入!H:H,$AR260),$AR260)</f>
        <v/>
      </c>
      <c r="F260" s="473">
        <f ca="1">IF(OR($BG$2=0,$AR260=""),,IF($AR260="本月合计",IF(ROW()=$BG$3,SUM($F$6:$F259),SUM(INDIRECT("$F$"&amp;OFFSET($AU$3,,MATCH(ROW(),$AU$3:$BF$3,)-2)+2&amp;":$E"&amp;ROW()-1))),IF($AR260="本年累计",SUMIF($AR$6:$AR260,"本月合计",$F$6:$F259),INDEX(凭证录入!K:K,$AR260))))</f>
        <v>0</v>
      </c>
      <c r="G260" s="459" t="str">
        <f t="shared" ca="1" si="55"/>
        <v/>
      </c>
      <c r="H260" s="460" t="str">
        <f t="shared" ca="1" si="55"/>
        <v/>
      </c>
      <c r="I260" s="460" t="str">
        <f t="shared" ca="1" si="55"/>
        <v/>
      </c>
      <c r="J260" s="460" t="str">
        <f t="shared" ca="1" si="55"/>
        <v/>
      </c>
      <c r="K260" s="460" t="str">
        <f t="shared" ca="1" si="55"/>
        <v/>
      </c>
      <c r="L260" s="460" t="str">
        <f t="shared" ca="1" si="55"/>
        <v/>
      </c>
      <c r="M260" s="460" t="str">
        <f t="shared" ca="1" si="55"/>
        <v/>
      </c>
      <c r="N260" s="460" t="str">
        <f t="shared" ca="1" si="55"/>
        <v/>
      </c>
      <c r="O260" s="461" t="str">
        <f t="shared" ca="1" si="55"/>
        <v/>
      </c>
      <c r="P260" s="474" t="str">
        <f t="shared" ca="1" si="55"/>
        <v/>
      </c>
      <c r="Q260" s="475" t="str">
        <f t="shared" ca="1" si="55"/>
        <v/>
      </c>
      <c r="R260" s="476">
        <f ca="1">IF(OR($BG$2=0,$AR260=""),,IF($AR260="本月合计",IF(ROW()=$BG$3,SUM($R$6:$R259),SUM(INDIRECT("$R$"&amp;OFFSET($AU$3,,MATCH(ROW(),$AU$3:$BF$3,)-2)+2&amp;":$R"&amp;ROW()-1))),IF($AR260="本年累计",SUMIF($AR$6:$AR260,"本月合计",$R$6:$R259),INDEX(凭证录入!L:L,$AR260))))</f>
        <v>0</v>
      </c>
      <c r="S260" s="459" t="str">
        <f t="shared" ca="1" si="56"/>
        <v/>
      </c>
      <c r="T260" s="460" t="str">
        <f t="shared" ca="1" si="56"/>
        <v/>
      </c>
      <c r="U260" s="460" t="str">
        <f t="shared" ca="1" si="56"/>
        <v/>
      </c>
      <c r="V260" s="460" t="str">
        <f t="shared" ca="1" si="56"/>
        <v/>
      </c>
      <c r="W260" s="460" t="str">
        <f t="shared" ca="1" si="56"/>
        <v/>
      </c>
      <c r="X260" s="460" t="str">
        <f t="shared" ca="1" si="56"/>
        <v/>
      </c>
      <c r="Y260" s="460" t="str">
        <f t="shared" ca="1" si="56"/>
        <v/>
      </c>
      <c r="Z260" s="460" t="str">
        <f t="shared" ca="1" si="56"/>
        <v/>
      </c>
      <c r="AA260" s="461" t="str">
        <f t="shared" ca="1" si="56"/>
        <v/>
      </c>
      <c r="AB260" s="474" t="str">
        <f t="shared" ca="1" si="56"/>
        <v/>
      </c>
      <c r="AC260" s="475" t="str">
        <f t="shared" ca="1" si="56"/>
        <v/>
      </c>
      <c r="AD260" s="477" t="str">
        <f t="shared" ca="1" si="46"/>
        <v/>
      </c>
      <c r="AE260" s="478">
        <f t="shared" ca="1" si="47"/>
        <v>0</v>
      </c>
      <c r="AF260" s="459" t="str">
        <f t="shared" ca="1" si="54"/>
        <v/>
      </c>
      <c r="AG260" s="460" t="str">
        <f t="shared" ca="1" si="54"/>
        <v/>
      </c>
      <c r="AH260" s="460" t="str">
        <f t="shared" ca="1" si="54"/>
        <v/>
      </c>
      <c r="AI260" s="460" t="str">
        <f t="shared" ca="1" si="54"/>
        <v/>
      </c>
      <c r="AJ260" s="460" t="str">
        <f t="shared" ca="1" si="54"/>
        <v/>
      </c>
      <c r="AK260" s="460" t="str">
        <f t="shared" ca="1" si="54"/>
        <v/>
      </c>
      <c r="AL260" s="460" t="str">
        <f t="shared" ca="1" si="54"/>
        <v/>
      </c>
      <c r="AM260" s="460" t="str">
        <f t="shared" ca="1" si="54"/>
        <v/>
      </c>
      <c r="AN260" s="461" t="str">
        <f t="shared" ca="1" si="54"/>
        <v/>
      </c>
      <c r="AO260" s="474" t="str">
        <f t="shared" ca="1" si="54"/>
        <v/>
      </c>
      <c r="AP260" s="475" t="str">
        <f t="shared" ca="1" si="54"/>
        <v/>
      </c>
      <c r="AQ260" s="479" t="str">
        <f t="array" aca="1" ref="AQ260" ca="1">IF(ROW()-5&lt;=COUNTIF(科目编号,$AR$2),SMALL(IF(科目编号=$AR$2,ROW(科目编号),""),ROW()-5),"")</f>
        <v/>
      </c>
      <c r="AR260" s="480" t="str">
        <f ca="1">IF($BG$2=0,"",IF(AR259="本月合计","本年累计",IF(OR(ROW()=$AU$3,ROW()=$AV$3,ROW()=$AW$3,ROW()=$AX$3,ROW()=$AY$3,ROW()=$AZ$3,ROW()=$BA$3,ROW()=$BB$3,ROW()=$BC$3,ROW()=$BD$3,ROW()=$BE$3,ROW()=$BF$3),"本月合计",IF(ROW()&lt;7,$AQ$6,OFFSET($AQ$6,COUNT($AR$6:AR259),0)))))</f>
        <v/>
      </c>
    </row>
    <row r="261" spans="1:44">
      <c r="A261" s="469" t="str">
        <f ca="1">IFERROR(INDEX(凭证录入!A:A,$AR261),"")</f>
        <v/>
      </c>
      <c r="B261" s="469" t="str">
        <f ca="1">IFERROR(INDEX(凭证录入!B:B,$AR261),"")</f>
        <v/>
      </c>
      <c r="C261" s="470" t="str">
        <f ca="1">IFERROR(INDEX(凭证录入!G:G,$AR261),"")</f>
        <v/>
      </c>
      <c r="D261" s="471" t="str">
        <f ca="1">IFERROR(INDEX(凭证录入!F:F,$AR261),"")</f>
        <v/>
      </c>
      <c r="E261" s="472" t="str">
        <f ca="1">IFERROR(INDEX(凭证录入!H:H,$AR261),$AR261)</f>
        <v/>
      </c>
      <c r="F261" s="473">
        <f ca="1">IF(OR($BG$2=0,$AR261=""),,IF($AR261="本月合计",IF(ROW()=$BG$3,SUM($F$6:$F260),SUM(INDIRECT("$F$"&amp;OFFSET($AU$3,,MATCH(ROW(),$AU$3:$BF$3,)-2)+2&amp;":$E"&amp;ROW()-1))),IF($AR261="本年累计",SUMIF($AR$6:$AR261,"本月合计",$F$6:$F260),INDEX(凭证录入!K:K,$AR261))))</f>
        <v>0</v>
      </c>
      <c r="G261" s="459" t="str">
        <f t="shared" ca="1" si="55"/>
        <v/>
      </c>
      <c r="H261" s="460" t="str">
        <f t="shared" ca="1" si="55"/>
        <v/>
      </c>
      <c r="I261" s="460" t="str">
        <f t="shared" ca="1" si="55"/>
        <v/>
      </c>
      <c r="J261" s="460" t="str">
        <f t="shared" ca="1" si="55"/>
        <v/>
      </c>
      <c r="K261" s="460" t="str">
        <f t="shared" ca="1" si="55"/>
        <v/>
      </c>
      <c r="L261" s="460" t="str">
        <f t="shared" ca="1" si="55"/>
        <v/>
      </c>
      <c r="M261" s="460" t="str">
        <f t="shared" ca="1" si="55"/>
        <v/>
      </c>
      <c r="N261" s="460" t="str">
        <f t="shared" ca="1" si="55"/>
        <v/>
      </c>
      <c r="O261" s="461" t="str">
        <f t="shared" ca="1" si="55"/>
        <v/>
      </c>
      <c r="P261" s="474" t="str">
        <f t="shared" ca="1" si="55"/>
        <v/>
      </c>
      <c r="Q261" s="475" t="str">
        <f t="shared" ca="1" si="55"/>
        <v/>
      </c>
      <c r="R261" s="476">
        <f ca="1">IF(OR($BG$2=0,$AR261=""),,IF($AR261="本月合计",IF(ROW()=$BG$3,SUM($R$6:$R260),SUM(INDIRECT("$R$"&amp;OFFSET($AU$3,,MATCH(ROW(),$AU$3:$BF$3,)-2)+2&amp;":$R"&amp;ROW()-1))),IF($AR261="本年累计",SUMIF($AR$6:$AR261,"本月合计",$R$6:$R260),INDEX(凭证录入!L:L,$AR261))))</f>
        <v>0</v>
      </c>
      <c r="S261" s="459" t="str">
        <f t="shared" ca="1" si="56"/>
        <v/>
      </c>
      <c r="T261" s="460" t="str">
        <f t="shared" ca="1" si="56"/>
        <v/>
      </c>
      <c r="U261" s="460" t="str">
        <f t="shared" ca="1" si="56"/>
        <v/>
      </c>
      <c r="V261" s="460" t="str">
        <f t="shared" ca="1" si="56"/>
        <v/>
      </c>
      <c r="W261" s="460" t="str">
        <f t="shared" ca="1" si="56"/>
        <v/>
      </c>
      <c r="X261" s="460" t="str">
        <f t="shared" ca="1" si="56"/>
        <v/>
      </c>
      <c r="Y261" s="460" t="str">
        <f t="shared" ca="1" si="56"/>
        <v/>
      </c>
      <c r="Z261" s="460" t="str">
        <f t="shared" ca="1" si="56"/>
        <v/>
      </c>
      <c r="AA261" s="461" t="str">
        <f t="shared" ca="1" si="56"/>
        <v/>
      </c>
      <c r="AB261" s="474" t="str">
        <f t="shared" ca="1" si="56"/>
        <v/>
      </c>
      <c r="AC261" s="475" t="str">
        <f t="shared" ca="1" si="56"/>
        <v/>
      </c>
      <c r="AD261" s="477" t="str">
        <f t="shared" ca="1" si="46"/>
        <v/>
      </c>
      <c r="AE261" s="478">
        <f t="shared" ca="1" si="47"/>
        <v>0</v>
      </c>
      <c r="AF261" s="459" t="str">
        <f t="shared" ref="AF261:AP276" ca="1" si="57">LEFT(RIGHT(TEXT($AE261/1%," ￥0; ￥-0;"),43-COLUMN()))</f>
        <v/>
      </c>
      <c r="AG261" s="460" t="str">
        <f t="shared" ca="1" si="57"/>
        <v/>
      </c>
      <c r="AH261" s="460" t="str">
        <f t="shared" ca="1" si="57"/>
        <v/>
      </c>
      <c r="AI261" s="460" t="str">
        <f t="shared" ca="1" si="57"/>
        <v/>
      </c>
      <c r="AJ261" s="460" t="str">
        <f t="shared" ca="1" si="57"/>
        <v/>
      </c>
      <c r="AK261" s="460" t="str">
        <f t="shared" ca="1" si="57"/>
        <v/>
      </c>
      <c r="AL261" s="460" t="str">
        <f t="shared" ca="1" si="57"/>
        <v/>
      </c>
      <c r="AM261" s="460" t="str">
        <f t="shared" ca="1" si="57"/>
        <v/>
      </c>
      <c r="AN261" s="461" t="str">
        <f t="shared" ca="1" si="57"/>
        <v/>
      </c>
      <c r="AO261" s="474" t="str">
        <f t="shared" ca="1" si="57"/>
        <v/>
      </c>
      <c r="AP261" s="475" t="str">
        <f t="shared" ca="1" si="57"/>
        <v/>
      </c>
      <c r="AQ261" s="479" t="str">
        <f t="array" aca="1" ref="AQ261" ca="1">IF(ROW()-5&lt;=COUNTIF(科目编号,$AR$2),SMALL(IF(科目编号=$AR$2,ROW(科目编号),""),ROW()-5),"")</f>
        <v/>
      </c>
      <c r="AR261" s="480" t="str">
        <f ca="1">IF($BG$2=0,"",IF(AR260="本月合计","本年累计",IF(OR(ROW()=$AU$3,ROW()=$AV$3,ROW()=$AW$3,ROW()=$AX$3,ROW()=$AY$3,ROW()=$AZ$3,ROW()=$BA$3,ROW()=$BB$3,ROW()=$BC$3,ROW()=$BD$3,ROW()=$BE$3,ROW()=$BF$3),"本月合计",IF(ROW()&lt;7,$AQ$6,OFFSET($AQ$6,COUNT($AR$6:AR260),0)))))</f>
        <v/>
      </c>
    </row>
    <row r="262" spans="1:44">
      <c r="A262" s="469" t="str">
        <f ca="1">IFERROR(INDEX(凭证录入!A:A,$AR262),"")</f>
        <v/>
      </c>
      <c r="B262" s="469" t="str">
        <f ca="1">IFERROR(INDEX(凭证录入!B:B,$AR262),"")</f>
        <v/>
      </c>
      <c r="C262" s="470" t="str">
        <f ca="1">IFERROR(INDEX(凭证录入!G:G,$AR262),"")</f>
        <v/>
      </c>
      <c r="D262" s="471" t="str">
        <f ca="1">IFERROR(INDEX(凭证录入!F:F,$AR262),"")</f>
        <v/>
      </c>
      <c r="E262" s="472" t="str">
        <f ca="1">IFERROR(INDEX(凭证录入!H:H,$AR262),$AR262)</f>
        <v/>
      </c>
      <c r="F262" s="473">
        <f ca="1">IF(OR($BG$2=0,$AR262=""),,IF($AR262="本月合计",IF(ROW()=$BG$3,SUM($F$6:$F261),SUM(INDIRECT("$F$"&amp;OFFSET($AU$3,,MATCH(ROW(),$AU$3:$BF$3,)-2)+2&amp;":$E"&amp;ROW()-1))),IF($AR262="本年累计",SUMIF($AR$6:$AR262,"本月合计",$F$6:$F261),INDEX(凭证录入!K:K,$AR262))))</f>
        <v>0</v>
      </c>
      <c r="G262" s="459" t="str">
        <f t="shared" ref="G262:Q277" ca="1" si="58">LEFT(RIGHT(TEXT($F262/1%," ￥0; ￥-0;"),18-COLUMN()))</f>
        <v/>
      </c>
      <c r="H262" s="460" t="str">
        <f t="shared" ca="1" si="58"/>
        <v/>
      </c>
      <c r="I262" s="460" t="str">
        <f t="shared" ca="1" si="58"/>
        <v/>
      </c>
      <c r="J262" s="460" t="str">
        <f t="shared" ca="1" si="58"/>
        <v/>
      </c>
      <c r="K262" s="460" t="str">
        <f t="shared" ca="1" si="58"/>
        <v/>
      </c>
      <c r="L262" s="460" t="str">
        <f t="shared" ca="1" si="58"/>
        <v/>
      </c>
      <c r="M262" s="460" t="str">
        <f t="shared" ca="1" si="58"/>
        <v/>
      </c>
      <c r="N262" s="460" t="str">
        <f t="shared" ca="1" si="58"/>
        <v/>
      </c>
      <c r="O262" s="461" t="str">
        <f t="shared" ca="1" si="58"/>
        <v/>
      </c>
      <c r="P262" s="474" t="str">
        <f t="shared" ca="1" si="58"/>
        <v/>
      </c>
      <c r="Q262" s="475" t="str">
        <f t="shared" ca="1" si="58"/>
        <v/>
      </c>
      <c r="R262" s="476">
        <f ca="1">IF(OR($BG$2=0,$AR262=""),,IF($AR262="本月合计",IF(ROW()=$BG$3,SUM($R$6:$R261),SUM(INDIRECT("$R$"&amp;OFFSET($AU$3,,MATCH(ROW(),$AU$3:$BF$3,)-2)+2&amp;":$R"&amp;ROW()-1))),IF($AR262="本年累计",SUMIF($AR$6:$AR262,"本月合计",$R$6:$R261),INDEX(凭证录入!L:L,$AR262))))</f>
        <v>0</v>
      </c>
      <c r="S262" s="459" t="str">
        <f t="shared" ref="S262:AC277" ca="1" si="59">LEFT(RIGHT(TEXT($R262/1%," ￥0; ￥-0;"),30-COLUMN()))</f>
        <v/>
      </c>
      <c r="T262" s="460" t="str">
        <f t="shared" ca="1" si="59"/>
        <v/>
      </c>
      <c r="U262" s="460" t="str">
        <f t="shared" ca="1" si="59"/>
        <v/>
      </c>
      <c r="V262" s="460" t="str">
        <f t="shared" ca="1" si="59"/>
        <v/>
      </c>
      <c r="W262" s="460" t="str">
        <f t="shared" ca="1" si="59"/>
        <v/>
      </c>
      <c r="X262" s="460" t="str">
        <f t="shared" ca="1" si="59"/>
        <v/>
      </c>
      <c r="Y262" s="460" t="str">
        <f t="shared" ca="1" si="59"/>
        <v/>
      </c>
      <c r="Z262" s="460" t="str">
        <f t="shared" ca="1" si="59"/>
        <v/>
      </c>
      <c r="AA262" s="461" t="str">
        <f t="shared" ca="1" si="59"/>
        <v/>
      </c>
      <c r="AB262" s="474" t="str">
        <f t="shared" ca="1" si="59"/>
        <v/>
      </c>
      <c r="AC262" s="475" t="str">
        <f t="shared" ca="1" si="59"/>
        <v/>
      </c>
      <c r="AD262" s="477" t="str">
        <f t="shared" ref="AD262:AD325" ca="1" si="60">IF(OR($BG$2=0,$AR262="",$AR262="本月合计",$AR262="本年累计"),"",IF(OR(AND($AD261="",$AE261="",$AD259&lt;&gt;"借",$AD259&lt;&gt;"贷",($F262-$R262)&gt;=0),AND($AD261="",$AE261&lt;&gt;"",$AD259="借",($AE260+$F262-$R262)&gt;=0),AND($AD261="",$AE261&lt;&gt;"",$AD259="贷",(-$AE260+$F262-$R262)&gt;=0),AND($AD261="借",($AE261+$F262-$R262)&gt;=0),AND($AD261="贷",(-$AE261+$F262-$R262)&gt;=0),),"借","贷"))</f>
        <v/>
      </c>
      <c r="AE262" s="478">
        <f t="shared" ref="AE262:AE325" ca="1" si="61">IF(OR($BG$2=0,$AR262=""),,IF(OR($AR262="本月合计",$AR262="本年累计"),$AE261,IF(OR(AD261="借",AND(AD261="",AD260="",AD259="借")),ABS(AE261+F262-R262),ABS(-AE261+F262-R262))))</f>
        <v>0</v>
      </c>
      <c r="AF262" s="459" t="str">
        <f t="shared" ca="1" si="57"/>
        <v/>
      </c>
      <c r="AG262" s="460" t="str">
        <f t="shared" ca="1" si="57"/>
        <v/>
      </c>
      <c r="AH262" s="460" t="str">
        <f t="shared" ca="1" si="57"/>
        <v/>
      </c>
      <c r="AI262" s="460" t="str">
        <f t="shared" ca="1" si="57"/>
        <v/>
      </c>
      <c r="AJ262" s="460" t="str">
        <f t="shared" ca="1" si="57"/>
        <v/>
      </c>
      <c r="AK262" s="460" t="str">
        <f t="shared" ca="1" si="57"/>
        <v/>
      </c>
      <c r="AL262" s="460" t="str">
        <f t="shared" ca="1" si="57"/>
        <v/>
      </c>
      <c r="AM262" s="460" t="str">
        <f t="shared" ca="1" si="57"/>
        <v/>
      </c>
      <c r="AN262" s="461" t="str">
        <f t="shared" ca="1" si="57"/>
        <v/>
      </c>
      <c r="AO262" s="474" t="str">
        <f t="shared" ca="1" si="57"/>
        <v/>
      </c>
      <c r="AP262" s="475" t="str">
        <f t="shared" ca="1" si="57"/>
        <v/>
      </c>
      <c r="AQ262" s="479" t="str">
        <f t="array" aca="1" ref="AQ262" ca="1">IF(ROW()-5&lt;=COUNTIF(科目编号,$AR$2),SMALL(IF(科目编号=$AR$2,ROW(科目编号),""),ROW()-5),"")</f>
        <v/>
      </c>
      <c r="AR262" s="480" t="str">
        <f ca="1">IF($BG$2=0,"",IF(AR261="本月合计","本年累计",IF(OR(ROW()=$AU$3,ROW()=$AV$3,ROW()=$AW$3,ROW()=$AX$3,ROW()=$AY$3,ROW()=$AZ$3,ROW()=$BA$3,ROW()=$BB$3,ROW()=$BC$3,ROW()=$BD$3,ROW()=$BE$3,ROW()=$BF$3),"本月合计",IF(ROW()&lt;7,$AQ$6,OFFSET($AQ$6,COUNT($AR$6:AR261),0)))))</f>
        <v/>
      </c>
    </row>
    <row r="263" spans="1:44">
      <c r="A263" s="469" t="str">
        <f ca="1">IFERROR(INDEX(凭证录入!A:A,$AR263),"")</f>
        <v/>
      </c>
      <c r="B263" s="469" t="str">
        <f ca="1">IFERROR(INDEX(凭证录入!B:B,$AR263),"")</f>
        <v/>
      </c>
      <c r="C263" s="470" t="str">
        <f ca="1">IFERROR(INDEX(凭证录入!G:G,$AR263),"")</f>
        <v/>
      </c>
      <c r="D263" s="471" t="str">
        <f ca="1">IFERROR(INDEX(凭证录入!F:F,$AR263),"")</f>
        <v/>
      </c>
      <c r="E263" s="472" t="str">
        <f ca="1">IFERROR(INDEX(凭证录入!H:H,$AR263),$AR263)</f>
        <v/>
      </c>
      <c r="F263" s="473">
        <f ca="1">IF(OR($BG$2=0,$AR263=""),,IF($AR263="本月合计",IF(ROW()=$BG$3,SUM($F$6:$F262),SUM(INDIRECT("$F$"&amp;OFFSET($AU$3,,MATCH(ROW(),$AU$3:$BF$3,)-2)+2&amp;":$E"&amp;ROW()-1))),IF($AR263="本年累计",SUMIF($AR$6:$AR263,"本月合计",$F$6:$F262),INDEX(凭证录入!K:K,$AR263))))</f>
        <v>0</v>
      </c>
      <c r="G263" s="459" t="str">
        <f t="shared" ca="1" si="58"/>
        <v/>
      </c>
      <c r="H263" s="460" t="str">
        <f t="shared" ca="1" si="58"/>
        <v/>
      </c>
      <c r="I263" s="460" t="str">
        <f t="shared" ca="1" si="58"/>
        <v/>
      </c>
      <c r="J263" s="460" t="str">
        <f t="shared" ca="1" si="58"/>
        <v/>
      </c>
      <c r="K263" s="460" t="str">
        <f t="shared" ca="1" si="58"/>
        <v/>
      </c>
      <c r="L263" s="460" t="str">
        <f t="shared" ca="1" si="58"/>
        <v/>
      </c>
      <c r="M263" s="460" t="str">
        <f t="shared" ca="1" si="58"/>
        <v/>
      </c>
      <c r="N263" s="460" t="str">
        <f t="shared" ca="1" si="58"/>
        <v/>
      </c>
      <c r="O263" s="461" t="str">
        <f t="shared" ca="1" si="58"/>
        <v/>
      </c>
      <c r="P263" s="474" t="str">
        <f t="shared" ca="1" si="58"/>
        <v/>
      </c>
      <c r="Q263" s="475" t="str">
        <f t="shared" ca="1" si="58"/>
        <v/>
      </c>
      <c r="R263" s="476">
        <f ca="1">IF(OR($BG$2=0,$AR263=""),,IF($AR263="本月合计",IF(ROW()=$BG$3,SUM($R$6:$R262),SUM(INDIRECT("$R$"&amp;OFFSET($AU$3,,MATCH(ROW(),$AU$3:$BF$3,)-2)+2&amp;":$R"&amp;ROW()-1))),IF($AR263="本年累计",SUMIF($AR$6:$AR263,"本月合计",$R$6:$R262),INDEX(凭证录入!L:L,$AR263))))</f>
        <v>0</v>
      </c>
      <c r="S263" s="459" t="str">
        <f t="shared" ca="1" si="59"/>
        <v/>
      </c>
      <c r="T263" s="460" t="str">
        <f t="shared" ca="1" si="59"/>
        <v/>
      </c>
      <c r="U263" s="460" t="str">
        <f t="shared" ca="1" si="59"/>
        <v/>
      </c>
      <c r="V263" s="460" t="str">
        <f t="shared" ca="1" si="59"/>
        <v/>
      </c>
      <c r="W263" s="460" t="str">
        <f t="shared" ca="1" si="59"/>
        <v/>
      </c>
      <c r="X263" s="460" t="str">
        <f t="shared" ca="1" si="59"/>
        <v/>
      </c>
      <c r="Y263" s="460" t="str">
        <f t="shared" ca="1" si="59"/>
        <v/>
      </c>
      <c r="Z263" s="460" t="str">
        <f t="shared" ca="1" si="59"/>
        <v/>
      </c>
      <c r="AA263" s="461" t="str">
        <f t="shared" ca="1" si="59"/>
        <v/>
      </c>
      <c r="AB263" s="474" t="str">
        <f t="shared" ca="1" si="59"/>
        <v/>
      </c>
      <c r="AC263" s="475" t="str">
        <f t="shared" ca="1" si="59"/>
        <v/>
      </c>
      <c r="AD263" s="477" t="str">
        <f t="shared" ca="1" si="60"/>
        <v/>
      </c>
      <c r="AE263" s="478">
        <f t="shared" ca="1" si="61"/>
        <v>0</v>
      </c>
      <c r="AF263" s="459" t="str">
        <f t="shared" ca="1" si="57"/>
        <v/>
      </c>
      <c r="AG263" s="460" t="str">
        <f t="shared" ca="1" si="57"/>
        <v/>
      </c>
      <c r="AH263" s="460" t="str">
        <f t="shared" ca="1" si="57"/>
        <v/>
      </c>
      <c r="AI263" s="460" t="str">
        <f t="shared" ca="1" si="57"/>
        <v/>
      </c>
      <c r="AJ263" s="460" t="str">
        <f t="shared" ca="1" si="57"/>
        <v/>
      </c>
      <c r="AK263" s="460" t="str">
        <f t="shared" ca="1" si="57"/>
        <v/>
      </c>
      <c r="AL263" s="460" t="str">
        <f t="shared" ca="1" si="57"/>
        <v/>
      </c>
      <c r="AM263" s="460" t="str">
        <f t="shared" ca="1" si="57"/>
        <v/>
      </c>
      <c r="AN263" s="461" t="str">
        <f t="shared" ca="1" si="57"/>
        <v/>
      </c>
      <c r="AO263" s="474" t="str">
        <f t="shared" ca="1" si="57"/>
        <v/>
      </c>
      <c r="AP263" s="475" t="str">
        <f t="shared" ca="1" si="57"/>
        <v/>
      </c>
      <c r="AQ263" s="479" t="str">
        <f t="array" aca="1" ref="AQ263" ca="1">IF(ROW()-5&lt;=COUNTIF(科目编号,$AR$2),SMALL(IF(科目编号=$AR$2,ROW(科目编号),""),ROW()-5),"")</f>
        <v/>
      </c>
      <c r="AR263" s="480" t="str">
        <f ca="1">IF($BG$2=0,"",IF(AR262="本月合计","本年累计",IF(OR(ROW()=$AU$3,ROW()=$AV$3,ROW()=$AW$3,ROW()=$AX$3,ROW()=$AY$3,ROW()=$AZ$3,ROW()=$BA$3,ROW()=$BB$3,ROW()=$BC$3,ROW()=$BD$3,ROW()=$BE$3,ROW()=$BF$3),"本月合计",IF(ROW()&lt;7,$AQ$6,OFFSET($AQ$6,COUNT($AR$6:AR262),0)))))</f>
        <v/>
      </c>
    </row>
    <row r="264" spans="1:44">
      <c r="A264" s="469" t="str">
        <f ca="1">IFERROR(INDEX(凭证录入!A:A,$AR264),"")</f>
        <v/>
      </c>
      <c r="B264" s="469" t="str">
        <f ca="1">IFERROR(INDEX(凭证录入!B:B,$AR264),"")</f>
        <v/>
      </c>
      <c r="C264" s="470" t="str">
        <f ca="1">IFERROR(INDEX(凭证录入!G:G,$AR264),"")</f>
        <v/>
      </c>
      <c r="D264" s="471" t="str">
        <f ca="1">IFERROR(INDEX(凭证录入!F:F,$AR264),"")</f>
        <v/>
      </c>
      <c r="E264" s="472" t="str">
        <f ca="1">IFERROR(INDEX(凭证录入!H:H,$AR264),$AR264)</f>
        <v/>
      </c>
      <c r="F264" s="473">
        <f ca="1">IF(OR($BG$2=0,$AR264=""),,IF($AR264="本月合计",IF(ROW()=$BG$3,SUM($F$6:$F263),SUM(INDIRECT("$F$"&amp;OFFSET($AU$3,,MATCH(ROW(),$AU$3:$BF$3,)-2)+2&amp;":$E"&amp;ROW()-1))),IF($AR264="本年累计",SUMIF($AR$6:$AR264,"本月合计",$F$6:$F263),INDEX(凭证录入!K:K,$AR264))))</f>
        <v>0</v>
      </c>
      <c r="G264" s="459" t="str">
        <f t="shared" ca="1" si="58"/>
        <v/>
      </c>
      <c r="H264" s="460" t="str">
        <f t="shared" ca="1" si="58"/>
        <v/>
      </c>
      <c r="I264" s="460" t="str">
        <f t="shared" ca="1" si="58"/>
        <v/>
      </c>
      <c r="J264" s="460" t="str">
        <f t="shared" ca="1" si="58"/>
        <v/>
      </c>
      <c r="K264" s="460" t="str">
        <f t="shared" ca="1" si="58"/>
        <v/>
      </c>
      <c r="L264" s="460" t="str">
        <f t="shared" ca="1" si="58"/>
        <v/>
      </c>
      <c r="M264" s="460" t="str">
        <f t="shared" ca="1" si="58"/>
        <v/>
      </c>
      <c r="N264" s="460" t="str">
        <f t="shared" ca="1" si="58"/>
        <v/>
      </c>
      <c r="O264" s="461" t="str">
        <f t="shared" ca="1" si="58"/>
        <v/>
      </c>
      <c r="P264" s="474" t="str">
        <f t="shared" ca="1" si="58"/>
        <v/>
      </c>
      <c r="Q264" s="475" t="str">
        <f t="shared" ca="1" si="58"/>
        <v/>
      </c>
      <c r="R264" s="476">
        <f ca="1">IF(OR($BG$2=0,$AR264=""),,IF($AR264="本月合计",IF(ROW()=$BG$3,SUM($R$6:$R263),SUM(INDIRECT("$R$"&amp;OFFSET($AU$3,,MATCH(ROW(),$AU$3:$BF$3,)-2)+2&amp;":$R"&amp;ROW()-1))),IF($AR264="本年累计",SUMIF($AR$6:$AR264,"本月合计",$R$6:$R263),INDEX(凭证录入!L:L,$AR264))))</f>
        <v>0</v>
      </c>
      <c r="S264" s="459" t="str">
        <f t="shared" ca="1" si="59"/>
        <v/>
      </c>
      <c r="T264" s="460" t="str">
        <f t="shared" ca="1" si="59"/>
        <v/>
      </c>
      <c r="U264" s="460" t="str">
        <f t="shared" ca="1" si="59"/>
        <v/>
      </c>
      <c r="V264" s="460" t="str">
        <f t="shared" ca="1" si="59"/>
        <v/>
      </c>
      <c r="W264" s="460" t="str">
        <f t="shared" ca="1" si="59"/>
        <v/>
      </c>
      <c r="X264" s="460" t="str">
        <f t="shared" ca="1" si="59"/>
        <v/>
      </c>
      <c r="Y264" s="460" t="str">
        <f t="shared" ca="1" si="59"/>
        <v/>
      </c>
      <c r="Z264" s="460" t="str">
        <f t="shared" ca="1" si="59"/>
        <v/>
      </c>
      <c r="AA264" s="461" t="str">
        <f t="shared" ca="1" si="59"/>
        <v/>
      </c>
      <c r="AB264" s="474" t="str">
        <f t="shared" ca="1" si="59"/>
        <v/>
      </c>
      <c r="AC264" s="475" t="str">
        <f t="shared" ca="1" si="59"/>
        <v/>
      </c>
      <c r="AD264" s="477" t="str">
        <f t="shared" ca="1" si="60"/>
        <v/>
      </c>
      <c r="AE264" s="478">
        <f t="shared" ca="1" si="61"/>
        <v>0</v>
      </c>
      <c r="AF264" s="459" t="str">
        <f t="shared" ca="1" si="57"/>
        <v/>
      </c>
      <c r="AG264" s="460" t="str">
        <f t="shared" ca="1" si="57"/>
        <v/>
      </c>
      <c r="AH264" s="460" t="str">
        <f t="shared" ca="1" si="57"/>
        <v/>
      </c>
      <c r="AI264" s="460" t="str">
        <f t="shared" ca="1" si="57"/>
        <v/>
      </c>
      <c r="AJ264" s="460" t="str">
        <f t="shared" ca="1" si="57"/>
        <v/>
      </c>
      <c r="AK264" s="460" t="str">
        <f t="shared" ca="1" si="57"/>
        <v/>
      </c>
      <c r="AL264" s="460" t="str">
        <f t="shared" ca="1" si="57"/>
        <v/>
      </c>
      <c r="AM264" s="460" t="str">
        <f t="shared" ca="1" si="57"/>
        <v/>
      </c>
      <c r="AN264" s="461" t="str">
        <f t="shared" ca="1" si="57"/>
        <v/>
      </c>
      <c r="AO264" s="474" t="str">
        <f t="shared" ca="1" si="57"/>
        <v/>
      </c>
      <c r="AP264" s="475" t="str">
        <f t="shared" ca="1" si="57"/>
        <v/>
      </c>
      <c r="AQ264" s="479" t="str">
        <f t="array" aca="1" ref="AQ264" ca="1">IF(ROW()-5&lt;=COUNTIF(科目编号,$AR$2),SMALL(IF(科目编号=$AR$2,ROW(科目编号),""),ROW()-5),"")</f>
        <v/>
      </c>
      <c r="AR264" s="480" t="str">
        <f ca="1">IF($BG$2=0,"",IF(AR263="本月合计","本年累计",IF(OR(ROW()=$AU$3,ROW()=$AV$3,ROW()=$AW$3,ROW()=$AX$3,ROW()=$AY$3,ROW()=$AZ$3,ROW()=$BA$3,ROW()=$BB$3,ROW()=$BC$3,ROW()=$BD$3,ROW()=$BE$3,ROW()=$BF$3),"本月合计",IF(ROW()&lt;7,$AQ$6,OFFSET($AQ$6,COUNT($AR$6:AR263),0)))))</f>
        <v/>
      </c>
    </row>
    <row r="265" spans="1:44">
      <c r="A265" s="469" t="str">
        <f ca="1">IFERROR(INDEX(凭证录入!A:A,$AR265),"")</f>
        <v/>
      </c>
      <c r="B265" s="469" t="str">
        <f ca="1">IFERROR(INDEX(凭证录入!B:B,$AR265),"")</f>
        <v/>
      </c>
      <c r="C265" s="470" t="str">
        <f ca="1">IFERROR(INDEX(凭证录入!G:G,$AR265),"")</f>
        <v/>
      </c>
      <c r="D265" s="471" t="str">
        <f ca="1">IFERROR(INDEX(凭证录入!F:F,$AR265),"")</f>
        <v/>
      </c>
      <c r="E265" s="472" t="str">
        <f ca="1">IFERROR(INDEX(凭证录入!H:H,$AR265),$AR265)</f>
        <v/>
      </c>
      <c r="F265" s="473">
        <f ca="1">IF(OR($BG$2=0,$AR265=""),,IF($AR265="本月合计",IF(ROW()=$BG$3,SUM($F$6:$F264),SUM(INDIRECT("$F$"&amp;OFFSET($AU$3,,MATCH(ROW(),$AU$3:$BF$3,)-2)+2&amp;":$E"&amp;ROW()-1))),IF($AR265="本年累计",SUMIF($AR$6:$AR265,"本月合计",$F$6:$F264),INDEX(凭证录入!K:K,$AR265))))</f>
        <v>0</v>
      </c>
      <c r="G265" s="459" t="str">
        <f t="shared" ca="1" si="58"/>
        <v/>
      </c>
      <c r="H265" s="460" t="str">
        <f t="shared" ca="1" si="58"/>
        <v/>
      </c>
      <c r="I265" s="460" t="str">
        <f t="shared" ca="1" si="58"/>
        <v/>
      </c>
      <c r="J265" s="460" t="str">
        <f t="shared" ca="1" si="58"/>
        <v/>
      </c>
      <c r="K265" s="460" t="str">
        <f t="shared" ca="1" si="58"/>
        <v/>
      </c>
      <c r="L265" s="460" t="str">
        <f t="shared" ca="1" si="58"/>
        <v/>
      </c>
      <c r="M265" s="460" t="str">
        <f t="shared" ca="1" si="58"/>
        <v/>
      </c>
      <c r="N265" s="460" t="str">
        <f t="shared" ca="1" si="58"/>
        <v/>
      </c>
      <c r="O265" s="461" t="str">
        <f t="shared" ca="1" si="58"/>
        <v/>
      </c>
      <c r="P265" s="474" t="str">
        <f t="shared" ca="1" si="58"/>
        <v/>
      </c>
      <c r="Q265" s="475" t="str">
        <f t="shared" ca="1" si="58"/>
        <v/>
      </c>
      <c r="R265" s="476">
        <f ca="1">IF(OR($BG$2=0,$AR265=""),,IF($AR265="本月合计",IF(ROW()=$BG$3,SUM($R$6:$R264),SUM(INDIRECT("$R$"&amp;OFFSET($AU$3,,MATCH(ROW(),$AU$3:$BF$3,)-2)+2&amp;":$R"&amp;ROW()-1))),IF($AR265="本年累计",SUMIF($AR$6:$AR265,"本月合计",$R$6:$R264),INDEX(凭证录入!L:L,$AR265))))</f>
        <v>0</v>
      </c>
      <c r="S265" s="459" t="str">
        <f t="shared" ca="1" si="59"/>
        <v/>
      </c>
      <c r="T265" s="460" t="str">
        <f t="shared" ca="1" si="59"/>
        <v/>
      </c>
      <c r="U265" s="460" t="str">
        <f t="shared" ca="1" si="59"/>
        <v/>
      </c>
      <c r="V265" s="460" t="str">
        <f t="shared" ca="1" si="59"/>
        <v/>
      </c>
      <c r="W265" s="460" t="str">
        <f t="shared" ca="1" si="59"/>
        <v/>
      </c>
      <c r="X265" s="460" t="str">
        <f t="shared" ca="1" si="59"/>
        <v/>
      </c>
      <c r="Y265" s="460" t="str">
        <f t="shared" ca="1" si="59"/>
        <v/>
      </c>
      <c r="Z265" s="460" t="str">
        <f t="shared" ca="1" si="59"/>
        <v/>
      </c>
      <c r="AA265" s="461" t="str">
        <f t="shared" ca="1" si="59"/>
        <v/>
      </c>
      <c r="AB265" s="474" t="str">
        <f t="shared" ca="1" si="59"/>
        <v/>
      </c>
      <c r="AC265" s="475" t="str">
        <f t="shared" ca="1" si="59"/>
        <v/>
      </c>
      <c r="AD265" s="477" t="str">
        <f t="shared" ca="1" si="60"/>
        <v/>
      </c>
      <c r="AE265" s="478">
        <f t="shared" ca="1" si="61"/>
        <v>0</v>
      </c>
      <c r="AF265" s="459" t="str">
        <f t="shared" ca="1" si="57"/>
        <v/>
      </c>
      <c r="AG265" s="460" t="str">
        <f t="shared" ca="1" si="57"/>
        <v/>
      </c>
      <c r="AH265" s="460" t="str">
        <f t="shared" ca="1" si="57"/>
        <v/>
      </c>
      <c r="AI265" s="460" t="str">
        <f t="shared" ca="1" si="57"/>
        <v/>
      </c>
      <c r="AJ265" s="460" t="str">
        <f t="shared" ca="1" si="57"/>
        <v/>
      </c>
      <c r="AK265" s="460" t="str">
        <f t="shared" ca="1" si="57"/>
        <v/>
      </c>
      <c r="AL265" s="460" t="str">
        <f t="shared" ca="1" si="57"/>
        <v/>
      </c>
      <c r="AM265" s="460" t="str">
        <f t="shared" ca="1" si="57"/>
        <v/>
      </c>
      <c r="AN265" s="461" t="str">
        <f t="shared" ca="1" si="57"/>
        <v/>
      </c>
      <c r="AO265" s="474" t="str">
        <f t="shared" ca="1" si="57"/>
        <v/>
      </c>
      <c r="AP265" s="475" t="str">
        <f t="shared" ca="1" si="57"/>
        <v/>
      </c>
      <c r="AQ265" s="479" t="str">
        <f t="array" aca="1" ref="AQ265" ca="1">IF(ROW()-5&lt;=COUNTIF(科目编号,$AR$2),SMALL(IF(科目编号=$AR$2,ROW(科目编号),""),ROW()-5),"")</f>
        <v/>
      </c>
      <c r="AR265" s="480" t="str">
        <f ca="1">IF($BG$2=0,"",IF(AR264="本月合计","本年累计",IF(OR(ROW()=$AU$3,ROW()=$AV$3,ROW()=$AW$3,ROW()=$AX$3,ROW()=$AY$3,ROW()=$AZ$3,ROW()=$BA$3,ROW()=$BB$3,ROW()=$BC$3,ROW()=$BD$3,ROW()=$BE$3,ROW()=$BF$3),"本月合计",IF(ROW()&lt;7,$AQ$6,OFFSET($AQ$6,COUNT($AR$6:AR264),0)))))</f>
        <v/>
      </c>
    </row>
    <row r="266" spans="1:44">
      <c r="A266" s="469" t="str">
        <f ca="1">IFERROR(INDEX(凭证录入!A:A,$AR266),"")</f>
        <v/>
      </c>
      <c r="B266" s="469" t="str">
        <f ca="1">IFERROR(INDEX(凭证录入!B:B,$AR266),"")</f>
        <v/>
      </c>
      <c r="C266" s="470" t="str">
        <f ca="1">IFERROR(INDEX(凭证录入!G:G,$AR266),"")</f>
        <v/>
      </c>
      <c r="D266" s="471" t="str">
        <f ca="1">IFERROR(INDEX(凭证录入!F:F,$AR266),"")</f>
        <v/>
      </c>
      <c r="E266" s="472" t="str">
        <f ca="1">IFERROR(INDEX(凭证录入!H:H,$AR266),$AR266)</f>
        <v/>
      </c>
      <c r="F266" s="473">
        <f ca="1">IF(OR($BG$2=0,$AR266=""),,IF($AR266="本月合计",IF(ROW()=$BG$3,SUM($F$6:$F265),SUM(INDIRECT("$F$"&amp;OFFSET($AU$3,,MATCH(ROW(),$AU$3:$BF$3,)-2)+2&amp;":$E"&amp;ROW()-1))),IF($AR266="本年累计",SUMIF($AR$6:$AR266,"本月合计",$F$6:$F265),INDEX(凭证录入!K:K,$AR266))))</f>
        <v>0</v>
      </c>
      <c r="G266" s="459" t="str">
        <f t="shared" ca="1" si="58"/>
        <v/>
      </c>
      <c r="H266" s="460" t="str">
        <f t="shared" ca="1" si="58"/>
        <v/>
      </c>
      <c r="I266" s="460" t="str">
        <f t="shared" ca="1" si="58"/>
        <v/>
      </c>
      <c r="J266" s="460" t="str">
        <f t="shared" ca="1" si="58"/>
        <v/>
      </c>
      <c r="K266" s="460" t="str">
        <f t="shared" ca="1" si="58"/>
        <v/>
      </c>
      <c r="L266" s="460" t="str">
        <f t="shared" ca="1" si="58"/>
        <v/>
      </c>
      <c r="M266" s="460" t="str">
        <f t="shared" ca="1" si="58"/>
        <v/>
      </c>
      <c r="N266" s="460" t="str">
        <f t="shared" ca="1" si="58"/>
        <v/>
      </c>
      <c r="O266" s="461" t="str">
        <f t="shared" ca="1" si="58"/>
        <v/>
      </c>
      <c r="P266" s="474" t="str">
        <f t="shared" ca="1" si="58"/>
        <v/>
      </c>
      <c r="Q266" s="475" t="str">
        <f t="shared" ca="1" si="58"/>
        <v/>
      </c>
      <c r="R266" s="476">
        <f ca="1">IF(OR($BG$2=0,$AR266=""),,IF($AR266="本月合计",IF(ROW()=$BG$3,SUM($R$6:$R265),SUM(INDIRECT("$R$"&amp;OFFSET($AU$3,,MATCH(ROW(),$AU$3:$BF$3,)-2)+2&amp;":$R"&amp;ROW()-1))),IF($AR266="本年累计",SUMIF($AR$6:$AR266,"本月合计",$R$6:$R265),INDEX(凭证录入!L:L,$AR266))))</f>
        <v>0</v>
      </c>
      <c r="S266" s="459" t="str">
        <f t="shared" ca="1" si="59"/>
        <v/>
      </c>
      <c r="T266" s="460" t="str">
        <f t="shared" ca="1" si="59"/>
        <v/>
      </c>
      <c r="U266" s="460" t="str">
        <f t="shared" ca="1" si="59"/>
        <v/>
      </c>
      <c r="V266" s="460" t="str">
        <f t="shared" ca="1" si="59"/>
        <v/>
      </c>
      <c r="W266" s="460" t="str">
        <f t="shared" ca="1" si="59"/>
        <v/>
      </c>
      <c r="X266" s="460" t="str">
        <f t="shared" ca="1" si="59"/>
        <v/>
      </c>
      <c r="Y266" s="460" t="str">
        <f t="shared" ca="1" si="59"/>
        <v/>
      </c>
      <c r="Z266" s="460" t="str">
        <f t="shared" ca="1" si="59"/>
        <v/>
      </c>
      <c r="AA266" s="461" t="str">
        <f t="shared" ca="1" si="59"/>
        <v/>
      </c>
      <c r="AB266" s="474" t="str">
        <f t="shared" ca="1" si="59"/>
        <v/>
      </c>
      <c r="AC266" s="475" t="str">
        <f t="shared" ca="1" si="59"/>
        <v/>
      </c>
      <c r="AD266" s="477" t="str">
        <f t="shared" ca="1" si="60"/>
        <v/>
      </c>
      <c r="AE266" s="478">
        <f t="shared" ca="1" si="61"/>
        <v>0</v>
      </c>
      <c r="AF266" s="459" t="str">
        <f t="shared" ca="1" si="57"/>
        <v/>
      </c>
      <c r="AG266" s="460" t="str">
        <f t="shared" ca="1" si="57"/>
        <v/>
      </c>
      <c r="AH266" s="460" t="str">
        <f t="shared" ca="1" si="57"/>
        <v/>
      </c>
      <c r="AI266" s="460" t="str">
        <f t="shared" ca="1" si="57"/>
        <v/>
      </c>
      <c r="AJ266" s="460" t="str">
        <f t="shared" ca="1" si="57"/>
        <v/>
      </c>
      <c r="AK266" s="460" t="str">
        <f t="shared" ca="1" si="57"/>
        <v/>
      </c>
      <c r="AL266" s="460" t="str">
        <f t="shared" ca="1" si="57"/>
        <v/>
      </c>
      <c r="AM266" s="460" t="str">
        <f t="shared" ca="1" si="57"/>
        <v/>
      </c>
      <c r="AN266" s="461" t="str">
        <f t="shared" ca="1" si="57"/>
        <v/>
      </c>
      <c r="AO266" s="474" t="str">
        <f t="shared" ca="1" si="57"/>
        <v/>
      </c>
      <c r="AP266" s="475" t="str">
        <f t="shared" ca="1" si="57"/>
        <v/>
      </c>
      <c r="AQ266" s="479" t="str">
        <f t="array" aca="1" ref="AQ266" ca="1">IF(ROW()-5&lt;=COUNTIF(科目编号,$AR$2),SMALL(IF(科目编号=$AR$2,ROW(科目编号),""),ROW()-5),"")</f>
        <v/>
      </c>
      <c r="AR266" s="480" t="str">
        <f ca="1">IF($BG$2=0,"",IF(AR265="本月合计","本年累计",IF(OR(ROW()=$AU$3,ROW()=$AV$3,ROW()=$AW$3,ROW()=$AX$3,ROW()=$AY$3,ROW()=$AZ$3,ROW()=$BA$3,ROW()=$BB$3,ROW()=$BC$3,ROW()=$BD$3,ROW()=$BE$3,ROW()=$BF$3),"本月合计",IF(ROW()&lt;7,$AQ$6,OFFSET($AQ$6,COUNT($AR$6:AR265),0)))))</f>
        <v/>
      </c>
    </row>
    <row r="267" spans="1:44">
      <c r="A267" s="469" t="str">
        <f ca="1">IFERROR(INDEX(凭证录入!A:A,$AR267),"")</f>
        <v/>
      </c>
      <c r="B267" s="469" t="str">
        <f ca="1">IFERROR(INDEX(凭证录入!B:B,$AR267),"")</f>
        <v/>
      </c>
      <c r="C267" s="470" t="str">
        <f ca="1">IFERROR(INDEX(凭证录入!G:G,$AR267),"")</f>
        <v/>
      </c>
      <c r="D267" s="471" t="str">
        <f ca="1">IFERROR(INDEX(凭证录入!F:F,$AR267),"")</f>
        <v/>
      </c>
      <c r="E267" s="472" t="str">
        <f ca="1">IFERROR(INDEX(凭证录入!H:H,$AR267),$AR267)</f>
        <v/>
      </c>
      <c r="F267" s="473">
        <f ca="1">IF(OR($BG$2=0,$AR267=""),,IF($AR267="本月合计",IF(ROW()=$BG$3,SUM($F$6:$F266),SUM(INDIRECT("$F$"&amp;OFFSET($AU$3,,MATCH(ROW(),$AU$3:$BF$3,)-2)+2&amp;":$E"&amp;ROW()-1))),IF($AR267="本年累计",SUMIF($AR$6:$AR267,"本月合计",$F$6:$F266),INDEX(凭证录入!K:K,$AR267))))</f>
        <v>0</v>
      </c>
      <c r="G267" s="459" t="str">
        <f t="shared" ca="1" si="58"/>
        <v/>
      </c>
      <c r="H267" s="460" t="str">
        <f t="shared" ca="1" si="58"/>
        <v/>
      </c>
      <c r="I267" s="460" t="str">
        <f t="shared" ca="1" si="58"/>
        <v/>
      </c>
      <c r="J267" s="460" t="str">
        <f t="shared" ca="1" si="58"/>
        <v/>
      </c>
      <c r="K267" s="460" t="str">
        <f t="shared" ca="1" si="58"/>
        <v/>
      </c>
      <c r="L267" s="460" t="str">
        <f t="shared" ca="1" si="58"/>
        <v/>
      </c>
      <c r="M267" s="460" t="str">
        <f t="shared" ca="1" si="58"/>
        <v/>
      </c>
      <c r="N267" s="460" t="str">
        <f t="shared" ca="1" si="58"/>
        <v/>
      </c>
      <c r="O267" s="461" t="str">
        <f t="shared" ca="1" si="58"/>
        <v/>
      </c>
      <c r="P267" s="474" t="str">
        <f t="shared" ca="1" si="58"/>
        <v/>
      </c>
      <c r="Q267" s="475" t="str">
        <f t="shared" ca="1" si="58"/>
        <v/>
      </c>
      <c r="R267" s="476">
        <f ca="1">IF(OR($BG$2=0,$AR267=""),,IF($AR267="本月合计",IF(ROW()=$BG$3,SUM($R$6:$R266),SUM(INDIRECT("$R$"&amp;OFFSET($AU$3,,MATCH(ROW(),$AU$3:$BF$3,)-2)+2&amp;":$R"&amp;ROW()-1))),IF($AR267="本年累计",SUMIF($AR$6:$AR267,"本月合计",$R$6:$R266),INDEX(凭证录入!L:L,$AR267))))</f>
        <v>0</v>
      </c>
      <c r="S267" s="459" t="str">
        <f t="shared" ca="1" si="59"/>
        <v/>
      </c>
      <c r="T267" s="460" t="str">
        <f t="shared" ca="1" si="59"/>
        <v/>
      </c>
      <c r="U267" s="460" t="str">
        <f t="shared" ca="1" si="59"/>
        <v/>
      </c>
      <c r="V267" s="460" t="str">
        <f t="shared" ca="1" si="59"/>
        <v/>
      </c>
      <c r="W267" s="460" t="str">
        <f t="shared" ca="1" si="59"/>
        <v/>
      </c>
      <c r="X267" s="460" t="str">
        <f t="shared" ca="1" si="59"/>
        <v/>
      </c>
      <c r="Y267" s="460" t="str">
        <f t="shared" ca="1" si="59"/>
        <v/>
      </c>
      <c r="Z267" s="460" t="str">
        <f t="shared" ca="1" si="59"/>
        <v/>
      </c>
      <c r="AA267" s="461" t="str">
        <f t="shared" ca="1" si="59"/>
        <v/>
      </c>
      <c r="AB267" s="474" t="str">
        <f t="shared" ca="1" si="59"/>
        <v/>
      </c>
      <c r="AC267" s="475" t="str">
        <f t="shared" ca="1" si="59"/>
        <v/>
      </c>
      <c r="AD267" s="477" t="str">
        <f t="shared" ca="1" si="60"/>
        <v/>
      </c>
      <c r="AE267" s="478">
        <f t="shared" ca="1" si="61"/>
        <v>0</v>
      </c>
      <c r="AF267" s="459" t="str">
        <f t="shared" ca="1" si="57"/>
        <v/>
      </c>
      <c r="AG267" s="460" t="str">
        <f t="shared" ca="1" si="57"/>
        <v/>
      </c>
      <c r="AH267" s="460" t="str">
        <f t="shared" ca="1" si="57"/>
        <v/>
      </c>
      <c r="AI267" s="460" t="str">
        <f t="shared" ca="1" si="57"/>
        <v/>
      </c>
      <c r="AJ267" s="460" t="str">
        <f t="shared" ca="1" si="57"/>
        <v/>
      </c>
      <c r="AK267" s="460" t="str">
        <f t="shared" ca="1" si="57"/>
        <v/>
      </c>
      <c r="AL267" s="460" t="str">
        <f t="shared" ca="1" si="57"/>
        <v/>
      </c>
      <c r="AM267" s="460" t="str">
        <f t="shared" ca="1" si="57"/>
        <v/>
      </c>
      <c r="AN267" s="461" t="str">
        <f t="shared" ca="1" si="57"/>
        <v/>
      </c>
      <c r="AO267" s="474" t="str">
        <f t="shared" ca="1" si="57"/>
        <v/>
      </c>
      <c r="AP267" s="475" t="str">
        <f t="shared" ca="1" si="57"/>
        <v/>
      </c>
      <c r="AQ267" s="479" t="str">
        <f t="array" aca="1" ref="AQ267" ca="1">IF(ROW()-5&lt;=COUNTIF(科目编号,$AR$2),SMALL(IF(科目编号=$AR$2,ROW(科目编号),""),ROW()-5),"")</f>
        <v/>
      </c>
      <c r="AR267" s="480" t="str">
        <f ca="1">IF($BG$2=0,"",IF(AR266="本月合计","本年累计",IF(OR(ROW()=$AU$3,ROW()=$AV$3,ROW()=$AW$3,ROW()=$AX$3,ROW()=$AY$3,ROW()=$AZ$3,ROW()=$BA$3,ROW()=$BB$3,ROW()=$BC$3,ROW()=$BD$3,ROW()=$BE$3,ROW()=$BF$3),"本月合计",IF(ROW()&lt;7,$AQ$6,OFFSET($AQ$6,COUNT($AR$6:AR266),0)))))</f>
        <v/>
      </c>
    </row>
    <row r="268" spans="1:44">
      <c r="A268" s="469" t="str">
        <f ca="1">IFERROR(INDEX(凭证录入!A:A,$AR268),"")</f>
        <v/>
      </c>
      <c r="B268" s="469" t="str">
        <f ca="1">IFERROR(INDEX(凭证录入!B:B,$AR268),"")</f>
        <v/>
      </c>
      <c r="C268" s="470" t="str">
        <f ca="1">IFERROR(INDEX(凭证录入!G:G,$AR268),"")</f>
        <v/>
      </c>
      <c r="D268" s="471" t="str">
        <f ca="1">IFERROR(INDEX(凭证录入!F:F,$AR268),"")</f>
        <v/>
      </c>
      <c r="E268" s="472" t="str">
        <f ca="1">IFERROR(INDEX(凭证录入!H:H,$AR268),$AR268)</f>
        <v/>
      </c>
      <c r="F268" s="473">
        <f ca="1">IF(OR($BG$2=0,$AR268=""),,IF($AR268="本月合计",IF(ROW()=$BG$3,SUM($F$6:$F267),SUM(INDIRECT("$F$"&amp;OFFSET($AU$3,,MATCH(ROW(),$AU$3:$BF$3,)-2)+2&amp;":$E"&amp;ROW()-1))),IF($AR268="本年累计",SUMIF($AR$6:$AR268,"本月合计",$F$6:$F267),INDEX(凭证录入!K:K,$AR268))))</f>
        <v>0</v>
      </c>
      <c r="G268" s="459" t="str">
        <f t="shared" ca="1" si="58"/>
        <v/>
      </c>
      <c r="H268" s="460" t="str">
        <f t="shared" ca="1" si="58"/>
        <v/>
      </c>
      <c r="I268" s="460" t="str">
        <f t="shared" ca="1" si="58"/>
        <v/>
      </c>
      <c r="J268" s="460" t="str">
        <f t="shared" ca="1" si="58"/>
        <v/>
      </c>
      <c r="K268" s="460" t="str">
        <f t="shared" ca="1" si="58"/>
        <v/>
      </c>
      <c r="L268" s="460" t="str">
        <f t="shared" ca="1" si="58"/>
        <v/>
      </c>
      <c r="M268" s="460" t="str">
        <f t="shared" ca="1" si="58"/>
        <v/>
      </c>
      <c r="N268" s="460" t="str">
        <f t="shared" ca="1" si="58"/>
        <v/>
      </c>
      <c r="O268" s="461" t="str">
        <f t="shared" ca="1" si="58"/>
        <v/>
      </c>
      <c r="P268" s="474" t="str">
        <f t="shared" ca="1" si="58"/>
        <v/>
      </c>
      <c r="Q268" s="475" t="str">
        <f t="shared" ca="1" si="58"/>
        <v/>
      </c>
      <c r="R268" s="476">
        <f ca="1">IF(OR($BG$2=0,$AR268=""),,IF($AR268="本月合计",IF(ROW()=$BG$3,SUM($R$6:$R267),SUM(INDIRECT("$R$"&amp;OFFSET($AU$3,,MATCH(ROW(),$AU$3:$BF$3,)-2)+2&amp;":$R"&amp;ROW()-1))),IF($AR268="本年累计",SUMIF($AR$6:$AR268,"本月合计",$R$6:$R267),INDEX(凭证录入!L:L,$AR268))))</f>
        <v>0</v>
      </c>
      <c r="S268" s="459" t="str">
        <f t="shared" ca="1" si="59"/>
        <v/>
      </c>
      <c r="T268" s="460" t="str">
        <f t="shared" ca="1" si="59"/>
        <v/>
      </c>
      <c r="U268" s="460" t="str">
        <f t="shared" ca="1" si="59"/>
        <v/>
      </c>
      <c r="V268" s="460" t="str">
        <f t="shared" ca="1" si="59"/>
        <v/>
      </c>
      <c r="W268" s="460" t="str">
        <f t="shared" ca="1" si="59"/>
        <v/>
      </c>
      <c r="X268" s="460" t="str">
        <f t="shared" ca="1" si="59"/>
        <v/>
      </c>
      <c r="Y268" s="460" t="str">
        <f t="shared" ca="1" si="59"/>
        <v/>
      </c>
      <c r="Z268" s="460" t="str">
        <f t="shared" ca="1" si="59"/>
        <v/>
      </c>
      <c r="AA268" s="461" t="str">
        <f t="shared" ca="1" si="59"/>
        <v/>
      </c>
      <c r="AB268" s="474" t="str">
        <f t="shared" ca="1" si="59"/>
        <v/>
      </c>
      <c r="AC268" s="475" t="str">
        <f t="shared" ca="1" si="59"/>
        <v/>
      </c>
      <c r="AD268" s="477" t="str">
        <f t="shared" ca="1" si="60"/>
        <v/>
      </c>
      <c r="AE268" s="478">
        <f t="shared" ca="1" si="61"/>
        <v>0</v>
      </c>
      <c r="AF268" s="459" t="str">
        <f t="shared" ca="1" si="57"/>
        <v/>
      </c>
      <c r="AG268" s="460" t="str">
        <f t="shared" ca="1" si="57"/>
        <v/>
      </c>
      <c r="AH268" s="460" t="str">
        <f t="shared" ca="1" si="57"/>
        <v/>
      </c>
      <c r="AI268" s="460" t="str">
        <f t="shared" ca="1" si="57"/>
        <v/>
      </c>
      <c r="AJ268" s="460" t="str">
        <f t="shared" ca="1" si="57"/>
        <v/>
      </c>
      <c r="AK268" s="460" t="str">
        <f t="shared" ca="1" si="57"/>
        <v/>
      </c>
      <c r="AL268" s="460" t="str">
        <f t="shared" ca="1" si="57"/>
        <v/>
      </c>
      <c r="AM268" s="460" t="str">
        <f t="shared" ca="1" si="57"/>
        <v/>
      </c>
      <c r="AN268" s="461" t="str">
        <f t="shared" ca="1" si="57"/>
        <v/>
      </c>
      <c r="AO268" s="474" t="str">
        <f t="shared" ca="1" si="57"/>
        <v/>
      </c>
      <c r="AP268" s="475" t="str">
        <f t="shared" ca="1" si="57"/>
        <v/>
      </c>
      <c r="AQ268" s="479" t="str">
        <f t="array" aca="1" ref="AQ268" ca="1">IF(ROW()-5&lt;=COUNTIF(科目编号,$AR$2),SMALL(IF(科目编号=$AR$2,ROW(科目编号),""),ROW()-5),"")</f>
        <v/>
      </c>
      <c r="AR268" s="480" t="str">
        <f ca="1">IF($BG$2=0,"",IF(AR267="本月合计","本年累计",IF(OR(ROW()=$AU$3,ROW()=$AV$3,ROW()=$AW$3,ROW()=$AX$3,ROW()=$AY$3,ROW()=$AZ$3,ROW()=$BA$3,ROW()=$BB$3,ROW()=$BC$3,ROW()=$BD$3,ROW()=$BE$3,ROW()=$BF$3),"本月合计",IF(ROW()&lt;7,$AQ$6,OFFSET($AQ$6,COUNT($AR$6:AR267),0)))))</f>
        <v/>
      </c>
    </row>
    <row r="269" spans="1:44">
      <c r="A269" s="469" t="str">
        <f ca="1">IFERROR(INDEX(凭证录入!A:A,$AR269),"")</f>
        <v/>
      </c>
      <c r="B269" s="469" t="str">
        <f ca="1">IFERROR(INDEX(凭证录入!B:B,$AR269),"")</f>
        <v/>
      </c>
      <c r="C269" s="470" t="str">
        <f ca="1">IFERROR(INDEX(凭证录入!G:G,$AR269),"")</f>
        <v/>
      </c>
      <c r="D269" s="471" t="str">
        <f ca="1">IFERROR(INDEX(凭证录入!F:F,$AR269),"")</f>
        <v/>
      </c>
      <c r="E269" s="472" t="str">
        <f ca="1">IFERROR(INDEX(凭证录入!H:H,$AR269),$AR269)</f>
        <v/>
      </c>
      <c r="F269" s="473">
        <f ca="1">IF(OR($BG$2=0,$AR269=""),,IF($AR269="本月合计",IF(ROW()=$BG$3,SUM($F$6:$F268),SUM(INDIRECT("$F$"&amp;OFFSET($AU$3,,MATCH(ROW(),$AU$3:$BF$3,)-2)+2&amp;":$E"&amp;ROW()-1))),IF($AR269="本年累计",SUMIF($AR$6:$AR269,"本月合计",$F$6:$F268),INDEX(凭证录入!K:K,$AR269))))</f>
        <v>0</v>
      </c>
      <c r="G269" s="459" t="str">
        <f t="shared" ca="1" si="58"/>
        <v/>
      </c>
      <c r="H269" s="460" t="str">
        <f t="shared" ca="1" si="58"/>
        <v/>
      </c>
      <c r="I269" s="460" t="str">
        <f t="shared" ca="1" si="58"/>
        <v/>
      </c>
      <c r="J269" s="460" t="str">
        <f t="shared" ca="1" si="58"/>
        <v/>
      </c>
      <c r="K269" s="460" t="str">
        <f t="shared" ca="1" si="58"/>
        <v/>
      </c>
      <c r="L269" s="460" t="str">
        <f t="shared" ca="1" si="58"/>
        <v/>
      </c>
      <c r="M269" s="460" t="str">
        <f t="shared" ca="1" si="58"/>
        <v/>
      </c>
      <c r="N269" s="460" t="str">
        <f t="shared" ca="1" si="58"/>
        <v/>
      </c>
      <c r="O269" s="461" t="str">
        <f t="shared" ca="1" si="58"/>
        <v/>
      </c>
      <c r="P269" s="474" t="str">
        <f t="shared" ca="1" si="58"/>
        <v/>
      </c>
      <c r="Q269" s="475" t="str">
        <f t="shared" ca="1" si="58"/>
        <v/>
      </c>
      <c r="R269" s="476">
        <f ca="1">IF(OR($BG$2=0,$AR269=""),,IF($AR269="本月合计",IF(ROW()=$BG$3,SUM($R$6:$R268),SUM(INDIRECT("$R$"&amp;OFFSET($AU$3,,MATCH(ROW(),$AU$3:$BF$3,)-2)+2&amp;":$R"&amp;ROW()-1))),IF($AR269="本年累计",SUMIF($AR$6:$AR269,"本月合计",$R$6:$R268),INDEX(凭证录入!L:L,$AR269))))</f>
        <v>0</v>
      </c>
      <c r="S269" s="459" t="str">
        <f t="shared" ca="1" si="59"/>
        <v/>
      </c>
      <c r="T269" s="460" t="str">
        <f t="shared" ca="1" si="59"/>
        <v/>
      </c>
      <c r="U269" s="460" t="str">
        <f t="shared" ca="1" si="59"/>
        <v/>
      </c>
      <c r="V269" s="460" t="str">
        <f t="shared" ca="1" si="59"/>
        <v/>
      </c>
      <c r="W269" s="460" t="str">
        <f t="shared" ca="1" si="59"/>
        <v/>
      </c>
      <c r="X269" s="460" t="str">
        <f t="shared" ca="1" si="59"/>
        <v/>
      </c>
      <c r="Y269" s="460" t="str">
        <f t="shared" ca="1" si="59"/>
        <v/>
      </c>
      <c r="Z269" s="460" t="str">
        <f t="shared" ca="1" si="59"/>
        <v/>
      </c>
      <c r="AA269" s="461" t="str">
        <f t="shared" ca="1" si="59"/>
        <v/>
      </c>
      <c r="AB269" s="474" t="str">
        <f t="shared" ca="1" si="59"/>
        <v/>
      </c>
      <c r="AC269" s="475" t="str">
        <f t="shared" ca="1" si="59"/>
        <v/>
      </c>
      <c r="AD269" s="477" t="str">
        <f t="shared" ca="1" si="60"/>
        <v/>
      </c>
      <c r="AE269" s="478">
        <f t="shared" ca="1" si="61"/>
        <v>0</v>
      </c>
      <c r="AF269" s="459" t="str">
        <f t="shared" ca="1" si="57"/>
        <v/>
      </c>
      <c r="AG269" s="460" t="str">
        <f t="shared" ca="1" si="57"/>
        <v/>
      </c>
      <c r="AH269" s="460" t="str">
        <f t="shared" ca="1" si="57"/>
        <v/>
      </c>
      <c r="AI269" s="460" t="str">
        <f t="shared" ca="1" si="57"/>
        <v/>
      </c>
      <c r="AJ269" s="460" t="str">
        <f t="shared" ca="1" si="57"/>
        <v/>
      </c>
      <c r="AK269" s="460" t="str">
        <f t="shared" ca="1" si="57"/>
        <v/>
      </c>
      <c r="AL269" s="460" t="str">
        <f t="shared" ca="1" si="57"/>
        <v/>
      </c>
      <c r="AM269" s="460" t="str">
        <f t="shared" ca="1" si="57"/>
        <v/>
      </c>
      <c r="AN269" s="461" t="str">
        <f t="shared" ca="1" si="57"/>
        <v/>
      </c>
      <c r="AO269" s="474" t="str">
        <f t="shared" ca="1" si="57"/>
        <v/>
      </c>
      <c r="AP269" s="475" t="str">
        <f t="shared" ca="1" si="57"/>
        <v/>
      </c>
      <c r="AQ269" s="479" t="str">
        <f t="array" aca="1" ref="AQ269" ca="1">IF(ROW()-5&lt;=COUNTIF(科目编号,$AR$2),SMALL(IF(科目编号=$AR$2,ROW(科目编号),""),ROW()-5),"")</f>
        <v/>
      </c>
      <c r="AR269" s="480" t="str">
        <f ca="1">IF($BG$2=0,"",IF(AR268="本月合计","本年累计",IF(OR(ROW()=$AU$3,ROW()=$AV$3,ROW()=$AW$3,ROW()=$AX$3,ROW()=$AY$3,ROW()=$AZ$3,ROW()=$BA$3,ROW()=$BB$3,ROW()=$BC$3,ROW()=$BD$3,ROW()=$BE$3,ROW()=$BF$3),"本月合计",IF(ROW()&lt;7,$AQ$6,OFFSET($AQ$6,COUNT($AR$6:AR268),0)))))</f>
        <v/>
      </c>
    </row>
    <row r="270" spans="1:44">
      <c r="A270" s="469" t="str">
        <f ca="1">IFERROR(INDEX(凭证录入!A:A,$AR270),"")</f>
        <v/>
      </c>
      <c r="B270" s="469" t="str">
        <f ca="1">IFERROR(INDEX(凭证录入!B:B,$AR270),"")</f>
        <v/>
      </c>
      <c r="C270" s="470" t="str">
        <f ca="1">IFERROR(INDEX(凭证录入!G:G,$AR270),"")</f>
        <v/>
      </c>
      <c r="D270" s="471" t="str">
        <f ca="1">IFERROR(INDEX(凭证录入!F:F,$AR270),"")</f>
        <v/>
      </c>
      <c r="E270" s="472" t="str">
        <f ca="1">IFERROR(INDEX(凭证录入!H:H,$AR270),$AR270)</f>
        <v/>
      </c>
      <c r="F270" s="473">
        <f ca="1">IF(OR($BG$2=0,$AR270=""),,IF($AR270="本月合计",IF(ROW()=$BG$3,SUM($F$6:$F269),SUM(INDIRECT("$F$"&amp;OFFSET($AU$3,,MATCH(ROW(),$AU$3:$BF$3,)-2)+2&amp;":$E"&amp;ROW()-1))),IF($AR270="本年累计",SUMIF($AR$6:$AR270,"本月合计",$F$6:$F269),INDEX(凭证录入!K:K,$AR270))))</f>
        <v>0</v>
      </c>
      <c r="G270" s="459" t="str">
        <f t="shared" ca="1" si="58"/>
        <v/>
      </c>
      <c r="H270" s="460" t="str">
        <f t="shared" ca="1" si="58"/>
        <v/>
      </c>
      <c r="I270" s="460" t="str">
        <f t="shared" ca="1" si="58"/>
        <v/>
      </c>
      <c r="J270" s="460" t="str">
        <f t="shared" ca="1" si="58"/>
        <v/>
      </c>
      <c r="K270" s="460" t="str">
        <f t="shared" ca="1" si="58"/>
        <v/>
      </c>
      <c r="L270" s="460" t="str">
        <f t="shared" ca="1" si="58"/>
        <v/>
      </c>
      <c r="M270" s="460" t="str">
        <f t="shared" ca="1" si="58"/>
        <v/>
      </c>
      <c r="N270" s="460" t="str">
        <f t="shared" ca="1" si="58"/>
        <v/>
      </c>
      <c r="O270" s="461" t="str">
        <f t="shared" ca="1" si="58"/>
        <v/>
      </c>
      <c r="P270" s="474" t="str">
        <f t="shared" ca="1" si="58"/>
        <v/>
      </c>
      <c r="Q270" s="475" t="str">
        <f t="shared" ca="1" si="58"/>
        <v/>
      </c>
      <c r="R270" s="476">
        <f ca="1">IF(OR($BG$2=0,$AR270=""),,IF($AR270="本月合计",IF(ROW()=$BG$3,SUM($R$6:$R269),SUM(INDIRECT("$R$"&amp;OFFSET($AU$3,,MATCH(ROW(),$AU$3:$BF$3,)-2)+2&amp;":$R"&amp;ROW()-1))),IF($AR270="本年累计",SUMIF($AR$6:$AR270,"本月合计",$R$6:$R269),INDEX(凭证录入!L:L,$AR270))))</f>
        <v>0</v>
      </c>
      <c r="S270" s="459" t="str">
        <f t="shared" ca="1" si="59"/>
        <v/>
      </c>
      <c r="T270" s="460" t="str">
        <f t="shared" ca="1" si="59"/>
        <v/>
      </c>
      <c r="U270" s="460" t="str">
        <f t="shared" ca="1" si="59"/>
        <v/>
      </c>
      <c r="V270" s="460" t="str">
        <f t="shared" ca="1" si="59"/>
        <v/>
      </c>
      <c r="W270" s="460" t="str">
        <f t="shared" ca="1" si="59"/>
        <v/>
      </c>
      <c r="X270" s="460" t="str">
        <f t="shared" ca="1" si="59"/>
        <v/>
      </c>
      <c r="Y270" s="460" t="str">
        <f t="shared" ca="1" si="59"/>
        <v/>
      </c>
      <c r="Z270" s="460" t="str">
        <f t="shared" ca="1" si="59"/>
        <v/>
      </c>
      <c r="AA270" s="461" t="str">
        <f t="shared" ca="1" si="59"/>
        <v/>
      </c>
      <c r="AB270" s="474" t="str">
        <f t="shared" ca="1" si="59"/>
        <v/>
      </c>
      <c r="AC270" s="475" t="str">
        <f t="shared" ca="1" si="59"/>
        <v/>
      </c>
      <c r="AD270" s="477" t="str">
        <f t="shared" ca="1" si="60"/>
        <v/>
      </c>
      <c r="AE270" s="478">
        <f t="shared" ca="1" si="61"/>
        <v>0</v>
      </c>
      <c r="AF270" s="459" t="str">
        <f t="shared" ca="1" si="57"/>
        <v/>
      </c>
      <c r="AG270" s="460" t="str">
        <f t="shared" ca="1" si="57"/>
        <v/>
      </c>
      <c r="AH270" s="460" t="str">
        <f t="shared" ca="1" si="57"/>
        <v/>
      </c>
      <c r="AI270" s="460" t="str">
        <f t="shared" ca="1" si="57"/>
        <v/>
      </c>
      <c r="AJ270" s="460" t="str">
        <f t="shared" ca="1" si="57"/>
        <v/>
      </c>
      <c r="AK270" s="460" t="str">
        <f t="shared" ca="1" si="57"/>
        <v/>
      </c>
      <c r="AL270" s="460" t="str">
        <f t="shared" ca="1" si="57"/>
        <v/>
      </c>
      <c r="AM270" s="460" t="str">
        <f t="shared" ca="1" si="57"/>
        <v/>
      </c>
      <c r="AN270" s="461" t="str">
        <f t="shared" ca="1" si="57"/>
        <v/>
      </c>
      <c r="AO270" s="474" t="str">
        <f t="shared" ca="1" si="57"/>
        <v/>
      </c>
      <c r="AP270" s="475" t="str">
        <f t="shared" ca="1" si="57"/>
        <v/>
      </c>
      <c r="AQ270" s="479" t="str">
        <f t="array" aca="1" ref="AQ270" ca="1">IF(ROW()-5&lt;=COUNTIF(科目编号,$AR$2),SMALL(IF(科目编号=$AR$2,ROW(科目编号),""),ROW()-5),"")</f>
        <v/>
      </c>
      <c r="AR270" s="480" t="str">
        <f ca="1">IF($BG$2=0,"",IF(AR269="本月合计","本年累计",IF(OR(ROW()=$AU$3,ROW()=$AV$3,ROW()=$AW$3,ROW()=$AX$3,ROW()=$AY$3,ROW()=$AZ$3,ROW()=$BA$3,ROW()=$BB$3,ROW()=$BC$3,ROW()=$BD$3,ROW()=$BE$3,ROW()=$BF$3),"本月合计",IF(ROW()&lt;7,$AQ$6,OFFSET($AQ$6,COUNT($AR$6:AR269),0)))))</f>
        <v/>
      </c>
    </row>
    <row r="271" spans="1:44">
      <c r="A271" s="469" t="str">
        <f ca="1">IFERROR(INDEX(凭证录入!A:A,$AR271),"")</f>
        <v/>
      </c>
      <c r="B271" s="469" t="str">
        <f ca="1">IFERROR(INDEX(凭证录入!B:B,$AR271),"")</f>
        <v/>
      </c>
      <c r="C271" s="470" t="str">
        <f ca="1">IFERROR(INDEX(凭证录入!G:G,$AR271),"")</f>
        <v/>
      </c>
      <c r="D271" s="471" t="str">
        <f ca="1">IFERROR(INDEX(凭证录入!F:F,$AR271),"")</f>
        <v/>
      </c>
      <c r="E271" s="472" t="str">
        <f ca="1">IFERROR(INDEX(凭证录入!H:H,$AR271),$AR271)</f>
        <v/>
      </c>
      <c r="F271" s="473">
        <f ca="1">IF(OR($BG$2=0,$AR271=""),,IF($AR271="本月合计",IF(ROW()=$BG$3,SUM($F$6:$F270),SUM(INDIRECT("$F$"&amp;OFFSET($AU$3,,MATCH(ROW(),$AU$3:$BF$3,)-2)+2&amp;":$E"&amp;ROW()-1))),IF($AR271="本年累计",SUMIF($AR$6:$AR271,"本月合计",$F$6:$F270),INDEX(凭证录入!K:K,$AR271))))</f>
        <v>0</v>
      </c>
      <c r="G271" s="459" t="str">
        <f t="shared" ca="1" si="58"/>
        <v/>
      </c>
      <c r="H271" s="460" t="str">
        <f t="shared" ca="1" si="58"/>
        <v/>
      </c>
      <c r="I271" s="460" t="str">
        <f t="shared" ca="1" si="58"/>
        <v/>
      </c>
      <c r="J271" s="460" t="str">
        <f t="shared" ca="1" si="58"/>
        <v/>
      </c>
      <c r="K271" s="460" t="str">
        <f t="shared" ca="1" si="58"/>
        <v/>
      </c>
      <c r="L271" s="460" t="str">
        <f t="shared" ca="1" si="58"/>
        <v/>
      </c>
      <c r="M271" s="460" t="str">
        <f t="shared" ca="1" si="58"/>
        <v/>
      </c>
      <c r="N271" s="460" t="str">
        <f t="shared" ca="1" si="58"/>
        <v/>
      </c>
      <c r="O271" s="461" t="str">
        <f t="shared" ca="1" si="58"/>
        <v/>
      </c>
      <c r="P271" s="474" t="str">
        <f t="shared" ca="1" si="58"/>
        <v/>
      </c>
      <c r="Q271" s="475" t="str">
        <f t="shared" ca="1" si="58"/>
        <v/>
      </c>
      <c r="R271" s="476">
        <f ca="1">IF(OR($BG$2=0,$AR271=""),,IF($AR271="本月合计",IF(ROW()=$BG$3,SUM($R$6:$R270),SUM(INDIRECT("$R$"&amp;OFFSET($AU$3,,MATCH(ROW(),$AU$3:$BF$3,)-2)+2&amp;":$R"&amp;ROW()-1))),IF($AR271="本年累计",SUMIF($AR$6:$AR271,"本月合计",$R$6:$R270),INDEX(凭证录入!L:L,$AR271))))</f>
        <v>0</v>
      </c>
      <c r="S271" s="459" t="str">
        <f t="shared" ca="1" si="59"/>
        <v/>
      </c>
      <c r="T271" s="460" t="str">
        <f t="shared" ca="1" si="59"/>
        <v/>
      </c>
      <c r="U271" s="460" t="str">
        <f t="shared" ca="1" si="59"/>
        <v/>
      </c>
      <c r="V271" s="460" t="str">
        <f t="shared" ca="1" si="59"/>
        <v/>
      </c>
      <c r="W271" s="460" t="str">
        <f t="shared" ca="1" si="59"/>
        <v/>
      </c>
      <c r="X271" s="460" t="str">
        <f t="shared" ca="1" si="59"/>
        <v/>
      </c>
      <c r="Y271" s="460" t="str">
        <f t="shared" ca="1" si="59"/>
        <v/>
      </c>
      <c r="Z271" s="460" t="str">
        <f t="shared" ca="1" si="59"/>
        <v/>
      </c>
      <c r="AA271" s="461" t="str">
        <f t="shared" ca="1" si="59"/>
        <v/>
      </c>
      <c r="AB271" s="474" t="str">
        <f t="shared" ca="1" si="59"/>
        <v/>
      </c>
      <c r="AC271" s="475" t="str">
        <f t="shared" ca="1" si="59"/>
        <v/>
      </c>
      <c r="AD271" s="477" t="str">
        <f t="shared" ca="1" si="60"/>
        <v/>
      </c>
      <c r="AE271" s="478">
        <f t="shared" ca="1" si="61"/>
        <v>0</v>
      </c>
      <c r="AF271" s="459" t="str">
        <f t="shared" ca="1" si="57"/>
        <v/>
      </c>
      <c r="AG271" s="460" t="str">
        <f t="shared" ca="1" si="57"/>
        <v/>
      </c>
      <c r="AH271" s="460" t="str">
        <f t="shared" ca="1" si="57"/>
        <v/>
      </c>
      <c r="AI271" s="460" t="str">
        <f t="shared" ca="1" si="57"/>
        <v/>
      </c>
      <c r="AJ271" s="460" t="str">
        <f t="shared" ca="1" si="57"/>
        <v/>
      </c>
      <c r="AK271" s="460" t="str">
        <f t="shared" ca="1" si="57"/>
        <v/>
      </c>
      <c r="AL271" s="460" t="str">
        <f t="shared" ca="1" si="57"/>
        <v/>
      </c>
      <c r="AM271" s="460" t="str">
        <f t="shared" ca="1" si="57"/>
        <v/>
      </c>
      <c r="AN271" s="461" t="str">
        <f t="shared" ca="1" si="57"/>
        <v/>
      </c>
      <c r="AO271" s="474" t="str">
        <f t="shared" ca="1" si="57"/>
        <v/>
      </c>
      <c r="AP271" s="475" t="str">
        <f t="shared" ca="1" si="57"/>
        <v/>
      </c>
      <c r="AQ271" s="479" t="str">
        <f t="array" aca="1" ref="AQ271" ca="1">IF(ROW()-5&lt;=COUNTIF(科目编号,$AR$2),SMALL(IF(科目编号=$AR$2,ROW(科目编号),""),ROW()-5),"")</f>
        <v/>
      </c>
      <c r="AR271" s="480" t="str">
        <f ca="1">IF($BG$2=0,"",IF(AR270="本月合计","本年累计",IF(OR(ROW()=$AU$3,ROW()=$AV$3,ROW()=$AW$3,ROW()=$AX$3,ROW()=$AY$3,ROW()=$AZ$3,ROW()=$BA$3,ROW()=$BB$3,ROW()=$BC$3,ROW()=$BD$3,ROW()=$BE$3,ROW()=$BF$3),"本月合计",IF(ROW()&lt;7,$AQ$6,OFFSET($AQ$6,COUNT($AR$6:AR270),0)))))</f>
        <v/>
      </c>
    </row>
    <row r="272" spans="1:44">
      <c r="A272" s="469" t="str">
        <f ca="1">IFERROR(INDEX(凭证录入!A:A,$AR272),"")</f>
        <v/>
      </c>
      <c r="B272" s="469" t="str">
        <f ca="1">IFERROR(INDEX(凭证录入!B:B,$AR272),"")</f>
        <v/>
      </c>
      <c r="C272" s="470" t="str">
        <f ca="1">IFERROR(INDEX(凭证录入!G:G,$AR272),"")</f>
        <v/>
      </c>
      <c r="D272" s="471" t="str">
        <f ca="1">IFERROR(INDEX(凭证录入!F:F,$AR272),"")</f>
        <v/>
      </c>
      <c r="E272" s="472" t="str">
        <f ca="1">IFERROR(INDEX(凭证录入!H:H,$AR272),$AR272)</f>
        <v/>
      </c>
      <c r="F272" s="473">
        <f ca="1">IF(OR($BG$2=0,$AR272=""),,IF($AR272="本月合计",IF(ROW()=$BG$3,SUM($F$6:$F271),SUM(INDIRECT("$F$"&amp;OFFSET($AU$3,,MATCH(ROW(),$AU$3:$BF$3,)-2)+2&amp;":$E"&amp;ROW()-1))),IF($AR272="本年累计",SUMIF($AR$6:$AR272,"本月合计",$F$6:$F271),INDEX(凭证录入!K:K,$AR272))))</f>
        <v>0</v>
      </c>
      <c r="G272" s="459" t="str">
        <f t="shared" ca="1" si="58"/>
        <v/>
      </c>
      <c r="H272" s="460" t="str">
        <f t="shared" ca="1" si="58"/>
        <v/>
      </c>
      <c r="I272" s="460" t="str">
        <f t="shared" ca="1" si="58"/>
        <v/>
      </c>
      <c r="J272" s="460" t="str">
        <f t="shared" ca="1" si="58"/>
        <v/>
      </c>
      <c r="K272" s="460" t="str">
        <f t="shared" ca="1" si="58"/>
        <v/>
      </c>
      <c r="L272" s="460" t="str">
        <f t="shared" ca="1" si="58"/>
        <v/>
      </c>
      <c r="M272" s="460" t="str">
        <f t="shared" ca="1" si="58"/>
        <v/>
      </c>
      <c r="N272" s="460" t="str">
        <f t="shared" ca="1" si="58"/>
        <v/>
      </c>
      <c r="O272" s="461" t="str">
        <f t="shared" ca="1" si="58"/>
        <v/>
      </c>
      <c r="P272" s="474" t="str">
        <f t="shared" ca="1" si="58"/>
        <v/>
      </c>
      <c r="Q272" s="475" t="str">
        <f t="shared" ca="1" si="58"/>
        <v/>
      </c>
      <c r="R272" s="476">
        <f ca="1">IF(OR($BG$2=0,$AR272=""),,IF($AR272="本月合计",IF(ROW()=$BG$3,SUM($R$6:$R271),SUM(INDIRECT("$R$"&amp;OFFSET($AU$3,,MATCH(ROW(),$AU$3:$BF$3,)-2)+2&amp;":$R"&amp;ROW()-1))),IF($AR272="本年累计",SUMIF($AR$6:$AR272,"本月合计",$R$6:$R271),INDEX(凭证录入!L:L,$AR272))))</f>
        <v>0</v>
      </c>
      <c r="S272" s="459" t="str">
        <f t="shared" ca="1" si="59"/>
        <v/>
      </c>
      <c r="T272" s="460" t="str">
        <f t="shared" ca="1" si="59"/>
        <v/>
      </c>
      <c r="U272" s="460" t="str">
        <f t="shared" ca="1" si="59"/>
        <v/>
      </c>
      <c r="V272" s="460" t="str">
        <f t="shared" ca="1" si="59"/>
        <v/>
      </c>
      <c r="W272" s="460" t="str">
        <f t="shared" ca="1" si="59"/>
        <v/>
      </c>
      <c r="X272" s="460" t="str">
        <f t="shared" ca="1" si="59"/>
        <v/>
      </c>
      <c r="Y272" s="460" t="str">
        <f t="shared" ca="1" si="59"/>
        <v/>
      </c>
      <c r="Z272" s="460" t="str">
        <f t="shared" ca="1" si="59"/>
        <v/>
      </c>
      <c r="AA272" s="461" t="str">
        <f t="shared" ca="1" si="59"/>
        <v/>
      </c>
      <c r="AB272" s="474" t="str">
        <f t="shared" ca="1" si="59"/>
        <v/>
      </c>
      <c r="AC272" s="475" t="str">
        <f t="shared" ca="1" si="59"/>
        <v/>
      </c>
      <c r="AD272" s="477" t="str">
        <f t="shared" ca="1" si="60"/>
        <v/>
      </c>
      <c r="AE272" s="478">
        <f t="shared" ca="1" si="61"/>
        <v>0</v>
      </c>
      <c r="AF272" s="459" t="str">
        <f t="shared" ca="1" si="57"/>
        <v/>
      </c>
      <c r="AG272" s="460" t="str">
        <f t="shared" ca="1" si="57"/>
        <v/>
      </c>
      <c r="AH272" s="460" t="str">
        <f t="shared" ca="1" si="57"/>
        <v/>
      </c>
      <c r="AI272" s="460" t="str">
        <f t="shared" ca="1" si="57"/>
        <v/>
      </c>
      <c r="AJ272" s="460" t="str">
        <f t="shared" ca="1" si="57"/>
        <v/>
      </c>
      <c r="AK272" s="460" t="str">
        <f t="shared" ca="1" si="57"/>
        <v/>
      </c>
      <c r="AL272" s="460" t="str">
        <f t="shared" ca="1" si="57"/>
        <v/>
      </c>
      <c r="AM272" s="460" t="str">
        <f t="shared" ca="1" si="57"/>
        <v/>
      </c>
      <c r="AN272" s="461" t="str">
        <f t="shared" ca="1" si="57"/>
        <v/>
      </c>
      <c r="AO272" s="474" t="str">
        <f t="shared" ca="1" si="57"/>
        <v/>
      </c>
      <c r="AP272" s="475" t="str">
        <f t="shared" ca="1" si="57"/>
        <v/>
      </c>
      <c r="AQ272" s="479" t="str">
        <f t="array" aca="1" ref="AQ272" ca="1">IF(ROW()-5&lt;=COUNTIF(科目编号,$AR$2),SMALL(IF(科目编号=$AR$2,ROW(科目编号),""),ROW()-5),"")</f>
        <v/>
      </c>
      <c r="AR272" s="480" t="str">
        <f ca="1">IF($BG$2=0,"",IF(AR271="本月合计","本年累计",IF(OR(ROW()=$AU$3,ROW()=$AV$3,ROW()=$AW$3,ROW()=$AX$3,ROW()=$AY$3,ROW()=$AZ$3,ROW()=$BA$3,ROW()=$BB$3,ROW()=$BC$3,ROW()=$BD$3,ROW()=$BE$3,ROW()=$BF$3),"本月合计",IF(ROW()&lt;7,$AQ$6,OFFSET($AQ$6,COUNT($AR$6:AR271),0)))))</f>
        <v/>
      </c>
    </row>
    <row r="273" spans="1:44">
      <c r="A273" s="469" t="str">
        <f ca="1">IFERROR(INDEX(凭证录入!A:A,$AR273),"")</f>
        <v/>
      </c>
      <c r="B273" s="469" t="str">
        <f ca="1">IFERROR(INDEX(凭证录入!B:B,$AR273),"")</f>
        <v/>
      </c>
      <c r="C273" s="470" t="str">
        <f ca="1">IFERROR(INDEX(凭证录入!G:G,$AR273),"")</f>
        <v/>
      </c>
      <c r="D273" s="471" t="str">
        <f ca="1">IFERROR(INDEX(凭证录入!F:F,$AR273),"")</f>
        <v/>
      </c>
      <c r="E273" s="472" t="str">
        <f ca="1">IFERROR(INDEX(凭证录入!H:H,$AR273),$AR273)</f>
        <v/>
      </c>
      <c r="F273" s="473">
        <f ca="1">IF(OR($BG$2=0,$AR273=""),,IF($AR273="本月合计",IF(ROW()=$BG$3,SUM($F$6:$F272),SUM(INDIRECT("$F$"&amp;OFFSET($AU$3,,MATCH(ROW(),$AU$3:$BF$3,)-2)+2&amp;":$E"&amp;ROW()-1))),IF($AR273="本年累计",SUMIF($AR$6:$AR273,"本月合计",$F$6:$F272),INDEX(凭证录入!K:K,$AR273))))</f>
        <v>0</v>
      </c>
      <c r="G273" s="459" t="str">
        <f t="shared" ca="1" si="58"/>
        <v/>
      </c>
      <c r="H273" s="460" t="str">
        <f t="shared" ca="1" si="58"/>
        <v/>
      </c>
      <c r="I273" s="460" t="str">
        <f t="shared" ca="1" si="58"/>
        <v/>
      </c>
      <c r="J273" s="460" t="str">
        <f t="shared" ca="1" si="58"/>
        <v/>
      </c>
      <c r="K273" s="460" t="str">
        <f t="shared" ca="1" si="58"/>
        <v/>
      </c>
      <c r="L273" s="460" t="str">
        <f t="shared" ca="1" si="58"/>
        <v/>
      </c>
      <c r="M273" s="460" t="str">
        <f t="shared" ca="1" si="58"/>
        <v/>
      </c>
      <c r="N273" s="460" t="str">
        <f t="shared" ca="1" si="58"/>
        <v/>
      </c>
      <c r="O273" s="461" t="str">
        <f t="shared" ca="1" si="58"/>
        <v/>
      </c>
      <c r="P273" s="474" t="str">
        <f t="shared" ca="1" si="58"/>
        <v/>
      </c>
      <c r="Q273" s="475" t="str">
        <f t="shared" ca="1" si="58"/>
        <v/>
      </c>
      <c r="R273" s="476">
        <f ca="1">IF(OR($BG$2=0,$AR273=""),,IF($AR273="本月合计",IF(ROW()=$BG$3,SUM($R$6:$R272),SUM(INDIRECT("$R$"&amp;OFFSET($AU$3,,MATCH(ROW(),$AU$3:$BF$3,)-2)+2&amp;":$R"&amp;ROW()-1))),IF($AR273="本年累计",SUMIF($AR$6:$AR273,"本月合计",$R$6:$R272),INDEX(凭证录入!L:L,$AR273))))</f>
        <v>0</v>
      </c>
      <c r="S273" s="459" t="str">
        <f t="shared" ca="1" si="59"/>
        <v/>
      </c>
      <c r="T273" s="460" t="str">
        <f t="shared" ca="1" si="59"/>
        <v/>
      </c>
      <c r="U273" s="460" t="str">
        <f t="shared" ca="1" si="59"/>
        <v/>
      </c>
      <c r="V273" s="460" t="str">
        <f t="shared" ca="1" si="59"/>
        <v/>
      </c>
      <c r="W273" s="460" t="str">
        <f t="shared" ca="1" si="59"/>
        <v/>
      </c>
      <c r="X273" s="460" t="str">
        <f t="shared" ca="1" si="59"/>
        <v/>
      </c>
      <c r="Y273" s="460" t="str">
        <f t="shared" ca="1" si="59"/>
        <v/>
      </c>
      <c r="Z273" s="460" t="str">
        <f t="shared" ca="1" si="59"/>
        <v/>
      </c>
      <c r="AA273" s="461" t="str">
        <f t="shared" ca="1" si="59"/>
        <v/>
      </c>
      <c r="AB273" s="474" t="str">
        <f t="shared" ca="1" si="59"/>
        <v/>
      </c>
      <c r="AC273" s="475" t="str">
        <f t="shared" ca="1" si="59"/>
        <v/>
      </c>
      <c r="AD273" s="477" t="str">
        <f t="shared" ca="1" si="60"/>
        <v/>
      </c>
      <c r="AE273" s="478">
        <f t="shared" ca="1" si="61"/>
        <v>0</v>
      </c>
      <c r="AF273" s="459" t="str">
        <f t="shared" ca="1" si="57"/>
        <v/>
      </c>
      <c r="AG273" s="460" t="str">
        <f t="shared" ca="1" si="57"/>
        <v/>
      </c>
      <c r="AH273" s="460" t="str">
        <f t="shared" ca="1" si="57"/>
        <v/>
      </c>
      <c r="AI273" s="460" t="str">
        <f t="shared" ca="1" si="57"/>
        <v/>
      </c>
      <c r="AJ273" s="460" t="str">
        <f t="shared" ca="1" si="57"/>
        <v/>
      </c>
      <c r="AK273" s="460" t="str">
        <f t="shared" ca="1" si="57"/>
        <v/>
      </c>
      <c r="AL273" s="460" t="str">
        <f t="shared" ca="1" si="57"/>
        <v/>
      </c>
      <c r="AM273" s="460" t="str">
        <f t="shared" ca="1" si="57"/>
        <v/>
      </c>
      <c r="AN273" s="461" t="str">
        <f t="shared" ca="1" si="57"/>
        <v/>
      </c>
      <c r="AO273" s="474" t="str">
        <f t="shared" ca="1" si="57"/>
        <v/>
      </c>
      <c r="AP273" s="475" t="str">
        <f t="shared" ca="1" si="57"/>
        <v/>
      </c>
      <c r="AQ273" s="479" t="str">
        <f t="array" aca="1" ref="AQ273" ca="1">IF(ROW()-5&lt;=COUNTIF(科目编号,$AR$2),SMALL(IF(科目编号=$AR$2,ROW(科目编号),""),ROW()-5),"")</f>
        <v/>
      </c>
      <c r="AR273" s="480" t="str">
        <f ca="1">IF($BG$2=0,"",IF(AR272="本月合计","本年累计",IF(OR(ROW()=$AU$3,ROW()=$AV$3,ROW()=$AW$3,ROW()=$AX$3,ROW()=$AY$3,ROW()=$AZ$3,ROW()=$BA$3,ROW()=$BB$3,ROW()=$BC$3,ROW()=$BD$3,ROW()=$BE$3,ROW()=$BF$3),"本月合计",IF(ROW()&lt;7,$AQ$6,OFFSET($AQ$6,COUNT($AR$6:AR272),0)))))</f>
        <v/>
      </c>
    </row>
    <row r="274" spans="1:44">
      <c r="A274" s="469" t="str">
        <f ca="1">IFERROR(INDEX(凭证录入!A:A,$AR274),"")</f>
        <v/>
      </c>
      <c r="B274" s="469" t="str">
        <f ca="1">IFERROR(INDEX(凭证录入!B:B,$AR274),"")</f>
        <v/>
      </c>
      <c r="C274" s="470" t="str">
        <f ca="1">IFERROR(INDEX(凭证录入!G:G,$AR274),"")</f>
        <v/>
      </c>
      <c r="D274" s="471" t="str">
        <f ca="1">IFERROR(INDEX(凭证录入!F:F,$AR274),"")</f>
        <v/>
      </c>
      <c r="E274" s="472" t="str">
        <f ca="1">IFERROR(INDEX(凭证录入!H:H,$AR274),$AR274)</f>
        <v/>
      </c>
      <c r="F274" s="473">
        <f ca="1">IF(OR($BG$2=0,$AR274=""),,IF($AR274="本月合计",IF(ROW()=$BG$3,SUM($F$6:$F273),SUM(INDIRECT("$F$"&amp;OFFSET($AU$3,,MATCH(ROW(),$AU$3:$BF$3,)-2)+2&amp;":$E"&amp;ROW()-1))),IF($AR274="本年累计",SUMIF($AR$6:$AR274,"本月合计",$F$6:$F273),INDEX(凭证录入!K:K,$AR274))))</f>
        <v>0</v>
      </c>
      <c r="G274" s="459" t="str">
        <f t="shared" ca="1" si="58"/>
        <v/>
      </c>
      <c r="H274" s="460" t="str">
        <f t="shared" ca="1" si="58"/>
        <v/>
      </c>
      <c r="I274" s="460" t="str">
        <f t="shared" ca="1" si="58"/>
        <v/>
      </c>
      <c r="J274" s="460" t="str">
        <f t="shared" ca="1" si="58"/>
        <v/>
      </c>
      <c r="K274" s="460" t="str">
        <f t="shared" ca="1" si="58"/>
        <v/>
      </c>
      <c r="L274" s="460" t="str">
        <f t="shared" ca="1" si="58"/>
        <v/>
      </c>
      <c r="M274" s="460" t="str">
        <f t="shared" ca="1" si="58"/>
        <v/>
      </c>
      <c r="N274" s="460" t="str">
        <f t="shared" ca="1" si="58"/>
        <v/>
      </c>
      <c r="O274" s="461" t="str">
        <f t="shared" ca="1" si="58"/>
        <v/>
      </c>
      <c r="P274" s="474" t="str">
        <f t="shared" ca="1" si="58"/>
        <v/>
      </c>
      <c r="Q274" s="475" t="str">
        <f t="shared" ca="1" si="58"/>
        <v/>
      </c>
      <c r="R274" s="476">
        <f ca="1">IF(OR($BG$2=0,$AR274=""),,IF($AR274="本月合计",IF(ROW()=$BG$3,SUM($R$6:$R273),SUM(INDIRECT("$R$"&amp;OFFSET($AU$3,,MATCH(ROW(),$AU$3:$BF$3,)-2)+2&amp;":$R"&amp;ROW()-1))),IF($AR274="本年累计",SUMIF($AR$6:$AR274,"本月合计",$R$6:$R273),INDEX(凭证录入!L:L,$AR274))))</f>
        <v>0</v>
      </c>
      <c r="S274" s="459" t="str">
        <f t="shared" ca="1" si="59"/>
        <v/>
      </c>
      <c r="T274" s="460" t="str">
        <f t="shared" ca="1" si="59"/>
        <v/>
      </c>
      <c r="U274" s="460" t="str">
        <f t="shared" ca="1" si="59"/>
        <v/>
      </c>
      <c r="V274" s="460" t="str">
        <f t="shared" ca="1" si="59"/>
        <v/>
      </c>
      <c r="W274" s="460" t="str">
        <f t="shared" ca="1" si="59"/>
        <v/>
      </c>
      <c r="X274" s="460" t="str">
        <f t="shared" ca="1" si="59"/>
        <v/>
      </c>
      <c r="Y274" s="460" t="str">
        <f t="shared" ca="1" si="59"/>
        <v/>
      </c>
      <c r="Z274" s="460" t="str">
        <f t="shared" ca="1" si="59"/>
        <v/>
      </c>
      <c r="AA274" s="461" t="str">
        <f t="shared" ca="1" si="59"/>
        <v/>
      </c>
      <c r="AB274" s="474" t="str">
        <f t="shared" ca="1" si="59"/>
        <v/>
      </c>
      <c r="AC274" s="475" t="str">
        <f t="shared" ca="1" si="59"/>
        <v/>
      </c>
      <c r="AD274" s="477" t="str">
        <f t="shared" ca="1" si="60"/>
        <v/>
      </c>
      <c r="AE274" s="478">
        <f t="shared" ca="1" si="61"/>
        <v>0</v>
      </c>
      <c r="AF274" s="459" t="str">
        <f t="shared" ca="1" si="57"/>
        <v/>
      </c>
      <c r="AG274" s="460" t="str">
        <f t="shared" ca="1" si="57"/>
        <v/>
      </c>
      <c r="AH274" s="460" t="str">
        <f t="shared" ca="1" si="57"/>
        <v/>
      </c>
      <c r="AI274" s="460" t="str">
        <f t="shared" ca="1" si="57"/>
        <v/>
      </c>
      <c r="AJ274" s="460" t="str">
        <f t="shared" ca="1" si="57"/>
        <v/>
      </c>
      <c r="AK274" s="460" t="str">
        <f t="shared" ca="1" si="57"/>
        <v/>
      </c>
      <c r="AL274" s="460" t="str">
        <f t="shared" ca="1" si="57"/>
        <v/>
      </c>
      <c r="AM274" s="460" t="str">
        <f t="shared" ca="1" si="57"/>
        <v/>
      </c>
      <c r="AN274" s="461" t="str">
        <f t="shared" ca="1" si="57"/>
        <v/>
      </c>
      <c r="AO274" s="474" t="str">
        <f t="shared" ca="1" si="57"/>
        <v/>
      </c>
      <c r="AP274" s="475" t="str">
        <f t="shared" ca="1" si="57"/>
        <v/>
      </c>
      <c r="AQ274" s="479" t="str">
        <f t="array" aca="1" ref="AQ274" ca="1">IF(ROW()-5&lt;=COUNTIF(科目编号,$AR$2),SMALL(IF(科目编号=$AR$2,ROW(科目编号),""),ROW()-5),"")</f>
        <v/>
      </c>
      <c r="AR274" s="480" t="str">
        <f ca="1">IF($BG$2=0,"",IF(AR273="本月合计","本年累计",IF(OR(ROW()=$AU$3,ROW()=$AV$3,ROW()=$AW$3,ROW()=$AX$3,ROW()=$AY$3,ROW()=$AZ$3,ROW()=$BA$3,ROW()=$BB$3,ROW()=$BC$3,ROW()=$BD$3,ROW()=$BE$3,ROW()=$BF$3),"本月合计",IF(ROW()&lt;7,$AQ$6,OFFSET($AQ$6,COUNT($AR$6:AR273),0)))))</f>
        <v/>
      </c>
    </row>
    <row r="275" spans="1:44">
      <c r="A275" s="469" t="str">
        <f ca="1">IFERROR(INDEX(凭证录入!A:A,$AR275),"")</f>
        <v/>
      </c>
      <c r="B275" s="469" t="str">
        <f ca="1">IFERROR(INDEX(凭证录入!B:B,$AR275),"")</f>
        <v/>
      </c>
      <c r="C275" s="470" t="str">
        <f ca="1">IFERROR(INDEX(凭证录入!G:G,$AR275),"")</f>
        <v/>
      </c>
      <c r="D275" s="471" t="str">
        <f ca="1">IFERROR(INDEX(凭证录入!F:F,$AR275),"")</f>
        <v/>
      </c>
      <c r="E275" s="472" t="str">
        <f ca="1">IFERROR(INDEX(凭证录入!H:H,$AR275),$AR275)</f>
        <v/>
      </c>
      <c r="F275" s="473">
        <f ca="1">IF(OR($BG$2=0,$AR275=""),,IF($AR275="本月合计",IF(ROW()=$BG$3,SUM($F$6:$F274),SUM(INDIRECT("$F$"&amp;OFFSET($AU$3,,MATCH(ROW(),$AU$3:$BF$3,)-2)+2&amp;":$E"&amp;ROW()-1))),IF($AR275="本年累计",SUMIF($AR$6:$AR275,"本月合计",$F$6:$F274),INDEX(凭证录入!K:K,$AR275))))</f>
        <v>0</v>
      </c>
      <c r="G275" s="459" t="str">
        <f t="shared" ca="1" si="58"/>
        <v/>
      </c>
      <c r="H275" s="460" t="str">
        <f t="shared" ca="1" si="58"/>
        <v/>
      </c>
      <c r="I275" s="460" t="str">
        <f t="shared" ca="1" si="58"/>
        <v/>
      </c>
      <c r="J275" s="460" t="str">
        <f t="shared" ca="1" si="58"/>
        <v/>
      </c>
      <c r="K275" s="460" t="str">
        <f t="shared" ca="1" si="58"/>
        <v/>
      </c>
      <c r="L275" s="460" t="str">
        <f t="shared" ca="1" si="58"/>
        <v/>
      </c>
      <c r="M275" s="460" t="str">
        <f t="shared" ca="1" si="58"/>
        <v/>
      </c>
      <c r="N275" s="460" t="str">
        <f t="shared" ca="1" si="58"/>
        <v/>
      </c>
      <c r="O275" s="461" t="str">
        <f t="shared" ca="1" si="58"/>
        <v/>
      </c>
      <c r="P275" s="474" t="str">
        <f t="shared" ca="1" si="58"/>
        <v/>
      </c>
      <c r="Q275" s="475" t="str">
        <f t="shared" ca="1" si="58"/>
        <v/>
      </c>
      <c r="R275" s="476">
        <f ca="1">IF(OR($BG$2=0,$AR275=""),,IF($AR275="本月合计",IF(ROW()=$BG$3,SUM($R$6:$R274),SUM(INDIRECT("$R$"&amp;OFFSET($AU$3,,MATCH(ROW(),$AU$3:$BF$3,)-2)+2&amp;":$R"&amp;ROW()-1))),IF($AR275="本年累计",SUMIF($AR$6:$AR275,"本月合计",$R$6:$R274),INDEX(凭证录入!L:L,$AR275))))</f>
        <v>0</v>
      </c>
      <c r="S275" s="459" t="str">
        <f t="shared" ca="1" si="59"/>
        <v/>
      </c>
      <c r="T275" s="460" t="str">
        <f t="shared" ca="1" si="59"/>
        <v/>
      </c>
      <c r="U275" s="460" t="str">
        <f t="shared" ca="1" si="59"/>
        <v/>
      </c>
      <c r="V275" s="460" t="str">
        <f t="shared" ca="1" si="59"/>
        <v/>
      </c>
      <c r="W275" s="460" t="str">
        <f t="shared" ca="1" si="59"/>
        <v/>
      </c>
      <c r="X275" s="460" t="str">
        <f t="shared" ca="1" si="59"/>
        <v/>
      </c>
      <c r="Y275" s="460" t="str">
        <f t="shared" ca="1" si="59"/>
        <v/>
      </c>
      <c r="Z275" s="460" t="str">
        <f t="shared" ca="1" si="59"/>
        <v/>
      </c>
      <c r="AA275" s="461" t="str">
        <f t="shared" ca="1" si="59"/>
        <v/>
      </c>
      <c r="AB275" s="474" t="str">
        <f t="shared" ca="1" si="59"/>
        <v/>
      </c>
      <c r="AC275" s="475" t="str">
        <f t="shared" ca="1" si="59"/>
        <v/>
      </c>
      <c r="AD275" s="477" t="str">
        <f t="shared" ca="1" si="60"/>
        <v/>
      </c>
      <c r="AE275" s="478">
        <f t="shared" ca="1" si="61"/>
        <v>0</v>
      </c>
      <c r="AF275" s="459" t="str">
        <f t="shared" ca="1" si="57"/>
        <v/>
      </c>
      <c r="AG275" s="460" t="str">
        <f t="shared" ca="1" si="57"/>
        <v/>
      </c>
      <c r="AH275" s="460" t="str">
        <f t="shared" ca="1" si="57"/>
        <v/>
      </c>
      <c r="AI275" s="460" t="str">
        <f t="shared" ca="1" si="57"/>
        <v/>
      </c>
      <c r="AJ275" s="460" t="str">
        <f t="shared" ca="1" si="57"/>
        <v/>
      </c>
      <c r="AK275" s="460" t="str">
        <f t="shared" ca="1" si="57"/>
        <v/>
      </c>
      <c r="AL275" s="460" t="str">
        <f t="shared" ca="1" si="57"/>
        <v/>
      </c>
      <c r="AM275" s="460" t="str">
        <f t="shared" ca="1" si="57"/>
        <v/>
      </c>
      <c r="AN275" s="461" t="str">
        <f t="shared" ca="1" si="57"/>
        <v/>
      </c>
      <c r="AO275" s="474" t="str">
        <f t="shared" ca="1" si="57"/>
        <v/>
      </c>
      <c r="AP275" s="475" t="str">
        <f t="shared" ca="1" si="57"/>
        <v/>
      </c>
      <c r="AQ275" s="479" t="str">
        <f t="array" aca="1" ref="AQ275" ca="1">IF(ROW()-5&lt;=COUNTIF(科目编号,$AR$2),SMALL(IF(科目编号=$AR$2,ROW(科目编号),""),ROW()-5),"")</f>
        <v/>
      </c>
      <c r="AR275" s="480" t="str">
        <f ca="1">IF($BG$2=0,"",IF(AR274="本月合计","本年累计",IF(OR(ROW()=$AU$3,ROW()=$AV$3,ROW()=$AW$3,ROW()=$AX$3,ROW()=$AY$3,ROW()=$AZ$3,ROW()=$BA$3,ROW()=$BB$3,ROW()=$BC$3,ROW()=$BD$3,ROW()=$BE$3,ROW()=$BF$3),"本月合计",IF(ROW()&lt;7,$AQ$6,OFFSET($AQ$6,COUNT($AR$6:AR274),0)))))</f>
        <v/>
      </c>
    </row>
    <row r="276" spans="1:44">
      <c r="A276" s="469" t="str">
        <f ca="1">IFERROR(INDEX(凭证录入!A:A,$AR276),"")</f>
        <v/>
      </c>
      <c r="B276" s="469" t="str">
        <f ca="1">IFERROR(INDEX(凭证录入!B:B,$AR276),"")</f>
        <v/>
      </c>
      <c r="C276" s="470" t="str">
        <f ca="1">IFERROR(INDEX(凭证录入!G:G,$AR276),"")</f>
        <v/>
      </c>
      <c r="D276" s="471" t="str">
        <f ca="1">IFERROR(INDEX(凭证录入!F:F,$AR276),"")</f>
        <v/>
      </c>
      <c r="E276" s="472" t="str">
        <f ca="1">IFERROR(INDEX(凭证录入!H:H,$AR276),$AR276)</f>
        <v/>
      </c>
      <c r="F276" s="473">
        <f ca="1">IF(OR($BG$2=0,$AR276=""),,IF($AR276="本月合计",IF(ROW()=$BG$3,SUM($F$6:$F275),SUM(INDIRECT("$F$"&amp;OFFSET($AU$3,,MATCH(ROW(),$AU$3:$BF$3,)-2)+2&amp;":$E"&amp;ROW()-1))),IF($AR276="本年累计",SUMIF($AR$6:$AR276,"本月合计",$F$6:$F275),INDEX(凭证录入!K:K,$AR276))))</f>
        <v>0</v>
      </c>
      <c r="G276" s="459" t="str">
        <f t="shared" ca="1" si="58"/>
        <v/>
      </c>
      <c r="H276" s="460" t="str">
        <f t="shared" ca="1" si="58"/>
        <v/>
      </c>
      <c r="I276" s="460" t="str">
        <f t="shared" ca="1" si="58"/>
        <v/>
      </c>
      <c r="J276" s="460" t="str">
        <f t="shared" ca="1" si="58"/>
        <v/>
      </c>
      <c r="K276" s="460" t="str">
        <f t="shared" ca="1" si="58"/>
        <v/>
      </c>
      <c r="L276" s="460" t="str">
        <f t="shared" ca="1" si="58"/>
        <v/>
      </c>
      <c r="M276" s="460" t="str">
        <f t="shared" ca="1" si="58"/>
        <v/>
      </c>
      <c r="N276" s="460" t="str">
        <f t="shared" ca="1" si="58"/>
        <v/>
      </c>
      <c r="O276" s="461" t="str">
        <f t="shared" ca="1" si="58"/>
        <v/>
      </c>
      <c r="P276" s="474" t="str">
        <f t="shared" ca="1" si="58"/>
        <v/>
      </c>
      <c r="Q276" s="475" t="str">
        <f t="shared" ca="1" si="58"/>
        <v/>
      </c>
      <c r="R276" s="476">
        <f ca="1">IF(OR($BG$2=0,$AR276=""),,IF($AR276="本月合计",IF(ROW()=$BG$3,SUM($R$6:$R275),SUM(INDIRECT("$R$"&amp;OFFSET($AU$3,,MATCH(ROW(),$AU$3:$BF$3,)-2)+2&amp;":$R"&amp;ROW()-1))),IF($AR276="本年累计",SUMIF($AR$6:$AR276,"本月合计",$R$6:$R275),INDEX(凭证录入!L:L,$AR276))))</f>
        <v>0</v>
      </c>
      <c r="S276" s="459" t="str">
        <f t="shared" ca="1" si="59"/>
        <v/>
      </c>
      <c r="T276" s="460" t="str">
        <f t="shared" ca="1" si="59"/>
        <v/>
      </c>
      <c r="U276" s="460" t="str">
        <f t="shared" ca="1" si="59"/>
        <v/>
      </c>
      <c r="V276" s="460" t="str">
        <f t="shared" ca="1" si="59"/>
        <v/>
      </c>
      <c r="W276" s="460" t="str">
        <f t="shared" ca="1" si="59"/>
        <v/>
      </c>
      <c r="X276" s="460" t="str">
        <f t="shared" ca="1" si="59"/>
        <v/>
      </c>
      <c r="Y276" s="460" t="str">
        <f t="shared" ca="1" si="59"/>
        <v/>
      </c>
      <c r="Z276" s="460" t="str">
        <f t="shared" ca="1" si="59"/>
        <v/>
      </c>
      <c r="AA276" s="461" t="str">
        <f t="shared" ca="1" si="59"/>
        <v/>
      </c>
      <c r="AB276" s="474" t="str">
        <f t="shared" ca="1" si="59"/>
        <v/>
      </c>
      <c r="AC276" s="475" t="str">
        <f t="shared" ca="1" si="59"/>
        <v/>
      </c>
      <c r="AD276" s="477" t="str">
        <f t="shared" ca="1" si="60"/>
        <v/>
      </c>
      <c r="AE276" s="478">
        <f t="shared" ca="1" si="61"/>
        <v>0</v>
      </c>
      <c r="AF276" s="459" t="str">
        <f t="shared" ca="1" si="57"/>
        <v/>
      </c>
      <c r="AG276" s="460" t="str">
        <f t="shared" ca="1" si="57"/>
        <v/>
      </c>
      <c r="AH276" s="460" t="str">
        <f t="shared" ca="1" si="57"/>
        <v/>
      </c>
      <c r="AI276" s="460" t="str">
        <f t="shared" ca="1" si="57"/>
        <v/>
      </c>
      <c r="AJ276" s="460" t="str">
        <f t="shared" ca="1" si="57"/>
        <v/>
      </c>
      <c r="AK276" s="460" t="str">
        <f t="shared" ca="1" si="57"/>
        <v/>
      </c>
      <c r="AL276" s="460" t="str">
        <f t="shared" ca="1" si="57"/>
        <v/>
      </c>
      <c r="AM276" s="460" t="str">
        <f t="shared" ca="1" si="57"/>
        <v/>
      </c>
      <c r="AN276" s="461" t="str">
        <f t="shared" ca="1" si="57"/>
        <v/>
      </c>
      <c r="AO276" s="474" t="str">
        <f t="shared" ca="1" si="57"/>
        <v/>
      </c>
      <c r="AP276" s="475" t="str">
        <f t="shared" ca="1" si="57"/>
        <v/>
      </c>
      <c r="AQ276" s="479" t="str">
        <f t="array" aca="1" ref="AQ276" ca="1">IF(ROW()-5&lt;=COUNTIF(科目编号,$AR$2),SMALL(IF(科目编号=$AR$2,ROW(科目编号),""),ROW()-5),"")</f>
        <v/>
      </c>
      <c r="AR276" s="480" t="str">
        <f ca="1">IF($BG$2=0,"",IF(AR275="本月合计","本年累计",IF(OR(ROW()=$AU$3,ROW()=$AV$3,ROW()=$AW$3,ROW()=$AX$3,ROW()=$AY$3,ROW()=$AZ$3,ROW()=$BA$3,ROW()=$BB$3,ROW()=$BC$3,ROW()=$BD$3,ROW()=$BE$3,ROW()=$BF$3),"本月合计",IF(ROW()&lt;7,$AQ$6,OFFSET($AQ$6,COUNT($AR$6:AR275),0)))))</f>
        <v/>
      </c>
    </row>
    <row r="277" spans="1:44">
      <c r="A277" s="469" t="str">
        <f ca="1">IFERROR(INDEX(凭证录入!A:A,$AR277),"")</f>
        <v/>
      </c>
      <c r="B277" s="469" t="str">
        <f ca="1">IFERROR(INDEX(凭证录入!B:B,$AR277),"")</f>
        <v/>
      </c>
      <c r="C277" s="470" t="str">
        <f ca="1">IFERROR(INDEX(凭证录入!G:G,$AR277),"")</f>
        <v/>
      </c>
      <c r="D277" s="471" t="str">
        <f ca="1">IFERROR(INDEX(凭证录入!F:F,$AR277),"")</f>
        <v/>
      </c>
      <c r="E277" s="472" t="str">
        <f ca="1">IFERROR(INDEX(凭证录入!H:H,$AR277),$AR277)</f>
        <v/>
      </c>
      <c r="F277" s="473">
        <f ca="1">IF(OR($BG$2=0,$AR277=""),,IF($AR277="本月合计",IF(ROW()=$BG$3,SUM($F$6:$F276),SUM(INDIRECT("$F$"&amp;OFFSET($AU$3,,MATCH(ROW(),$AU$3:$BF$3,)-2)+2&amp;":$E"&amp;ROW()-1))),IF($AR277="本年累计",SUMIF($AR$6:$AR277,"本月合计",$F$6:$F276),INDEX(凭证录入!K:K,$AR277))))</f>
        <v>0</v>
      </c>
      <c r="G277" s="459" t="str">
        <f t="shared" ca="1" si="58"/>
        <v/>
      </c>
      <c r="H277" s="460" t="str">
        <f t="shared" ca="1" si="58"/>
        <v/>
      </c>
      <c r="I277" s="460" t="str">
        <f t="shared" ca="1" si="58"/>
        <v/>
      </c>
      <c r="J277" s="460" t="str">
        <f t="shared" ca="1" si="58"/>
        <v/>
      </c>
      <c r="K277" s="460" t="str">
        <f t="shared" ca="1" si="58"/>
        <v/>
      </c>
      <c r="L277" s="460" t="str">
        <f t="shared" ca="1" si="58"/>
        <v/>
      </c>
      <c r="M277" s="460" t="str">
        <f t="shared" ca="1" si="58"/>
        <v/>
      </c>
      <c r="N277" s="460" t="str">
        <f t="shared" ca="1" si="58"/>
        <v/>
      </c>
      <c r="O277" s="461" t="str">
        <f t="shared" ca="1" si="58"/>
        <v/>
      </c>
      <c r="P277" s="474" t="str">
        <f t="shared" ca="1" si="58"/>
        <v/>
      </c>
      <c r="Q277" s="475" t="str">
        <f t="shared" ca="1" si="58"/>
        <v/>
      </c>
      <c r="R277" s="476">
        <f ca="1">IF(OR($BG$2=0,$AR277=""),,IF($AR277="本月合计",IF(ROW()=$BG$3,SUM($R$6:$R276),SUM(INDIRECT("$R$"&amp;OFFSET($AU$3,,MATCH(ROW(),$AU$3:$BF$3,)-2)+2&amp;":$R"&amp;ROW()-1))),IF($AR277="本年累计",SUMIF($AR$6:$AR277,"本月合计",$R$6:$R276),INDEX(凭证录入!L:L,$AR277))))</f>
        <v>0</v>
      </c>
      <c r="S277" s="459" t="str">
        <f t="shared" ca="1" si="59"/>
        <v/>
      </c>
      <c r="T277" s="460" t="str">
        <f t="shared" ca="1" si="59"/>
        <v/>
      </c>
      <c r="U277" s="460" t="str">
        <f t="shared" ca="1" si="59"/>
        <v/>
      </c>
      <c r="V277" s="460" t="str">
        <f t="shared" ca="1" si="59"/>
        <v/>
      </c>
      <c r="W277" s="460" t="str">
        <f t="shared" ca="1" si="59"/>
        <v/>
      </c>
      <c r="X277" s="460" t="str">
        <f t="shared" ca="1" si="59"/>
        <v/>
      </c>
      <c r="Y277" s="460" t="str">
        <f t="shared" ca="1" si="59"/>
        <v/>
      </c>
      <c r="Z277" s="460" t="str">
        <f t="shared" ca="1" si="59"/>
        <v/>
      </c>
      <c r="AA277" s="461" t="str">
        <f t="shared" ca="1" si="59"/>
        <v/>
      </c>
      <c r="AB277" s="474" t="str">
        <f t="shared" ca="1" si="59"/>
        <v/>
      </c>
      <c r="AC277" s="475" t="str">
        <f t="shared" ca="1" si="59"/>
        <v/>
      </c>
      <c r="AD277" s="477" t="str">
        <f t="shared" ca="1" si="60"/>
        <v/>
      </c>
      <c r="AE277" s="478">
        <f t="shared" ca="1" si="61"/>
        <v>0</v>
      </c>
      <c r="AF277" s="459" t="str">
        <f t="shared" ref="AF277:AP292" ca="1" si="62">LEFT(RIGHT(TEXT($AE277/1%," ￥0; ￥-0;"),43-COLUMN()))</f>
        <v/>
      </c>
      <c r="AG277" s="460" t="str">
        <f t="shared" ca="1" si="62"/>
        <v/>
      </c>
      <c r="AH277" s="460" t="str">
        <f t="shared" ca="1" si="62"/>
        <v/>
      </c>
      <c r="AI277" s="460" t="str">
        <f t="shared" ca="1" si="62"/>
        <v/>
      </c>
      <c r="AJ277" s="460" t="str">
        <f t="shared" ca="1" si="62"/>
        <v/>
      </c>
      <c r="AK277" s="460" t="str">
        <f t="shared" ca="1" si="62"/>
        <v/>
      </c>
      <c r="AL277" s="460" t="str">
        <f t="shared" ca="1" si="62"/>
        <v/>
      </c>
      <c r="AM277" s="460" t="str">
        <f t="shared" ca="1" si="62"/>
        <v/>
      </c>
      <c r="AN277" s="461" t="str">
        <f t="shared" ca="1" si="62"/>
        <v/>
      </c>
      <c r="AO277" s="474" t="str">
        <f t="shared" ca="1" si="62"/>
        <v/>
      </c>
      <c r="AP277" s="475" t="str">
        <f t="shared" ca="1" si="62"/>
        <v/>
      </c>
      <c r="AQ277" s="479" t="str">
        <f t="array" aca="1" ref="AQ277" ca="1">IF(ROW()-5&lt;=COUNTIF(科目编号,$AR$2),SMALL(IF(科目编号=$AR$2,ROW(科目编号),""),ROW()-5),"")</f>
        <v/>
      </c>
      <c r="AR277" s="480" t="str">
        <f ca="1">IF($BG$2=0,"",IF(AR276="本月合计","本年累计",IF(OR(ROW()=$AU$3,ROW()=$AV$3,ROW()=$AW$3,ROW()=$AX$3,ROW()=$AY$3,ROW()=$AZ$3,ROW()=$BA$3,ROW()=$BB$3,ROW()=$BC$3,ROW()=$BD$3,ROW()=$BE$3,ROW()=$BF$3),"本月合计",IF(ROW()&lt;7,$AQ$6,OFFSET($AQ$6,COUNT($AR$6:AR276),0)))))</f>
        <v/>
      </c>
    </row>
    <row r="278" spans="1:44">
      <c r="A278" s="469" t="str">
        <f ca="1">IFERROR(INDEX(凭证录入!A:A,$AR278),"")</f>
        <v/>
      </c>
      <c r="B278" s="469" t="str">
        <f ca="1">IFERROR(INDEX(凭证录入!B:B,$AR278),"")</f>
        <v/>
      </c>
      <c r="C278" s="470" t="str">
        <f ca="1">IFERROR(INDEX(凭证录入!G:G,$AR278),"")</f>
        <v/>
      </c>
      <c r="D278" s="471" t="str">
        <f ca="1">IFERROR(INDEX(凭证录入!F:F,$AR278),"")</f>
        <v/>
      </c>
      <c r="E278" s="472" t="str">
        <f ca="1">IFERROR(INDEX(凭证录入!H:H,$AR278),$AR278)</f>
        <v/>
      </c>
      <c r="F278" s="473">
        <f ca="1">IF(OR($BG$2=0,$AR278=""),,IF($AR278="本月合计",IF(ROW()=$BG$3,SUM($F$6:$F277),SUM(INDIRECT("$F$"&amp;OFFSET($AU$3,,MATCH(ROW(),$AU$3:$BF$3,)-2)+2&amp;":$E"&amp;ROW()-1))),IF($AR278="本年累计",SUMIF($AR$6:$AR278,"本月合计",$F$6:$F277),INDEX(凭证录入!K:K,$AR278))))</f>
        <v>0</v>
      </c>
      <c r="G278" s="459" t="str">
        <f t="shared" ref="G278:Q293" ca="1" si="63">LEFT(RIGHT(TEXT($F278/1%," ￥0; ￥-0;"),18-COLUMN()))</f>
        <v/>
      </c>
      <c r="H278" s="460" t="str">
        <f t="shared" ca="1" si="63"/>
        <v/>
      </c>
      <c r="I278" s="460" t="str">
        <f t="shared" ca="1" si="63"/>
        <v/>
      </c>
      <c r="J278" s="460" t="str">
        <f t="shared" ca="1" si="63"/>
        <v/>
      </c>
      <c r="K278" s="460" t="str">
        <f t="shared" ca="1" si="63"/>
        <v/>
      </c>
      <c r="L278" s="460" t="str">
        <f t="shared" ca="1" si="63"/>
        <v/>
      </c>
      <c r="M278" s="460" t="str">
        <f t="shared" ca="1" si="63"/>
        <v/>
      </c>
      <c r="N278" s="460" t="str">
        <f t="shared" ca="1" si="63"/>
        <v/>
      </c>
      <c r="O278" s="461" t="str">
        <f t="shared" ca="1" si="63"/>
        <v/>
      </c>
      <c r="P278" s="474" t="str">
        <f t="shared" ca="1" si="63"/>
        <v/>
      </c>
      <c r="Q278" s="475" t="str">
        <f t="shared" ca="1" si="63"/>
        <v/>
      </c>
      <c r="R278" s="476">
        <f ca="1">IF(OR($BG$2=0,$AR278=""),,IF($AR278="本月合计",IF(ROW()=$BG$3,SUM($R$6:$R277),SUM(INDIRECT("$R$"&amp;OFFSET($AU$3,,MATCH(ROW(),$AU$3:$BF$3,)-2)+2&amp;":$R"&amp;ROW()-1))),IF($AR278="本年累计",SUMIF($AR$6:$AR278,"本月合计",$R$6:$R277),INDEX(凭证录入!L:L,$AR278))))</f>
        <v>0</v>
      </c>
      <c r="S278" s="459" t="str">
        <f t="shared" ref="S278:AC293" ca="1" si="64">LEFT(RIGHT(TEXT($R278/1%," ￥0; ￥-0;"),30-COLUMN()))</f>
        <v/>
      </c>
      <c r="T278" s="460" t="str">
        <f t="shared" ca="1" si="64"/>
        <v/>
      </c>
      <c r="U278" s="460" t="str">
        <f t="shared" ca="1" si="64"/>
        <v/>
      </c>
      <c r="V278" s="460" t="str">
        <f t="shared" ca="1" si="64"/>
        <v/>
      </c>
      <c r="W278" s="460" t="str">
        <f t="shared" ca="1" si="64"/>
        <v/>
      </c>
      <c r="X278" s="460" t="str">
        <f t="shared" ca="1" si="64"/>
        <v/>
      </c>
      <c r="Y278" s="460" t="str">
        <f t="shared" ca="1" si="64"/>
        <v/>
      </c>
      <c r="Z278" s="460" t="str">
        <f t="shared" ca="1" si="64"/>
        <v/>
      </c>
      <c r="AA278" s="461" t="str">
        <f t="shared" ca="1" si="64"/>
        <v/>
      </c>
      <c r="AB278" s="474" t="str">
        <f t="shared" ca="1" si="64"/>
        <v/>
      </c>
      <c r="AC278" s="475" t="str">
        <f t="shared" ca="1" si="64"/>
        <v/>
      </c>
      <c r="AD278" s="477" t="str">
        <f t="shared" ca="1" si="60"/>
        <v/>
      </c>
      <c r="AE278" s="478">
        <f t="shared" ca="1" si="61"/>
        <v>0</v>
      </c>
      <c r="AF278" s="459" t="str">
        <f t="shared" ca="1" si="62"/>
        <v/>
      </c>
      <c r="AG278" s="460" t="str">
        <f t="shared" ca="1" si="62"/>
        <v/>
      </c>
      <c r="AH278" s="460" t="str">
        <f t="shared" ca="1" si="62"/>
        <v/>
      </c>
      <c r="AI278" s="460" t="str">
        <f t="shared" ca="1" si="62"/>
        <v/>
      </c>
      <c r="AJ278" s="460" t="str">
        <f t="shared" ca="1" si="62"/>
        <v/>
      </c>
      <c r="AK278" s="460" t="str">
        <f t="shared" ca="1" si="62"/>
        <v/>
      </c>
      <c r="AL278" s="460" t="str">
        <f t="shared" ca="1" si="62"/>
        <v/>
      </c>
      <c r="AM278" s="460" t="str">
        <f t="shared" ca="1" si="62"/>
        <v/>
      </c>
      <c r="AN278" s="461" t="str">
        <f t="shared" ca="1" si="62"/>
        <v/>
      </c>
      <c r="AO278" s="474" t="str">
        <f t="shared" ca="1" si="62"/>
        <v/>
      </c>
      <c r="AP278" s="475" t="str">
        <f t="shared" ca="1" si="62"/>
        <v/>
      </c>
      <c r="AQ278" s="479" t="str">
        <f t="array" aca="1" ref="AQ278" ca="1">IF(ROW()-5&lt;=COUNTIF(科目编号,$AR$2),SMALL(IF(科目编号=$AR$2,ROW(科目编号),""),ROW()-5),"")</f>
        <v/>
      </c>
      <c r="AR278" s="480" t="str">
        <f ca="1">IF($BG$2=0,"",IF(AR277="本月合计","本年累计",IF(OR(ROW()=$AU$3,ROW()=$AV$3,ROW()=$AW$3,ROW()=$AX$3,ROW()=$AY$3,ROW()=$AZ$3,ROW()=$BA$3,ROW()=$BB$3,ROW()=$BC$3,ROW()=$BD$3,ROW()=$BE$3,ROW()=$BF$3),"本月合计",IF(ROW()&lt;7,$AQ$6,OFFSET($AQ$6,COUNT($AR$6:AR277),0)))))</f>
        <v/>
      </c>
    </row>
    <row r="279" spans="1:44">
      <c r="A279" s="469" t="str">
        <f ca="1">IFERROR(INDEX(凭证录入!A:A,$AR279),"")</f>
        <v/>
      </c>
      <c r="B279" s="469" t="str">
        <f ca="1">IFERROR(INDEX(凭证录入!B:B,$AR279),"")</f>
        <v/>
      </c>
      <c r="C279" s="470" t="str">
        <f ca="1">IFERROR(INDEX(凭证录入!G:G,$AR279),"")</f>
        <v/>
      </c>
      <c r="D279" s="471" t="str">
        <f ca="1">IFERROR(INDEX(凭证录入!F:F,$AR279),"")</f>
        <v/>
      </c>
      <c r="E279" s="472" t="str">
        <f ca="1">IFERROR(INDEX(凭证录入!H:H,$AR279),$AR279)</f>
        <v/>
      </c>
      <c r="F279" s="473">
        <f ca="1">IF(OR($BG$2=0,$AR279=""),,IF($AR279="本月合计",IF(ROW()=$BG$3,SUM($F$6:$F278),SUM(INDIRECT("$F$"&amp;OFFSET($AU$3,,MATCH(ROW(),$AU$3:$BF$3,)-2)+2&amp;":$E"&amp;ROW()-1))),IF($AR279="本年累计",SUMIF($AR$6:$AR279,"本月合计",$F$6:$F278),INDEX(凭证录入!K:K,$AR279))))</f>
        <v>0</v>
      </c>
      <c r="G279" s="459" t="str">
        <f t="shared" ca="1" si="63"/>
        <v/>
      </c>
      <c r="H279" s="460" t="str">
        <f t="shared" ca="1" si="63"/>
        <v/>
      </c>
      <c r="I279" s="460" t="str">
        <f t="shared" ca="1" si="63"/>
        <v/>
      </c>
      <c r="J279" s="460" t="str">
        <f t="shared" ca="1" si="63"/>
        <v/>
      </c>
      <c r="K279" s="460" t="str">
        <f t="shared" ca="1" si="63"/>
        <v/>
      </c>
      <c r="L279" s="460" t="str">
        <f t="shared" ca="1" si="63"/>
        <v/>
      </c>
      <c r="M279" s="460" t="str">
        <f t="shared" ca="1" si="63"/>
        <v/>
      </c>
      <c r="N279" s="460" t="str">
        <f t="shared" ca="1" si="63"/>
        <v/>
      </c>
      <c r="O279" s="461" t="str">
        <f t="shared" ca="1" si="63"/>
        <v/>
      </c>
      <c r="P279" s="474" t="str">
        <f t="shared" ca="1" si="63"/>
        <v/>
      </c>
      <c r="Q279" s="475" t="str">
        <f t="shared" ca="1" si="63"/>
        <v/>
      </c>
      <c r="R279" s="476">
        <f ca="1">IF(OR($BG$2=0,$AR279=""),,IF($AR279="本月合计",IF(ROW()=$BG$3,SUM($R$6:$R278),SUM(INDIRECT("$R$"&amp;OFFSET($AU$3,,MATCH(ROW(),$AU$3:$BF$3,)-2)+2&amp;":$R"&amp;ROW()-1))),IF($AR279="本年累计",SUMIF($AR$6:$AR279,"本月合计",$R$6:$R278),INDEX(凭证录入!L:L,$AR279))))</f>
        <v>0</v>
      </c>
      <c r="S279" s="459" t="str">
        <f t="shared" ca="1" si="64"/>
        <v/>
      </c>
      <c r="T279" s="460" t="str">
        <f t="shared" ca="1" si="64"/>
        <v/>
      </c>
      <c r="U279" s="460" t="str">
        <f t="shared" ca="1" si="64"/>
        <v/>
      </c>
      <c r="V279" s="460" t="str">
        <f t="shared" ca="1" si="64"/>
        <v/>
      </c>
      <c r="W279" s="460" t="str">
        <f t="shared" ca="1" si="64"/>
        <v/>
      </c>
      <c r="X279" s="460" t="str">
        <f t="shared" ca="1" si="64"/>
        <v/>
      </c>
      <c r="Y279" s="460" t="str">
        <f t="shared" ca="1" si="64"/>
        <v/>
      </c>
      <c r="Z279" s="460" t="str">
        <f t="shared" ca="1" si="64"/>
        <v/>
      </c>
      <c r="AA279" s="461" t="str">
        <f t="shared" ca="1" si="64"/>
        <v/>
      </c>
      <c r="AB279" s="474" t="str">
        <f t="shared" ca="1" si="64"/>
        <v/>
      </c>
      <c r="AC279" s="475" t="str">
        <f t="shared" ca="1" si="64"/>
        <v/>
      </c>
      <c r="AD279" s="477" t="str">
        <f t="shared" ca="1" si="60"/>
        <v/>
      </c>
      <c r="AE279" s="478">
        <f t="shared" ca="1" si="61"/>
        <v>0</v>
      </c>
      <c r="AF279" s="459" t="str">
        <f t="shared" ca="1" si="62"/>
        <v/>
      </c>
      <c r="AG279" s="460" t="str">
        <f t="shared" ca="1" si="62"/>
        <v/>
      </c>
      <c r="AH279" s="460" t="str">
        <f t="shared" ca="1" si="62"/>
        <v/>
      </c>
      <c r="AI279" s="460" t="str">
        <f t="shared" ca="1" si="62"/>
        <v/>
      </c>
      <c r="AJ279" s="460" t="str">
        <f t="shared" ca="1" si="62"/>
        <v/>
      </c>
      <c r="AK279" s="460" t="str">
        <f t="shared" ca="1" si="62"/>
        <v/>
      </c>
      <c r="AL279" s="460" t="str">
        <f t="shared" ca="1" si="62"/>
        <v/>
      </c>
      <c r="AM279" s="460" t="str">
        <f t="shared" ca="1" si="62"/>
        <v/>
      </c>
      <c r="AN279" s="461" t="str">
        <f t="shared" ca="1" si="62"/>
        <v/>
      </c>
      <c r="AO279" s="474" t="str">
        <f t="shared" ca="1" si="62"/>
        <v/>
      </c>
      <c r="AP279" s="475" t="str">
        <f t="shared" ca="1" si="62"/>
        <v/>
      </c>
      <c r="AQ279" s="479" t="str">
        <f t="array" aca="1" ref="AQ279" ca="1">IF(ROW()-5&lt;=COUNTIF(科目编号,$AR$2),SMALL(IF(科目编号=$AR$2,ROW(科目编号),""),ROW()-5),"")</f>
        <v/>
      </c>
      <c r="AR279" s="480" t="str">
        <f ca="1">IF($BG$2=0,"",IF(AR278="本月合计","本年累计",IF(OR(ROW()=$AU$3,ROW()=$AV$3,ROW()=$AW$3,ROW()=$AX$3,ROW()=$AY$3,ROW()=$AZ$3,ROW()=$BA$3,ROW()=$BB$3,ROW()=$BC$3,ROW()=$BD$3,ROW()=$BE$3,ROW()=$BF$3),"本月合计",IF(ROW()&lt;7,$AQ$6,OFFSET($AQ$6,COUNT($AR$6:AR278),0)))))</f>
        <v/>
      </c>
    </row>
    <row r="280" spans="1:44">
      <c r="A280" s="469" t="str">
        <f ca="1">IFERROR(INDEX(凭证录入!A:A,$AR280),"")</f>
        <v/>
      </c>
      <c r="B280" s="469" t="str">
        <f ca="1">IFERROR(INDEX(凭证录入!B:B,$AR280),"")</f>
        <v/>
      </c>
      <c r="C280" s="470" t="str">
        <f ca="1">IFERROR(INDEX(凭证录入!G:G,$AR280),"")</f>
        <v/>
      </c>
      <c r="D280" s="471" t="str">
        <f ca="1">IFERROR(INDEX(凭证录入!F:F,$AR280),"")</f>
        <v/>
      </c>
      <c r="E280" s="472" t="str">
        <f ca="1">IFERROR(INDEX(凭证录入!H:H,$AR280),$AR280)</f>
        <v/>
      </c>
      <c r="F280" s="473">
        <f ca="1">IF(OR($BG$2=0,$AR280=""),,IF($AR280="本月合计",IF(ROW()=$BG$3,SUM($F$6:$F279),SUM(INDIRECT("$F$"&amp;OFFSET($AU$3,,MATCH(ROW(),$AU$3:$BF$3,)-2)+2&amp;":$E"&amp;ROW()-1))),IF($AR280="本年累计",SUMIF($AR$6:$AR280,"本月合计",$F$6:$F279),INDEX(凭证录入!K:K,$AR280))))</f>
        <v>0</v>
      </c>
      <c r="G280" s="459" t="str">
        <f t="shared" ca="1" si="63"/>
        <v/>
      </c>
      <c r="H280" s="460" t="str">
        <f t="shared" ca="1" si="63"/>
        <v/>
      </c>
      <c r="I280" s="460" t="str">
        <f t="shared" ca="1" si="63"/>
        <v/>
      </c>
      <c r="J280" s="460" t="str">
        <f t="shared" ca="1" si="63"/>
        <v/>
      </c>
      <c r="K280" s="460" t="str">
        <f t="shared" ca="1" si="63"/>
        <v/>
      </c>
      <c r="L280" s="460" t="str">
        <f t="shared" ca="1" si="63"/>
        <v/>
      </c>
      <c r="M280" s="460" t="str">
        <f t="shared" ca="1" si="63"/>
        <v/>
      </c>
      <c r="N280" s="460" t="str">
        <f t="shared" ca="1" si="63"/>
        <v/>
      </c>
      <c r="O280" s="461" t="str">
        <f t="shared" ca="1" si="63"/>
        <v/>
      </c>
      <c r="P280" s="474" t="str">
        <f t="shared" ca="1" si="63"/>
        <v/>
      </c>
      <c r="Q280" s="475" t="str">
        <f t="shared" ca="1" si="63"/>
        <v/>
      </c>
      <c r="R280" s="476">
        <f ca="1">IF(OR($BG$2=0,$AR280=""),,IF($AR280="本月合计",IF(ROW()=$BG$3,SUM($R$6:$R279),SUM(INDIRECT("$R$"&amp;OFFSET($AU$3,,MATCH(ROW(),$AU$3:$BF$3,)-2)+2&amp;":$R"&amp;ROW()-1))),IF($AR280="本年累计",SUMIF($AR$6:$AR280,"本月合计",$R$6:$R279),INDEX(凭证录入!L:L,$AR280))))</f>
        <v>0</v>
      </c>
      <c r="S280" s="459" t="str">
        <f t="shared" ca="1" si="64"/>
        <v/>
      </c>
      <c r="T280" s="460" t="str">
        <f t="shared" ca="1" si="64"/>
        <v/>
      </c>
      <c r="U280" s="460" t="str">
        <f t="shared" ca="1" si="64"/>
        <v/>
      </c>
      <c r="V280" s="460" t="str">
        <f t="shared" ca="1" si="64"/>
        <v/>
      </c>
      <c r="W280" s="460" t="str">
        <f t="shared" ca="1" si="64"/>
        <v/>
      </c>
      <c r="X280" s="460" t="str">
        <f t="shared" ca="1" si="64"/>
        <v/>
      </c>
      <c r="Y280" s="460" t="str">
        <f t="shared" ca="1" si="64"/>
        <v/>
      </c>
      <c r="Z280" s="460" t="str">
        <f t="shared" ca="1" si="64"/>
        <v/>
      </c>
      <c r="AA280" s="461" t="str">
        <f t="shared" ca="1" si="64"/>
        <v/>
      </c>
      <c r="AB280" s="474" t="str">
        <f t="shared" ca="1" si="64"/>
        <v/>
      </c>
      <c r="AC280" s="475" t="str">
        <f t="shared" ca="1" si="64"/>
        <v/>
      </c>
      <c r="AD280" s="477" t="str">
        <f t="shared" ca="1" si="60"/>
        <v/>
      </c>
      <c r="AE280" s="478">
        <f t="shared" ca="1" si="61"/>
        <v>0</v>
      </c>
      <c r="AF280" s="459" t="str">
        <f t="shared" ca="1" si="62"/>
        <v/>
      </c>
      <c r="AG280" s="460" t="str">
        <f t="shared" ca="1" si="62"/>
        <v/>
      </c>
      <c r="AH280" s="460" t="str">
        <f t="shared" ca="1" si="62"/>
        <v/>
      </c>
      <c r="AI280" s="460" t="str">
        <f t="shared" ca="1" si="62"/>
        <v/>
      </c>
      <c r="AJ280" s="460" t="str">
        <f t="shared" ca="1" si="62"/>
        <v/>
      </c>
      <c r="AK280" s="460" t="str">
        <f t="shared" ca="1" si="62"/>
        <v/>
      </c>
      <c r="AL280" s="460" t="str">
        <f t="shared" ca="1" si="62"/>
        <v/>
      </c>
      <c r="AM280" s="460" t="str">
        <f t="shared" ca="1" si="62"/>
        <v/>
      </c>
      <c r="AN280" s="461" t="str">
        <f t="shared" ca="1" si="62"/>
        <v/>
      </c>
      <c r="AO280" s="474" t="str">
        <f t="shared" ca="1" si="62"/>
        <v/>
      </c>
      <c r="AP280" s="475" t="str">
        <f t="shared" ca="1" si="62"/>
        <v/>
      </c>
      <c r="AQ280" s="479" t="str">
        <f t="array" aca="1" ref="AQ280" ca="1">IF(ROW()-5&lt;=COUNTIF(科目编号,$AR$2),SMALL(IF(科目编号=$AR$2,ROW(科目编号),""),ROW()-5),"")</f>
        <v/>
      </c>
      <c r="AR280" s="480" t="str">
        <f ca="1">IF($BG$2=0,"",IF(AR279="本月合计","本年累计",IF(OR(ROW()=$AU$3,ROW()=$AV$3,ROW()=$AW$3,ROW()=$AX$3,ROW()=$AY$3,ROW()=$AZ$3,ROW()=$BA$3,ROW()=$BB$3,ROW()=$BC$3,ROW()=$BD$3,ROW()=$BE$3,ROW()=$BF$3),"本月合计",IF(ROW()&lt;7,$AQ$6,OFFSET($AQ$6,COUNT($AR$6:AR279),0)))))</f>
        <v/>
      </c>
    </row>
    <row r="281" spans="1:44">
      <c r="A281" s="469" t="str">
        <f ca="1">IFERROR(INDEX(凭证录入!A:A,$AR281),"")</f>
        <v/>
      </c>
      <c r="B281" s="469" t="str">
        <f ca="1">IFERROR(INDEX(凭证录入!B:B,$AR281),"")</f>
        <v/>
      </c>
      <c r="C281" s="470" t="str">
        <f ca="1">IFERROR(INDEX(凭证录入!G:G,$AR281),"")</f>
        <v/>
      </c>
      <c r="D281" s="471" t="str">
        <f ca="1">IFERROR(INDEX(凭证录入!F:F,$AR281),"")</f>
        <v/>
      </c>
      <c r="E281" s="472" t="str">
        <f ca="1">IFERROR(INDEX(凭证录入!H:H,$AR281),$AR281)</f>
        <v/>
      </c>
      <c r="F281" s="473">
        <f ca="1">IF(OR($BG$2=0,$AR281=""),,IF($AR281="本月合计",IF(ROW()=$BG$3,SUM($F$6:$F280),SUM(INDIRECT("$F$"&amp;OFFSET($AU$3,,MATCH(ROW(),$AU$3:$BF$3,)-2)+2&amp;":$E"&amp;ROW()-1))),IF($AR281="本年累计",SUMIF($AR$6:$AR281,"本月合计",$F$6:$F280),INDEX(凭证录入!K:K,$AR281))))</f>
        <v>0</v>
      </c>
      <c r="G281" s="459" t="str">
        <f t="shared" ca="1" si="63"/>
        <v/>
      </c>
      <c r="H281" s="460" t="str">
        <f t="shared" ca="1" si="63"/>
        <v/>
      </c>
      <c r="I281" s="460" t="str">
        <f t="shared" ca="1" si="63"/>
        <v/>
      </c>
      <c r="J281" s="460" t="str">
        <f t="shared" ca="1" si="63"/>
        <v/>
      </c>
      <c r="K281" s="460" t="str">
        <f t="shared" ca="1" si="63"/>
        <v/>
      </c>
      <c r="L281" s="460" t="str">
        <f t="shared" ca="1" si="63"/>
        <v/>
      </c>
      <c r="M281" s="460" t="str">
        <f t="shared" ca="1" si="63"/>
        <v/>
      </c>
      <c r="N281" s="460" t="str">
        <f t="shared" ca="1" si="63"/>
        <v/>
      </c>
      <c r="O281" s="461" t="str">
        <f t="shared" ca="1" si="63"/>
        <v/>
      </c>
      <c r="P281" s="474" t="str">
        <f t="shared" ca="1" si="63"/>
        <v/>
      </c>
      <c r="Q281" s="475" t="str">
        <f t="shared" ca="1" si="63"/>
        <v/>
      </c>
      <c r="R281" s="476">
        <f ca="1">IF(OR($BG$2=0,$AR281=""),,IF($AR281="本月合计",IF(ROW()=$BG$3,SUM($R$6:$R280),SUM(INDIRECT("$R$"&amp;OFFSET($AU$3,,MATCH(ROW(),$AU$3:$BF$3,)-2)+2&amp;":$R"&amp;ROW()-1))),IF($AR281="本年累计",SUMIF($AR$6:$AR281,"本月合计",$R$6:$R280),INDEX(凭证录入!L:L,$AR281))))</f>
        <v>0</v>
      </c>
      <c r="S281" s="459" t="str">
        <f t="shared" ca="1" si="64"/>
        <v/>
      </c>
      <c r="T281" s="460" t="str">
        <f t="shared" ca="1" si="64"/>
        <v/>
      </c>
      <c r="U281" s="460" t="str">
        <f t="shared" ca="1" si="64"/>
        <v/>
      </c>
      <c r="V281" s="460" t="str">
        <f t="shared" ca="1" si="64"/>
        <v/>
      </c>
      <c r="W281" s="460" t="str">
        <f t="shared" ca="1" si="64"/>
        <v/>
      </c>
      <c r="X281" s="460" t="str">
        <f t="shared" ca="1" si="64"/>
        <v/>
      </c>
      <c r="Y281" s="460" t="str">
        <f t="shared" ca="1" si="64"/>
        <v/>
      </c>
      <c r="Z281" s="460" t="str">
        <f t="shared" ca="1" si="64"/>
        <v/>
      </c>
      <c r="AA281" s="461" t="str">
        <f t="shared" ca="1" si="64"/>
        <v/>
      </c>
      <c r="AB281" s="474" t="str">
        <f t="shared" ca="1" si="64"/>
        <v/>
      </c>
      <c r="AC281" s="475" t="str">
        <f t="shared" ca="1" si="64"/>
        <v/>
      </c>
      <c r="AD281" s="477" t="str">
        <f t="shared" ca="1" si="60"/>
        <v/>
      </c>
      <c r="AE281" s="478">
        <f t="shared" ca="1" si="61"/>
        <v>0</v>
      </c>
      <c r="AF281" s="459" t="str">
        <f t="shared" ca="1" si="62"/>
        <v/>
      </c>
      <c r="AG281" s="460" t="str">
        <f t="shared" ca="1" si="62"/>
        <v/>
      </c>
      <c r="AH281" s="460" t="str">
        <f t="shared" ca="1" si="62"/>
        <v/>
      </c>
      <c r="AI281" s="460" t="str">
        <f t="shared" ca="1" si="62"/>
        <v/>
      </c>
      <c r="AJ281" s="460" t="str">
        <f t="shared" ca="1" si="62"/>
        <v/>
      </c>
      <c r="AK281" s="460" t="str">
        <f t="shared" ca="1" si="62"/>
        <v/>
      </c>
      <c r="AL281" s="460" t="str">
        <f t="shared" ca="1" si="62"/>
        <v/>
      </c>
      <c r="AM281" s="460" t="str">
        <f t="shared" ca="1" si="62"/>
        <v/>
      </c>
      <c r="AN281" s="461" t="str">
        <f t="shared" ca="1" si="62"/>
        <v/>
      </c>
      <c r="AO281" s="474" t="str">
        <f t="shared" ca="1" si="62"/>
        <v/>
      </c>
      <c r="AP281" s="475" t="str">
        <f t="shared" ca="1" si="62"/>
        <v/>
      </c>
      <c r="AQ281" s="479" t="str">
        <f t="array" aca="1" ref="AQ281" ca="1">IF(ROW()-5&lt;=COUNTIF(科目编号,$AR$2),SMALL(IF(科目编号=$AR$2,ROW(科目编号),""),ROW()-5),"")</f>
        <v/>
      </c>
      <c r="AR281" s="480" t="str">
        <f ca="1">IF($BG$2=0,"",IF(AR280="本月合计","本年累计",IF(OR(ROW()=$AU$3,ROW()=$AV$3,ROW()=$AW$3,ROW()=$AX$3,ROW()=$AY$3,ROW()=$AZ$3,ROW()=$BA$3,ROW()=$BB$3,ROW()=$BC$3,ROW()=$BD$3,ROW()=$BE$3,ROW()=$BF$3),"本月合计",IF(ROW()&lt;7,$AQ$6,OFFSET($AQ$6,COUNT($AR$6:AR280),0)))))</f>
        <v/>
      </c>
    </row>
    <row r="282" spans="1:44">
      <c r="A282" s="469" t="str">
        <f ca="1">IFERROR(INDEX(凭证录入!A:A,$AR282),"")</f>
        <v/>
      </c>
      <c r="B282" s="469" t="str">
        <f ca="1">IFERROR(INDEX(凭证录入!B:B,$AR282),"")</f>
        <v/>
      </c>
      <c r="C282" s="470" t="str">
        <f ca="1">IFERROR(INDEX(凭证录入!G:G,$AR282),"")</f>
        <v/>
      </c>
      <c r="D282" s="471" t="str">
        <f ca="1">IFERROR(INDEX(凭证录入!F:F,$AR282),"")</f>
        <v/>
      </c>
      <c r="E282" s="472" t="str">
        <f ca="1">IFERROR(INDEX(凭证录入!H:H,$AR282),$AR282)</f>
        <v/>
      </c>
      <c r="F282" s="473">
        <f ca="1">IF(OR($BG$2=0,$AR282=""),,IF($AR282="本月合计",IF(ROW()=$BG$3,SUM($F$6:$F281),SUM(INDIRECT("$F$"&amp;OFFSET($AU$3,,MATCH(ROW(),$AU$3:$BF$3,)-2)+2&amp;":$E"&amp;ROW()-1))),IF($AR282="本年累计",SUMIF($AR$6:$AR282,"本月合计",$F$6:$F281),INDEX(凭证录入!K:K,$AR282))))</f>
        <v>0</v>
      </c>
      <c r="G282" s="459" t="str">
        <f t="shared" ca="1" si="63"/>
        <v/>
      </c>
      <c r="H282" s="460" t="str">
        <f t="shared" ca="1" si="63"/>
        <v/>
      </c>
      <c r="I282" s="460" t="str">
        <f t="shared" ca="1" si="63"/>
        <v/>
      </c>
      <c r="J282" s="460" t="str">
        <f t="shared" ca="1" si="63"/>
        <v/>
      </c>
      <c r="K282" s="460" t="str">
        <f t="shared" ca="1" si="63"/>
        <v/>
      </c>
      <c r="L282" s="460" t="str">
        <f t="shared" ca="1" si="63"/>
        <v/>
      </c>
      <c r="M282" s="460" t="str">
        <f t="shared" ca="1" si="63"/>
        <v/>
      </c>
      <c r="N282" s="460" t="str">
        <f t="shared" ca="1" si="63"/>
        <v/>
      </c>
      <c r="O282" s="461" t="str">
        <f t="shared" ca="1" si="63"/>
        <v/>
      </c>
      <c r="P282" s="474" t="str">
        <f t="shared" ca="1" si="63"/>
        <v/>
      </c>
      <c r="Q282" s="475" t="str">
        <f t="shared" ca="1" si="63"/>
        <v/>
      </c>
      <c r="R282" s="476">
        <f ca="1">IF(OR($BG$2=0,$AR282=""),,IF($AR282="本月合计",IF(ROW()=$BG$3,SUM($R$6:$R281),SUM(INDIRECT("$R$"&amp;OFFSET($AU$3,,MATCH(ROW(),$AU$3:$BF$3,)-2)+2&amp;":$R"&amp;ROW()-1))),IF($AR282="本年累计",SUMIF($AR$6:$AR282,"本月合计",$R$6:$R281),INDEX(凭证录入!L:L,$AR282))))</f>
        <v>0</v>
      </c>
      <c r="S282" s="459" t="str">
        <f t="shared" ca="1" si="64"/>
        <v/>
      </c>
      <c r="T282" s="460" t="str">
        <f t="shared" ca="1" si="64"/>
        <v/>
      </c>
      <c r="U282" s="460" t="str">
        <f t="shared" ca="1" si="64"/>
        <v/>
      </c>
      <c r="V282" s="460" t="str">
        <f t="shared" ca="1" si="64"/>
        <v/>
      </c>
      <c r="W282" s="460" t="str">
        <f t="shared" ca="1" si="64"/>
        <v/>
      </c>
      <c r="X282" s="460" t="str">
        <f t="shared" ca="1" si="64"/>
        <v/>
      </c>
      <c r="Y282" s="460" t="str">
        <f t="shared" ca="1" si="64"/>
        <v/>
      </c>
      <c r="Z282" s="460" t="str">
        <f t="shared" ca="1" si="64"/>
        <v/>
      </c>
      <c r="AA282" s="461" t="str">
        <f t="shared" ca="1" si="64"/>
        <v/>
      </c>
      <c r="AB282" s="474" t="str">
        <f t="shared" ca="1" si="64"/>
        <v/>
      </c>
      <c r="AC282" s="475" t="str">
        <f t="shared" ca="1" si="64"/>
        <v/>
      </c>
      <c r="AD282" s="477" t="str">
        <f t="shared" ca="1" si="60"/>
        <v/>
      </c>
      <c r="AE282" s="478">
        <f t="shared" ca="1" si="61"/>
        <v>0</v>
      </c>
      <c r="AF282" s="459" t="str">
        <f t="shared" ca="1" si="62"/>
        <v/>
      </c>
      <c r="AG282" s="460" t="str">
        <f t="shared" ca="1" si="62"/>
        <v/>
      </c>
      <c r="AH282" s="460" t="str">
        <f t="shared" ca="1" si="62"/>
        <v/>
      </c>
      <c r="AI282" s="460" t="str">
        <f t="shared" ca="1" si="62"/>
        <v/>
      </c>
      <c r="AJ282" s="460" t="str">
        <f t="shared" ca="1" si="62"/>
        <v/>
      </c>
      <c r="AK282" s="460" t="str">
        <f t="shared" ca="1" si="62"/>
        <v/>
      </c>
      <c r="AL282" s="460" t="str">
        <f t="shared" ca="1" si="62"/>
        <v/>
      </c>
      <c r="AM282" s="460" t="str">
        <f t="shared" ca="1" si="62"/>
        <v/>
      </c>
      <c r="AN282" s="461" t="str">
        <f t="shared" ca="1" si="62"/>
        <v/>
      </c>
      <c r="AO282" s="474" t="str">
        <f t="shared" ca="1" si="62"/>
        <v/>
      </c>
      <c r="AP282" s="475" t="str">
        <f t="shared" ca="1" si="62"/>
        <v/>
      </c>
      <c r="AQ282" s="479" t="str">
        <f t="array" aca="1" ref="AQ282" ca="1">IF(ROW()-5&lt;=COUNTIF(科目编号,$AR$2),SMALL(IF(科目编号=$AR$2,ROW(科目编号),""),ROW()-5),"")</f>
        <v/>
      </c>
      <c r="AR282" s="480" t="str">
        <f ca="1">IF($BG$2=0,"",IF(AR281="本月合计","本年累计",IF(OR(ROW()=$AU$3,ROW()=$AV$3,ROW()=$AW$3,ROW()=$AX$3,ROW()=$AY$3,ROW()=$AZ$3,ROW()=$BA$3,ROW()=$BB$3,ROW()=$BC$3,ROW()=$BD$3,ROW()=$BE$3,ROW()=$BF$3),"本月合计",IF(ROW()&lt;7,$AQ$6,OFFSET($AQ$6,COUNT($AR$6:AR281),0)))))</f>
        <v/>
      </c>
    </row>
    <row r="283" spans="1:44">
      <c r="A283" s="469" t="str">
        <f ca="1">IFERROR(INDEX(凭证录入!A:A,$AR283),"")</f>
        <v/>
      </c>
      <c r="B283" s="469" t="str">
        <f ca="1">IFERROR(INDEX(凭证录入!B:B,$AR283),"")</f>
        <v/>
      </c>
      <c r="C283" s="470" t="str">
        <f ca="1">IFERROR(INDEX(凭证录入!G:G,$AR283),"")</f>
        <v/>
      </c>
      <c r="D283" s="471" t="str">
        <f ca="1">IFERROR(INDEX(凭证录入!F:F,$AR283),"")</f>
        <v/>
      </c>
      <c r="E283" s="472" t="str">
        <f ca="1">IFERROR(INDEX(凭证录入!H:H,$AR283),$AR283)</f>
        <v/>
      </c>
      <c r="F283" s="473">
        <f ca="1">IF(OR($BG$2=0,$AR283=""),,IF($AR283="本月合计",IF(ROW()=$BG$3,SUM($F$6:$F282),SUM(INDIRECT("$F$"&amp;OFFSET($AU$3,,MATCH(ROW(),$AU$3:$BF$3,)-2)+2&amp;":$E"&amp;ROW()-1))),IF($AR283="本年累计",SUMIF($AR$6:$AR283,"本月合计",$F$6:$F282),INDEX(凭证录入!K:K,$AR283))))</f>
        <v>0</v>
      </c>
      <c r="G283" s="459" t="str">
        <f t="shared" ca="1" si="63"/>
        <v/>
      </c>
      <c r="H283" s="460" t="str">
        <f t="shared" ca="1" si="63"/>
        <v/>
      </c>
      <c r="I283" s="460" t="str">
        <f t="shared" ca="1" si="63"/>
        <v/>
      </c>
      <c r="J283" s="460" t="str">
        <f t="shared" ca="1" si="63"/>
        <v/>
      </c>
      <c r="K283" s="460" t="str">
        <f t="shared" ca="1" si="63"/>
        <v/>
      </c>
      <c r="L283" s="460" t="str">
        <f t="shared" ca="1" si="63"/>
        <v/>
      </c>
      <c r="M283" s="460" t="str">
        <f t="shared" ca="1" si="63"/>
        <v/>
      </c>
      <c r="N283" s="460" t="str">
        <f t="shared" ca="1" si="63"/>
        <v/>
      </c>
      <c r="O283" s="461" t="str">
        <f t="shared" ca="1" si="63"/>
        <v/>
      </c>
      <c r="P283" s="474" t="str">
        <f t="shared" ca="1" si="63"/>
        <v/>
      </c>
      <c r="Q283" s="475" t="str">
        <f t="shared" ca="1" si="63"/>
        <v/>
      </c>
      <c r="R283" s="476">
        <f ca="1">IF(OR($BG$2=0,$AR283=""),,IF($AR283="本月合计",IF(ROW()=$BG$3,SUM($R$6:$R282),SUM(INDIRECT("$R$"&amp;OFFSET($AU$3,,MATCH(ROW(),$AU$3:$BF$3,)-2)+2&amp;":$R"&amp;ROW()-1))),IF($AR283="本年累计",SUMIF($AR$6:$AR283,"本月合计",$R$6:$R282),INDEX(凭证录入!L:L,$AR283))))</f>
        <v>0</v>
      </c>
      <c r="S283" s="459" t="str">
        <f t="shared" ca="1" si="64"/>
        <v/>
      </c>
      <c r="T283" s="460" t="str">
        <f t="shared" ca="1" si="64"/>
        <v/>
      </c>
      <c r="U283" s="460" t="str">
        <f t="shared" ca="1" si="64"/>
        <v/>
      </c>
      <c r="V283" s="460" t="str">
        <f t="shared" ca="1" si="64"/>
        <v/>
      </c>
      <c r="W283" s="460" t="str">
        <f t="shared" ca="1" si="64"/>
        <v/>
      </c>
      <c r="X283" s="460" t="str">
        <f t="shared" ca="1" si="64"/>
        <v/>
      </c>
      <c r="Y283" s="460" t="str">
        <f t="shared" ca="1" si="64"/>
        <v/>
      </c>
      <c r="Z283" s="460" t="str">
        <f t="shared" ca="1" si="64"/>
        <v/>
      </c>
      <c r="AA283" s="461" t="str">
        <f t="shared" ca="1" si="64"/>
        <v/>
      </c>
      <c r="AB283" s="474" t="str">
        <f t="shared" ca="1" si="64"/>
        <v/>
      </c>
      <c r="AC283" s="475" t="str">
        <f t="shared" ca="1" si="64"/>
        <v/>
      </c>
      <c r="AD283" s="477" t="str">
        <f t="shared" ca="1" si="60"/>
        <v/>
      </c>
      <c r="AE283" s="478">
        <f t="shared" ca="1" si="61"/>
        <v>0</v>
      </c>
      <c r="AF283" s="459" t="str">
        <f t="shared" ca="1" si="62"/>
        <v/>
      </c>
      <c r="AG283" s="460" t="str">
        <f t="shared" ca="1" si="62"/>
        <v/>
      </c>
      <c r="AH283" s="460" t="str">
        <f t="shared" ca="1" si="62"/>
        <v/>
      </c>
      <c r="AI283" s="460" t="str">
        <f t="shared" ca="1" si="62"/>
        <v/>
      </c>
      <c r="AJ283" s="460" t="str">
        <f t="shared" ca="1" si="62"/>
        <v/>
      </c>
      <c r="AK283" s="460" t="str">
        <f t="shared" ca="1" si="62"/>
        <v/>
      </c>
      <c r="AL283" s="460" t="str">
        <f t="shared" ca="1" si="62"/>
        <v/>
      </c>
      <c r="AM283" s="460" t="str">
        <f t="shared" ca="1" si="62"/>
        <v/>
      </c>
      <c r="AN283" s="461" t="str">
        <f t="shared" ca="1" si="62"/>
        <v/>
      </c>
      <c r="AO283" s="474" t="str">
        <f t="shared" ca="1" si="62"/>
        <v/>
      </c>
      <c r="AP283" s="475" t="str">
        <f t="shared" ca="1" si="62"/>
        <v/>
      </c>
      <c r="AQ283" s="479" t="str">
        <f t="array" aca="1" ref="AQ283" ca="1">IF(ROW()-5&lt;=COUNTIF(科目编号,$AR$2),SMALL(IF(科目编号=$AR$2,ROW(科目编号),""),ROW()-5),"")</f>
        <v/>
      </c>
      <c r="AR283" s="480" t="str">
        <f ca="1">IF($BG$2=0,"",IF(AR282="本月合计","本年累计",IF(OR(ROW()=$AU$3,ROW()=$AV$3,ROW()=$AW$3,ROW()=$AX$3,ROW()=$AY$3,ROW()=$AZ$3,ROW()=$BA$3,ROW()=$BB$3,ROW()=$BC$3,ROW()=$BD$3,ROW()=$BE$3,ROW()=$BF$3),"本月合计",IF(ROW()&lt;7,$AQ$6,OFFSET($AQ$6,COUNT($AR$6:AR282),0)))))</f>
        <v/>
      </c>
    </row>
    <row r="284" spans="1:44">
      <c r="A284" s="469" t="str">
        <f ca="1">IFERROR(INDEX(凭证录入!A:A,$AR284),"")</f>
        <v/>
      </c>
      <c r="B284" s="469" t="str">
        <f ca="1">IFERROR(INDEX(凭证录入!B:B,$AR284),"")</f>
        <v/>
      </c>
      <c r="C284" s="470" t="str">
        <f ca="1">IFERROR(INDEX(凭证录入!G:G,$AR284),"")</f>
        <v/>
      </c>
      <c r="D284" s="471" t="str">
        <f ca="1">IFERROR(INDEX(凭证录入!F:F,$AR284),"")</f>
        <v/>
      </c>
      <c r="E284" s="472" t="str">
        <f ca="1">IFERROR(INDEX(凭证录入!H:H,$AR284),$AR284)</f>
        <v/>
      </c>
      <c r="F284" s="473">
        <f ca="1">IF(OR($BG$2=0,$AR284=""),,IF($AR284="本月合计",IF(ROW()=$BG$3,SUM($F$6:$F283),SUM(INDIRECT("$F$"&amp;OFFSET($AU$3,,MATCH(ROW(),$AU$3:$BF$3,)-2)+2&amp;":$E"&amp;ROW()-1))),IF($AR284="本年累计",SUMIF($AR$6:$AR284,"本月合计",$F$6:$F283),INDEX(凭证录入!K:K,$AR284))))</f>
        <v>0</v>
      </c>
      <c r="G284" s="459" t="str">
        <f t="shared" ca="1" si="63"/>
        <v/>
      </c>
      <c r="H284" s="460" t="str">
        <f t="shared" ca="1" si="63"/>
        <v/>
      </c>
      <c r="I284" s="460" t="str">
        <f t="shared" ca="1" si="63"/>
        <v/>
      </c>
      <c r="J284" s="460" t="str">
        <f t="shared" ca="1" si="63"/>
        <v/>
      </c>
      <c r="K284" s="460" t="str">
        <f t="shared" ca="1" si="63"/>
        <v/>
      </c>
      <c r="L284" s="460" t="str">
        <f t="shared" ca="1" si="63"/>
        <v/>
      </c>
      <c r="M284" s="460" t="str">
        <f t="shared" ca="1" si="63"/>
        <v/>
      </c>
      <c r="N284" s="460" t="str">
        <f t="shared" ca="1" si="63"/>
        <v/>
      </c>
      <c r="O284" s="461" t="str">
        <f t="shared" ca="1" si="63"/>
        <v/>
      </c>
      <c r="P284" s="474" t="str">
        <f t="shared" ca="1" si="63"/>
        <v/>
      </c>
      <c r="Q284" s="475" t="str">
        <f t="shared" ca="1" si="63"/>
        <v/>
      </c>
      <c r="R284" s="476">
        <f ca="1">IF(OR($BG$2=0,$AR284=""),,IF($AR284="本月合计",IF(ROW()=$BG$3,SUM($R$6:$R283),SUM(INDIRECT("$R$"&amp;OFFSET($AU$3,,MATCH(ROW(),$AU$3:$BF$3,)-2)+2&amp;":$R"&amp;ROW()-1))),IF($AR284="本年累计",SUMIF($AR$6:$AR284,"本月合计",$R$6:$R283),INDEX(凭证录入!L:L,$AR284))))</f>
        <v>0</v>
      </c>
      <c r="S284" s="459" t="str">
        <f t="shared" ca="1" si="64"/>
        <v/>
      </c>
      <c r="T284" s="460" t="str">
        <f t="shared" ca="1" si="64"/>
        <v/>
      </c>
      <c r="U284" s="460" t="str">
        <f t="shared" ca="1" si="64"/>
        <v/>
      </c>
      <c r="V284" s="460" t="str">
        <f t="shared" ca="1" si="64"/>
        <v/>
      </c>
      <c r="W284" s="460" t="str">
        <f t="shared" ca="1" si="64"/>
        <v/>
      </c>
      <c r="X284" s="460" t="str">
        <f t="shared" ca="1" si="64"/>
        <v/>
      </c>
      <c r="Y284" s="460" t="str">
        <f t="shared" ca="1" si="64"/>
        <v/>
      </c>
      <c r="Z284" s="460" t="str">
        <f t="shared" ca="1" si="64"/>
        <v/>
      </c>
      <c r="AA284" s="461" t="str">
        <f t="shared" ca="1" si="64"/>
        <v/>
      </c>
      <c r="AB284" s="474" t="str">
        <f t="shared" ca="1" si="64"/>
        <v/>
      </c>
      <c r="AC284" s="475" t="str">
        <f t="shared" ca="1" si="64"/>
        <v/>
      </c>
      <c r="AD284" s="477" t="str">
        <f t="shared" ca="1" si="60"/>
        <v/>
      </c>
      <c r="AE284" s="478">
        <f t="shared" ca="1" si="61"/>
        <v>0</v>
      </c>
      <c r="AF284" s="459" t="str">
        <f t="shared" ca="1" si="62"/>
        <v/>
      </c>
      <c r="AG284" s="460" t="str">
        <f t="shared" ca="1" si="62"/>
        <v/>
      </c>
      <c r="AH284" s="460" t="str">
        <f t="shared" ca="1" si="62"/>
        <v/>
      </c>
      <c r="AI284" s="460" t="str">
        <f t="shared" ca="1" si="62"/>
        <v/>
      </c>
      <c r="AJ284" s="460" t="str">
        <f t="shared" ca="1" si="62"/>
        <v/>
      </c>
      <c r="AK284" s="460" t="str">
        <f t="shared" ca="1" si="62"/>
        <v/>
      </c>
      <c r="AL284" s="460" t="str">
        <f t="shared" ca="1" si="62"/>
        <v/>
      </c>
      <c r="AM284" s="460" t="str">
        <f t="shared" ca="1" si="62"/>
        <v/>
      </c>
      <c r="AN284" s="461" t="str">
        <f t="shared" ca="1" si="62"/>
        <v/>
      </c>
      <c r="AO284" s="474" t="str">
        <f t="shared" ca="1" si="62"/>
        <v/>
      </c>
      <c r="AP284" s="475" t="str">
        <f t="shared" ca="1" si="62"/>
        <v/>
      </c>
      <c r="AQ284" s="479" t="str">
        <f t="array" aca="1" ref="AQ284" ca="1">IF(ROW()-5&lt;=COUNTIF(科目编号,$AR$2),SMALL(IF(科目编号=$AR$2,ROW(科目编号),""),ROW()-5),"")</f>
        <v/>
      </c>
      <c r="AR284" s="480" t="str">
        <f ca="1">IF($BG$2=0,"",IF(AR283="本月合计","本年累计",IF(OR(ROW()=$AU$3,ROW()=$AV$3,ROW()=$AW$3,ROW()=$AX$3,ROW()=$AY$3,ROW()=$AZ$3,ROW()=$BA$3,ROW()=$BB$3,ROW()=$BC$3,ROW()=$BD$3,ROW()=$BE$3,ROW()=$BF$3),"本月合计",IF(ROW()&lt;7,$AQ$6,OFFSET($AQ$6,COUNT($AR$6:AR283),0)))))</f>
        <v/>
      </c>
    </row>
    <row r="285" spans="1:44">
      <c r="A285" s="469" t="str">
        <f ca="1">IFERROR(INDEX(凭证录入!A:A,$AR285),"")</f>
        <v/>
      </c>
      <c r="B285" s="469" t="str">
        <f ca="1">IFERROR(INDEX(凭证录入!B:B,$AR285),"")</f>
        <v/>
      </c>
      <c r="C285" s="470" t="str">
        <f ca="1">IFERROR(INDEX(凭证录入!G:G,$AR285),"")</f>
        <v/>
      </c>
      <c r="D285" s="471" t="str">
        <f ca="1">IFERROR(INDEX(凭证录入!F:F,$AR285),"")</f>
        <v/>
      </c>
      <c r="E285" s="472" t="str">
        <f ca="1">IFERROR(INDEX(凭证录入!H:H,$AR285),$AR285)</f>
        <v/>
      </c>
      <c r="F285" s="473">
        <f ca="1">IF(OR($BG$2=0,$AR285=""),,IF($AR285="本月合计",IF(ROW()=$BG$3,SUM($F$6:$F284),SUM(INDIRECT("$F$"&amp;OFFSET($AU$3,,MATCH(ROW(),$AU$3:$BF$3,)-2)+2&amp;":$E"&amp;ROW()-1))),IF($AR285="本年累计",SUMIF($AR$6:$AR285,"本月合计",$F$6:$F284),INDEX(凭证录入!K:K,$AR285))))</f>
        <v>0</v>
      </c>
      <c r="G285" s="459" t="str">
        <f t="shared" ca="1" si="63"/>
        <v/>
      </c>
      <c r="H285" s="460" t="str">
        <f t="shared" ca="1" si="63"/>
        <v/>
      </c>
      <c r="I285" s="460" t="str">
        <f t="shared" ca="1" si="63"/>
        <v/>
      </c>
      <c r="J285" s="460" t="str">
        <f t="shared" ca="1" si="63"/>
        <v/>
      </c>
      <c r="K285" s="460" t="str">
        <f t="shared" ca="1" si="63"/>
        <v/>
      </c>
      <c r="L285" s="460" t="str">
        <f t="shared" ca="1" si="63"/>
        <v/>
      </c>
      <c r="M285" s="460" t="str">
        <f t="shared" ca="1" si="63"/>
        <v/>
      </c>
      <c r="N285" s="460" t="str">
        <f t="shared" ca="1" si="63"/>
        <v/>
      </c>
      <c r="O285" s="461" t="str">
        <f t="shared" ca="1" si="63"/>
        <v/>
      </c>
      <c r="P285" s="474" t="str">
        <f t="shared" ca="1" si="63"/>
        <v/>
      </c>
      <c r="Q285" s="475" t="str">
        <f t="shared" ca="1" si="63"/>
        <v/>
      </c>
      <c r="R285" s="476">
        <f ca="1">IF(OR($BG$2=0,$AR285=""),,IF($AR285="本月合计",IF(ROW()=$BG$3,SUM($R$6:$R284),SUM(INDIRECT("$R$"&amp;OFFSET($AU$3,,MATCH(ROW(),$AU$3:$BF$3,)-2)+2&amp;":$R"&amp;ROW()-1))),IF($AR285="本年累计",SUMIF($AR$6:$AR285,"本月合计",$R$6:$R284),INDEX(凭证录入!L:L,$AR285))))</f>
        <v>0</v>
      </c>
      <c r="S285" s="459" t="str">
        <f t="shared" ca="1" si="64"/>
        <v/>
      </c>
      <c r="T285" s="460" t="str">
        <f t="shared" ca="1" si="64"/>
        <v/>
      </c>
      <c r="U285" s="460" t="str">
        <f t="shared" ca="1" si="64"/>
        <v/>
      </c>
      <c r="V285" s="460" t="str">
        <f t="shared" ca="1" si="64"/>
        <v/>
      </c>
      <c r="W285" s="460" t="str">
        <f t="shared" ca="1" si="64"/>
        <v/>
      </c>
      <c r="X285" s="460" t="str">
        <f t="shared" ca="1" si="64"/>
        <v/>
      </c>
      <c r="Y285" s="460" t="str">
        <f t="shared" ca="1" si="64"/>
        <v/>
      </c>
      <c r="Z285" s="460" t="str">
        <f t="shared" ca="1" si="64"/>
        <v/>
      </c>
      <c r="AA285" s="461" t="str">
        <f t="shared" ca="1" si="64"/>
        <v/>
      </c>
      <c r="AB285" s="474" t="str">
        <f t="shared" ca="1" si="64"/>
        <v/>
      </c>
      <c r="AC285" s="475" t="str">
        <f t="shared" ca="1" si="64"/>
        <v/>
      </c>
      <c r="AD285" s="477" t="str">
        <f t="shared" ca="1" si="60"/>
        <v/>
      </c>
      <c r="AE285" s="478">
        <f t="shared" ca="1" si="61"/>
        <v>0</v>
      </c>
      <c r="AF285" s="459" t="str">
        <f t="shared" ca="1" si="62"/>
        <v/>
      </c>
      <c r="AG285" s="460" t="str">
        <f t="shared" ca="1" si="62"/>
        <v/>
      </c>
      <c r="AH285" s="460" t="str">
        <f t="shared" ca="1" si="62"/>
        <v/>
      </c>
      <c r="AI285" s="460" t="str">
        <f t="shared" ca="1" si="62"/>
        <v/>
      </c>
      <c r="AJ285" s="460" t="str">
        <f t="shared" ca="1" si="62"/>
        <v/>
      </c>
      <c r="AK285" s="460" t="str">
        <f t="shared" ca="1" si="62"/>
        <v/>
      </c>
      <c r="AL285" s="460" t="str">
        <f t="shared" ca="1" si="62"/>
        <v/>
      </c>
      <c r="AM285" s="460" t="str">
        <f t="shared" ca="1" si="62"/>
        <v/>
      </c>
      <c r="AN285" s="461" t="str">
        <f t="shared" ca="1" si="62"/>
        <v/>
      </c>
      <c r="AO285" s="474" t="str">
        <f t="shared" ca="1" si="62"/>
        <v/>
      </c>
      <c r="AP285" s="475" t="str">
        <f t="shared" ca="1" si="62"/>
        <v/>
      </c>
      <c r="AQ285" s="479" t="str">
        <f t="array" aca="1" ref="AQ285" ca="1">IF(ROW()-5&lt;=COUNTIF(科目编号,$AR$2),SMALL(IF(科目编号=$AR$2,ROW(科目编号),""),ROW()-5),"")</f>
        <v/>
      </c>
      <c r="AR285" s="480" t="str">
        <f ca="1">IF($BG$2=0,"",IF(AR284="本月合计","本年累计",IF(OR(ROW()=$AU$3,ROW()=$AV$3,ROW()=$AW$3,ROW()=$AX$3,ROW()=$AY$3,ROW()=$AZ$3,ROW()=$BA$3,ROW()=$BB$3,ROW()=$BC$3,ROW()=$BD$3,ROW()=$BE$3,ROW()=$BF$3),"本月合计",IF(ROW()&lt;7,$AQ$6,OFFSET($AQ$6,COUNT($AR$6:AR284),0)))))</f>
        <v/>
      </c>
    </row>
    <row r="286" spans="1:44">
      <c r="A286" s="469" t="str">
        <f ca="1">IFERROR(INDEX(凭证录入!A:A,$AR286),"")</f>
        <v/>
      </c>
      <c r="B286" s="469" t="str">
        <f ca="1">IFERROR(INDEX(凭证录入!B:B,$AR286),"")</f>
        <v/>
      </c>
      <c r="C286" s="470" t="str">
        <f ca="1">IFERROR(INDEX(凭证录入!G:G,$AR286),"")</f>
        <v/>
      </c>
      <c r="D286" s="471" t="str">
        <f ca="1">IFERROR(INDEX(凭证录入!F:F,$AR286),"")</f>
        <v/>
      </c>
      <c r="E286" s="472" t="str">
        <f ca="1">IFERROR(INDEX(凭证录入!H:H,$AR286),$AR286)</f>
        <v/>
      </c>
      <c r="F286" s="473">
        <f ca="1">IF(OR($BG$2=0,$AR286=""),,IF($AR286="本月合计",IF(ROW()=$BG$3,SUM($F$6:$F285),SUM(INDIRECT("$F$"&amp;OFFSET($AU$3,,MATCH(ROW(),$AU$3:$BF$3,)-2)+2&amp;":$E"&amp;ROW()-1))),IF($AR286="本年累计",SUMIF($AR$6:$AR286,"本月合计",$F$6:$F285),INDEX(凭证录入!K:K,$AR286))))</f>
        <v>0</v>
      </c>
      <c r="G286" s="459" t="str">
        <f t="shared" ca="1" si="63"/>
        <v/>
      </c>
      <c r="H286" s="460" t="str">
        <f t="shared" ca="1" si="63"/>
        <v/>
      </c>
      <c r="I286" s="460" t="str">
        <f t="shared" ca="1" si="63"/>
        <v/>
      </c>
      <c r="J286" s="460" t="str">
        <f t="shared" ca="1" si="63"/>
        <v/>
      </c>
      <c r="K286" s="460" t="str">
        <f t="shared" ca="1" si="63"/>
        <v/>
      </c>
      <c r="L286" s="460" t="str">
        <f t="shared" ca="1" si="63"/>
        <v/>
      </c>
      <c r="M286" s="460" t="str">
        <f t="shared" ca="1" si="63"/>
        <v/>
      </c>
      <c r="N286" s="460" t="str">
        <f t="shared" ca="1" si="63"/>
        <v/>
      </c>
      <c r="O286" s="461" t="str">
        <f t="shared" ca="1" si="63"/>
        <v/>
      </c>
      <c r="P286" s="474" t="str">
        <f t="shared" ca="1" si="63"/>
        <v/>
      </c>
      <c r="Q286" s="475" t="str">
        <f t="shared" ca="1" si="63"/>
        <v/>
      </c>
      <c r="R286" s="476">
        <f ca="1">IF(OR($BG$2=0,$AR286=""),,IF($AR286="本月合计",IF(ROW()=$BG$3,SUM($R$6:$R285),SUM(INDIRECT("$R$"&amp;OFFSET($AU$3,,MATCH(ROW(),$AU$3:$BF$3,)-2)+2&amp;":$R"&amp;ROW()-1))),IF($AR286="本年累计",SUMIF($AR$6:$AR286,"本月合计",$R$6:$R285),INDEX(凭证录入!L:L,$AR286))))</f>
        <v>0</v>
      </c>
      <c r="S286" s="459" t="str">
        <f t="shared" ca="1" si="64"/>
        <v/>
      </c>
      <c r="T286" s="460" t="str">
        <f t="shared" ca="1" si="64"/>
        <v/>
      </c>
      <c r="U286" s="460" t="str">
        <f t="shared" ca="1" si="64"/>
        <v/>
      </c>
      <c r="V286" s="460" t="str">
        <f t="shared" ca="1" si="64"/>
        <v/>
      </c>
      <c r="W286" s="460" t="str">
        <f t="shared" ca="1" si="64"/>
        <v/>
      </c>
      <c r="X286" s="460" t="str">
        <f t="shared" ca="1" si="64"/>
        <v/>
      </c>
      <c r="Y286" s="460" t="str">
        <f t="shared" ca="1" si="64"/>
        <v/>
      </c>
      <c r="Z286" s="460" t="str">
        <f t="shared" ca="1" si="64"/>
        <v/>
      </c>
      <c r="AA286" s="461" t="str">
        <f t="shared" ca="1" si="64"/>
        <v/>
      </c>
      <c r="AB286" s="474" t="str">
        <f t="shared" ca="1" si="64"/>
        <v/>
      </c>
      <c r="AC286" s="475" t="str">
        <f t="shared" ca="1" si="64"/>
        <v/>
      </c>
      <c r="AD286" s="477" t="str">
        <f t="shared" ca="1" si="60"/>
        <v/>
      </c>
      <c r="AE286" s="478">
        <f t="shared" ca="1" si="61"/>
        <v>0</v>
      </c>
      <c r="AF286" s="459" t="str">
        <f t="shared" ca="1" si="62"/>
        <v/>
      </c>
      <c r="AG286" s="460" t="str">
        <f t="shared" ca="1" si="62"/>
        <v/>
      </c>
      <c r="AH286" s="460" t="str">
        <f t="shared" ca="1" si="62"/>
        <v/>
      </c>
      <c r="AI286" s="460" t="str">
        <f t="shared" ca="1" si="62"/>
        <v/>
      </c>
      <c r="AJ286" s="460" t="str">
        <f t="shared" ca="1" si="62"/>
        <v/>
      </c>
      <c r="AK286" s="460" t="str">
        <f t="shared" ca="1" si="62"/>
        <v/>
      </c>
      <c r="AL286" s="460" t="str">
        <f t="shared" ca="1" si="62"/>
        <v/>
      </c>
      <c r="AM286" s="460" t="str">
        <f t="shared" ca="1" si="62"/>
        <v/>
      </c>
      <c r="AN286" s="461" t="str">
        <f t="shared" ca="1" si="62"/>
        <v/>
      </c>
      <c r="AO286" s="474" t="str">
        <f t="shared" ca="1" si="62"/>
        <v/>
      </c>
      <c r="AP286" s="475" t="str">
        <f t="shared" ca="1" si="62"/>
        <v/>
      </c>
      <c r="AQ286" s="479" t="str">
        <f t="array" aca="1" ref="AQ286" ca="1">IF(ROW()-5&lt;=COUNTIF(科目编号,$AR$2),SMALL(IF(科目编号=$AR$2,ROW(科目编号),""),ROW()-5),"")</f>
        <v/>
      </c>
      <c r="AR286" s="480" t="str">
        <f ca="1">IF($BG$2=0,"",IF(AR285="本月合计","本年累计",IF(OR(ROW()=$AU$3,ROW()=$AV$3,ROW()=$AW$3,ROW()=$AX$3,ROW()=$AY$3,ROW()=$AZ$3,ROW()=$BA$3,ROW()=$BB$3,ROW()=$BC$3,ROW()=$BD$3,ROW()=$BE$3,ROW()=$BF$3),"本月合计",IF(ROW()&lt;7,$AQ$6,OFFSET($AQ$6,COUNT($AR$6:AR285),0)))))</f>
        <v/>
      </c>
    </row>
    <row r="287" spans="1:44">
      <c r="A287" s="469" t="str">
        <f ca="1">IFERROR(INDEX(凭证录入!A:A,$AR287),"")</f>
        <v/>
      </c>
      <c r="B287" s="469" t="str">
        <f ca="1">IFERROR(INDEX(凭证录入!B:B,$AR287),"")</f>
        <v/>
      </c>
      <c r="C287" s="470" t="str">
        <f ca="1">IFERROR(INDEX(凭证录入!G:G,$AR287),"")</f>
        <v/>
      </c>
      <c r="D287" s="471" t="str">
        <f ca="1">IFERROR(INDEX(凭证录入!F:F,$AR287),"")</f>
        <v/>
      </c>
      <c r="E287" s="472" t="str">
        <f ca="1">IFERROR(INDEX(凭证录入!H:H,$AR287),$AR287)</f>
        <v/>
      </c>
      <c r="F287" s="473">
        <f ca="1">IF(OR($BG$2=0,$AR287=""),,IF($AR287="本月合计",IF(ROW()=$BG$3,SUM($F$6:$F286),SUM(INDIRECT("$F$"&amp;OFFSET($AU$3,,MATCH(ROW(),$AU$3:$BF$3,)-2)+2&amp;":$E"&amp;ROW()-1))),IF($AR287="本年累计",SUMIF($AR$6:$AR287,"本月合计",$F$6:$F286),INDEX(凭证录入!K:K,$AR287))))</f>
        <v>0</v>
      </c>
      <c r="G287" s="459" t="str">
        <f t="shared" ca="1" si="63"/>
        <v/>
      </c>
      <c r="H287" s="460" t="str">
        <f t="shared" ca="1" si="63"/>
        <v/>
      </c>
      <c r="I287" s="460" t="str">
        <f t="shared" ca="1" si="63"/>
        <v/>
      </c>
      <c r="J287" s="460" t="str">
        <f t="shared" ca="1" si="63"/>
        <v/>
      </c>
      <c r="K287" s="460" t="str">
        <f t="shared" ca="1" si="63"/>
        <v/>
      </c>
      <c r="L287" s="460" t="str">
        <f t="shared" ca="1" si="63"/>
        <v/>
      </c>
      <c r="M287" s="460" t="str">
        <f t="shared" ca="1" si="63"/>
        <v/>
      </c>
      <c r="N287" s="460" t="str">
        <f t="shared" ca="1" si="63"/>
        <v/>
      </c>
      <c r="O287" s="461" t="str">
        <f t="shared" ca="1" si="63"/>
        <v/>
      </c>
      <c r="P287" s="474" t="str">
        <f t="shared" ca="1" si="63"/>
        <v/>
      </c>
      <c r="Q287" s="475" t="str">
        <f t="shared" ca="1" si="63"/>
        <v/>
      </c>
      <c r="R287" s="476">
        <f ca="1">IF(OR($BG$2=0,$AR287=""),,IF($AR287="本月合计",IF(ROW()=$BG$3,SUM($R$6:$R286),SUM(INDIRECT("$R$"&amp;OFFSET($AU$3,,MATCH(ROW(),$AU$3:$BF$3,)-2)+2&amp;":$R"&amp;ROW()-1))),IF($AR287="本年累计",SUMIF($AR$6:$AR287,"本月合计",$R$6:$R286),INDEX(凭证录入!L:L,$AR287))))</f>
        <v>0</v>
      </c>
      <c r="S287" s="459" t="str">
        <f t="shared" ca="1" si="64"/>
        <v/>
      </c>
      <c r="T287" s="460" t="str">
        <f t="shared" ca="1" si="64"/>
        <v/>
      </c>
      <c r="U287" s="460" t="str">
        <f t="shared" ca="1" si="64"/>
        <v/>
      </c>
      <c r="V287" s="460" t="str">
        <f t="shared" ca="1" si="64"/>
        <v/>
      </c>
      <c r="W287" s="460" t="str">
        <f t="shared" ca="1" si="64"/>
        <v/>
      </c>
      <c r="X287" s="460" t="str">
        <f t="shared" ca="1" si="64"/>
        <v/>
      </c>
      <c r="Y287" s="460" t="str">
        <f t="shared" ca="1" si="64"/>
        <v/>
      </c>
      <c r="Z287" s="460" t="str">
        <f t="shared" ca="1" si="64"/>
        <v/>
      </c>
      <c r="AA287" s="461" t="str">
        <f t="shared" ca="1" si="64"/>
        <v/>
      </c>
      <c r="AB287" s="474" t="str">
        <f t="shared" ca="1" si="64"/>
        <v/>
      </c>
      <c r="AC287" s="475" t="str">
        <f t="shared" ca="1" si="64"/>
        <v/>
      </c>
      <c r="AD287" s="477" t="str">
        <f t="shared" ca="1" si="60"/>
        <v/>
      </c>
      <c r="AE287" s="478">
        <f t="shared" ca="1" si="61"/>
        <v>0</v>
      </c>
      <c r="AF287" s="459" t="str">
        <f t="shared" ca="1" si="62"/>
        <v/>
      </c>
      <c r="AG287" s="460" t="str">
        <f t="shared" ca="1" si="62"/>
        <v/>
      </c>
      <c r="AH287" s="460" t="str">
        <f t="shared" ca="1" si="62"/>
        <v/>
      </c>
      <c r="AI287" s="460" t="str">
        <f t="shared" ca="1" si="62"/>
        <v/>
      </c>
      <c r="AJ287" s="460" t="str">
        <f t="shared" ca="1" si="62"/>
        <v/>
      </c>
      <c r="AK287" s="460" t="str">
        <f t="shared" ca="1" si="62"/>
        <v/>
      </c>
      <c r="AL287" s="460" t="str">
        <f t="shared" ca="1" si="62"/>
        <v/>
      </c>
      <c r="AM287" s="460" t="str">
        <f t="shared" ca="1" si="62"/>
        <v/>
      </c>
      <c r="AN287" s="461" t="str">
        <f t="shared" ca="1" si="62"/>
        <v/>
      </c>
      <c r="AO287" s="474" t="str">
        <f t="shared" ca="1" si="62"/>
        <v/>
      </c>
      <c r="AP287" s="475" t="str">
        <f t="shared" ca="1" si="62"/>
        <v/>
      </c>
      <c r="AQ287" s="479" t="str">
        <f t="array" aca="1" ref="AQ287" ca="1">IF(ROW()-5&lt;=COUNTIF(科目编号,$AR$2),SMALL(IF(科目编号=$AR$2,ROW(科目编号),""),ROW()-5),"")</f>
        <v/>
      </c>
      <c r="AR287" s="480" t="str">
        <f ca="1">IF($BG$2=0,"",IF(AR286="本月合计","本年累计",IF(OR(ROW()=$AU$3,ROW()=$AV$3,ROW()=$AW$3,ROW()=$AX$3,ROW()=$AY$3,ROW()=$AZ$3,ROW()=$BA$3,ROW()=$BB$3,ROW()=$BC$3,ROW()=$BD$3,ROW()=$BE$3,ROW()=$BF$3),"本月合计",IF(ROW()&lt;7,$AQ$6,OFFSET($AQ$6,COUNT($AR$6:AR286),0)))))</f>
        <v/>
      </c>
    </row>
    <row r="288" spans="1:44">
      <c r="A288" s="469" t="str">
        <f ca="1">IFERROR(INDEX(凭证录入!A:A,$AR288),"")</f>
        <v/>
      </c>
      <c r="B288" s="469" t="str">
        <f ca="1">IFERROR(INDEX(凭证录入!B:B,$AR288),"")</f>
        <v/>
      </c>
      <c r="C288" s="470" t="str">
        <f ca="1">IFERROR(INDEX(凭证录入!G:G,$AR288),"")</f>
        <v/>
      </c>
      <c r="D288" s="471" t="str">
        <f ca="1">IFERROR(INDEX(凭证录入!F:F,$AR288),"")</f>
        <v/>
      </c>
      <c r="E288" s="472" t="str">
        <f ca="1">IFERROR(INDEX(凭证录入!H:H,$AR288),$AR288)</f>
        <v/>
      </c>
      <c r="F288" s="473">
        <f ca="1">IF(OR($BG$2=0,$AR288=""),,IF($AR288="本月合计",IF(ROW()=$BG$3,SUM($F$6:$F287),SUM(INDIRECT("$F$"&amp;OFFSET($AU$3,,MATCH(ROW(),$AU$3:$BF$3,)-2)+2&amp;":$E"&amp;ROW()-1))),IF($AR288="本年累计",SUMIF($AR$6:$AR288,"本月合计",$F$6:$F287),INDEX(凭证录入!K:K,$AR288))))</f>
        <v>0</v>
      </c>
      <c r="G288" s="459" t="str">
        <f t="shared" ca="1" si="63"/>
        <v/>
      </c>
      <c r="H288" s="460" t="str">
        <f t="shared" ca="1" si="63"/>
        <v/>
      </c>
      <c r="I288" s="460" t="str">
        <f t="shared" ca="1" si="63"/>
        <v/>
      </c>
      <c r="J288" s="460" t="str">
        <f t="shared" ca="1" si="63"/>
        <v/>
      </c>
      <c r="K288" s="460" t="str">
        <f t="shared" ca="1" si="63"/>
        <v/>
      </c>
      <c r="L288" s="460" t="str">
        <f t="shared" ca="1" si="63"/>
        <v/>
      </c>
      <c r="M288" s="460" t="str">
        <f t="shared" ca="1" si="63"/>
        <v/>
      </c>
      <c r="N288" s="460" t="str">
        <f t="shared" ca="1" si="63"/>
        <v/>
      </c>
      <c r="O288" s="461" t="str">
        <f t="shared" ca="1" si="63"/>
        <v/>
      </c>
      <c r="P288" s="474" t="str">
        <f t="shared" ca="1" si="63"/>
        <v/>
      </c>
      <c r="Q288" s="475" t="str">
        <f t="shared" ca="1" si="63"/>
        <v/>
      </c>
      <c r="R288" s="476">
        <f ca="1">IF(OR($BG$2=0,$AR288=""),,IF($AR288="本月合计",IF(ROW()=$BG$3,SUM($R$6:$R287),SUM(INDIRECT("$R$"&amp;OFFSET($AU$3,,MATCH(ROW(),$AU$3:$BF$3,)-2)+2&amp;":$R"&amp;ROW()-1))),IF($AR288="本年累计",SUMIF($AR$6:$AR288,"本月合计",$R$6:$R287),INDEX(凭证录入!L:L,$AR288))))</f>
        <v>0</v>
      </c>
      <c r="S288" s="459" t="str">
        <f t="shared" ca="1" si="64"/>
        <v/>
      </c>
      <c r="T288" s="460" t="str">
        <f t="shared" ca="1" si="64"/>
        <v/>
      </c>
      <c r="U288" s="460" t="str">
        <f t="shared" ca="1" si="64"/>
        <v/>
      </c>
      <c r="V288" s="460" t="str">
        <f t="shared" ca="1" si="64"/>
        <v/>
      </c>
      <c r="W288" s="460" t="str">
        <f t="shared" ca="1" si="64"/>
        <v/>
      </c>
      <c r="X288" s="460" t="str">
        <f t="shared" ca="1" si="64"/>
        <v/>
      </c>
      <c r="Y288" s="460" t="str">
        <f t="shared" ca="1" si="64"/>
        <v/>
      </c>
      <c r="Z288" s="460" t="str">
        <f t="shared" ca="1" si="64"/>
        <v/>
      </c>
      <c r="AA288" s="461" t="str">
        <f t="shared" ca="1" si="64"/>
        <v/>
      </c>
      <c r="AB288" s="474" t="str">
        <f t="shared" ca="1" si="64"/>
        <v/>
      </c>
      <c r="AC288" s="475" t="str">
        <f t="shared" ca="1" si="64"/>
        <v/>
      </c>
      <c r="AD288" s="477" t="str">
        <f t="shared" ca="1" si="60"/>
        <v/>
      </c>
      <c r="AE288" s="478">
        <f t="shared" ca="1" si="61"/>
        <v>0</v>
      </c>
      <c r="AF288" s="459" t="str">
        <f t="shared" ca="1" si="62"/>
        <v/>
      </c>
      <c r="AG288" s="460" t="str">
        <f t="shared" ca="1" si="62"/>
        <v/>
      </c>
      <c r="AH288" s="460" t="str">
        <f t="shared" ca="1" si="62"/>
        <v/>
      </c>
      <c r="AI288" s="460" t="str">
        <f t="shared" ca="1" si="62"/>
        <v/>
      </c>
      <c r="AJ288" s="460" t="str">
        <f t="shared" ca="1" si="62"/>
        <v/>
      </c>
      <c r="AK288" s="460" t="str">
        <f t="shared" ca="1" si="62"/>
        <v/>
      </c>
      <c r="AL288" s="460" t="str">
        <f t="shared" ca="1" si="62"/>
        <v/>
      </c>
      <c r="AM288" s="460" t="str">
        <f t="shared" ca="1" si="62"/>
        <v/>
      </c>
      <c r="AN288" s="461" t="str">
        <f t="shared" ca="1" si="62"/>
        <v/>
      </c>
      <c r="AO288" s="474" t="str">
        <f t="shared" ca="1" si="62"/>
        <v/>
      </c>
      <c r="AP288" s="475" t="str">
        <f t="shared" ca="1" si="62"/>
        <v/>
      </c>
      <c r="AQ288" s="479" t="str">
        <f t="array" aca="1" ref="AQ288" ca="1">IF(ROW()-5&lt;=COUNTIF(科目编号,$AR$2),SMALL(IF(科目编号=$AR$2,ROW(科目编号),""),ROW()-5),"")</f>
        <v/>
      </c>
      <c r="AR288" s="480" t="str">
        <f ca="1">IF($BG$2=0,"",IF(AR287="本月合计","本年累计",IF(OR(ROW()=$AU$3,ROW()=$AV$3,ROW()=$AW$3,ROW()=$AX$3,ROW()=$AY$3,ROW()=$AZ$3,ROW()=$BA$3,ROW()=$BB$3,ROW()=$BC$3,ROW()=$BD$3,ROW()=$BE$3,ROW()=$BF$3),"本月合计",IF(ROW()&lt;7,$AQ$6,OFFSET($AQ$6,COUNT($AR$6:AR287),0)))))</f>
        <v/>
      </c>
    </row>
    <row r="289" spans="1:44">
      <c r="A289" s="469" t="str">
        <f ca="1">IFERROR(INDEX(凭证录入!A:A,$AR289),"")</f>
        <v/>
      </c>
      <c r="B289" s="469" t="str">
        <f ca="1">IFERROR(INDEX(凭证录入!B:B,$AR289),"")</f>
        <v/>
      </c>
      <c r="C289" s="470" t="str">
        <f ca="1">IFERROR(INDEX(凭证录入!G:G,$AR289),"")</f>
        <v/>
      </c>
      <c r="D289" s="471" t="str">
        <f ca="1">IFERROR(INDEX(凭证录入!F:F,$AR289),"")</f>
        <v/>
      </c>
      <c r="E289" s="472" t="str">
        <f ca="1">IFERROR(INDEX(凭证录入!H:H,$AR289),$AR289)</f>
        <v/>
      </c>
      <c r="F289" s="473">
        <f ca="1">IF(OR($BG$2=0,$AR289=""),,IF($AR289="本月合计",IF(ROW()=$BG$3,SUM($F$6:$F288),SUM(INDIRECT("$F$"&amp;OFFSET($AU$3,,MATCH(ROW(),$AU$3:$BF$3,)-2)+2&amp;":$E"&amp;ROW()-1))),IF($AR289="本年累计",SUMIF($AR$6:$AR289,"本月合计",$F$6:$F288),INDEX(凭证录入!K:K,$AR289))))</f>
        <v>0</v>
      </c>
      <c r="G289" s="459" t="str">
        <f t="shared" ca="1" si="63"/>
        <v/>
      </c>
      <c r="H289" s="460" t="str">
        <f t="shared" ca="1" si="63"/>
        <v/>
      </c>
      <c r="I289" s="460" t="str">
        <f t="shared" ca="1" si="63"/>
        <v/>
      </c>
      <c r="J289" s="460" t="str">
        <f t="shared" ca="1" si="63"/>
        <v/>
      </c>
      <c r="K289" s="460" t="str">
        <f t="shared" ca="1" si="63"/>
        <v/>
      </c>
      <c r="L289" s="460" t="str">
        <f t="shared" ca="1" si="63"/>
        <v/>
      </c>
      <c r="M289" s="460" t="str">
        <f t="shared" ca="1" si="63"/>
        <v/>
      </c>
      <c r="N289" s="460" t="str">
        <f t="shared" ca="1" si="63"/>
        <v/>
      </c>
      <c r="O289" s="461" t="str">
        <f t="shared" ca="1" si="63"/>
        <v/>
      </c>
      <c r="P289" s="474" t="str">
        <f t="shared" ca="1" si="63"/>
        <v/>
      </c>
      <c r="Q289" s="475" t="str">
        <f t="shared" ca="1" si="63"/>
        <v/>
      </c>
      <c r="R289" s="476">
        <f ca="1">IF(OR($BG$2=0,$AR289=""),,IF($AR289="本月合计",IF(ROW()=$BG$3,SUM($R$6:$R288),SUM(INDIRECT("$R$"&amp;OFFSET($AU$3,,MATCH(ROW(),$AU$3:$BF$3,)-2)+2&amp;":$R"&amp;ROW()-1))),IF($AR289="本年累计",SUMIF($AR$6:$AR289,"本月合计",$R$6:$R288),INDEX(凭证录入!L:L,$AR289))))</f>
        <v>0</v>
      </c>
      <c r="S289" s="459" t="str">
        <f t="shared" ca="1" si="64"/>
        <v/>
      </c>
      <c r="T289" s="460" t="str">
        <f t="shared" ca="1" si="64"/>
        <v/>
      </c>
      <c r="U289" s="460" t="str">
        <f t="shared" ca="1" si="64"/>
        <v/>
      </c>
      <c r="V289" s="460" t="str">
        <f t="shared" ca="1" si="64"/>
        <v/>
      </c>
      <c r="W289" s="460" t="str">
        <f t="shared" ca="1" si="64"/>
        <v/>
      </c>
      <c r="X289" s="460" t="str">
        <f t="shared" ca="1" si="64"/>
        <v/>
      </c>
      <c r="Y289" s="460" t="str">
        <f t="shared" ca="1" si="64"/>
        <v/>
      </c>
      <c r="Z289" s="460" t="str">
        <f t="shared" ca="1" si="64"/>
        <v/>
      </c>
      <c r="AA289" s="461" t="str">
        <f t="shared" ca="1" si="64"/>
        <v/>
      </c>
      <c r="AB289" s="474" t="str">
        <f t="shared" ca="1" si="64"/>
        <v/>
      </c>
      <c r="AC289" s="475" t="str">
        <f t="shared" ca="1" si="64"/>
        <v/>
      </c>
      <c r="AD289" s="477" t="str">
        <f t="shared" ca="1" si="60"/>
        <v/>
      </c>
      <c r="AE289" s="478">
        <f t="shared" ca="1" si="61"/>
        <v>0</v>
      </c>
      <c r="AF289" s="459" t="str">
        <f t="shared" ca="1" si="62"/>
        <v/>
      </c>
      <c r="AG289" s="460" t="str">
        <f t="shared" ca="1" si="62"/>
        <v/>
      </c>
      <c r="AH289" s="460" t="str">
        <f t="shared" ca="1" si="62"/>
        <v/>
      </c>
      <c r="AI289" s="460" t="str">
        <f t="shared" ca="1" si="62"/>
        <v/>
      </c>
      <c r="AJ289" s="460" t="str">
        <f t="shared" ca="1" si="62"/>
        <v/>
      </c>
      <c r="AK289" s="460" t="str">
        <f t="shared" ca="1" si="62"/>
        <v/>
      </c>
      <c r="AL289" s="460" t="str">
        <f t="shared" ca="1" si="62"/>
        <v/>
      </c>
      <c r="AM289" s="460" t="str">
        <f t="shared" ca="1" si="62"/>
        <v/>
      </c>
      <c r="AN289" s="461" t="str">
        <f t="shared" ca="1" si="62"/>
        <v/>
      </c>
      <c r="AO289" s="474" t="str">
        <f t="shared" ca="1" si="62"/>
        <v/>
      </c>
      <c r="AP289" s="475" t="str">
        <f t="shared" ca="1" si="62"/>
        <v/>
      </c>
      <c r="AQ289" s="479" t="str">
        <f t="array" aca="1" ref="AQ289" ca="1">IF(ROW()-5&lt;=COUNTIF(科目编号,$AR$2),SMALL(IF(科目编号=$AR$2,ROW(科目编号),""),ROW()-5),"")</f>
        <v/>
      </c>
      <c r="AR289" s="480" t="str">
        <f ca="1">IF($BG$2=0,"",IF(AR288="本月合计","本年累计",IF(OR(ROW()=$AU$3,ROW()=$AV$3,ROW()=$AW$3,ROW()=$AX$3,ROW()=$AY$3,ROW()=$AZ$3,ROW()=$BA$3,ROW()=$BB$3,ROW()=$BC$3,ROW()=$BD$3,ROW()=$BE$3,ROW()=$BF$3),"本月合计",IF(ROW()&lt;7,$AQ$6,OFFSET($AQ$6,COUNT($AR$6:AR288),0)))))</f>
        <v/>
      </c>
    </row>
    <row r="290" spans="1:44">
      <c r="A290" s="469" t="str">
        <f ca="1">IFERROR(INDEX(凭证录入!A:A,$AR290),"")</f>
        <v/>
      </c>
      <c r="B290" s="469" t="str">
        <f ca="1">IFERROR(INDEX(凭证录入!B:B,$AR290),"")</f>
        <v/>
      </c>
      <c r="C290" s="470" t="str">
        <f ca="1">IFERROR(INDEX(凭证录入!G:G,$AR290),"")</f>
        <v/>
      </c>
      <c r="D290" s="471" t="str">
        <f ca="1">IFERROR(INDEX(凭证录入!F:F,$AR290),"")</f>
        <v/>
      </c>
      <c r="E290" s="472" t="str">
        <f ca="1">IFERROR(INDEX(凭证录入!H:H,$AR290),$AR290)</f>
        <v/>
      </c>
      <c r="F290" s="473">
        <f ca="1">IF(OR($BG$2=0,$AR290=""),,IF($AR290="本月合计",IF(ROW()=$BG$3,SUM($F$6:$F289),SUM(INDIRECT("$F$"&amp;OFFSET($AU$3,,MATCH(ROW(),$AU$3:$BF$3,)-2)+2&amp;":$E"&amp;ROW()-1))),IF($AR290="本年累计",SUMIF($AR$6:$AR290,"本月合计",$F$6:$F289),INDEX(凭证录入!K:K,$AR290))))</f>
        <v>0</v>
      </c>
      <c r="G290" s="459" t="str">
        <f t="shared" ca="1" si="63"/>
        <v/>
      </c>
      <c r="H290" s="460" t="str">
        <f t="shared" ca="1" si="63"/>
        <v/>
      </c>
      <c r="I290" s="460" t="str">
        <f t="shared" ca="1" si="63"/>
        <v/>
      </c>
      <c r="J290" s="460" t="str">
        <f t="shared" ca="1" si="63"/>
        <v/>
      </c>
      <c r="K290" s="460" t="str">
        <f t="shared" ca="1" si="63"/>
        <v/>
      </c>
      <c r="L290" s="460" t="str">
        <f t="shared" ca="1" si="63"/>
        <v/>
      </c>
      <c r="M290" s="460" t="str">
        <f t="shared" ca="1" si="63"/>
        <v/>
      </c>
      <c r="N290" s="460" t="str">
        <f t="shared" ca="1" si="63"/>
        <v/>
      </c>
      <c r="O290" s="461" t="str">
        <f t="shared" ca="1" si="63"/>
        <v/>
      </c>
      <c r="P290" s="474" t="str">
        <f t="shared" ca="1" si="63"/>
        <v/>
      </c>
      <c r="Q290" s="475" t="str">
        <f t="shared" ca="1" si="63"/>
        <v/>
      </c>
      <c r="R290" s="476">
        <f ca="1">IF(OR($BG$2=0,$AR290=""),,IF($AR290="本月合计",IF(ROW()=$BG$3,SUM($R$6:$R289),SUM(INDIRECT("$R$"&amp;OFFSET($AU$3,,MATCH(ROW(),$AU$3:$BF$3,)-2)+2&amp;":$R"&amp;ROW()-1))),IF($AR290="本年累计",SUMIF($AR$6:$AR290,"本月合计",$R$6:$R289),INDEX(凭证录入!L:L,$AR290))))</f>
        <v>0</v>
      </c>
      <c r="S290" s="459" t="str">
        <f t="shared" ca="1" si="64"/>
        <v/>
      </c>
      <c r="T290" s="460" t="str">
        <f t="shared" ca="1" si="64"/>
        <v/>
      </c>
      <c r="U290" s="460" t="str">
        <f t="shared" ca="1" si="64"/>
        <v/>
      </c>
      <c r="V290" s="460" t="str">
        <f t="shared" ca="1" si="64"/>
        <v/>
      </c>
      <c r="W290" s="460" t="str">
        <f t="shared" ca="1" si="64"/>
        <v/>
      </c>
      <c r="X290" s="460" t="str">
        <f t="shared" ca="1" si="64"/>
        <v/>
      </c>
      <c r="Y290" s="460" t="str">
        <f t="shared" ca="1" si="64"/>
        <v/>
      </c>
      <c r="Z290" s="460" t="str">
        <f t="shared" ca="1" si="64"/>
        <v/>
      </c>
      <c r="AA290" s="461" t="str">
        <f t="shared" ca="1" si="64"/>
        <v/>
      </c>
      <c r="AB290" s="474" t="str">
        <f t="shared" ca="1" si="64"/>
        <v/>
      </c>
      <c r="AC290" s="475" t="str">
        <f t="shared" ca="1" si="64"/>
        <v/>
      </c>
      <c r="AD290" s="477" t="str">
        <f t="shared" ca="1" si="60"/>
        <v/>
      </c>
      <c r="AE290" s="478">
        <f t="shared" ca="1" si="61"/>
        <v>0</v>
      </c>
      <c r="AF290" s="459" t="str">
        <f t="shared" ca="1" si="62"/>
        <v/>
      </c>
      <c r="AG290" s="460" t="str">
        <f t="shared" ca="1" si="62"/>
        <v/>
      </c>
      <c r="AH290" s="460" t="str">
        <f t="shared" ca="1" si="62"/>
        <v/>
      </c>
      <c r="AI290" s="460" t="str">
        <f t="shared" ca="1" si="62"/>
        <v/>
      </c>
      <c r="AJ290" s="460" t="str">
        <f t="shared" ca="1" si="62"/>
        <v/>
      </c>
      <c r="AK290" s="460" t="str">
        <f t="shared" ca="1" si="62"/>
        <v/>
      </c>
      <c r="AL290" s="460" t="str">
        <f t="shared" ca="1" si="62"/>
        <v/>
      </c>
      <c r="AM290" s="460" t="str">
        <f t="shared" ca="1" si="62"/>
        <v/>
      </c>
      <c r="AN290" s="461" t="str">
        <f t="shared" ca="1" si="62"/>
        <v/>
      </c>
      <c r="AO290" s="474" t="str">
        <f t="shared" ca="1" si="62"/>
        <v/>
      </c>
      <c r="AP290" s="475" t="str">
        <f t="shared" ca="1" si="62"/>
        <v/>
      </c>
      <c r="AQ290" s="479" t="str">
        <f t="array" aca="1" ref="AQ290" ca="1">IF(ROW()-5&lt;=COUNTIF(科目编号,$AR$2),SMALL(IF(科目编号=$AR$2,ROW(科目编号),""),ROW()-5),"")</f>
        <v/>
      </c>
      <c r="AR290" s="480" t="str">
        <f ca="1">IF($BG$2=0,"",IF(AR289="本月合计","本年累计",IF(OR(ROW()=$AU$3,ROW()=$AV$3,ROW()=$AW$3,ROW()=$AX$3,ROW()=$AY$3,ROW()=$AZ$3,ROW()=$BA$3,ROW()=$BB$3,ROW()=$BC$3,ROW()=$BD$3,ROW()=$BE$3,ROW()=$BF$3),"本月合计",IF(ROW()&lt;7,$AQ$6,OFFSET($AQ$6,COUNT($AR$6:AR289),0)))))</f>
        <v/>
      </c>
    </row>
    <row r="291" spans="1:44">
      <c r="A291" s="469" t="str">
        <f ca="1">IFERROR(INDEX(凭证录入!A:A,$AR291),"")</f>
        <v/>
      </c>
      <c r="B291" s="469" t="str">
        <f ca="1">IFERROR(INDEX(凭证录入!B:B,$AR291),"")</f>
        <v/>
      </c>
      <c r="C291" s="470" t="str">
        <f ca="1">IFERROR(INDEX(凭证录入!G:G,$AR291),"")</f>
        <v/>
      </c>
      <c r="D291" s="471" t="str">
        <f ca="1">IFERROR(INDEX(凭证录入!F:F,$AR291),"")</f>
        <v/>
      </c>
      <c r="E291" s="472" t="str">
        <f ca="1">IFERROR(INDEX(凭证录入!H:H,$AR291),$AR291)</f>
        <v/>
      </c>
      <c r="F291" s="473">
        <f ca="1">IF(OR($BG$2=0,$AR291=""),,IF($AR291="本月合计",IF(ROW()=$BG$3,SUM($F$6:$F290),SUM(INDIRECT("$F$"&amp;OFFSET($AU$3,,MATCH(ROW(),$AU$3:$BF$3,)-2)+2&amp;":$E"&amp;ROW()-1))),IF($AR291="本年累计",SUMIF($AR$6:$AR291,"本月合计",$F$6:$F290),INDEX(凭证录入!K:K,$AR291))))</f>
        <v>0</v>
      </c>
      <c r="G291" s="459" t="str">
        <f t="shared" ca="1" si="63"/>
        <v/>
      </c>
      <c r="H291" s="460" t="str">
        <f t="shared" ca="1" si="63"/>
        <v/>
      </c>
      <c r="I291" s="460" t="str">
        <f t="shared" ca="1" si="63"/>
        <v/>
      </c>
      <c r="J291" s="460" t="str">
        <f t="shared" ca="1" si="63"/>
        <v/>
      </c>
      <c r="K291" s="460" t="str">
        <f t="shared" ca="1" si="63"/>
        <v/>
      </c>
      <c r="L291" s="460" t="str">
        <f t="shared" ca="1" si="63"/>
        <v/>
      </c>
      <c r="M291" s="460" t="str">
        <f t="shared" ca="1" si="63"/>
        <v/>
      </c>
      <c r="N291" s="460" t="str">
        <f t="shared" ca="1" si="63"/>
        <v/>
      </c>
      <c r="O291" s="461" t="str">
        <f t="shared" ca="1" si="63"/>
        <v/>
      </c>
      <c r="P291" s="474" t="str">
        <f t="shared" ca="1" si="63"/>
        <v/>
      </c>
      <c r="Q291" s="475" t="str">
        <f t="shared" ca="1" si="63"/>
        <v/>
      </c>
      <c r="R291" s="476">
        <f ca="1">IF(OR($BG$2=0,$AR291=""),,IF($AR291="本月合计",IF(ROW()=$BG$3,SUM($R$6:$R290),SUM(INDIRECT("$R$"&amp;OFFSET($AU$3,,MATCH(ROW(),$AU$3:$BF$3,)-2)+2&amp;":$R"&amp;ROW()-1))),IF($AR291="本年累计",SUMIF($AR$6:$AR291,"本月合计",$R$6:$R290),INDEX(凭证录入!L:L,$AR291))))</f>
        <v>0</v>
      </c>
      <c r="S291" s="459" t="str">
        <f t="shared" ca="1" si="64"/>
        <v/>
      </c>
      <c r="T291" s="460" t="str">
        <f t="shared" ca="1" si="64"/>
        <v/>
      </c>
      <c r="U291" s="460" t="str">
        <f t="shared" ca="1" si="64"/>
        <v/>
      </c>
      <c r="V291" s="460" t="str">
        <f t="shared" ca="1" si="64"/>
        <v/>
      </c>
      <c r="W291" s="460" t="str">
        <f t="shared" ca="1" si="64"/>
        <v/>
      </c>
      <c r="X291" s="460" t="str">
        <f t="shared" ca="1" si="64"/>
        <v/>
      </c>
      <c r="Y291" s="460" t="str">
        <f t="shared" ca="1" si="64"/>
        <v/>
      </c>
      <c r="Z291" s="460" t="str">
        <f t="shared" ca="1" si="64"/>
        <v/>
      </c>
      <c r="AA291" s="461" t="str">
        <f t="shared" ca="1" si="64"/>
        <v/>
      </c>
      <c r="AB291" s="474" t="str">
        <f t="shared" ca="1" si="64"/>
        <v/>
      </c>
      <c r="AC291" s="475" t="str">
        <f t="shared" ca="1" si="64"/>
        <v/>
      </c>
      <c r="AD291" s="477" t="str">
        <f t="shared" ca="1" si="60"/>
        <v/>
      </c>
      <c r="AE291" s="478">
        <f t="shared" ca="1" si="61"/>
        <v>0</v>
      </c>
      <c r="AF291" s="459" t="str">
        <f t="shared" ca="1" si="62"/>
        <v/>
      </c>
      <c r="AG291" s="460" t="str">
        <f t="shared" ca="1" si="62"/>
        <v/>
      </c>
      <c r="AH291" s="460" t="str">
        <f t="shared" ca="1" si="62"/>
        <v/>
      </c>
      <c r="AI291" s="460" t="str">
        <f t="shared" ca="1" si="62"/>
        <v/>
      </c>
      <c r="AJ291" s="460" t="str">
        <f t="shared" ca="1" si="62"/>
        <v/>
      </c>
      <c r="AK291" s="460" t="str">
        <f t="shared" ca="1" si="62"/>
        <v/>
      </c>
      <c r="AL291" s="460" t="str">
        <f t="shared" ca="1" si="62"/>
        <v/>
      </c>
      <c r="AM291" s="460" t="str">
        <f t="shared" ca="1" si="62"/>
        <v/>
      </c>
      <c r="AN291" s="461" t="str">
        <f t="shared" ca="1" si="62"/>
        <v/>
      </c>
      <c r="AO291" s="474" t="str">
        <f t="shared" ca="1" si="62"/>
        <v/>
      </c>
      <c r="AP291" s="475" t="str">
        <f t="shared" ca="1" si="62"/>
        <v/>
      </c>
      <c r="AQ291" s="479" t="str">
        <f t="array" aca="1" ref="AQ291" ca="1">IF(ROW()-5&lt;=COUNTIF(科目编号,$AR$2),SMALL(IF(科目编号=$AR$2,ROW(科目编号),""),ROW()-5),"")</f>
        <v/>
      </c>
      <c r="AR291" s="480" t="str">
        <f ca="1">IF($BG$2=0,"",IF(AR290="本月合计","本年累计",IF(OR(ROW()=$AU$3,ROW()=$AV$3,ROW()=$AW$3,ROW()=$AX$3,ROW()=$AY$3,ROW()=$AZ$3,ROW()=$BA$3,ROW()=$BB$3,ROW()=$BC$3,ROW()=$BD$3,ROW()=$BE$3,ROW()=$BF$3),"本月合计",IF(ROW()&lt;7,$AQ$6,OFFSET($AQ$6,COUNT($AR$6:AR290),0)))))</f>
        <v/>
      </c>
    </row>
    <row r="292" spans="1:44">
      <c r="A292" s="469" t="str">
        <f ca="1">IFERROR(INDEX(凭证录入!A:A,$AR292),"")</f>
        <v/>
      </c>
      <c r="B292" s="469" t="str">
        <f ca="1">IFERROR(INDEX(凭证录入!B:B,$AR292),"")</f>
        <v/>
      </c>
      <c r="C292" s="470" t="str">
        <f ca="1">IFERROR(INDEX(凭证录入!G:G,$AR292),"")</f>
        <v/>
      </c>
      <c r="D292" s="471" t="str">
        <f ca="1">IFERROR(INDEX(凭证录入!F:F,$AR292),"")</f>
        <v/>
      </c>
      <c r="E292" s="472" t="str">
        <f ca="1">IFERROR(INDEX(凭证录入!H:H,$AR292),$AR292)</f>
        <v/>
      </c>
      <c r="F292" s="473">
        <f ca="1">IF(OR($BG$2=0,$AR292=""),,IF($AR292="本月合计",IF(ROW()=$BG$3,SUM($F$6:$F291),SUM(INDIRECT("$F$"&amp;OFFSET($AU$3,,MATCH(ROW(),$AU$3:$BF$3,)-2)+2&amp;":$E"&amp;ROW()-1))),IF($AR292="本年累计",SUMIF($AR$6:$AR292,"本月合计",$F$6:$F291),INDEX(凭证录入!K:K,$AR292))))</f>
        <v>0</v>
      </c>
      <c r="G292" s="459" t="str">
        <f t="shared" ca="1" si="63"/>
        <v/>
      </c>
      <c r="H292" s="460" t="str">
        <f t="shared" ca="1" si="63"/>
        <v/>
      </c>
      <c r="I292" s="460" t="str">
        <f t="shared" ca="1" si="63"/>
        <v/>
      </c>
      <c r="J292" s="460" t="str">
        <f t="shared" ca="1" si="63"/>
        <v/>
      </c>
      <c r="K292" s="460" t="str">
        <f t="shared" ca="1" si="63"/>
        <v/>
      </c>
      <c r="L292" s="460" t="str">
        <f t="shared" ca="1" si="63"/>
        <v/>
      </c>
      <c r="M292" s="460" t="str">
        <f t="shared" ca="1" si="63"/>
        <v/>
      </c>
      <c r="N292" s="460" t="str">
        <f t="shared" ca="1" si="63"/>
        <v/>
      </c>
      <c r="O292" s="461" t="str">
        <f t="shared" ca="1" si="63"/>
        <v/>
      </c>
      <c r="P292" s="474" t="str">
        <f t="shared" ca="1" si="63"/>
        <v/>
      </c>
      <c r="Q292" s="475" t="str">
        <f t="shared" ca="1" si="63"/>
        <v/>
      </c>
      <c r="R292" s="476">
        <f ca="1">IF(OR($BG$2=0,$AR292=""),,IF($AR292="本月合计",IF(ROW()=$BG$3,SUM($R$6:$R291),SUM(INDIRECT("$R$"&amp;OFFSET($AU$3,,MATCH(ROW(),$AU$3:$BF$3,)-2)+2&amp;":$R"&amp;ROW()-1))),IF($AR292="本年累计",SUMIF($AR$6:$AR292,"本月合计",$R$6:$R291),INDEX(凭证录入!L:L,$AR292))))</f>
        <v>0</v>
      </c>
      <c r="S292" s="459" t="str">
        <f t="shared" ca="1" si="64"/>
        <v/>
      </c>
      <c r="T292" s="460" t="str">
        <f t="shared" ca="1" si="64"/>
        <v/>
      </c>
      <c r="U292" s="460" t="str">
        <f t="shared" ca="1" si="64"/>
        <v/>
      </c>
      <c r="V292" s="460" t="str">
        <f t="shared" ca="1" si="64"/>
        <v/>
      </c>
      <c r="W292" s="460" t="str">
        <f t="shared" ca="1" si="64"/>
        <v/>
      </c>
      <c r="X292" s="460" t="str">
        <f t="shared" ca="1" si="64"/>
        <v/>
      </c>
      <c r="Y292" s="460" t="str">
        <f t="shared" ca="1" si="64"/>
        <v/>
      </c>
      <c r="Z292" s="460" t="str">
        <f t="shared" ca="1" si="64"/>
        <v/>
      </c>
      <c r="AA292" s="461" t="str">
        <f t="shared" ca="1" si="64"/>
        <v/>
      </c>
      <c r="AB292" s="474" t="str">
        <f t="shared" ca="1" si="64"/>
        <v/>
      </c>
      <c r="AC292" s="475" t="str">
        <f t="shared" ca="1" si="64"/>
        <v/>
      </c>
      <c r="AD292" s="477" t="str">
        <f t="shared" ca="1" si="60"/>
        <v/>
      </c>
      <c r="AE292" s="478">
        <f t="shared" ca="1" si="61"/>
        <v>0</v>
      </c>
      <c r="AF292" s="459" t="str">
        <f t="shared" ca="1" si="62"/>
        <v/>
      </c>
      <c r="AG292" s="460" t="str">
        <f t="shared" ca="1" si="62"/>
        <v/>
      </c>
      <c r="AH292" s="460" t="str">
        <f t="shared" ca="1" si="62"/>
        <v/>
      </c>
      <c r="AI292" s="460" t="str">
        <f t="shared" ca="1" si="62"/>
        <v/>
      </c>
      <c r="AJ292" s="460" t="str">
        <f t="shared" ca="1" si="62"/>
        <v/>
      </c>
      <c r="AK292" s="460" t="str">
        <f t="shared" ca="1" si="62"/>
        <v/>
      </c>
      <c r="AL292" s="460" t="str">
        <f t="shared" ca="1" si="62"/>
        <v/>
      </c>
      <c r="AM292" s="460" t="str">
        <f t="shared" ca="1" si="62"/>
        <v/>
      </c>
      <c r="AN292" s="461" t="str">
        <f t="shared" ca="1" si="62"/>
        <v/>
      </c>
      <c r="AO292" s="474" t="str">
        <f t="shared" ca="1" si="62"/>
        <v/>
      </c>
      <c r="AP292" s="475" t="str">
        <f t="shared" ca="1" si="62"/>
        <v/>
      </c>
      <c r="AQ292" s="479" t="str">
        <f t="array" aca="1" ref="AQ292" ca="1">IF(ROW()-5&lt;=COUNTIF(科目编号,$AR$2),SMALL(IF(科目编号=$AR$2,ROW(科目编号),""),ROW()-5),"")</f>
        <v/>
      </c>
      <c r="AR292" s="480" t="str">
        <f ca="1">IF($BG$2=0,"",IF(AR291="本月合计","本年累计",IF(OR(ROW()=$AU$3,ROW()=$AV$3,ROW()=$AW$3,ROW()=$AX$3,ROW()=$AY$3,ROW()=$AZ$3,ROW()=$BA$3,ROW()=$BB$3,ROW()=$BC$3,ROW()=$BD$3,ROW()=$BE$3,ROW()=$BF$3),"本月合计",IF(ROW()&lt;7,$AQ$6,OFFSET($AQ$6,COUNT($AR$6:AR291),0)))))</f>
        <v/>
      </c>
    </row>
    <row r="293" spans="1:44">
      <c r="A293" s="469" t="str">
        <f ca="1">IFERROR(INDEX(凭证录入!A:A,$AR293),"")</f>
        <v/>
      </c>
      <c r="B293" s="469" t="str">
        <f ca="1">IFERROR(INDEX(凭证录入!B:B,$AR293),"")</f>
        <v/>
      </c>
      <c r="C293" s="470" t="str">
        <f ca="1">IFERROR(INDEX(凭证录入!G:G,$AR293),"")</f>
        <v/>
      </c>
      <c r="D293" s="471" t="str">
        <f ca="1">IFERROR(INDEX(凭证录入!F:F,$AR293),"")</f>
        <v/>
      </c>
      <c r="E293" s="472" t="str">
        <f ca="1">IFERROR(INDEX(凭证录入!H:H,$AR293),$AR293)</f>
        <v/>
      </c>
      <c r="F293" s="473">
        <f ca="1">IF(OR($BG$2=0,$AR293=""),,IF($AR293="本月合计",IF(ROW()=$BG$3,SUM($F$6:$F292),SUM(INDIRECT("$F$"&amp;OFFSET($AU$3,,MATCH(ROW(),$AU$3:$BF$3,)-2)+2&amp;":$E"&amp;ROW()-1))),IF($AR293="本年累计",SUMIF($AR$6:$AR293,"本月合计",$F$6:$F292),INDEX(凭证录入!K:K,$AR293))))</f>
        <v>0</v>
      </c>
      <c r="G293" s="459" t="str">
        <f t="shared" ca="1" si="63"/>
        <v/>
      </c>
      <c r="H293" s="460" t="str">
        <f t="shared" ca="1" si="63"/>
        <v/>
      </c>
      <c r="I293" s="460" t="str">
        <f t="shared" ca="1" si="63"/>
        <v/>
      </c>
      <c r="J293" s="460" t="str">
        <f t="shared" ca="1" si="63"/>
        <v/>
      </c>
      <c r="K293" s="460" t="str">
        <f t="shared" ca="1" si="63"/>
        <v/>
      </c>
      <c r="L293" s="460" t="str">
        <f t="shared" ca="1" si="63"/>
        <v/>
      </c>
      <c r="M293" s="460" t="str">
        <f t="shared" ca="1" si="63"/>
        <v/>
      </c>
      <c r="N293" s="460" t="str">
        <f t="shared" ca="1" si="63"/>
        <v/>
      </c>
      <c r="O293" s="461" t="str">
        <f t="shared" ca="1" si="63"/>
        <v/>
      </c>
      <c r="P293" s="474" t="str">
        <f t="shared" ca="1" si="63"/>
        <v/>
      </c>
      <c r="Q293" s="475" t="str">
        <f t="shared" ca="1" si="63"/>
        <v/>
      </c>
      <c r="R293" s="476">
        <f ca="1">IF(OR($BG$2=0,$AR293=""),,IF($AR293="本月合计",IF(ROW()=$BG$3,SUM($R$6:$R292),SUM(INDIRECT("$R$"&amp;OFFSET($AU$3,,MATCH(ROW(),$AU$3:$BF$3,)-2)+2&amp;":$R"&amp;ROW()-1))),IF($AR293="本年累计",SUMIF($AR$6:$AR293,"本月合计",$R$6:$R292),INDEX(凭证录入!L:L,$AR293))))</f>
        <v>0</v>
      </c>
      <c r="S293" s="459" t="str">
        <f t="shared" ca="1" si="64"/>
        <v/>
      </c>
      <c r="T293" s="460" t="str">
        <f t="shared" ca="1" si="64"/>
        <v/>
      </c>
      <c r="U293" s="460" t="str">
        <f t="shared" ca="1" si="64"/>
        <v/>
      </c>
      <c r="V293" s="460" t="str">
        <f t="shared" ca="1" si="64"/>
        <v/>
      </c>
      <c r="W293" s="460" t="str">
        <f t="shared" ca="1" si="64"/>
        <v/>
      </c>
      <c r="X293" s="460" t="str">
        <f t="shared" ca="1" si="64"/>
        <v/>
      </c>
      <c r="Y293" s="460" t="str">
        <f t="shared" ca="1" si="64"/>
        <v/>
      </c>
      <c r="Z293" s="460" t="str">
        <f t="shared" ca="1" si="64"/>
        <v/>
      </c>
      <c r="AA293" s="461" t="str">
        <f t="shared" ca="1" si="64"/>
        <v/>
      </c>
      <c r="AB293" s="474" t="str">
        <f t="shared" ca="1" si="64"/>
        <v/>
      </c>
      <c r="AC293" s="475" t="str">
        <f t="shared" ca="1" si="64"/>
        <v/>
      </c>
      <c r="AD293" s="477" t="str">
        <f t="shared" ca="1" si="60"/>
        <v/>
      </c>
      <c r="AE293" s="478">
        <f t="shared" ca="1" si="61"/>
        <v>0</v>
      </c>
      <c r="AF293" s="459" t="str">
        <f t="shared" ref="AF293:AP308" ca="1" si="65">LEFT(RIGHT(TEXT($AE293/1%," ￥0; ￥-0;"),43-COLUMN()))</f>
        <v/>
      </c>
      <c r="AG293" s="460" t="str">
        <f t="shared" ca="1" si="65"/>
        <v/>
      </c>
      <c r="AH293" s="460" t="str">
        <f t="shared" ca="1" si="65"/>
        <v/>
      </c>
      <c r="AI293" s="460" t="str">
        <f t="shared" ca="1" si="65"/>
        <v/>
      </c>
      <c r="AJ293" s="460" t="str">
        <f t="shared" ca="1" si="65"/>
        <v/>
      </c>
      <c r="AK293" s="460" t="str">
        <f t="shared" ca="1" si="65"/>
        <v/>
      </c>
      <c r="AL293" s="460" t="str">
        <f t="shared" ca="1" si="65"/>
        <v/>
      </c>
      <c r="AM293" s="460" t="str">
        <f t="shared" ca="1" si="65"/>
        <v/>
      </c>
      <c r="AN293" s="461" t="str">
        <f t="shared" ca="1" si="65"/>
        <v/>
      </c>
      <c r="AO293" s="474" t="str">
        <f t="shared" ca="1" si="65"/>
        <v/>
      </c>
      <c r="AP293" s="475" t="str">
        <f t="shared" ca="1" si="65"/>
        <v/>
      </c>
      <c r="AQ293" s="479" t="str">
        <f t="array" aca="1" ref="AQ293" ca="1">IF(ROW()-5&lt;=COUNTIF(科目编号,$AR$2),SMALL(IF(科目编号=$AR$2,ROW(科目编号),""),ROW()-5),"")</f>
        <v/>
      </c>
      <c r="AR293" s="480" t="str">
        <f ca="1">IF($BG$2=0,"",IF(AR292="本月合计","本年累计",IF(OR(ROW()=$AU$3,ROW()=$AV$3,ROW()=$AW$3,ROW()=$AX$3,ROW()=$AY$3,ROW()=$AZ$3,ROW()=$BA$3,ROW()=$BB$3,ROW()=$BC$3,ROW()=$BD$3,ROW()=$BE$3,ROW()=$BF$3),"本月合计",IF(ROW()&lt;7,$AQ$6,OFFSET($AQ$6,COUNT($AR$6:AR292),0)))))</f>
        <v/>
      </c>
    </row>
    <row r="294" spans="1:44">
      <c r="A294" s="469" t="str">
        <f ca="1">IFERROR(INDEX(凭证录入!A:A,$AR294),"")</f>
        <v/>
      </c>
      <c r="B294" s="469" t="str">
        <f ca="1">IFERROR(INDEX(凭证录入!B:B,$AR294),"")</f>
        <v/>
      </c>
      <c r="C294" s="470" t="str">
        <f ca="1">IFERROR(INDEX(凭证录入!G:G,$AR294),"")</f>
        <v/>
      </c>
      <c r="D294" s="471" t="str">
        <f ca="1">IFERROR(INDEX(凭证录入!F:F,$AR294),"")</f>
        <v/>
      </c>
      <c r="E294" s="472" t="str">
        <f ca="1">IFERROR(INDEX(凭证录入!H:H,$AR294),$AR294)</f>
        <v/>
      </c>
      <c r="F294" s="473">
        <f ca="1">IF(OR($BG$2=0,$AR294=""),,IF($AR294="本月合计",IF(ROW()=$BG$3,SUM($F$6:$F293),SUM(INDIRECT("$F$"&amp;OFFSET($AU$3,,MATCH(ROW(),$AU$3:$BF$3,)-2)+2&amp;":$E"&amp;ROW()-1))),IF($AR294="本年累计",SUMIF($AR$6:$AR294,"本月合计",$F$6:$F293),INDEX(凭证录入!K:K,$AR294))))</f>
        <v>0</v>
      </c>
      <c r="G294" s="459" t="str">
        <f t="shared" ref="G294:Q309" ca="1" si="66">LEFT(RIGHT(TEXT($F294/1%," ￥0; ￥-0;"),18-COLUMN()))</f>
        <v/>
      </c>
      <c r="H294" s="460" t="str">
        <f t="shared" ca="1" si="66"/>
        <v/>
      </c>
      <c r="I294" s="460" t="str">
        <f t="shared" ca="1" si="66"/>
        <v/>
      </c>
      <c r="J294" s="460" t="str">
        <f t="shared" ca="1" si="66"/>
        <v/>
      </c>
      <c r="K294" s="460" t="str">
        <f t="shared" ca="1" si="66"/>
        <v/>
      </c>
      <c r="L294" s="460" t="str">
        <f t="shared" ca="1" si="66"/>
        <v/>
      </c>
      <c r="M294" s="460" t="str">
        <f t="shared" ca="1" si="66"/>
        <v/>
      </c>
      <c r="N294" s="460" t="str">
        <f t="shared" ca="1" si="66"/>
        <v/>
      </c>
      <c r="O294" s="461" t="str">
        <f t="shared" ca="1" si="66"/>
        <v/>
      </c>
      <c r="P294" s="474" t="str">
        <f t="shared" ca="1" si="66"/>
        <v/>
      </c>
      <c r="Q294" s="475" t="str">
        <f t="shared" ca="1" si="66"/>
        <v/>
      </c>
      <c r="R294" s="476">
        <f ca="1">IF(OR($BG$2=0,$AR294=""),,IF($AR294="本月合计",IF(ROW()=$BG$3,SUM($R$6:$R293),SUM(INDIRECT("$R$"&amp;OFFSET($AU$3,,MATCH(ROW(),$AU$3:$BF$3,)-2)+2&amp;":$R"&amp;ROW()-1))),IF($AR294="本年累计",SUMIF($AR$6:$AR294,"本月合计",$R$6:$R293),INDEX(凭证录入!L:L,$AR294))))</f>
        <v>0</v>
      </c>
      <c r="S294" s="459" t="str">
        <f t="shared" ref="S294:AC309" ca="1" si="67">LEFT(RIGHT(TEXT($R294/1%," ￥0; ￥-0;"),30-COLUMN()))</f>
        <v/>
      </c>
      <c r="T294" s="460" t="str">
        <f t="shared" ca="1" si="67"/>
        <v/>
      </c>
      <c r="U294" s="460" t="str">
        <f t="shared" ca="1" si="67"/>
        <v/>
      </c>
      <c r="V294" s="460" t="str">
        <f t="shared" ca="1" si="67"/>
        <v/>
      </c>
      <c r="W294" s="460" t="str">
        <f t="shared" ca="1" si="67"/>
        <v/>
      </c>
      <c r="X294" s="460" t="str">
        <f t="shared" ca="1" si="67"/>
        <v/>
      </c>
      <c r="Y294" s="460" t="str">
        <f t="shared" ca="1" si="67"/>
        <v/>
      </c>
      <c r="Z294" s="460" t="str">
        <f t="shared" ca="1" si="67"/>
        <v/>
      </c>
      <c r="AA294" s="461" t="str">
        <f t="shared" ca="1" si="67"/>
        <v/>
      </c>
      <c r="AB294" s="474" t="str">
        <f t="shared" ca="1" si="67"/>
        <v/>
      </c>
      <c r="AC294" s="475" t="str">
        <f t="shared" ca="1" si="67"/>
        <v/>
      </c>
      <c r="AD294" s="477" t="str">
        <f t="shared" ca="1" si="60"/>
        <v/>
      </c>
      <c r="AE294" s="478">
        <f t="shared" ca="1" si="61"/>
        <v>0</v>
      </c>
      <c r="AF294" s="459" t="str">
        <f t="shared" ca="1" si="65"/>
        <v/>
      </c>
      <c r="AG294" s="460" t="str">
        <f t="shared" ca="1" si="65"/>
        <v/>
      </c>
      <c r="AH294" s="460" t="str">
        <f t="shared" ca="1" si="65"/>
        <v/>
      </c>
      <c r="AI294" s="460" t="str">
        <f t="shared" ca="1" si="65"/>
        <v/>
      </c>
      <c r="AJ294" s="460" t="str">
        <f t="shared" ca="1" si="65"/>
        <v/>
      </c>
      <c r="AK294" s="460" t="str">
        <f t="shared" ca="1" si="65"/>
        <v/>
      </c>
      <c r="AL294" s="460" t="str">
        <f t="shared" ca="1" si="65"/>
        <v/>
      </c>
      <c r="AM294" s="460" t="str">
        <f t="shared" ca="1" si="65"/>
        <v/>
      </c>
      <c r="AN294" s="461" t="str">
        <f t="shared" ca="1" si="65"/>
        <v/>
      </c>
      <c r="AO294" s="474" t="str">
        <f t="shared" ca="1" si="65"/>
        <v/>
      </c>
      <c r="AP294" s="475" t="str">
        <f t="shared" ca="1" si="65"/>
        <v/>
      </c>
      <c r="AQ294" s="479" t="str">
        <f t="array" aca="1" ref="AQ294" ca="1">IF(ROW()-5&lt;=COUNTIF(科目编号,$AR$2),SMALL(IF(科目编号=$AR$2,ROW(科目编号),""),ROW()-5),"")</f>
        <v/>
      </c>
      <c r="AR294" s="480" t="str">
        <f ca="1">IF($BG$2=0,"",IF(AR293="本月合计","本年累计",IF(OR(ROW()=$AU$3,ROW()=$AV$3,ROW()=$AW$3,ROW()=$AX$3,ROW()=$AY$3,ROW()=$AZ$3,ROW()=$BA$3,ROW()=$BB$3,ROW()=$BC$3,ROW()=$BD$3,ROW()=$BE$3,ROW()=$BF$3),"本月合计",IF(ROW()&lt;7,$AQ$6,OFFSET($AQ$6,COUNT($AR$6:AR293),0)))))</f>
        <v/>
      </c>
    </row>
    <row r="295" spans="1:44">
      <c r="A295" s="469" t="str">
        <f ca="1">IFERROR(INDEX(凭证录入!A:A,$AR295),"")</f>
        <v/>
      </c>
      <c r="B295" s="469" t="str">
        <f ca="1">IFERROR(INDEX(凭证录入!B:B,$AR295),"")</f>
        <v/>
      </c>
      <c r="C295" s="470" t="str">
        <f ca="1">IFERROR(INDEX(凭证录入!G:G,$AR295),"")</f>
        <v/>
      </c>
      <c r="D295" s="471" t="str">
        <f ca="1">IFERROR(INDEX(凭证录入!F:F,$AR295),"")</f>
        <v/>
      </c>
      <c r="E295" s="472" t="str">
        <f ca="1">IFERROR(INDEX(凭证录入!H:H,$AR295),$AR295)</f>
        <v/>
      </c>
      <c r="F295" s="473">
        <f ca="1">IF(OR($BG$2=0,$AR295=""),,IF($AR295="本月合计",IF(ROW()=$BG$3,SUM($F$6:$F294),SUM(INDIRECT("$F$"&amp;OFFSET($AU$3,,MATCH(ROW(),$AU$3:$BF$3,)-2)+2&amp;":$E"&amp;ROW()-1))),IF($AR295="本年累计",SUMIF($AR$6:$AR295,"本月合计",$F$6:$F294),INDEX(凭证录入!K:K,$AR295))))</f>
        <v>0</v>
      </c>
      <c r="G295" s="459" t="str">
        <f t="shared" ca="1" si="66"/>
        <v/>
      </c>
      <c r="H295" s="460" t="str">
        <f t="shared" ca="1" si="66"/>
        <v/>
      </c>
      <c r="I295" s="460" t="str">
        <f t="shared" ca="1" si="66"/>
        <v/>
      </c>
      <c r="J295" s="460" t="str">
        <f t="shared" ca="1" si="66"/>
        <v/>
      </c>
      <c r="K295" s="460" t="str">
        <f t="shared" ca="1" si="66"/>
        <v/>
      </c>
      <c r="L295" s="460" t="str">
        <f t="shared" ca="1" si="66"/>
        <v/>
      </c>
      <c r="M295" s="460" t="str">
        <f t="shared" ca="1" si="66"/>
        <v/>
      </c>
      <c r="N295" s="460" t="str">
        <f t="shared" ca="1" si="66"/>
        <v/>
      </c>
      <c r="O295" s="461" t="str">
        <f t="shared" ca="1" si="66"/>
        <v/>
      </c>
      <c r="P295" s="474" t="str">
        <f t="shared" ca="1" si="66"/>
        <v/>
      </c>
      <c r="Q295" s="475" t="str">
        <f t="shared" ca="1" si="66"/>
        <v/>
      </c>
      <c r="R295" s="476">
        <f ca="1">IF(OR($BG$2=0,$AR295=""),,IF($AR295="本月合计",IF(ROW()=$BG$3,SUM($R$6:$R294),SUM(INDIRECT("$R$"&amp;OFFSET($AU$3,,MATCH(ROW(),$AU$3:$BF$3,)-2)+2&amp;":$R"&amp;ROW()-1))),IF($AR295="本年累计",SUMIF($AR$6:$AR295,"本月合计",$R$6:$R294),INDEX(凭证录入!L:L,$AR295))))</f>
        <v>0</v>
      </c>
      <c r="S295" s="459" t="str">
        <f t="shared" ca="1" si="67"/>
        <v/>
      </c>
      <c r="T295" s="460" t="str">
        <f t="shared" ca="1" si="67"/>
        <v/>
      </c>
      <c r="U295" s="460" t="str">
        <f t="shared" ca="1" si="67"/>
        <v/>
      </c>
      <c r="V295" s="460" t="str">
        <f t="shared" ca="1" si="67"/>
        <v/>
      </c>
      <c r="W295" s="460" t="str">
        <f t="shared" ca="1" si="67"/>
        <v/>
      </c>
      <c r="X295" s="460" t="str">
        <f t="shared" ca="1" si="67"/>
        <v/>
      </c>
      <c r="Y295" s="460" t="str">
        <f t="shared" ca="1" si="67"/>
        <v/>
      </c>
      <c r="Z295" s="460" t="str">
        <f t="shared" ca="1" si="67"/>
        <v/>
      </c>
      <c r="AA295" s="461" t="str">
        <f t="shared" ca="1" si="67"/>
        <v/>
      </c>
      <c r="AB295" s="474" t="str">
        <f t="shared" ca="1" si="67"/>
        <v/>
      </c>
      <c r="AC295" s="475" t="str">
        <f t="shared" ca="1" si="67"/>
        <v/>
      </c>
      <c r="AD295" s="477" t="str">
        <f t="shared" ca="1" si="60"/>
        <v/>
      </c>
      <c r="AE295" s="478">
        <f t="shared" ca="1" si="61"/>
        <v>0</v>
      </c>
      <c r="AF295" s="459" t="str">
        <f t="shared" ca="1" si="65"/>
        <v/>
      </c>
      <c r="AG295" s="460" t="str">
        <f t="shared" ca="1" si="65"/>
        <v/>
      </c>
      <c r="AH295" s="460" t="str">
        <f t="shared" ca="1" si="65"/>
        <v/>
      </c>
      <c r="AI295" s="460" t="str">
        <f t="shared" ca="1" si="65"/>
        <v/>
      </c>
      <c r="AJ295" s="460" t="str">
        <f t="shared" ca="1" si="65"/>
        <v/>
      </c>
      <c r="AK295" s="460" t="str">
        <f t="shared" ca="1" si="65"/>
        <v/>
      </c>
      <c r="AL295" s="460" t="str">
        <f t="shared" ca="1" si="65"/>
        <v/>
      </c>
      <c r="AM295" s="460" t="str">
        <f t="shared" ca="1" si="65"/>
        <v/>
      </c>
      <c r="AN295" s="461" t="str">
        <f t="shared" ca="1" si="65"/>
        <v/>
      </c>
      <c r="AO295" s="474" t="str">
        <f t="shared" ca="1" si="65"/>
        <v/>
      </c>
      <c r="AP295" s="475" t="str">
        <f t="shared" ca="1" si="65"/>
        <v/>
      </c>
      <c r="AQ295" s="479" t="str">
        <f t="array" aca="1" ref="AQ295" ca="1">IF(ROW()-5&lt;=COUNTIF(科目编号,$AR$2),SMALL(IF(科目编号=$AR$2,ROW(科目编号),""),ROW()-5),"")</f>
        <v/>
      </c>
      <c r="AR295" s="480" t="str">
        <f ca="1">IF($BG$2=0,"",IF(AR294="本月合计","本年累计",IF(OR(ROW()=$AU$3,ROW()=$AV$3,ROW()=$AW$3,ROW()=$AX$3,ROW()=$AY$3,ROW()=$AZ$3,ROW()=$BA$3,ROW()=$BB$3,ROW()=$BC$3,ROW()=$BD$3,ROW()=$BE$3,ROW()=$BF$3),"本月合计",IF(ROW()&lt;7,$AQ$6,OFFSET($AQ$6,COUNT($AR$6:AR294),0)))))</f>
        <v/>
      </c>
    </row>
    <row r="296" spans="1:44">
      <c r="A296" s="469" t="str">
        <f ca="1">IFERROR(INDEX(凭证录入!A:A,$AR296),"")</f>
        <v/>
      </c>
      <c r="B296" s="469" t="str">
        <f ca="1">IFERROR(INDEX(凭证录入!B:B,$AR296),"")</f>
        <v/>
      </c>
      <c r="C296" s="470" t="str">
        <f ca="1">IFERROR(INDEX(凭证录入!G:G,$AR296),"")</f>
        <v/>
      </c>
      <c r="D296" s="471" t="str">
        <f ca="1">IFERROR(INDEX(凭证录入!F:F,$AR296),"")</f>
        <v/>
      </c>
      <c r="E296" s="472" t="str">
        <f ca="1">IFERROR(INDEX(凭证录入!H:H,$AR296),$AR296)</f>
        <v/>
      </c>
      <c r="F296" s="473">
        <f ca="1">IF(OR($BG$2=0,$AR296=""),,IF($AR296="本月合计",IF(ROW()=$BG$3,SUM($F$6:$F295),SUM(INDIRECT("$F$"&amp;OFFSET($AU$3,,MATCH(ROW(),$AU$3:$BF$3,)-2)+2&amp;":$E"&amp;ROW()-1))),IF($AR296="本年累计",SUMIF($AR$6:$AR296,"本月合计",$F$6:$F295),INDEX(凭证录入!K:K,$AR296))))</f>
        <v>0</v>
      </c>
      <c r="G296" s="459" t="str">
        <f t="shared" ca="1" si="66"/>
        <v/>
      </c>
      <c r="H296" s="460" t="str">
        <f t="shared" ca="1" si="66"/>
        <v/>
      </c>
      <c r="I296" s="460" t="str">
        <f t="shared" ca="1" si="66"/>
        <v/>
      </c>
      <c r="J296" s="460" t="str">
        <f t="shared" ca="1" si="66"/>
        <v/>
      </c>
      <c r="K296" s="460" t="str">
        <f t="shared" ca="1" si="66"/>
        <v/>
      </c>
      <c r="L296" s="460" t="str">
        <f t="shared" ca="1" si="66"/>
        <v/>
      </c>
      <c r="M296" s="460" t="str">
        <f t="shared" ca="1" si="66"/>
        <v/>
      </c>
      <c r="N296" s="460" t="str">
        <f t="shared" ca="1" si="66"/>
        <v/>
      </c>
      <c r="O296" s="461" t="str">
        <f t="shared" ca="1" si="66"/>
        <v/>
      </c>
      <c r="P296" s="474" t="str">
        <f t="shared" ca="1" si="66"/>
        <v/>
      </c>
      <c r="Q296" s="475" t="str">
        <f t="shared" ca="1" si="66"/>
        <v/>
      </c>
      <c r="R296" s="476">
        <f ca="1">IF(OR($BG$2=0,$AR296=""),,IF($AR296="本月合计",IF(ROW()=$BG$3,SUM($R$6:$R295),SUM(INDIRECT("$R$"&amp;OFFSET($AU$3,,MATCH(ROW(),$AU$3:$BF$3,)-2)+2&amp;":$R"&amp;ROW()-1))),IF($AR296="本年累计",SUMIF($AR$6:$AR296,"本月合计",$R$6:$R295),INDEX(凭证录入!L:L,$AR296))))</f>
        <v>0</v>
      </c>
      <c r="S296" s="459" t="str">
        <f t="shared" ca="1" si="67"/>
        <v/>
      </c>
      <c r="T296" s="460" t="str">
        <f t="shared" ca="1" si="67"/>
        <v/>
      </c>
      <c r="U296" s="460" t="str">
        <f t="shared" ca="1" si="67"/>
        <v/>
      </c>
      <c r="V296" s="460" t="str">
        <f t="shared" ca="1" si="67"/>
        <v/>
      </c>
      <c r="W296" s="460" t="str">
        <f t="shared" ca="1" si="67"/>
        <v/>
      </c>
      <c r="X296" s="460" t="str">
        <f t="shared" ca="1" si="67"/>
        <v/>
      </c>
      <c r="Y296" s="460" t="str">
        <f t="shared" ca="1" si="67"/>
        <v/>
      </c>
      <c r="Z296" s="460" t="str">
        <f t="shared" ca="1" si="67"/>
        <v/>
      </c>
      <c r="AA296" s="461" t="str">
        <f t="shared" ca="1" si="67"/>
        <v/>
      </c>
      <c r="AB296" s="474" t="str">
        <f t="shared" ca="1" si="67"/>
        <v/>
      </c>
      <c r="AC296" s="475" t="str">
        <f t="shared" ca="1" si="67"/>
        <v/>
      </c>
      <c r="AD296" s="477" t="str">
        <f t="shared" ca="1" si="60"/>
        <v/>
      </c>
      <c r="AE296" s="478">
        <f t="shared" ca="1" si="61"/>
        <v>0</v>
      </c>
      <c r="AF296" s="459" t="str">
        <f t="shared" ca="1" si="65"/>
        <v/>
      </c>
      <c r="AG296" s="460" t="str">
        <f t="shared" ca="1" si="65"/>
        <v/>
      </c>
      <c r="AH296" s="460" t="str">
        <f t="shared" ca="1" si="65"/>
        <v/>
      </c>
      <c r="AI296" s="460" t="str">
        <f t="shared" ca="1" si="65"/>
        <v/>
      </c>
      <c r="AJ296" s="460" t="str">
        <f t="shared" ca="1" si="65"/>
        <v/>
      </c>
      <c r="AK296" s="460" t="str">
        <f t="shared" ca="1" si="65"/>
        <v/>
      </c>
      <c r="AL296" s="460" t="str">
        <f t="shared" ca="1" si="65"/>
        <v/>
      </c>
      <c r="AM296" s="460" t="str">
        <f t="shared" ca="1" si="65"/>
        <v/>
      </c>
      <c r="AN296" s="461" t="str">
        <f t="shared" ca="1" si="65"/>
        <v/>
      </c>
      <c r="AO296" s="474" t="str">
        <f t="shared" ca="1" si="65"/>
        <v/>
      </c>
      <c r="AP296" s="475" t="str">
        <f t="shared" ca="1" si="65"/>
        <v/>
      </c>
      <c r="AQ296" s="479" t="str">
        <f t="array" aca="1" ref="AQ296" ca="1">IF(ROW()-5&lt;=COUNTIF(科目编号,$AR$2),SMALL(IF(科目编号=$AR$2,ROW(科目编号),""),ROW()-5),"")</f>
        <v/>
      </c>
      <c r="AR296" s="480" t="str">
        <f ca="1">IF($BG$2=0,"",IF(AR295="本月合计","本年累计",IF(OR(ROW()=$AU$3,ROW()=$AV$3,ROW()=$AW$3,ROW()=$AX$3,ROW()=$AY$3,ROW()=$AZ$3,ROW()=$BA$3,ROW()=$BB$3,ROW()=$BC$3,ROW()=$BD$3,ROW()=$BE$3,ROW()=$BF$3),"本月合计",IF(ROW()&lt;7,$AQ$6,OFFSET($AQ$6,COUNT($AR$6:AR295),0)))))</f>
        <v/>
      </c>
    </row>
    <row r="297" spans="1:44">
      <c r="A297" s="469" t="str">
        <f ca="1">IFERROR(INDEX(凭证录入!A:A,$AR297),"")</f>
        <v/>
      </c>
      <c r="B297" s="469" t="str">
        <f ca="1">IFERROR(INDEX(凭证录入!B:B,$AR297),"")</f>
        <v/>
      </c>
      <c r="C297" s="470" t="str">
        <f ca="1">IFERROR(INDEX(凭证录入!G:G,$AR297),"")</f>
        <v/>
      </c>
      <c r="D297" s="471" t="str">
        <f ca="1">IFERROR(INDEX(凭证录入!F:F,$AR297),"")</f>
        <v/>
      </c>
      <c r="E297" s="472" t="str">
        <f ca="1">IFERROR(INDEX(凭证录入!H:H,$AR297),$AR297)</f>
        <v/>
      </c>
      <c r="F297" s="473">
        <f ca="1">IF(OR($BG$2=0,$AR297=""),,IF($AR297="本月合计",IF(ROW()=$BG$3,SUM($F$6:$F296),SUM(INDIRECT("$F$"&amp;OFFSET($AU$3,,MATCH(ROW(),$AU$3:$BF$3,)-2)+2&amp;":$E"&amp;ROW()-1))),IF($AR297="本年累计",SUMIF($AR$6:$AR297,"本月合计",$F$6:$F296),INDEX(凭证录入!K:K,$AR297))))</f>
        <v>0</v>
      </c>
      <c r="G297" s="459" t="str">
        <f t="shared" ca="1" si="66"/>
        <v/>
      </c>
      <c r="H297" s="460" t="str">
        <f t="shared" ca="1" si="66"/>
        <v/>
      </c>
      <c r="I297" s="460" t="str">
        <f t="shared" ca="1" si="66"/>
        <v/>
      </c>
      <c r="J297" s="460" t="str">
        <f t="shared" ca="1" si="66"/>
        <v/>
      </c>
      <c r="K297" s="460" t="str">
        <f t="shared" ca="1" si="66"/>
        <v/>
      </c>
      <c r="L297" s="460" t="str">
        <f t="shared" ca="1" si="66"/>
        <v/>
      </c>
      <c r="M297" s="460" t="str">
        <f t="shared" ca="1" si="66"/>
        <v/>
      </c>
      <c r="N297" s="460" t="str">
        <f t="shared" ca="1" si="66"/>
        <v/>
      </c>
      <c r="O297" s="461" t="str">
        <f t="shared" ca="1" si="66"/>
        <v/>
      </c>
      <c r="P297" s="474" t="str">
        <f t="shared" ca="1" si="66"/>
        <v/>
      </c>
      <c r="Q297" s="475" t="str">
        <f t="shared" ca="1" si="66"/>
        <v/>
      </c>
      <c r="R297" s="476">
        <f ca="1">IF(OR($BG$2=0,$AR297=""),,IF($AR297="本月合计",IF(ROW()=$BG$3,SUM($R$6:$R296),SUM(INDIRECT("$R$"&amp;OFFSET($AU$3,,MATCH(ROW(),$AU$3:$BF$3,)-2)+2&amp;":$R"&amp;ROW()-1))),IF($AR297="本年累计",SUMIF($AR$6:$AR297,"本月合计",$R$6:$R296),INDEX(凭证录入!L:L,$AR297))))</f>
        <v>0</v>
      </c>
      <c r="S297" s="459" t="str">
        <f t="shared" ca="1" si="67"/>
        <v/>
      </c>
      <c r="T297" s="460" t="str">
        <f t="shared" ca="1" si="67"/>
        <v/>
      </c>
      <c r="U297" s="460" t="str">
        <f t="shared" ca="1" si="67"/>
        <v/>
      </c>
      <c r="V297" s="460" t="str">
        <f t="shared" ca="1" si="67"/>
        <v/>
      </c>
      <c r="W297" s="460" t="str">
        <f t="shared" ca="1" si="67"/>
        <v/>
      </c>
      <c r="X297" s="460" t="str">
        <f t="shared" ca="1" si="67"/>
        <v/>
      </c>
      <c r="Y297" s="460" t="str">
        <f t="shared" ca="1" si="67"/>
        <v/>
      </c>
      <c r="Z297" s="460" t="str">
        <f t="shared" ca="1" si="67"/>
        <v/>
      </c>
      <c r="AA297" s="461" t="str">
        <f t="shared" ca="1" si="67"/>
        <v/>
      </c>
      <c r="AB297" s="474" t="str">
        <f t="shared" ca="1" si="67"/>
        <v/>
      </c>
      <c r="AC297" s="475" t="str">
        <f t="shared" ca="1" si="67"/>
        <v/>
      </c>
      <c r="AD297" s="477" t="str">
        <f t="shared" ca="1" si="60"/>
        <v/>
      </c>
      <c r="AE297" s="478">
        <f t="shared" ca="1" si="61"/>
        <v>0</v>
      </c>
      <c r="AF297" s="459" t="str">
        <f t="shared" ca="1" si="65"/>
        <v/>
      </c>
      <c r="AG297" s="460" t="str">
        <f t="shared" ca="1" si="65"/>
        <v/>
      </c>
      <c r="AH297" s="460" t="str">
        <f t="shared" ca="1" si="65"/>
        <v/>
      </c>
      <c r="AI297" s="460" t="str">
        <f t="shared" ca="1" si="65"/>
        <v/>
      </c>
      <c r="AJ297" s="460" t="str">
        <f t="shared" ca="1" si="65"/>
        <v/>
      </c>
      <c r="AK297" s="460" t="str">
        <f t="shared" ca="1" si="65"/>
        <v/>
      </c>
      <c r="AL297" s="460" t="str">
        <f t="shared" ca="1" si="65"/>
        <v/>
      </c>
      <c r="AM297" s="460" t="str">
        <f t="shared" ca="1" si="65"/>
        <v/>
      </c>
      <c r="AN297" s="461" t="str">
        <f t="shared" ca="1" si="65"/>
        <v/>
      </c>
      <c r="AO297" s="474" t="str">
        <f t="shared" ca="1" si="65"/>
        <v/>
      </c>
      <c r="AP297" s="475" t="str">
        <f t="shared" ca="1" si="65"/>
        <v/>
      </c>
      <c r="AQ297" s="479" t="str">
        <f t="array" aca="1" ref="AQ297" ca="1">IF(ROW()-5&lt;=COUNTIF(科目编号,$AR$2),SMALL(IF(科目编号=$AR$2,ROW(科目编号),""),ROW()-5),"")</f>
        <v/>
      </c>
      <c r="AR297" s="480" t="str">
        <f ca="1">IF($BG$2=0,"",IF(AR296="本月合计","本年累计",IF(OR(ROW()=$AU$3,ROW()=$AV$3,ROW()=$AW$3,ROW()=$AX$3,ROW()=$AY$3,ROW()=$AZ$3,ROW()=$BA$3,ROW()=$BB$3,ROW()=$BC$3,ROW()=$BD$3,ROW()=$BE$3,ROW()=$BF$3),"本月合计",IF(ROW()&lt;7,$AQ$6,OFFSET($AQ$6,COUNT($AR$6:AR296),0)))))</f>
        <v/>
      </c>
    </row>
    <row r="298" spans="1:44">
      <c r="A298" s="469" t="str">
        <f ca="1">IFERROR(INDEX(凭证录入!A:A,$AR298),"")</f>
        <v/>
      </c>
      <c r="B298" s="469" t="str">
        <f ca="1">IFERROR(INDEX(凭证录入!B:B,$AR298),"")</f>
        <v/>
      </c>
      <c r="C298" s="470" t="str">
        <f ca="1">IFERROR(INDEX(凭证录入!G:G,$AR298),"")</f>
        <v/>
      </c>
      <c r="D298" s="471" t="str">
        <f ca="1">IFERROR(INDEX(凭证录入!F:F,$AR298),"")</f>
        <v/>
      </c>
      <c r="E298" s="472" t="str">
        <f ca="1">IFERROR(INDEX(凭证录入!H:H,$AR298),$AR298)</f>
        <v/>
      </c>
      <c r="F298" s="473">
        <f ca="1">IF(OR($BG$2=0,$AR298=""),,IF($AR298="本月合计",IF(ROW()=$BG$3,SUM($F$6:$F297),SUM(INDIRECT("$F$"&amp;OFFSET($AU$3,,MATCH(ROW(),$AU$3:$BF$3,)-2)+2&amp;":$E"&amp;ROW()-1))),IF($AR298="本年累计",SUMIF($AR$6:$AR298,"本月合计",$F$6:$F297),INDEX(凭证录入!K:K,$AR298))))</f>
        <v>0</v>
      </c>
      <c r="G298" s="459" t="str">
        <f t="shared" ca="1" si="66"/>
        <v/>
      </c>
      <c r="H298" s="460" t="str">
        <f t="shared" ca="1" si="66"/>
        <v/>
      </c>
      <c r="I298" s="460" t="str">
        <f t="shared" ca="1" si="66"/>
        <v/>
      </c>
      <c r="J298" s="460" t="str">
        <f t="shared" ca="1" si="66"/>
        <v/>
      </c>
      <c r="K298" s="460" t="str">
        <f t="shared" ca="1" si="66"/>
        <v/>
      </c>
      <c r="L298" s="460" t="str">
        <f t="shared" ca="1" si="66"/>
        <v/>
      </c>
      <c r="M298" s="460" t="str">
        <f t="shared" ca="1" si="66"/>
        <v/>
      </c>
      <c r="N298" s="460" t="str">
        <f t="shared" ca="1" si="66"/>
        <v/>
      </c>
      <c r="O298" s="461" t="str">
        <f t="shared" ca="1" si="66"/>
        <v/>
      </c>
      <c r="P298" s="474" t="str">
        <f t="shared" ca="1" si="66"/>
        <v/>
      </c>
      <c r="Q298" s="475" t="str">
        <f t="shared" ca="1" si="66"/>
        <v/>
      </c>
      <c r="R298" s="476">
        <f ca="1">IF(OR($BG$2=0,$AR298=""),,IF($AR298="本月合计",IF(ROW()=$BG$3,SUM($R$6:$R297),SUM(INDIRECT("$R$"&amp;OFFSET($AU$3,,MATCH(ROW(),$AU$3:$BF$3,)-2)+2&amp;":$R"&amp;ROW()-1))),IF($AR298="本年累计",SUMIF($AR$6:$AR298,"本月合计",$R$6:$R297),INDEX(凭证录入!L:L,$AR298))))</f>
        <v>0</v>
      </c>
      <c r="S298" s="459" t="str">
        <f t="shared" ca="1" si="67"/>
        <v/>
      </c>
      <c r="T298" s="460" t="str">
        <f t="shared" ca="1" si="67"/>
        <v/>
      </c>
      <c r="U298" s="460" t="str">
        <f t="shared" ca="1" si="67"/>
        <v/>
      </c>
      <c r="V298" s="460" t="str">
        <f t="shared" ca="1" si="67"/>
        <v/>
      </c>
      <c r="W298" s="460" t="str">
        <f t="shared" ca="1" si="67"/>
        <v/>
      </c>
      <c r="X298" s="460" t="str">
        <f t="shared" ca="1" si="67"/>
        <v/>
      </c>
      <c r="Y298" s="460" t="str">
        <f t="shared" ca="1" si="67"/>
        <v/>
      </c>
      <c r="Z298" s="460" t="str">
        <f t="shared" ca="1" si="67"/>
        <v/>
      </c>
      <c r="AA298" s="461" t="str">
        <f t="shared" ca="1" si="67"/>
        <v/>
      </c>
      <c r="AB298" s="474" t="str">
        <f t="shared" ca="1" si="67"/>
        <v/>
      </c>
      <c r="AC298" s="475" t="str">
        <f t="shared" ca="1" si="67"/>
        <v/>
      </c>
      <c r="AD298" s="477" t="str">
        <f t="shared" ca="1" si="60"/>
        <v/>
      </c>
      <c r="AE298" s="478">
        <f t="shared" ca="1" si="61"/>
        <v>0</v>
      </c>
      <c r="AF298" s="459" t="str">
        <f t="shared" ca="1" si="65"/>
        <v/>
      </c>
      <c r="AG298" s="460" t="str">
        <f t="shared" ca="1" si="65"/>
        <v/>
      </c>
      <c r="AH298" s="460" t="str">
        <f t="shared" ca="1" si="65"/>
        <v/>
      </c>
      <c r="AI298" s="460" t="str">
        <f t="shared" ca="1" si="65"/>
        <v/>
      </c>
      <c r="AJ298" s="460" t="str">
        <f t="shared" ca="1" si="65"/>
        <v/>
      </c>
      <c r="AK298" s="460" t="str">
        <f t="shared" ca="1" si="65"/>
        <v/>
      </c>
      <c r="AL298" s="460" t="str">
        <f t="shared" ca="1" si="65"/>
        <v/>
      </c>
      <c r="AM298" s="460" t="str">
        <f t="shared" ca="1" si="65"/>
        <v/>
      </c>
      <c r="AN298" s="461" t="str">
        <f t="shared" ca="1" si="65"/>
        <v/>
      </c>
      <c r="AO298" s="474" t="str">
        <f t="shared" ca="1" si="65"/>
        <v/>
      </c>
      <c r="AP298" s="475" t="str">
        <f t="shared" ca="1" si="65"/>
        <v/>
      </c>
      <c r="AQ298" s="479" t="str">
        <f t="array" aca="1" ref="AQ298" ca="1">IF(ROW()-5&lt;=COUNTIF(科目编号,$AR$2),SMALL(IF(科目编号=$AR$2,ROW(科目编号),""),ROW()-5),"")</f>
        <v/>
      </c>
      <c r="AR298" s="480" t="str">
        <f ca="1">IF($BG$2=0,"",IF(AR297="本月合计","本年累计",IF(OR(ROW()=$AU$3,ROW()=$AV$3,ROW()=$AW$3,ROW()=$AX$3,ROW()=$AY$3,ROW()=$AZ$3,ROW()=$BA$3,ROW()=$BB$3,ROW()=$BC$3,ROW()=$BD$3,ROW()=$BE$3,ROW()=$BF$3),"本月合计",IF(ROW()&lt;7,$AQ$6,OFFSET($AQ$6,COUNT($AR$6:AR297),0)))))</f>
        <v/>
      </c>
    </row>
    <row r="299" spans="1:44">
      <c r="A299" s="469" t="str">
        <f ca="1">IFERROR(INDEX(凭证录入!A:A,$AR299),"")</f>
        <v/>
      </c>
      <c r="B299" s="469" t="str">
        <f ca="1">IFERROR(INDEX(凭证录入!B:B,$AR299),"")</f>
        <v/>
      </c>
      <c r="C299" s="470" t="str">
        <f ca="1">IFERROR(INDEX(凭证录入!G:G,$AR299),"")</f>
        <v/>
      </c>
      <c r="D299" s="471" t="str">
        <f ca="1">IFERROR(INDEX(凭证录入!F:F,$AR299),"")</f>
        <v/>
      </c>
      <c r="E299" s="472" t="str">
        <f ca="1">IFERROR(INDEX(凭证录入!H:H,$AR299),$AR299)</f>
        <v/>
      </c>
      <c r="F299" s="473">
        <f ca="1">IF(OR($BG$2=0,$AR299=""),,IF($AR299="本月合计",IF(ROW()=$BG$3,SUM($F$6:$F298),SUM(INDIRECT("$F$"&amp;OFFSET($AU$3,,MATCH(ROW(),$AU$3:$BF$3,)-2)+2&amp;":$E"&amp;ROW()-1))),IF($AR299="本年累计",SUMIF($AR$6:$AR299,"本月合计",$F$6:$F298),INDEX(凭证录入!K:K,$AR299))))</f>
        <v>0</v>
      </c>
      <c r="G299" s="459" t="str">
        <f t="shared" ca="1" si="66"/>
        <v/>
      </c>
      <c r="H299" s="460" t="str">
        <f t="shared" ca="1" si="66"/>
        <v/>
      </c>
      <c r="I299" s="460" t="str">
        <f t="shared" ca="1" si="66"/>
        <v/>
      </c>
      <c r="J299" s="460" t="str">
        <f t="shared" ca="1" si="66"/>
        <v/>
      </c>
      <c r="K299" s="460" t="str">
        <f t="shared" ca="1" si="66"/>
        <v/>
      </c>
      <c r="L299" s="460" t="str">
        <f t="shared" ca="1" si="66"/>
        <v/>
      </c>
      <c r="M299" s="460" t="str">
        <f t="shared" ca="1" si="66"/>
        <v/>
      </c>
      <c r="N299" s="460" t="str">
        <f t="shared" ca="1" si="66"/>
        <v/>
      </c>
      <c r="O299" s="461" t="str">
        <f t="shared" ca="1" si="66"/>
        <v/>
      </c>
      <c r="P299" s="474" t="str">
        <f t="shared" ca="1" si="66"/>
        <v/>
      </c>
      <c r="Q299" s="475" t="str">
        <f t="shared" ca="1" si="66"/>
        <v/>
      </c>
      <c r="R299" s="476">
        <f ca="1">IF(OR($BG$2=0,$AR299=""),,IF($AR299="本月合计",IF(ROW()=$BG$3,SUM($R$6:$R298),SUM(INDIRECT("$R$"&amp;OFFSET($AU$3,,MATCH(ROW(),$AU$3:$BF$3,)-2)+2&amp;":$R"&amp;ROW()-1))),IF($AR299="本年累计",SUMIF($AR$6:$AR299,"本月合计",$R$6:$R298),INDEX(凭证录入!L:L,$AR299))))</f>
        <v>0</v>
      </c>
      <c r="S299" s="459" t="str">
        <f t="shared" ca="1" si="67"/>
        <v/>
      </c>
      <c r="T299" s="460" t="str">
        <f t="shared" ca="1" si="67"/>
        <v/>
      </c>
      <c r="U299" s="460" t="str">
        <f t="shared" ca="1" si="67"/>
        <v/>
      </c>
      <c r="V299" s="460" t="str">
        <f t="shared" ca="1" si="67"/>
        <v/>
      </c>
      <c r="W299" s="460" t="str">
        <f t="shared" ca="1" si="67"/>
        <v/>
      </c>
      <c r="X299" s="460" t="str">
        <f t="shared" ca="1" si="67"/>
        <v/>
      </c>
      <c r="Y299" s="460" t="str">
        <f t="shared" ca="1" si="67"/>
        <v/>
      </c>
      <c r="Z299" s="460" t="str">
        <f t="shared" ca="1" si="67"/>
        <v/>
      </c>
      <c r="AA299" s="461" t="str">
        <f t="shared" ca="1" si="67"/>
        <v/>
      </c>
      <c r="AB299" s="474" t="str">
        <f t="shared" ca="1" si="67"/>
        <v/>
      </c>
      <c r="AC299" s="475" t="str">
        <f t="shared" ca="1" si="67"/>
        <v/>
      </c>
      <c r="AD299" s="477" t="str">
        <f t="shared" ca="1" si="60"/>
        <v/>
      </c>
      <c r="AE299" s="478">
        <f t="shared" ca="1" si="61"/>
        <v>0</v>
      </c>
      <c r="AF299" s="459" t="str">
        <f t="shared" ca="1" si="65"/>
        <v/>
      </c>
      <c r="AG299" s="460" t="str">
        <f t="shared" ca="1" si="65"/>
        <v/>
      </c>
      <c r="AH299" s="460" t="str">
        <f t="shared" ca="1" si="65"/>
        <v/>
      </c>
      <c r="AI299" s="460" t="str">
        <f t="shared" ca="1" si="65"/>
        <v/>
      </c>
      <c r="AJ299" s="460" t="str">
        <f t="shared" ca="1" si="65"/>
        <v/>
      </c>
      <c r="AK299" s="460" t="str">
        <f t="shared" ca="1" si="65"/>
        <v/>
      </c>
      <c r="AL299" s="460" t="str">
        <f t="shared" ca="1" si="65"/>
        <v/>
      </c>
      <c r="AM299" s="460" t="str">
        <f t="shared" ca="1" si="65"/>
        <v/>
      </c>
      <c r="AN299" s="461" t="str">
        <f t="shared" ca="1" si="65"/>
        <v/>
      </c>
      <c r="AO299" s="474" t="str">
        <f t="shared" ca="1" si="65"/>
        <v/>
      </c>
      <c r="AP299" s="475" t="str">
        <f t="shared" ca="1" si="65"/>
        <v/>
      </c>
      <c r="AQ299" s="479" t="str">
        <f t="array" aca="1" ref="AQ299" ca="1">IF(ROW()-5&lt;=COUNTIF(科目编号,$AR$2),SMALL(IF(科目编号=$AR$2,ROW(科目编号),""),ROW()-5),"")</f>
        <v/>
      </c>
      <c r="AR299" s="480" t="str">
        <f ca="1">IF($BG$2=0,"",IF(AR298="本月合计","本年累计",IF(OR(ROW()=$AU$3,ROW()=$AV$3,ROW()=$AW$3,ROW()=$AX$3,ROW()=$AY$3,ROW()=$AZ$3,ROW()=$BA$3,ROW()=$BB$3,ROW()=$BC$3,ROW()=$BD$3,ROW()=$BE$3,ROW()=$BF$3),"本月合计",IF(ROW()&lt;7,$AQ$6,OFFSET($AQ$6,COUNT($AR$6:AR298),0)))))</f>
        <v/>
      </c>
    </row>
    <row r="300" spans="1:44">
      <c r="A300" s="469" t="str">
        <f ca="1">IFERROR(INDEX(凭证录入!A:A,$AR300),"")</f>
        <v/>
      </c>
      <c r="B300" s="469" t="str">
        <f ca="1">IFERROR(INDEX(凭证录入!B:B,$AR300),"")</f>
        <v/>
      </c>
      <c r="C300" s="470" t="str">
        <f ca="1">IFERROR(INDEX(凭证录入!G:G,$AR300),"")</f>
        <v/>
      </c>
      <c r="D300" s="471" t="str">
        <f ca="1">IFERROR(INDEX(凭证录入!F:F,$AR300),"")</f>
        <v/>
      </c>
      <c r="E300" s="472" t="str">
        <f ca="1">IFERROR(INDEX(凭证录入!H:H,$AR300),$AR300)</f>
        <v/>
      </c>
      <c r="F300" s="473">
        <f ca="1">IF(OR($BG$2=0,$AR300=""),,IF($AR300="本月合计",IF(ROW()=$BG$3,SUM($F$6:$F299),SUM(INDIRECT("$F$"&amp;OFFSET($AU$3,,MATCH(ROW(),$AU$3:$BF$3,)-2)+2&amp;":$E"&amp;ROW()-1))),IF($AR300="本年累计",SUMIF($AR$6:$AR300,"本月合计",$F$6:$F299),INDEX(凭证录入!K:K,$AR300))))</f>
        <v>0</v>
      </c>
      <c r="G300" s="459" t="str">
        <f t="shared" ca="1" si="66"/>
        <v/>
      </c>
      <c r="H300" s="460" t="str">
        <f t="shared" ca="1" si="66"/>
        <v/>
      </c>
      <c r="I300" s="460" t="str">
        <f t="shared" ca="1" si="66"/>
        <v/>
      </c>
      <c r="J300" s="460" t="str">
        <f t="shared" ca="1" si="66"/>
        <v/>
      </c>
      <c r="K300" s="460" t="str">
        <f t="shared" ca="1" si="66"/>
        <v/>
      </c>
      <c r="L300" s="460" t="str">
        <f t="shared" ca="1" si="66"/>
        <v/>
      </c>
      <c r="M300" s="460" t="str">
        <f t="shared" ca="1" si="66"/>
        <v/>
      </c>
      <c r="N300" s="460" t="str">
        <f t="shared" ca="1" si="66"/>
        <v/>
      </c>
      <c r="O300" s="461" t="str">
        <f t="shared" ca="1" si="66"/>
        <v/>
      </c>
      <c r="P300" s="474" t="str">
        <f t="shared" ca="1" si="66"/>
        <v/>
      </c>
      <c r="Q300" s="475" t="str">
        <f t="shared" ca="1" si="66"/>
        <v/>
      </c>
      <c r="R300" s="476">
        <f ca="1">IF(OR($BG$2=0,$AR300=""),,IF($AR300="本月合计",IF(ROW()=$BG$3,SUM($R$6:$R299),SUM(INDIRECT("$R$"&amp;OFFSET($AU$3,,MATCH(ROW(),$AU$3:$BF$3,)-2)+2&amp;":$R"&amp;ROW()-1))),IF($AR300="本年累计",SUMIF($AR$6:$AR300,"本月合计",$R$6:$R299),INDEX(凭证录入!L:L,$AR300))))</f>
        <v>0</v>
      </c>
      <c r="S300" s="459" t="str">
        <f t="shared" ca="1" si="67"/>
        <v/>
      </c>
      <c r="T300" s="460" t="str">
        <f t="shared" ca="1" si="67"/>
        <v/>
      </c>
      <c r="U300" s="460" t="str">
        <f t="shared" ca="1" si="67"/>
        <v/>
      </c>
      <c r="V300" s="460" t="str">
        <f t="shared" ca="1" si="67"/>
        <v/>
      </c>
      <c r="W300" s="460" t="str">
        <f t="shared" ca="1" si="67"/>
        <v/>
      </c>
      <c r="X300" s="460" t="str">
        <f t="shared" ca="1" si="67"/>
        <v/>
      </c>
      <c r="Y300" s="460" t="str">
        <f t="shared" ca="1" si="67"/>
        <v/>
      </c>
      <c r="Z300" s="460" t="str">
        <f t="shared" ca="1" si="67"/>
        <v/>
      </c>
      <c r="AA300" s="461" t="str">
        <f t="shared" ca="1" si="67"/>
        <v/>
      </c>
      <c r="AB300" s="474" t="str">
        <f t="shared" ca="1" si="67"/>
        <v/>
      </c>
      <c r="AC300" s="475" t="str">
        <f t="shared" ca="1" si="67"/>
        <v/>
      </c>
      <c r="AD300" s="477" t="str">
        <f t="shared" ca="1" si="60"/>
        <v/>
      </c>
      <c r="AE300" s="478">
        <f t="shared" ca="1" si="61"/>
        <v>0</v>
      </c>
      <c r="AF300" s="459" t="str">
        <f t="shared" ca="1" si="65"/>
        <v/>
      </c>
      <c r="AG300" s="460" t="str">
        <f t="shared" ca="1" si="65"/>
        <v/>
      </c>
      <c r="AH300" s="460" t="str">
        <f t="shared" ca="1" si="65"/>
        <v/>
      </c>
      <c r="AI300" s="460" t="str">
        <f t="shared" ca="1" si="65"/>
        <v/>
      </c>
      <c r="AJ300" s="460" t="str">
        <f t="shared" ca="1" si="65"/>
        <v/>
      </c>
      <c r="AK300" s="460" t="str">
        <f t="shared" ca="1" si="65"/>
        <v/>
      </c>
      <c r="AL300" s="460" t="str">
        <f t="shared" ca="1" si="65"/>
        <v/>
      </c>
      <c r="AM300" s="460" t="str">
        <f t="shared" ca="1" si="65"/>
        <v/>
      </c>
      <c r="AN300" s="461" t="str">
        <f t="shared" ca="1" si="65"/>
        <v/>
      </c>
      <c r="AO300" s="474" t="str">
        <f t="shared" ca="1" si="65"/>
        <v/>
      </c>
      <c r="AP300" s="475" t="str">
        <f t="shared" ca="1" si="65"/>
        <v/>
      </c>
      <c r="AQ300" s="479" t="str">
        <f t="array" aca="1" ref="AQ300" ca="1">IF(ROW()-5&lt;=COUNTIF(科目编号,$AR$2),SMALL(IF(科目编号=$AR$2,ROW(科目编号),""),ROW()-5),"")</f>
        <v/>
      </c>
      <c r="AR300" s="480" t="str">
        <f ca="1">IF($BG$2=0,"",IF(AR299="本月合计","本年累计",IF(OR(ROW()=$AU$3,ROW()=$AV$3,ROW()=$AW$3,ROW()=$AX$3,ROW()=$AY$3,ROW()=$AZ$3,ROW()=$BA$3,ROW()=$BB$3,ROW()=$BC$3,ROW()=$BD$3,ROW()=$BE$3,ROW()=$BF$3),"本月合计",IF(ROW()&lt;7,$AQ$6,OFFSET($AQ$6,COUNT($AR$6:AR299),0)))))</f>
        <v/>
      </c>
    </row>
    <row r="301" spans="1:44">
      <c r="A301" s="469" t="str">
        <f ca="1">IFERROR(INDEX(凭证录入!A:A,$AR301),"")</f>
        <v/>
      </c>
      <c r="B301" s="469" t="str">
        <f ca="1">IFERROR(INDEX(凭证录入!B:B,$AR301),"")</f>
        <v/>
      </c>
      <c r="C301" s="470" t="str">
        <f ca="1">IFERROR(INDEX(凭证录入!G:G,$AR301),"")</f>
        <v/>
      </c>
      <c r="D301" s="471" t="str">
        <f ca="1">IFERROR(INDEX(凭证录入!F:F,$AR301),"")</f>
        <v/>
      </c>
      <c r="E301" s="472" t="str">
        <f ca="1">IFERROR(INDEX(凭证录入!H:H,$AR301),$AR301)</f>
        <v/>
      </c>
      <c r="F301" s="473">
        <f ca="1">IF(OR($BG$2=0,$AR301=""),,IF($AR301="本月合计",IF(ROW()=$BG$3,SUM($F$6:$F300),SUM(INDIRECT("$F$"&amp;OFFSET($AU$3,,MATCH(ROW(),$AU$3:$BF$3,)-2)+2&amp;":$E"&amp;ROW()-1))),IF($AR301="本年累计",SUMIF($AR$6:$AR301,"本月合计",$F$6:$F300),INDEX(凭证录入!K:K,$AR301))))</f>
        <v>0</v>
      </c>
      <c r="G301" s="459" t="str">
        <f t="shared" ca="1" si="66"/>
        <v/>
      </c>
      <c r="H301" s="460" t="str">
        <f t="shared" ca="1" si="66"/>
        <v/>
      </c>
      <c r="I301" s="460" t="str">
        <f t="shared" ca="1" si="66"/>
        <v/>
      </c>
      <c r="J301" s="460" t="str">
        <f t="shared" ca="1" si="66"/>
        <v/>
      </c>
      <c r="K301" s="460" t="str">
        <f t="shared" ca="1" si="66"/>
        <v/>
      </c>
      <c r="L301" s="460" t="str">
        <f t="shared" ca="1" si="66"/>
        <v/>
      </c>
      <c r="M301" s="460" t="str">
        <f t="shared" ca="1" si="66"/>
        <v/>
      </c>
      <c r="N301" s="460" t="str">
        <f t="shared" ca="1" si="66"/>
        <v/>
      </c>
      <c r="O301" s="461" t="str">
        <f t="shared" ca="1" si="66"/>
        <v/>
      </c>
      <c r="P301" s="474" t="str">
        <f t="shared" ca="1" si="66"/>
        <v/>
      </c>
      <c r="Q301" s="475" t="str">
        <f t="shared" ca="1" si="66"/>
        <v/>
      </c>
      <c r="R301" s="476">
        <f ca="1">IF(OR($BG$2=0,$AR301=""),,IF($AR301="本月合计",IF(ROW()=$BG$3,SUM($R$6:$R300),SUM(INDIRECT("$R$"&amp;OFFSET($AU$3,,MATCH(ROW(),$AU$3:$BF$3,)-2)+2&amp;":$R"&amp;ROW()-1))),IF($AR301="本年累计",SUMIF($AR$6:$AR301,"本月合计",$R$6:$R300),INDEX(凭证录入!L:L,$AR301))))</f>
        <v>0</v>
      </c>
      <c r="S301" s="459" t="str">
        <f t="shared" ca="1" si="67"/>
        <v/>
      </c>
      <c r="T301" s="460" t="str">
        <f t="shared" ca="1" si="67"/>
        <v/>
      </c>
      <c r="U301" s="460" t="str">
        <f t="shared" ca="1" si="67"/>
        <v/>
      </c>
      <c r="V301" s="460" t="str">
        <f t="shared" ca="1" si="67"/>
        <v/>
      </c>
      <c r="W301" s="460" t="str">
        <f t="shared" ca="1" si="67"/>
        <v/>
      </c>
      <c r="X301" s="460" t="str">
        <f t="shared" ca="1" si="67"/>
        <v/>
      </c>
      <c r="Y301" s="460" t="str">
        <f t="shared" ca="1" si="67"/>
        <v/>
      </c>
      <c r="Z301" s="460" t="str">
        <f t="shared" ca="1" si="67"/>
        <v/>
      </c>
      <c r="AA301" s="461" t="str">
        <f t="shared" ca="1" si="67"/>
        <v/>
      </c>
      <c r="AB301" s="474" t="str">
        <f t="shared" ca="1" si="67"/>
        <v/>
      </c>
      <c r="AC301" s="475" t="str">
        <f t="shared" ca="1" si="67"/>
        <v/>
      </c>
      <c r="AD301" s="477" t="str">
        <f t="shared" ca="1" si="60"/>
        <v/>
      </c>
      <c r="AE301" s="478">
        <f t="shared" ca="1" si="61"/>
        <v>0</v>
      </c>
      <c r="AF301" s="459" t="str">
        <f t="shared" ca="1" si="65"/>
        <v/>
      </c>
      <c r="AG301" s="460" t="str">
        <f t="shared" ca="1" si="65"/>
        <v/>
      </c>
      <c r="AH301" s="460" t="str">
        <f t="shared" ca="1" si="65"/>
        <v/>
      </c>
      <c r="AI301" s="460" t="str">
        <f t="shared" ca="1" si="65"/>
        <v/>
      </c>
      <c r="AJ301" s="460" t="str">
        <f t="shared" ca="1" si="65"/>
        <v/>
      </c>
      <c r="AK301" s="460" t="str">
        <f t="shared" ca="1" si="65"/>
        <v/>
      </c>
      <c r="AL301" s="460" t="str">
        <f t="shared" ca="1" si="65"/>
        <v/>
      </c>
      <c r="AM301" s="460" t="str">
        <f t="shared" ca="1" si="65"/>
        <v/>
      </c>
      <c r="AN301" s="461" t="str">
        <f t="shared" ca="1" si="65"/>
        <v/>
      </c>
      <c r="AO301" s="474" t="str">
        <f t="shared" ca="1" si="65"/>
        <v/>
      </c>
      <c r="AP301" s="475" t="str">
        <f t="shared" ca="1" si="65"/>
        <v/>
      </c>
      <c r="AQ301" s="479" t="str">
        <f t="array" aca="1" ref="AQ301" ca="1">IF(ROW()-5&lt;=COUNTIF(科目编号,$AR$2),SMALL(IF(科目编号=$AR$2,ROW(科目编号),""),ROW()-5),"")</f>
        <v/>
      </c>
      <c r="AR301" s="480" t="str">
        <f ca="1">IF($BG$2=0,"",IF(AR300="本月合计","本年累计",IF(OR(ROW()=$AU$3,ROW()=$AV$3,ROW()=$AW$3,ROW()=$AX$3,ROW()=$AY$3,ROW()=$AZ$3,ROW()=$BA$3,ROW()=$BB$3,ROW()=$BC$3,ROW()=$BD$3,ROW()=$BE$3,ROW()=$BF$3),"本月合计",IF(ROW()&lt;7,$AQ$6,OFFSET($AQ$6,COUNT($AR$6:AR300),0)))))</f>
        <v/>
      </c>
    </row>
    <row r="302" spans="1:44">
      <c r="A302" s="469" t="str">
        <f ca="1">IFERROR(INDEX(凭证录入!A:A,$AR302),"")</f>
        <v/>
      </c>
      <c r="B302" s="469" t="str">
        <f ca="1">IFERROR(INDEX(凭证录入!B:B,$AR302),"")</f>
        <v/>
      </c>
      <c r="C302" s="470" t="str">
        <f ca="1">IFERROR(INDEX(凭证录入!G:G,$AR302),"")</f>
        <v/>
      </c>
      <c r="D302" s="471" t="str">
        <f ca="1">IFERROR(INDEX(凭证录入!F:F,$AR302),"")</f>
        <v/>
      </c>
      <c r="E302" s="472" t="str">
        <f ca="1">IFERROR(INDEX(凭证录入!H:H,$AR302),$AR302)</f>
        <v/>
      </c>
      <c r="F302" s="473">
        <f ca="1">IF(OR($BG$2=0,$AR302=""),,IF($AR302="本月合计",IF(ROW()=$BG$3,SUM($F$6:$F301),SUM(INDIRECT("$F$"&amp;OFFSET($AU$3,,MATCH(ROW(),$AU$3:$BF$3,)-2)+2&amp;":$E"&amp;ROW()-1))),IF($AR302="本年累计",SUMIF($AR$6:$AR302,"本月合计",$F$6:$F301),INDEX(凭证录入!K:K,$AR302))))</f>
        <v>0</v>
      </c>
      <c r="G302" s="459" t="str">
        <f t="shared" ca="1" si="66"/>
        <v/>
      </c>
      <c r="H302" s="460" t="str">
        <f t="shared" ca="1" si="66"/>
        <v/>
      </c>
      <c r="I302" s="460" t="str">
        <f t="shared" ca="1" si="66"/>
        <v/>
      </c>
      <c r="J302" s="460" t="str">
        <f t="shared" ca="1" si="66"/>
        <v/>
      </c>
      <c r="K302" s="460" t="str">
        <f t="shared" ca="1" si="66"/>
        <v/>
      </c>
      <c r="L302" s="460" t="str">
        <f t="shared" ca="1" si="66"/>
        <v/>
      </c>
      <c r="M302" s="460" t="str">
        <f t="shared" ca="1" si="66"/>
        <v/>
      </c>
      <c r="N302" s="460" t="str">
        <f t="shared" ca="1" si="66"/>
        <v/>
      </c>
      <c r="O302" s="461" t="str">
        <f t="shared" ca="1" si="66"/>
        <v/>
      </c>
      <c r="P302" s="474" t="str">
        <f t="shared" ca="1" si="66"/>
        <v/>
      </c>
      <c r="Q302" s="475" t="str">
        <f t="shared" ca="1" si="66"/>
        <v/>
      </c>
      <c r="R302" s="476">
        <f ca="1">IF(OR($BG$2=0,$AR302=""),,IF($AR302="本月合计",IF(ROW()=$BG$3,SUM($R$6:$R301),SUM(INDIRECT("$R$"&amp;OFFSET($AU$3,,MATCH(ROW(),$AU$3:$BF$3,)-2)+2&amp;":$R"&amp;ROW()-1))),IF($AR302="本年累计",SUMIF($AR$6:$AR302,"本月合计",$R$6:$R301),INDEX(凭证录入!L:L,$AR302))))</f>
        <v>0</v>
      </c>
      <c r="S302" s="459" t="str">
        <f t="shared" ca="1" si="67"/>
        <v/>
      </c>
      <c r="T302" s="460" t="str">
        <f t="shared" ca="1" si="67"/>
        <v/>
      </c>
      <c r="U302" s="460" t="str">
        <f t="shared" ca="1" si="67"/>
        <v/>
      </c>
      <c r="V302" s="460" t="str">
        <f t="shared" ca="1" si="67"/>
        <v/>
      </c>
      <c r="W302" s="460" t="str">
        <f t="shared" ca="1" si="67"/>
        <v/>
      </c>
      <c r="X302" s="460" t="str">
        <f t="shared" ca="1" si="67"/>
        <v/>
      </c>
      <c r="Y302" s="460" t="str">
        <f t="shared" ca="1" si="67"/>
        <v/>
      </c>
      <c r="Z302" s="460" t="str">
        <f t="shared" ca="1" si="67"/>
        <v/>
      </c>
      <c r="AA302" s="461" t="str">
        <f t="shared" ca="1" si="67"/>
        <v/>
      </c>
      <c r="AB302" s="474" t="str">
        <f t="shared" ca="1" si="67"/>
        <v/>
      </c>
      <c r="AC302" s="475" t="str">
        <f t="shared" ca="1" si="67"/>
        <v/>
      </c>
      <c r="AD302" s="477" t="str">
        <f t="shared" ca="1" si="60"/>
        <v/>
      </c>
      <c r="AE302" s="478">
        <f t="shared" ca="1" si="61"/>
        <v>0</v>
      </c>
      <c r="AF302" s="459" t="str">
        <f t="shared" ca="1" si="65"/>
        <v/>
      </c>
      <c r="AG302" s="460" t="str">
        <f t="shared" ca="1" si="65"/>
        <v/>
      </c>
      <c r="AH302" s="460" t="str">
        <f t="shared" ca="1" si="65"/>
        <v/>
      </c>
      <c r="AI302" s="460" t="str">
        <f t="shared" ca="1" si="65"/>
        <v/>
      </c>
      <c r="AJ302" s="460" t="str">
        <f t="shared" ca="1" si="65"/>
        <v/>
      </c>
      <c r="AK302" s="460" t="str">
        <f t="shared" ca="1" si="65"/>
        <v/>
      </c>
      <c r="AL302" s="460" t="str">
        <f t="shared" ca="1" si="65"/>
        <v/>
      </c>
      <c r="AM302" s="460" t="str">
        <f t="shared" ca="1" si="65"/>
        <v/>
      </c>
      <c r="AN302" s="461" t="str">
        <f t="shared" ca="1" si="65"/>
        <v/>
      </c>
      <c r="AO302" s="474" t="str">
        <f t="shared" ca="1" si="65"/>
        <v/>
      </c>
      <c r="AP302" s="475" t="str">
        <f t="shared" ca="1" si="65"/>
        <v/>
      </c>
      <c r="AQ302" s="479" t="str">
        <f t="array" aca="1" ref="AQ302" ca="1">IF(ROW()-5&lt;=COUNTIF(科目编号,$AR$2),SMALL(IF(科目编号=$AR$2,ROW(科目编号),""),ROW()-5),"")</f>
        <v/>
      </c>
      <c r="AR302" s="480" t="str">
        <f ca="1">IF($BG$2=0,"",IF(AR301="本月合计","本年累计",IF(OR(ROW()=$AU$3,ROW()=$AV$3,ROW()=$AW$3,ROW()=$AX$3,ROW()=$AY$3,ROW()=$AZ$3,ROW()=$BA$3,ROW()=$BB$3,ROW()=$BC$3,ROW()=$BD$3,ROW()=$BE$3,ROW()=$BF$3),"本月合计",IF(ROW()&lt;7,$AQ$6,OFFSET($AQ$6,COUNT($AR$6:AR301),0)))))</f>
        <v/>
      </c>
    </row>
    <row r="303" spans="1:44">
      <c r="A303" s="469" t="str">
        <f ca="1">IFERROR(INDEX(凭证录入!A:A,$AR303),"")</f>
        <v/>
      </c>
      <c r="B303" s="469" t="str">
        <f ca="1">IFERROR(INDEX(凭证录入!B:B,$AR303),"")</f>
        <v/>
      </c>
      <c r="C303" s="470" t="str">
        <f ca="1">IFERROR(INDEX(凭证录入!G:G,$AR303),"")</f>
        <v/>
      </c>
      <c r="D303" s="471" t="str">
        <f ca="1">IFERROR(INDEX(凭证录入!F:F,$AR303),"")</f>
        <v/>
      </c>
      <c r="E303" s="472" t="str">
        <f ca="1">IFERROR(INDEX(凭证录入!H:H,$AR303),$AR303)</f>
        <v/>
      </c>
      <c r="F303" s="473">
        <f ca="1">IF(OR($BG$2=0,$AR303=""),,IF($AR303="本月合计",IF(ROW()=$BG$3,SUM($F$6:$F302),SUM(INDIRECT("$F$"&amp;OFFSET($AU$3,,MATCH(ROW(),$AU$3:$BF$3,)-2)+2&amp;":$E"&amp;ROW()-1))),IF($AR303="本年累计",SUMIF($AR$6:$AR303,"本月合计",$F$6:$F302),INDEX(凭证录入!K:K,$AR303))))</f>
        <v>0</v>
      </c>
      <c r="G303" s="459" t="str">
        <f t="shared" ca="1" si="66"/>
        <v/>
      </c>
      <c r="H303" s="460" t="str">
        <f t="shared" ca="1" si="66"/>
        <v/>
      </c>
      <c r="I303" s="460" t="str">
        <f t="shared" ca="1" si="66"/>
        <v/>
      </c>
      <c r="J303" s="460" t="str">
        <f t="shared" ca="1" si="66"/>
        <v/>
      </c>
      <c r="K303" s="460" t="str">
        <f t="shared" ca="1" si="66"/>
        <v/>
      </c>
      <c r="L303" s="460" t="str">
        <f t="shared" ca="1" si="66"/>
        <v/>
      </c>
      <c r="M303" s="460" t="str">
        <f t="shared" ca="1" si="66"/>
        <v/>
      </c>
      <c r="N303" s="460" t="str">
        <f t="shared" ca="1" si="66"/>
        <v/>
      </c>
      <c r="O303" s="461" t="str">
        <f t="shared" ca="1" si="66"/>
        <v/>
      </c>
      <c r="P303" s="474" t="str">
        <f t="shared" ca="1" si="66"/>
        <v/>
      </c>
      <c r="Q303" s="475" t="str">
        <f t="shared" ca="1" si="66"/>
        <v/>
      </c>
      <c r="R303" s="476">
        <f ca="1">IF(OR($BG$2=0,$AR303=""),,IF($AR303="本月合计",IF(ROW()=$BG$3,SUM($R$6:$R302),SUM(INDIRECT("$R$"&amp;OFFSET($AU$3,,MATCH(ROW(),$AU$3:$BF$3,)-2)+2&amp;":$R"&amp;ROW()-1))),IF($AR303="本年累计",SUMIF($AR$6:$AR303,"本月合计",$R$6:$R302),INDEX(凭证录入!L:L,$AR303))))</f>
        <v>0</v>
      </c>
      <c r="S303" s="459" t="str">
        <f t="shared" ca="1" si="67"/>
        <v/>
      </c>
      <c r="T303" s="460" t="str">
        <f t="shared" ca="1" si="67"/>
        <v/>
      </c>
      <c r="U303" s="460" t="str">
        <f t="shared" ca="1" si="67"/>
        <v/>
      </c>
      <c r="V303" s="460" t="str">
        <f t="shared" ca="1" si="67"/>
        <v/>
      </c>
      <c r="W303" s="460" t="str">
        <f t="shared" ca="1" si="67"/>
        <v/>
      </c>
      <c r="X303" s="460" t="str">
        <f t="shared" ca="1" si="67"/>
        <v/>
      </c>
      <c r="Y303" s="460" t="str">
        <f t="shared" ca="1" si="67"/>
        <v/>
      </c>
      <c r="Z303" s="460" t="str">
        <f t="shared" ca="1" si="67"/>
        <v/>
      </c>
      <c r="AA303" s="461" t="str">
        <f t="shared" ca="1" si="67"/>
        <v/>
      </c>
      <c r="AB303" s="474" t="str">
        <f t="shared" ca="1" si="67"/>
        <v/>
      </c>
      <c r="AC303" s="475" t="str">
        <f t="shared" ca="1" si="67"/>
        <v/>
      </c>
      <c r="AD303" s="477" t="str">
        <f t="shared" ca="1" si="60"/>
        <v/>
      </c>
      <c r="AE303" s="478">
        <f t="shared" ca="1" si="61"/>
        <v>0</v>
      </c>
      <c r="AF303" s="459" t="str">
        <f t="shared" ca="1" si="65"/>
        <v/>
      </c>
      <c r="AG303" s="460" t="str">
        <f t="shared" ca="1" si="65"/>
        <v/>
      </c>
      <c r="AH303" s="460" t="str">
        <f t="shared" ca="1" si="65"/>
        <v/>
      </c>
      <c r="AI303" s="460" t="str">
        <f t="shared" ca="1" si="65"/>
        <v/>
      </c>
      <c r="AJ303" s="460" t="str">
        <f t="shared" ca="1" si="65"/>
        <v/>
      </c>
      <c r="AK303" s="460" t="str">
        <f t="shared" ca="1" si="65"/>
        <v/>
      </c>
      <c r="AL303" s="460" t="str">
        <f t="shared" ca="1" si="65"/>
        <v/>
      </c>
      <c r="AM303" s="460" t="str">
        <f t="shared" ca="1" si="65"/>
        <v/>
      </c>
      <c r="AN303" s="461" t="str">
        <f t="shared" ca="1" si="65"/>
        <v/>
      </c>
      <c r="AO303" s="474" t="str">
        <f t="shared" ca="1" si="65"/>
        <v/>
      </c>
      <c r="AP303" s="475" t="str">
        <f t="shared" ca="1" si="65"/>
        <v/>
      </c>
      <c r="AQ303" s="479" t="str">
        <f t="array" aca="1" ref="AQ303" ca="1">IF(ROW()-5&lt;=COUNTIF(科目编号,$AR$2),SMALL(IF(科目编号=$AR$2,ROW(科目编号),""),ROW()-5),"")</f>
        <v/>
      </c>
      <c r="AR303" s="480" t="str">
        <f ca="1">IF($BG$2=0,"",IF(AR302="本月合计","本年累计",IF(OR(ROW()=$AU$3,ROW()=$AV$3,ROW()=$AW$3,ROW()=$AX$3,ROW()=$AY$3,ROW()=$AZ$3,ROW()=$BA$3,ROW()=$BB$3,ROW()=$BC$3,ROW()=$BD$3,ROW()=$BE$3,ROW()=$BF$3),"本月合计",IF(ROW()&lt;7,$AQ$6,OFFSET($AQ$6,COUNT($AR$6:AR302),0)))))</f>
        <v/>
      </c>
    </row>
    <row r="304" spans="1:44">
      <c r="A304" s="469" t="str">
        <f ca="1">IFERROR(INDEX(凭证录入!A:A,$AR304),"")</f>
        <v/>
      </c>
      <c r="B304" s="469" t="str">
        <f ca="1">IFERROR(INDEX(凭证录入!B:B,$AR304),"")</f>
        <v/>
      </c>
      <c r="C304" s="470" t="str">
        <f ca="1">IFERROR(INDEX(凭证录入!G:G,$AR304),"")</f>
        <v/>
      </c>
      <c r="D304" s="471" t="str">
        <f ca="1">IFERROR(INDEX(凭证录入!F:F,$AR304),"")</f>
        <v/>
      </c>
      <c r="E304" s="472" t="str">
        <f ca="1">IFERROR(INDEX(凭证录入!H:H,$AR304),$AR304)</f>
        <v/>
      </c>
      <c r="F304" s="473">
        <f ca="1">IF(OR($BG$2=0,$AR304=""),,IF($AR304="本月合计",IF(ROW()=$BG$3,SUM($F$6:$F303),SUM(INDIRECT("$F$"&amp;OFFSET($AU$3,,MATCH(ROW(),$AU$3:$BF$3,)-2)+2&amp;":$E"&amp;ROW()-1))),IF($AR304="本年累计",SUMIF($AR$6:$AR304,"本月合计",$F$6:$F303),INDEX(凭证录入!K:K,$AR304))))</f>
        <v>0</v>
      </c>
      <c r="G304" s="459" t="str">
        <f t="shared" ca="1" si="66"/>
        <v/>
      </c>
      <c r="H304" s="460" t="str">
        <f t="shared" ca="1" si="66"/>
        <v/>
      </c>
      <c r="I304" s="460" t="str">
        <f t="shared" ca="1" si="66"/>
        <v/>
      </c>
      <c r="J304" s="460" t="str">
        <f t="shared" ca="1" si="66"/>
        <v/>
      </c>
      <c r="K304" s="460" t="str">
        <f t="shared" ca="1" si="66"/>
        <v/>
      </c>
      <c r="L304" s="460" t="str">
        <f t="shared" ca="1" si="66"/>
        <v/>
      </c>
      <c r="M304" s="460" t="str">
        <f t="shared" ca="1" si="66"/>
        <v/>
      </c>
      <c r="N304" s="460" t="str">
        <f t="shared" ca="1" si="66"/>
        <v/>
      </c>
      <c r="O304" s="461" t="str">
        <f t="shared" ca="1" si="66"/>
        <v/>
      </c>
      <c r="P304" s="474" t="str">
        <f t="shared" ca="1" si="66"/>
        <v/>
      </c>
      <c r="Q304" s="475" t="str">
        <f t="shared" ca="1" si="66"/>
        <v/>
      </c>
      <c r="R304" s="476">
        <f ca="1">IF(OR($BG$2=0,$AR304=""),,IF($AR304="本月合计",IF(ROW()=$BG$3,SUM($R$6:$R303),SUM(INDIRECT("$R$"&amp;OFFSET($AU$3,,MATCH(ROW(),$AU$3:$BF$3,)-2)+2&amp;":$R"&amp;ROW()-1))),IF($AR304="本年累计",SUMIF($AR$6:$AR304,"本月合计",$R$6:$R303),INDEX(凭证录入!L:L,$AR304))))</f>
        <v>0</v>
      </c>
      <c r="S304" s="459" t="str">
        <f t="shared" ca="1" si="67"/>
        <v/>
      </c>
      <c r="T304" s="460" t="str">
        <f t="shared" ca="1" si="67"/>
        <v/>
      </c>
      <c r="U304" s="460" t="str">
        <f t="shared" ca="1" si="67"/>
        <v/>
      </c>
      <c r="V304" s="460" t="str">
        <f t="shared" ca="1" si="67"/>
        <v/>
      </c>
      <c r="W304" s="460" t="str">
        <f t="shared" ca="1" si="67"/>
        <v/>
      </c>
      <c r="X304" s="460" t="str">
        <f t="shared" ca="1" si="67"/>
        <v/>
      </c>
      <c r="Y304" s="460" t="str">
        <f t="shared" ca="1" si="67"/>
        <v/>
      </c>
      <c r="Z304" s="460" t="str">
        <f t="shared" ca="1" si="67"/>
        <v/>
      </c>
      <c r="AA304" s="461" t="str">
        <f t="shared" ca="1" si="67"/>
        <v/>
      </c>
      <c r="AB304" s="474" t="str">
        <f t="shared" ca="1" si="67"/>
        <v/>
      </c>
      <c r="AC304" s="475" t="str">
        <f t="shared" ca="1" si="67"/>
        <v/>
      </c>
      <c r="AD304" s="477" t="str">
        <f t="shared" ca="1" si="60"/>
        <v/>
      </c>
      <c r="AE304" s="478">
        <f t="shared" ca="1" si="61"/>
        <v>0</v>
      </c>
      <c r="AF304" s="459" t="str">
        <f t="shared" ca="1" si="65"/>
        <v/>
      </c>
      <c r="AG304" s="460" t="str">
        <f t="shared" ca="1" si="65"/>
        <v/>
      </c>
      <c r="AH304" s="460" t="str">
        <f t="shared" ca="1" si="65"/>
        <v/>
      </c>
      <c r="AI304" s="460" t="str">
        <f t="shared" ca="1" si="65"/>
        <v/>
      </c>
      <c r="AJ304" s="460" t="str">
        <f t="shared" ca="1" si="65"/>
        <v/>
      </c>
      <c r="AK304" s="460" t="str">
        <f t="shared" ca="1" si="65"/>
        <v/>
      </c>
      <c r="AL304" s="460" t="str">
        <f t="shared" ca="1" si="65"/>
        <v/>
      </c>
      <c r="AM304" s="460" t="str">
        <f t="shared" ca="1" si="65"/>
        <v/>
      </c>
      <c r="AN304" s="461" t="str">
        <f t="shared" ca="1" si="65"/>
        <v/>
      </c>
      <c r="AO304" s="474" t="str">
        <f t="shared" ca="1" si="65"/>
        <v/>
      </c>
      <c r="AP304" s="475" t="str">
        <f t="shared" ca="1" si="65"/>
        <v/>
      </c>
      <c r="AQ304" s="479" t="str">
        <f t="array" aca="1" ref="AQ304" ca="1">IF(ROW()-5&lt;=COUNTIF(科目编号,$AR$2),SMALL(IF(科目编号=$AR$2,ROW(科目编号),""),ROW()-5),"")</f>
        <v/>
      </c>
      <c r="AR304" s="480" t="str">
        <f ca="1">IF($BG$2=0,"",IF(AR303="本月合计","本年累计",IF(OR(ROW()=$AU$3,ROW()=$AV$3,ROW()=$AW$3,ROW()=$AX$3,ROW()=$AY$3,ROW()=$AZ$3,ROW()=$BA$3,ROW()=$BB$3,ROW()=$BC$3,ROW()=$BD$3,ROW()=$BE$3,ROW()=$BF$3),"本月合计",IF(ROW()&lt;7,$AQ$6,OFFSET($AQ$6,COUNT($AR$6:AR303),0)))))</f>
        <v/>
      </c>
    </row>
    <row r="305" spans="1:44">
      <c r="A305" s="469" t="str">
        <f ca="1">IFERROR(INDEX(凭证录入!A:A,$AR305),"")</f>
        <v/>
      </c>
      <c r="B305" s="469" t="str">
        <f ca="1">IFERROR(INDEX(凭证录入!B:B,$AR305),"")</f>
        <v/>
      </c>
      <c r="C305" s="470" t="str">
        <f ca="1">IFERROR(INDEX(凭证录入!G:G,$AR305),"")</f>
        <v/>
      </c>
      <c r="D305" s="471" t="str">
        <f ca="1">IFERROR(INDEX(凭证录入!F:F,$AR305),"")</f>
        <v/>
      </c>
      <c r="E305" s="472" t="str">
        <f ca="1">IFERROR(INDEX(凭证录入!H:H,$AR305),$AR305)</f>
        <v/>
      </c>
      <c r="F305" s="473">
        <f ca="1">IF(OR($BG$2=0,$AR305=""),,IF($AR305="本月合计",IF(ROW()=$BG$3,SUM($F$6:$F304),SUM(INDIRECT("$F$"&amp;OFFSET($AU$3,,MATCH(ROW(),$AU$3:$BF$3,)-2)+2&amp;":$E"&amp;ROW()-1))),IF($AR305="本年累计",SUMIF($AR$6:$AR305,"本月合计",$F$6:$F304),INDEX(凭证录入!K:K,$AR305))))</f>
        <v>0</v>
      </c>
      <c r="G305" s="459" t="str">
        <f t="shared" ca="1" si="66"/>
        <v/>
      </c>
      <c r="H305" s="460" t="str">
        <f t="shared" ca="1" si="66"/>
        <v/>
      </c>
      <c r="I305" s="460" t="str">
        <f t="shared" ca="1" si="66"/>
        <v/>
      </c>
      <c r="J305" s="460" t="str">
        <f t="shared" ca="1" si="66"/>
        <v/>
      </c>
      <c r="K305" s="460" t="str">
        <f t="shared" ca="1" si="66"/>
        <v/>
      </c>
      <c r="L305" s="460" t="str">
        <f t="shared" ca="1" si="66"/>
        <v/>
      </c>
      <c r="M305" s="460" t="str">
        <f t="shared" ca="1" si="66"/>
        <v/>
      </c>
      <c r="N305" s="460" t="str">
        <f t="shared" ca="1" si="66"/>
        <v/>
      </c>
      <c r="O305" s="461" t="str">
        <f t="shared" ca="1" si="66"/>
        <v/>
      </c>
      <c r="P305" s="474" t="str">
        <f t="shared" ca="1" si="66"/>
        <v/>
      </c>
      <c r="Q305" s="475" t="str">
        <f t="shared" ca="1" si="66"/>
        <v/>
      </c>
      <c r="R305" s="476">
        <f ca="1">IF(OR($BG$2=0,$AR305=""),,IF($AR305="本月合计",IF(ROW()=$BG$3,SUM($R$6:$R304),SUM(INDIRECT("$R$"&amp;OFFSET($AU$3,,MATCH(ROW(),$AU$3:$BF$3,)-2)+2&amp;":$R"&amp;ROW()-1))),IF($AR305="本年累计",SUMIF($AR$6:$AR305,"本月合计",$R$6:$R304),INDEX(凭证录入!L:L,$AR305))))</f>
        <v>0</v>
      </c>
      <c r="S305" s="459" t="str">
        <f t="shared" ca="1" si="67"/>
        <v/>
      </c>
      <c r="T305" s="460" t="str">
        <f t="shared" ca="1" si="67"/>
        <v/>
      </c>
      <c r="U305" s="460" t="str">
        <f t="shared" ca="1" si="67"/>
        <v/>
      </c>
      <c r="V305" s="460" t="str">
        <f t="shared" ca="1" si="67"/>
        <v/>
      </c>
      <c r="W305" s="460" t="str">
        <f t="shared" ca="1" si="67"/>
        <v/>
      </c>
      <c r="X305" s="460" t="str">
        <f t="shared" ca="1" si="67"/>
        <v/>
      </c>
      <c r="Y305" s="460" t="str">
        <f t="shared" ca="1" si="67"/>
        <v/>
      </c>
      <c r="Z305" s="460" t="str">
        <f t="shared" ca="1" si="67"/>
        <v/>
      </c>
      <c r="AA305" s="461" t="str">
        <f t="shared" ca="1" si="67"/>
        <v/>
      </c>
      <c r="AB305" s="474" t="str">
        <f t="shared" ca="1" si="67"/>
        <v/>
      </c>
      <c r="AC305" s="475" t="str">
        <f t="shared" ca="1" si="67"/>
        <v/>
      </c>
      <c r="AD305" s="477" t="str">
        <f t="shared" ca="1" si="60"/>
        <v/>
      </c>
      <c r="AE305" s="478">
        <f t="shared" ca="1" si="61"/>
        <v>0</v>
      </c>
      <c r="AF305" s="459" t="str">
        <f t="shared" ca="1" si="65"/>
        <v/>
      </c>
      <c r="AG305" s="460" t="str">
        <f t="shared" ca="1" si="65"/>
        <v/>
      </c>
      <c r="AH305" s="460" t="str">
        <f t="shared" ca="1" si="65"/>
        <v/>
      </c>
      <c r="AI305" s="460" t="str">
        <f t="shared" ca="1" si="65"/>
        <v/>
      </c>
      <c r="AJ305" s="460" t="str">
        <f t="shared" ca="1" si="65"/>
        <v/>
      </c>
      <c r="AK305" s="460" t="str">
        <f t="shared" ca="1" si="65"/>
        <v/>
      </c>
      <c r="AL305" s="460" t="str">
        <f t="shared" ca="1" si="65"/>
        <v/>
      </c>
      <c r="AM305" s="460" t="str">
        <f t="shared" ca="1" si="65"/>
        <v/>
      </c>
      <c r="AN305" s="461" t="str">
        <f t="shared" ca="1" si="65"/>
        <v/>
      </c>
      <c r="AO305" s="474" t="str">
        <f t="shared" ca="1" si="65"/>
        <v/>
      </c>
      <c r="AP305" s="475" t="str">
        <f t="shared" ca="1" si="65"/>
        <v/>
      </c>
      <c r="AQ305" s="479" t="str">
        <f t="array" aca="1" ref="AQ305" ca="1">IF(ROW()-5&lt;=COUNTIF(科目编号,$AR$2),SMALL(IF(科目编号=$AR$2,ROW(科目编号),""),ROW()-5),"")</f>
        <v/>
      </c>
      <c r="AR305" s="480" t="str">
        <f ca="1">IF($BG$2=0,"",IF(AR304="本月合计","本年累计",IF(OR(ROW()=$AU$3,ROW()=$AV$3,ROW()=$AW$3,ROW()=$AX$3,ROW()=$AY$3,ROW()=$AZ$3,ROW()=$BA$3,ROW()=$BB$3,ROW()=$BC$3,ROW()=$BD$3,ROW()=$BE$3,ROW()=$BF$3),"本月合计",IF(ROW()&lt;7,$AQ$6,OFFSET($AQ$6,COUNT($AR$6:AR304),0)))))</f>
        <v/>
      </c>
    </row>
    <row r="306" spans="1:44">
      <c r="A306" s="469" t="str">
        <f ca="1">IFERROR(INDEX(凭证录入!A:A,$AR306),"")</f>
        <v/>
      </c>
      <c r="B306" s="469" t="str">
        <f ca="1">IFERROR(INDEX(凭证录入!B:B,$AR306),"")</f>
        <v/>
      </c>
      <c r="C306" s="470" t="str">
        <f ca="1">IFERROR(INDEX(凭证录入!G:G,$AR306),"")</f>
        <v/>
      </c>
      <c r="D306" s="471" t="str">
        <f ca="1">IFERROR(INDEX(凭证录入!F:F,$AR306),"")</f>
        <v/>
      </c>
      <c r="E306" s="472" t="str">
        <f ca="1">IFERROR(INDEX(凭证录入!H:H,$AR306),$AR306)</f>
        <v/>
      </c>
      <c r="F306" s="473">
        <f ca="1">IF(OR($BG$2=0,$AR306=""),,IF($AR306="本月合计",IF(ROW()=$BG$3,SUM($F$6:$F305),SUM(INDIRECT("$F$"&amp;OFFSET($AU$3,,MATCH(ROW(),$AU$3:$BF$3,)-2)+2&amp;":$E"&amp;ROW()-1))),IF($AR306="本年累计",SUMIF($AR$6:$AR306,"本月合计",$F$6:$F305),INDEX(凭证录入!K:K,$AR306))))</f>
        <v>0</v>
      </c>
      <c r="G306" s="459" t="str">
        <f t="shared" ca="1" si="66"/>
        <v/>
      </c>
      <c r="H306" s="460" t="str">
        <f t="shared" ca="1" si="66"/>
        <v/>
      </c>
      <c r="I306" s="460" t="str">
        <f t="shared" ca="1" si="66"/>
        <v/>
      </c>
      <c r="J306" s="460" t="str">
        <f t="shared" ca="1" si="66"/>
        <v/>
      </c>
      <c r="K306" s="460" t="str">
        <f t="shared" ca="1" si="66"/>
        <v/>
      </c>
      <c r="L306" s="460" t="str">
        <f t="shared" ca="1" si="66"/>
        <v/>
      </c>
      <c r="M306" s="460" t="str">
        <f t="shared" ca="1" si="66"/>
        <v/>
      </c>
      <c r="N306" s="460" t="str">
        <f t="shared" ca="1" si="66"/>
        <v/>
      </c>
      <c r="O306" s="461" t="str">
        <f t="shared" ca="1" si="66"/>
        <v/>
      </c>
      <c r="P306" s="474" t="str">
        <f t="shared" ca="1" si="66"/>
        <v/>
      </c>
      <c r="Q306" s="475" t="str">
        <f t="shared" ca="1" si="66"/>
        <v/>
      </c>
      <c r="R306" s="476">
        <f ca="1">IF(OR($BG$2=0,$AR306=""),,IF($AR306="本月合计",IF(ROW()=$BG$3,SUM($R$6:$R305),SUM(INDIRECT("$R$"&amp;OFFSET($AU$3,,MATCH(ROW(),$AU$3:$BF$3,)-2)+2&amp;":$R"&amp;ROW()-1))),IF($AR306="本年累计",SUMIF($AR$6:$AR306,"本月合计",$R$6:$R305),INDEX(凭证录入!L:L,$AR306))))</f>
        <v>0</v>
      </c>
      <c r="S306" s="459" t="str">
        <f t="shared" ca="1" si="67"/>
        <v/>
      </c>
      <c r="T306" s="460" t="str">
        <f t="shared" ca="1" si="67"/>
        <v/>
      </c>
      <c r="U306" s="460" t="str">
        <f t="shared" ca="1" si="67"/>
        <v/>
      </c>
      <c r="V306" s="460" t="str">
        <f t="shared" ca="1" si="67"/>
        <v/>
      </c>
      <c r="W306" s="460" t="str">
        <f t="shared" ca="1" si="67"/>
        <v/>
      </c>
      <c r="X306" s="460" t="str">
        <f t="shared" ca="1" si="67"/>
        <v/>
      </c>
      <c r="Y306" s="460" t="str">
        <f t="shared" ca="1" si="67"/>
        <v/>
      </c>
      <c r="Z306" s="460" t="str">
        <f t="shared" ca="1" si="67"/>
        <v/>
      </c>
      <c r="AA306" s="461" t="str">
        <f t="shared" ca="1" si="67"/>
        <v/>
      </c>
      <c r="AB306" s="474" t="str">
        <f t="shared" ca="1" si="67"/>
        <v/>
      </c>
      <c r="AC306" s="475" t="str">
        <f t="shared" ca="1" si="67"/>
        <v/>
      </c>
      <c r="AD306" s="477" t="str">
        <f t="shared" ca="1" si="60"/>
        <v/>
      </c>
      <c r="AE306" s="478">
        <f t="shared" ca="1" si="61"/>
        <v>0</v>
      </c>
      <c r="AF306" s="459" t="str">
        <f t="shared" ca="1" si="65"/>
        <v/>
      </c>
      <c r="AG306" s="460" t="str">
        <f t="shared" ca="1" si="65"/>
        <v/>
      </c>
      <c r="AH306" s="460" t="str">
        <f t="shared" ca="1" si="65"/>
        <v/>
      </c>
      <c r="AI306" s="460" t="str">
        <f t="shared" ca="1" si="65"/>
        <v/>
      </c>
      <c r="AJ306" s="460" t="str">
        <f t="shared" ca="1" si="65"/>
        <v/>
      </c>
      <c r="AK306" s="460" t="str">
        <f t="shared" ca="1" si="65"/>
        <v/>
      </c>
      <c r="AL306" s="460" t="str">
        <f t="shared" ca="1" si="65"/>
        <v/>
      </c>
      <c r="AM306" s="460" t="str">
        <f t="shared" ca="1" si="65"/>
        <v/>
      </c>
      <c r="AN306" s="461" t="str">
        <f t="shared" ca="1" si="65"/>
        <v/>
      </c>
      <c r="AO306" s="474" t="str">
        <f t="shared" ca="1" si="65"/>
        <v/>
      </c>
      <c r="AP306" s="475" t="str">
        <f t="shared" ca="1" si="65"/>
        <v/>
      </c>
      <c r="AQ306" s="479" t="str">
        <f t="array" aca="1" ref="AQ306" ca="1">IF(ROW()-5&lt;=COUNTIF(科目编号,$AR$2),SMALL(IF(科目编号=$AR$2,ROW(科目编号),""),ROW()-5),"")</f>
        <v/>
      </c>
      <c r="AR306" s="480" t="str">
        <f ca="1">IF($BG$2=0,"",IF(AR305="本月合计","本年累计",IF(OR(ROW()=$AU$3,ROW()=$AV$3,ROW()=$AW$3,ROW()=$AX$3,ROW()=$AY$3,ROW()=$AZ$3,ROW()=$BA$3,ROW()=$BB$3,ROW()=$BC$3,ROW()=$BD$3,ROW()=$BE$3,ROW()=$BF$3),"本月合计",IF(ROW()&lt;7,$AQ$6,OFFSET($AQ$6,COUNT($AR$6:AR305),0)))))</f>
        <v/>
      </c>
    </row>
    <row r="307" spans="1:44">
      <c r="A307" s="469" t="str">
        <f ca="1">IFERROR(INDEX(凭证录入!A:A,$AR307),"")</f>
        <v/>
      </c>
      <c r="B307" s="469" t="str">
        <f ca="1">IFERROR(INDEX(凭证录入!B:B,$AR307),"")</f>
        <v/>
      </c>
      <c r="C307" s="470" t="str">
        <f ca="1">IFERROR(INDEX(凭证录入!G:G,$AR307),"")</f>
        <v/>
      </c>
      <c r="D307" s="471" t="str">
        <f ca="1">IFERROR(INDEX(凭证录入!F:F,$AR307),"")</f>
        <v/>
      </c>
      <c r="E307" s="472" t="str">
        <f ca="1">IFERROR(INDEX(凭证录入!H:H,$AR307),$AR307)</f>
        <v/>
      </c>
      <c r="F307" s="473">
        <f ca="1">IF(OR($BG$2=0,$AR307=""),,IF($AR307="本月合计",IF(ROW()=$BG$3,SUM($F$6:$F306),SUM(INDIRECT("$F$"&amp;OFFSET($AU$3,,MATCH(ROW(),$AU$3:$BF$3,)-2)+2&amp;":$E"&amp;ROW()-1))),IF($AR307="本年累计",SUMIF($AR$6:$AR307,"本月合计",$F$6:$F306),INDEX(凭证录入!K:K,$AR307))))</f>
        <v>0</v>
      </c>
      <c r="G307" s="459" t="str">
        <f t="shared" ca="1" si="66"/>
        <v/>
      </c>
      <c r="H307" s="460" t="str">
        <f t="shared" ca="1" si="66"/>
        <v/>
      </c>
      <c r="I307" s="460" t="str">
        <f t="shared" ca="1" si="66"/>
        <v/>
      </c>
      <c r="J307" s="460" t="str">
        <f t="shared" ca="1" si="66"/>
        <v/>
      </c>
      <c r="K307" s="460" t="str">
        <f t="shared" ca="1" si="66"/>
        <v/>
      </c>
      <c r="L307" s="460" t="str">
        <f t="shared" ca="1" si="66"/>
        <v/>
      </c>
      <c r="M307" s="460" t="str">
        <f t="shared" ca="1" si="66"/>
        <v/>
      </c>
      <c r="N307" s="460" t="str">
        <f t="shared" ca="1" si="66"/>
        <v/>
      </c>
      <c r="O307" s="461" t="str">
        <f t="shared" ca="1" si="66"/>
        <v/>
      </c>
      <c r="P307" s="474" t="str">
        <f t="shared" ca="1" si="66"/>
        <v/>
      </c>
      <c r="Q307" s="475" t="str">
        <f t="shared" ca="1" si="66"/>
        <v/>
      </c>
      <c r="R307" s="476">
        <f ca="1">IF(OR($BG$2=0,$AR307=""),,IF($AR307="本月合计",IF(ROW()=$BG$3,SUM($R$6:$R306),SUM(INDIRECT("$R$"&amp;OFFSET($AU$3,,MATCH(ROW(),$AU$3:$BF$3,)-2)+2&amp;":$R"&amp;ROW()-1))),IF($AR307="本年累计",SUMIF($AR$6:$AR307,"本月合计",$R$6:$R306),INDEX(凭证录入!L:L,$AR307))))</f>
        <v>0</v>
      </c>
      <c r="S307" s="459" t="str">
        <f t="shared" ca="1" si="67"/>
        <v/>
      </c>
      <c r="T307" s="460" t="str">
        <f t="shared" ca="1" si="67"/>
        <v/>
      </c>
      <c r="U307" s="460" t="str">
        <f t="shared" ca="1" si="67"/>
        <v/>
      </c>
      <c r="V307" s="460" t="str">
        <f t="shared" ca="1" si="67"/>
        <v/>
      </c>
      <c r="W307" s="460" t="str">
        <f t="shared" ca="1" si="67"/>
        <v/>
      </c>
      <c r="X307" s="460" t="str">
        <f t="shared" ca="1" si="67"/>
        <v/>
      </c>
      <c r="Y307" s="460" t="str">
        <f t="shared" ca="1" si="67"/>
        <v/>
      </c>
      <c r="Z307" s="460" t="str">
        <f t="shared" ca="1" si="67"/>
        <v/>
      </c>
      <c r="AA307" s="461" t="str">
        <f t="shared" ca="1" si="67"/>
        <v/>
      </c>
      <c r="AB307" s="474" t="str">
        <f t="shared" ca="1" si="67"/>
        <v/>
      </c>
      <c r="AC307" s="475" t="str">
        <f t="shared" ca="1" si="67"/>
        <v/>
      </c>
      <c r="AD307" s="477" t="str">
        <f t="shared" ca="1" si="60"/>
        <v/>
      </c>
      <c r="AE307" s="478">
        <f t="shared" ca="1" si="61"/>
        <v>0</v>
      </c>
      <c r="AF307" s="459" t="str">
        <f t="shared" ca="1" si="65"/>
        <v/>
      </c>
      <c r="AG307" s="460" t="str">
        <f t="shared" ca="1" si="65"/>
        <v/>
      </c>
      <c r="AH307" s="460" t="str">
        <f t="shared" ca="1" si="65"/>
        <v/>
      </c>
      <c r="AI307" s="460" t="str">
        <f t="shared" ca="1" si="65"/>
        <v/>
      </c>
      <c r="AJ307" s="460" t="str">
        <f t="shared" ca="1" si="65"/>
        <v/>
      </c>
      <c r="AK307" s="460" t="str">
        <f t="shared" ca="1" si="65"/>
        <v/>
      </c>
      <c r="AL307" s="460" t="str">
        <f t="shared" ca="1" si="65"/>
        <v/>
      </c>
      <c r="AM307" s="460" t="str">
        <f t="shared" ca="1" si="65"/>
        <v/>
      </c>
      <c r="AN307" s="461" t="str">
        <f t="shared" ca="1" si="65"/>
        <v/>
      </c>
      <c r="AO307" s="474" t="str">
        <f t="shared" ca="1" si="65"/>
        <v/>
      </c>
      <c r="AP307" s="475" t="str">
        <f t="shared" ca="1" si="65"/>
        <v/>
      </c>
      <c r="AQ307" s="479" t="str">
        <f t="array" aca="1" ref="AQ307" ca="1">IF(ROW()-5&lt;=COUNTIF(科目编号,$AR$2),SMALL(IF(科目编号=$AR$2,ROW(科目编号),""),ROW()-5),"")</f>
        <v/>
      </c>
      <c r="AR307" s="480" t="str">
        <f ca="1">IF($BG$2=0,"",IF(AR306="本月合计","本年累计",IF(OR(ROW()=$AU$3,ROW()=$AV$3,ROW()=$AW$3,ROW()=$AX$3,ROW()=$AY$3,ROW()=$AZ$3,ROW()=$BA$3,ROW()=$BB$3,ROW()=$BC$3,ROW()=$BD$3,ROW()=$BE$3,ROW()=$BF$3),"本月合计",IF(ROW()&lt;7,$AQ$6,OFFSET($AQ$6,COUNT($AR$6:AR306),0)))))</f>
        <v/>
      </c>
    </row>
    <row r="308" spans="1:44">
      <c r="A308" s="469" t="str">
        <f ca="1">IFERROR(INDEX(凭证录入!A:A,$AR308),"")</f>
        <v/>
      </c>
      <c r="B308" s="469" t="str">
        <f ca="1">IFERROR(INDEX(凭证录入!B:B,$AR308),"")</f>
        <v/>
      </c>
      <c r="C308" s="470" t="str">
        <f ca="1">IFERROR(INDEX(凭证录入!G:G,$AR308),"")</f>
        <v/>
      </c>
      <c r="D308" s="471" t="str">
        <f ca="1">IFERROR(INDEX(凭证录入!F:F,$AR308),"")</f>
        <v/>
      </c>
      <c r="E308" s="472" t="str">
        <f ca="1">IFERROR(INDEX(凭证录入!H:H,$AR308),$AR308)</f>
        <v/>
      </c>
      <c r="F308" s="473">
        <f ca="1">IF(OR($BG$2=0,$AR308=""),,IF($AR308="本月合计",IF(ROW()=$BG$3,SUM($F$6:$F307),SUM(INDIRECT("$F$"&amp;OFFSET($AU$3,,MATCH(ROW(),$AU$3:$BF$3,)-2)+2&amp;":$E"&amp;ROW()-1))),IF($AR308="本年累计",SUMIF($AR$6:$AR308,"本月合计",$F$6:$F307),INDEX(凭证录入!K:K,$AR308))))</f>
        <v>0</v>
      </c>
      <c r="G308" s="459" t="str">
        <f t="shared" ca="1" si="66"/>
        <v/>
      </c>
      <c r="H308" s="460" t="str">
        <f t="shared" ca="1" si="66"/>
        <v/>
      </c>
      <c r="I308" s="460" t="str">
        <f t="shared" ca="1" si="66"/>
        <v/>
      </c>
      <c r="J308" s="460" t="str">
        <f t="shared" ca="1" si="66"/>
        <v/>
      </c>
      <c r="K308" s="460" t="str">
        <f t="shared" ca="1" si="66"/>
        <v/>
      </c>
      <c r="L308" s="460" t="str">
        <f t="shared" ca="1" si="66"/>
        <v/>
      </c>
      <c r="M308" s="460" t="str">
        <f t="shared" ca="1" si="66"/>
        <v/>
      </c>
      <c r="N308" s="460" t="str">
        <f t="shared" ca="1" si="66"/>
        <v/>
      </c>
      <c r="O308" s="461" t="str">
        <f t="shared" ca="1" si="66"/>
        <v/>
      </c>
      <c r="P308" s="474" t="str">
        <f t="shared" ca="1" si="66"/>
        <v/>
      </c>
      <c r="Q308" s="475" t="str">
        <f t="shared" ca="1" si="66"/>
        <v/>
      </c>
      <c r="R308" s="476">
        <f ca="1">IF(OR($BG$2=0,$AR308=""),,IF($AR308="本月合计",IF(ROW()=$BG$3,SUM($R$6:$R307),SUM(INDIRECT("$R$"&amp;OFFSET($AU$3,,MATCH(ROW(),$AU$3:$BF$3,)-2)+2&amp;":$R"&amp;ROW()-1))),IF($AR308="本年累计",SUMIF($AR$6:$AR308,"本月合计",$R$6:$R307),INDEX(凭证录入!L:L,$AR308))))</f>
        <v>0</v>
      </c>
      <c r="S308" s="459" t="str">
        <f t="shared" ca="1" si="67"/>
        <v/>
      </c>
      <c r="T308" s="460" t="str">
        <f t="shared" ca="1" si="67"/>
        <v/>
      </c>
      <c r="U308" s="460" t="str">
        <f t="shared" ca="1" si="67"/>
        <v/>
      </c>
      <c r="V308" s="460" t="str">
        <f t="shared" ca="1" si="67"/>
        <v/>
      </c>
      <c r="W308" s="460" t="str">
        <f t="shared" ca="1" si="67"/>
        <v/>
      </c>
      <c r="X308" s="460" t="str">
        <f t="shared" ca="1" si="67"/>
        <v/>
      </c>
      <c r="Y308" s="460" t="str">
        <f t="shared" ca="1" si="67"/>
        <v/>
      </c>
      <c r="Z308" s="460" t="str">
        <f t="shared" ca="1" si="67"/>
        <v/>
      </c>
      <c r="AA308" s="461" t="str">
        <f t="shared" ca="1" si="67"/>
        <v/>
      </c>
      <c r="AB308" s="474" t="str">
        <f t="shared" ca="1" si="67"/>
        <v/>
      </c>
      <c r="AC308" s="475" t="str">
        <f t="shared" ca="1" si="67"/>
        <v/>
      </c>
      <c r="AD308" s="477" t="str">
        <f t="shared" ca="1" si="60"/>
        <v/>
      </c>
      <c r="AE308" s="478">
        <f t="shared" ca="1" si="61"/>
        <v>0</v>
      </c>
      <c r="AF308" s="459" t="str">
        <f t="shared" ca="1" si="65"/>
        <v/>
      </c>
      <c r="AG308" s="460" t="str">
        <f t="shared" ca="1" si="65"/>
        <v/>
      </c>
      <c r="AH308" s="460" t="str">
        <f t="shared" ca="1" si="65"/>
        <v/>
      </c>
      <c r="AI308" s="460" t="str">
        <f t="shared" ca="1" si="65"/>
        <v/>
      </c>
      <c r="AJ308" s="460" t="str">
        <f t="shared" ca="1" si="65"/>
        <v/>
      </c>
      <c r="AK308" s="460" t="str">
        <f t="shared" ca="1" si="65"/>
        <v/>
      </c>
      <c r="AL308" s="460" t="str">
        <f t="shared" ca="1" si="65"/>
        <v/>
      </c>
      <c r="AM308" s="460" t="str">
        <f t="shared" ca="1" si="65"/>
        <v/>
      </c>
      <c r="AN308" s="461" t="str">
        <f t="shared" ca="1" si="65"/>
        <v/>
      </c>
      <c r="AO308" s="474" t="str">
        <f t="shared" ca="1" si="65"/>
        <v/>
      </c>
      <c r="AP308" s="475" t="str">
        <f t="shared" ca="1" si="65"/>
        <v/>
      </c>
      <c r="AQ308" s="479" t="str">
        <f t="array" aca="1" ref="AQ308" ca="1">IF(ROW()-5&lt;=COUNTIF(科目编号,$AR$2),SMALL(IF(科目编号=$AR$2,ROW(科目编号),""),ROW()-5),"")</f>
        <v/>
      </c>
      <c r="AR308" s="480" t="str">
        <f ca="1">IF($BG$2=0,"",IF(AR307="本月合计","本年累计",IF(OR(ROW()=$AU$3,ROW()=$AV$3,ROW()=$AW$3,ROW()=$AX$3,ROW()=$AY$3,ROW()=$AZ$3,ROW()=$BA$3,ROW()=$BB$3,ROW()=$BC$3,ROW()=$BD$3,ROW()=$BE$3,ROW()=$BF$3),"本月合计",IF(ROW()&lt;7,$AQ$6,OFFSET($AQ$6,COUNT($AR$6:AR307),0)))))</f>
        <v/>
      </c>
    </row>
    <row r="309" spans="1:44">
      <c r="A309" s="469" t="str">
        <f ca="1">IFERROR(INDEX(凭证录入!A:A,$AR309),"")</f>
        <v/>
      </c>
      <c r="B309" s="469" t="str">
        <f ca="1">IFERROR(INDEX(凭证录入!B:B,$AR309),"")</f>
        <v/>
      </c>
      <c r="C309" s="470" t="str">
        <f ca="1">IFERROR(INDEX(凭证录入!G:G,$AR309),"")</f>
        <v/>
      </c>
      <c r="D309" s="471" t="str">
        <f ca="1">IFERROR(INDEX(凭证录入!F:F,$AR309),"")</f>
        <v/>
      </c>
      <c r="E309" s="472" t="str">
        <f ca="1">IFERROR(INDEX(凭证录入!H:H,$AR309),$AR309)</f>
        <v/>
      </c>
      <c r="F309" s="473">
        <f ca="1">IF(OR($BG$2=0,$AR309=""),,IF($AR309="本月合计",IF(ROW()=$BG$3,SUM($F$6:$F308),SUM(INDIRECT("$F$"&amp;OFFSET($AU$3,,MATCH(ROW(),$AU$3:$BF$3,)-2)+2&amp;":$E"&amp;ROW()-1))),IF($AR309="本年累计",SUMIF($AR$6:$AR309,"本月合计",$F$6:$F308),INDEX(凭证录入!K:K,$AR309))))</f>
        <v>0</v>
      </c>
      <c r="G309" s="459" t="str">
        <f t="shared" ca="1" si="66"/>
        <v/>
      </c>
      <c r="H309" s="460" t="str">
        <f t="shared" ca="1" si="66"/>
        <v/>
      </c>
      <c r="I309" s="460" t="str">
        <f t="shared" ca="1" si="66"/>
        <v/>
      </c>
      <c r="J309" s="460" t="str">
        <f t="shared" ca="1" si="66"/>
        <v/>
      </c>
      <c r="K309" s="460" t="str">
        <f t="shared" ca="1" si="66"/>
        <v/>
      </c>
      <c r="L309" s="460" t="str">
        <f t="shared" ca="1" si="66"/>
        <v/>
      </c>
      <c r="M309" s="460" t="str">
        <f t="shared" ca="1" si="66"/>
        <v/>
      </c>
      <c r="N309" s="460" t="str">
        <f t="shared" ca="1" si="66"/>
        <v/>
      </c>
      <c r="O309" s="461" t="str">
        <f t="shared" ca="1" si="66"/>
        <v/>
      </c>
      <c r="P309" s="474" t="str">
        <f t="shared" ca="1" si="66"/>
        <v/>
      </c>
      <c r="Q309" s="475" t="str">
        <f t="shared" ca="1" si="66"/>
        <v/>
      </c>
      <c r="R309" s="476">
        <f ca="1">IF(OR($BG$2=0,$AR309=""),,IF($AR309="本月合计",IF(ROW()=$BG$3,SUM($R$6:$R308),SUM(INDIRECT("$R$"&amp;OFFSET($AU$3,,MATCH(ROW(),$AU$3:$BF$3,)-2)+2&amp;":$R"&amp;ROW()-1))),IF($AR309="本年累计",SUMIF($AR$6:$AR309,"本月合计",$R$6:$R308),INDEX(凭证录入!L:L,$AR309))))</f>
        <v>0</v>
      </c>
      <c r="S309" s="459" t="str">
        <f t="shared" ca="1" si="67"/>
        <v/>
      </c>
      <c r="T309" s="460" t="str">
        <f t="shared" ca="1" si="67"/>
        <v/>
      </c>
      <c r="U309" s="460" t="str">
        <f t="shared" ca="1" si="67"/>
        <v/>
      </c>
      <c r="V309" s="460" t="str">
        <f t="shared" ca="1" si="67"/>
        <v/>
      </c>
      <c r="W309" s="460" t="str">
        <f t="shared" ca="1" si="67"/>
        <v/>
      </c>
      <c r="X309" s="460" t="str">
        <f t="shared" ca="1" si="67"/>
        <v/>
      </c>
      <c r="Y309" s="460" t="str">
        <f t="shared" ca="1" si="67"/>
        <v/>
      </c>
      <c r="Z309" s="460" t="str">
        <f t="shared" ca="1" si="67"/>
        <v/>
      </c>
      <c r="AA309" s="461" t="str">
        <f t="shared" ca="1" si="67"/>
        <v/>
      </c>
      <c r="AB309" s="474" t="str">
        <f t="shared" ca="1" si="67"/>
        <v/>
      </c>
      <c r="AC309" s="475" t="str">
        <f t="shared" ca="1" si="67"/>
        <v/>
      </c>
      <c r="AD309" s="477" t="str">
        <f t="shared" ca="1" si="60"/>
        <v/>
      </c>
      <c r="AE309" s="478">
        <f t="shared" ca="1" si="61"/>
        <v>0</v>
      </c>
      <c r="AF309" s="459" t="str">
        <f t="shared" ref="AF309:AP324" ca="1" si="68">LEFT(RIGHT(TEXT($AE309/1%," ￥0; ￥-0;"),43-COLUMN()))</f>
        <v/>
      </c>
      <c r="AG309" s="460" t="str">
        <f t="shared" ca="1" si="68"/>
        <v/>
      </c>
      <c r="AH309" s="460" t="str">
        <f t="shared" ca="1" si="68"/>
        <v/>
      </c>
      <c r="AI309" s="460" t="str">
        <f t="shared" ca="1" si="68"/>
        <v/>
      </c>
      <c r="AJ309" s="460" t="str">
        <f t="shared" ca="1" si="68"/>
        <v/>
      </c>
      <c r="AK309" s="460" t="str">
        <f t="shared" ca="1" si="68"/>
        <v/>
      </c>
      <c r="AL309" s="460" t="str">
        <f t="shared" ca="1" si="68"/>
        <v/>
      </c>
      <c r="AM309" s="460" t="str">
        <f t="shared" ca="1" si="68"/>
        <v/>
      </c>
      <c r="AN309" s="461" t="str">
        <f t="shared" ca="1" si="68"/>
        <v/>
      </c>
      <c r="AO309" s="474" t="str">
        <f t="shared" ca="1" si="68"/>
        <v/>
      </c>
      <c r="AP309" s="475" t="str">
        <f t="shared" ca="1" si="68"/>
        <v/>
      </c>
      <c r="AQ309" s="479" t="str">
        <f t="array" aca="1" ref="AQ309" ca="1">IF(ROW()-5&lt;=COUNTIF(科目编号,$AR$2),SMALL(IF(科目编号=$AR$2,ROW(科目编号),""),ROW()-5),"")</f>
        <v/>
      </c>
      <c r="AR309" s="480" t="str">
        <f ca="1">IF($BG$2=0,"",IF(AR308="本月合计","本年累计",IF(OR(ROW()=$AU$3,ROW()=$AV$3,ROW()=$AW$3,ROW()=$AX$3,ROW()=$AY$3,ROW()=$AZ$3,ROW()=$BA$3,ROW()=$BB$3,ROW()=$BC$3,ROW()=$BD$3,ROW()=$BE$3,ROW()=$BF$3),"本月合计",IF(ROW()&lt;7,$AQ$6,OFFSET($AQ$6,COUNT($AR$6:AR308),0)))))</f>
        <v/>
      </c>
    </row>
    <row r="310" spans="1:44">
      <c r="A310" s="469" t="str">
        <f ca="1">IFERROR(INDEX(凭证录入!A:A,$AR310),"")</f>
        <v/>
      </c>
      <c r="B310" s="469" t="str">
        <f ca="1">IFERROR(INDEX(凭证录入!B:B,$AR310),"")</f>
        <v/>
      </c>
      <c r="C310" s="470" t="str">
        <f ca="1">IFERROR(INDEX(凭证录入!G:G,$AR310),"")</f>
        <v/>
      </c>
      <c r="D310" s="471" t="str">
        <f ca="1">IFERROR(INDEX(凭证录入!F:F,$AR310),"")</f>
        <v/>
      </c>
      <c r="E310" s="472" t="str">
        <f ca="1">IFERROR(INDEX(凭证录入!H:H,$AR310),$AR310)</f>
        <v/>
      </c>
      <c r="F310" s="473">
        <f ca="1">IF(OR($BG$2=0,$AR310=""),,IF($AR310="本月合计",IF(ROW()=$BG$3,SUM($F$6:$F309),SUM(INDIRECT("$F$"&amp;OFFSET($AU$3,,MATCH(ROW(),$AU$3:$BF$3,)-2)+2&amp;":$E"&amp;ROW()-1))),IF($AR310="本年累计",SUMIF($AR$6:$AR310,"本月合计",$F$6:$F309),INDEX(凭证录入!K:K,$AR310))))</f>
        <v>0</v>
      </c>
      <c r="G310" s="459" t="str">
        <f t="shared" ref="G310:Q325" ca="1" si="69">LEFT(RIGHT(TEXT($F310/1%," ￥0; ￥-0;"),18-COLUMN()))</f>
        <v/>
      </c>
      <c r="H310" s="460" t="str">
        <f t="shared" ca="1" si="69"/>
        <v/>
      </c>
      <c r="I310" s="460" t="str">
        <f t="shared" ca="1" si="69"/>
        <v/>
      </c>
      <c r="J310" s="460" t="str">
        <f t="shared" ca="1" si="69"/>
        <v/>
      </c>
      <c r="K310" s="460" t="str">
        <f t="shared" ca="1" si="69"/>
        <v/>
      </c>
      <c r="L310" s="460" t="str">
        <f t="shared" ca="1" si="69"/>
        <v/>
      </c>
      <c r="M310" s="460" t="str">
        <f t="shared" ca="1" si="69"/>
        <v/>
      </c>
      <c r="N310" s="460" t="str">
        <f t="shared" ca="1" si="69"/>
        <v/>
      </c>
      <c r="O310" s="461" t="str">
        <f t="shared" ca="1" si="69"/>
        <v/>
      </c>
      <c r="P310" s="474" t="str">
        <f t="shared" ca="1" si="69"/>
        <v/>
      </c>
      <c r="Q310" s="475" t="str">
        <f t="shared" ca="1" si="69"/>
        <v/>
      </c>
      <c r="R310" s="476">
        <f ca="1">IF(OR($BG$2=0,$AR310=""),,IF($AR310="本月合计",IF(ROW()=$BG$3,SUM($R$6:$R309),SUM(INDIRECT("$R$"&amp;OFFSET($AU$3,,MATCH(ROW(),$AU$3:$BF$3,)-2)+2&amp;":$R"&amp;ROW()-1))),IF($AR310="本年累计",SUMIF($AR$6:$AR310,"本月合计",$R$6:$R309),INDEX(凭证录入!L:L,$AR310))))</f>
        <v>0</v>
      </c>
      <c r="S310" s="459" t="str">
        <f t="shared" ref="S310:AC325" ca="1" si="70">LEFT(RIGHT(TEXT($R310/1%," ￥0; ￥-0;"),30-COLUMN()))</f>
        <v/>
      </c>
      <c r="T310" s="460" t="str">
        <f t="shared" ca="1" si="70"/>
        <v/>
      </c>
      <c r="U310" s="460" t="str">
        <f t="shared" ca="1" si="70"/>
        <v/>
      </c>
      <c r="V310" s="460" t="str">
        <f t="shared" ca="1" si="70"/>
        <v/>
      </c>
      <c r="W310" s="460" t="str">
        <f t="shared" ca="1" si="70"/>
        <v/>
      </c>
      <c r="X310" s="460" t="str">
        <f t="shared" ca="1" si="70"/>
        <v/>
      </c>
      <c r="Y310" s="460" t="str">
        <f t="shared" ca="1" si="70"/>
        <v/>
      </c>
      <c r="Z310" s="460" t="str">
        <f t="shared" ca="1" si="70"/>
        <v/>
      </c>
      <c r="AA310" s="461" t="str">
        <f t="shared" ca="1" si="70"/>
        <v/>
      </c>
      <c r="AB310" s="474" t="str">
        <f t="shared" ca="1" si="70"/>
        <v/>
      </c>
      <c r="AC310" s="475" t="str">
        <f t="shared" ca="1" si="70"/>
        <v/>
      </c>
      <c r="AD310" s="477" t="str">
        <f t="shared" ca="1" si="60"/>
        <v/>
      </c>
      <c r="AE310" s="478">
        <f t="shared" ca="1" si="61"/>
        <v>0</v>
      </c>
      <c r="AF310" s="459" t="str">
        <f t="shared" ca="1" si="68"/>
        <v/>
      </c>
      <c r="AG310" s="460" t="str">
        <f t="shared" ca="1" si="68"/>
        <v/>
      </c>
      <c r="AH310" s="460" t="str">
        <f t="shared" ca="1" si="68"/>
        <v/>
      </c>
      <c r="AI310" s="460" t="str">
        <f t="shared" ca="1" si="68"/>
        <v/>
      </c>
      <c r="AJ310" s="460" t="str">
        <f t="shared" ca="1" si="68"/>
        <v/>
      </c>
      <c r="AK310" s="460" t="str">
        <f t="shared" ca="1" si="68"/>
        <v/>
      </c>
      <c r="AL310" s="460" t="str">
        <f t="shared" ca="1" si="68"/>
        <v/>
      </c>
      <c r="AM310" s="460" t="str">
        <f t="shared" ca="1" si="68"/>
        <v/>
      </c>
      <c r="AN310" s="461" t="str">
        <f t="shared" ca="1" si="68"/>
        <v/>
      </c>
      <c r="AO310" s="474" t="str">
        <f t="shared" ca="1" si="68"/>
        <v/>
      </c>
      <c r="AP310" s="475" t="str">
        <f t="shared" ca="1" si="68"/>
        <v/>
      </c>
      <c r="AQ310" s="479" t="str">
        <f t="array" aca="1" ref="AQ310" ca="1">IF(ROW()-5&lt;=COUNTIF(科目编号,$AR$2),SMALL(IF(科目编号=$AR$2,ROW(科目编号),""),ROW()-5),"")</f>
        <v/>
      </c>
      <c r="AR310" s="480" t="str">
        <f ca="1">IF($BG$2=0,"",IF(AR309="本月合计","本年累计",IF(OR(ROW()=$AU$3,ROW()=$AV$3,ROW()=$AW$3,ROW()=$AX$3,ROW()=$AY$3,ROW()=$AZ$3,ROW()=$BA$3,ROW()=$BB$3,ROW()=$BC$3,ROW()=$BD$3,ROW()=$BE$3,ROW()=$BF$3),"本月合计",IF(ROW()&lt;7,$AQ$6,OFFSET($AQ$6,COUNT($AR$6:AR309),0)))))</f>
        <v/>
      </c>
    </row>
    <row r="311" spans="1:44">
      <c r="A311" s="469" t="str">
        <f ca="1">IFERROR(INDEX(凭证录入!A:A,$AR311),"")</f>
        <v/>
      </c>
      <c r="B311" s="469" t="str">
        <f ca="1">IFERROR(INDEX(凭证录入!B:B,$AR311),"")</f>
        <v/>
      </c>
      <c r="C311" s="470" t="str">
        <f ca="1">IFERROR(INDEX(凭证录入!G:G,$AR311),"")</f>
        <v/>
      </c>
      <c r="D311" s="471" t="str">
        <f ca="1">IFERROR(INDEX(凭证录入!F:F,$AR311),"")</f>
        <v/>
      </c>
      <c r="E311" s="472" t="str">
        <f ca="1">IFERROR(INDEX(凭证录入!H:H,$AR311),$AR311)</f>
        <v/>
      </c>
      <c r="F311" s="473">
        <f ca="1">IF(OR($BG$2=0,$AR311=""),,IF($AR311="本月合计",IF(ROW()=$BG$3,SUM($F$6:$F310),SUM(INDIRECT("$F$"&amp;OFFSET($AU$3,,MATCH(ROW(),$AU$3:$BF$3,)-2)+2&amp;":$E"&amp;ROW()-1))),IF($AR311="本年累计",SUMIF($AR$6:$AR311,"本月合计",$F$6:$F310),INDEX(凭证录入!K:K,$AR311))))</f>
        <v>0</v>
      </c>
      <c r="G311" s="459" t="str">
        <f t="shared" ca="1" si="69"/>
        <v/>
      </c>
      <c r="H311" s="460" t="str">
        <f t="shared" ca="1" si="69"/>
        <v/>
      </c>
      <c r="I311" s="460" t="str">
        <f t="shared" ca="1" si="69"/>
        <v/>
      </c>
      <c r="J311" s="460" t="str">
        <f t="shared" ca="1" si="69"/>
        <v/>
      </c>
      <c r="K311" s="460" t="str">
        <f t="shared" ca="1" si="69"/>
        <v/>
      </c>
      <c r="L311" s="460" t="str">
        <f t="shared" ca="1" si="69"/>
        <v/>
      </c>
      <c r="M311" s="460" t="str">
        <f t="shared" ca="1" si="69"/>
        <v/>
      </c>
      <c r="N311" s="460" t="str">
        <f t="shared" ca="1" si="69"/>
        <v/>
      </c>
      <c r="O311" s="461" t="str">
        <f t="shared" ca="1" si="69"/>
        <v/>
      </c>
      <c r="P311" s="474" t="str">
        <f t="shared" ca="1" si="69"/>
        <v/>
      </c>
      <c r="Q311" s="475" t="str">
        <f t="shared" ca="1" si="69"/>
        <v/>
      </c>
      <c r="R311" s="476">
        <f ca="1">IF(OR($BG$2=0,$AR311=""),,IF($AR311="本月合计",IF(ROW()=$BG$3,SUM($R$6:$R310),SUM(INDIRECT("$R$"&amp;OFFSET($AU$3,,MATCH(ROW(),$AU$3:$BF$3,)-2)+2&amp;":$R"&amp;ROW()-1))),IF($AR311="本年累计",SUMIF($AR$6:$AR311,"本月合计",$R$6:$R310),INDEX(凭证录入!L:L,$AR311))))</f>
        <v>0</v>
      </c>
      <c r="S311" s="459" t="str">
        <f t="shared" ca="1" si="70"/>
        <v/>
      </c>
      <c r="T311" s="460" t="str">
        <f t="shared" ca="1" si="70"/>
        <v/>
      </c>
      <c r="U311" s="460" t="str">
        <f t="shared" ca="1" si="70"/>
        <v/>
      </c>
      <c r="V311" s="460" t="str">
        <f t="shared" ca="1" si="70"/>
        <v/>
      </c>
      <c r="W311" s="460" t="str">
        <f t="shared" ca="1" si="70"/>
        <v/>
      </c>
      <c r="X311" s="460" t="str">
        <f t="shared" ca="1" si="70"/>
        <v/>
      </c>
      <c r="Y311" s="460" t="str">
        <f t="shared" ca="1" si="70"/>
        <v/>
      </c>
      <c r="Z311" s="460" t="str">
        <f t="shared" ca="1" si="70"/>
        <v/>
      </c>
      <c r="AA311" s="461" t="str">
        <f t="shared" ca="1" si="70"/>
        <v/>
      </c>
      <c r="AB311" s="474" t="str">
        <f t="shared" ca="1" si="70"/>
        <v/>
      </c>
      <c r="AC311" s="475" t="str">
        <f t="shared" ca="1" si="70"/>
        <v/>
      </c>
      <c r="AD311" s="477" t="str">
        <f t="shared" ca="1" si="60"/>
        <v/>
      </c>
      <c r="AE311" s="478">
        <f t="shared" ca="1" si="61"/>
        <v>0</v>
      </c>
      <c r="AF311" s="459" t="str">
        <f t="shared" ca="1" si="68"/>
        <v/>
      </c>
      <c r="AG311" s="460" t="str">
        <f t="shared" ca="1" si="68"/>
        <v/>
      </c>
      <c r="AH311" s="460" t="str">
        <f t="shared" ca="1" si="68"/>
        <v/>
      </c>
      <c r="AI311" s="460" t="str">
        <f t="shared" ca="1" si="68"/>
        <v/>
      </c>
      <c r="AJ311" s="460" t="str">
        <f t="shared" ca="1" si="68"/>
        <v/>
      </c>
      <c r="AK311" s="460" t="str">
        <f t="shared" ca="1" si="68"/>
        <v/>
      </c>
      <c r="AL311" s="460" t="str">
        <f t="shared" ca="1" si="68"/>
        <v/>
      </c>
      <c r="AM311" s="460" t="str">
        <f t="shared" ca="1" si="68"/>
        <v/>
      </c>
      <c r="AN311" s="461" t="str">
        <f t="shared" ca="1" si="68"/>
        <v/>
      </c>
      <c r="AO311" s="474" t="str">
        <f t="shared" ca="1" si="68"/>
        <v/>
      </c>
      <c r="AP311" s="475" t="str">
        <f t="shared" ca="1" si="68"/>
        <v/>
      </c>
      <c r="AQ311" s="479" t="str">
        <f t="array" aca="1" ref="AQ311" ca="1">IF(ROW()-5&lt;=COUNTIF(科目编号,$AR$2),SMALL(IF(科目编号=$AR$2,ROW(科目编号),""),ROW()-5),"")</f>
        <v/>
      </c>
      <c r="AR311" s="480" t="str">
        <f ca="1">IF($BG$2=0,"",IF(AR310="本月合计","本年累计",IF(OR(ROW()=$AU$3,ROW()=$AV$3,ROW()=$AW$3,ROW()=$AX$3,ROW()=$AY$3,ROW()=$AZ$3,ROW()=$BA$3,ROW()=$BB$3,ROW()=$BC$3,ROW()=$BD$3,ROW()=$BE$3,ROW()=$BF$3),"本月合计",IF(ROW()&lt;7,$AQ$6,OFFSET($AQ$6,COUNT($AR$6:AR310),0)))))</f>
        <v/>
      </c>
    </row>
    <row r="312" spans="1:44">
      <c r="A312" s="469" t="str">
        <f ca="1">IFERROR(INDEX(凭证录入!A:A,$AR312),"")</f>
        <v/>
      </c>
      <c r="B312" s="469" t="str">
        <f ca="1">IFERROR(INDEX(凭证录入!B:B,$AR312),"")</f>
        <v/>
      </c>
      <c r="C312" s="470" t="str">
        <f ca="1">IFERROR(INDEX(凭证录入!G:G,$AR312),"")</f>
        <v/>
      </c>
      <c r="D312" s="471" t="str">
        <f ca="1">IFERROR(INDEX(凭证录入!F:F,$AR312),"")</f>
        <v/>
      </c>
      <c r="E312" s="472" t="str">
        <f ca="1">IFERROR(INDEX(凭证录入!H:H,$AR312),$AR312)</f>
        <v/>
      </c>
      <c r="F312" s="473">
        <f ca="1">IF(OR($BG$2=0,$AR312=""),,IF($AR312="本月合计",IF(ROW()=$BG$3,SUM($F$6:$F311),SUM(INDIRECT("$F$"&amp;OFFSET($AU$3,,MATCH(ROW(),$AU$3:$BF$3,)-2)+2&amp;":$E"&amp;ROW()-1))),IF($AR312="本年累计",SUMIF($AR$6:$AR312,"本月合计",$F$6:$F311),INDEX(凭证录入!K:K,$AR312))))</f>
        <v>0</v>
      </c>
      <c r="G312" s="459" t="str">
        <f t="shared" ca="1" si="69"/>
        <v/>
      </c>
      <c r="H312" s="460" t="str">
        <f t="shared" ca="1" si="69"/>
        <v/>
      </c>
      <c r="I312" s="460" t="str">
        <f t="shared" ca="1" si="69"/>
        <v/>
      </c>
      <c r="J312" s="460" t="str">
        <f t="shared" ca="1" si="69"/>
        <v/>
      </c>
      <c r="K312" s="460" t="str">
        <f t="shared" ca="1" si="69"/>
        <v/>
      </c>
      <c r="L312" s="460" t="str">
        <f t="shared" ca="1" si="69"/>
        <v/>
      </c>
      <c r="M312" s="460" t="str">
        <f t="shared" ca="1" si="69"/>
        <v/>
      </c>
      <c r="N312" s="460" t="str">
        <f t="shared" ca="1" si="69"/>
        <v/>
      </c>
      <c r="O312" s="461" t="str">
        <f t="shared" ca="1" si="69"/>
        <v/>
      </c>
      <c r="P312" s="474" t="str">
        <f t="shared" ca="1" si="69"/>
        <v/>
      </c>
      <c r="Q312" s="475" t="str">
        <f t="shared" ca="1" si="69"/>
        <v/>
      </c>
      <c r="R312" s="476">
        <f ca="1">IF(OR($BG$2=0,$AR312=""),,IF($AR312="本月合计",IF(ROW()=$BG$3,SUM($R$6:$R311),SUM(INDIRECT("$R$"&amp;OFFSET($AU$3,,MATCH(ROW(),$AU$3:$BF$3,)-2)+2&amp;":$R"&amp;ROW()-1))),IF($AR312="本年累计",SUMIF($AR$6:$AR312,"本月合计",$R$6:$R311),INDEX(凭证录入!L:L,$AR312))))</f>
        <v>0</v>
      </c>
      <c r="S312" s="459" t="str">
        <f t="shared" ca="1" si="70"/>
        <v/>
      </c>
      <c r="T312" s="460" t="str">
        <f t="shared" ca="1" si="70"/>
        <v/>
      </c>
      <c r="U312" s="460" t="str">
        <f t="shared" ca="1" si="70"/>
        <v/>
      </c>
      <c r="V312" s="460" t="str">
        <f t="shared" ca="1" si="70"/>
        <v/>
      </c>
      <c r="W312" s="460" t="str">
        <f t="shared" ca="1" si="70"/>
        <v/>
      </c>
      <c r="X312" s="460" t="str">
        <f t="shared" ca="1" si="70"/>
        <v/>
      </c>
      <c r="Y312" s="460" t="str">
        <f t="shared" ca="1" si="70"/>
        <v/>
      </c>
      <c r="Z312" s="460" t="str">
        <f t="shared" ca="1" si="70"/>
        <v/>
      </c>
      <c r="AA312" s="461" t="str">
        <f t="shared" ca="1" si="70"/>
        <v/>
      </c>
      <c r="AB312" s="474" t="str">
        <f t="shared" ca="1" si="70"/>
        <v/>
      </c>
      <c r="AC312" s="475" t="str">
        <f t="shared" ca="1" si="70"/>
        <v/>
      </c>
      <c r="AD312" s="477" t="str">
        <f t="shared" ca="1" si="60"/>
        <v/>
      </c>
      <c r="AE312" s="478">
        <f t="shared" ca="1" si="61"/>
        <v>0</v>
      </c>
      <c r="AF312" s="459" t="str">
        <f t="shared" ca="1" si="68"/>
        <v/>
      </c>
      <c r="AG312" s="460" t="str">
        <f t="shared" ca="1" si="68"/>
        <v/>
      </c>
      <c r="AH312" s="460" t="str">
        <f t="shared" ca="1" si="68"/>
        <v/>
      </c>
      <c r="AI312" s="460" t="str">
        <f t="shared" ca="1" si="68"/>
        <v/>
      </c>
      <c r="AJ312" s="460" t="str">
        <f t="shared" ca="1" si="68"/>
        <v/>
      </c>
      <c r="AK312" s="460" t="str">
        <f t="shared" ca="1" si="68"/>
        <v/>
      </c>
      <c r="AL312" s="460" t="str">
        <f t="shared" ca="1" si="68"/>
        <v/>
      </c>
      <c r="AM312" s="460" t="str">
        <f t="shared" ca="1" si="68"/>
        <v/>
      </c>
      <c r="AN312" s="461" t="str">
        <f t="shared" ca="1" si="68"/>
        <v/>
      </c>
      <c r="AO312" s="474" t="str">
        <f t="shared" ca="1" si="68"/>
        <v/>
      </c>
      <c r="AP312" s="475" t="str">
        <f t="shared" ca="1" si="68"/>
        <v/>
      </c>
      <c r="AQ312" s="479" t="str">
        <f t="array" aca="1" ref="AQ312" ca="1">IF(ROW()-5&lt;=COUNTIF(科目编号,$AR$2),SMALL(IF(科目编号=$AR$2,ROW(科目编号),""),ROW()-5),"")</f>
        <v/>
      </c>
      <c r="AR312" s="480" t="str">
        <f ca="1">IF($BG$2=0,"",IF(AR311="本月合计","本年累计",IF(OR(ROW()=$AU$3,ROW()=$AV$3,ROW()=$AW$3,ROW()=$AX$3,ROW()=$AY$3,ROW()=$AZ$3,ROW()=$BA$3,ROW()=$BB$3,ROW()=$BC$3,ROW()=$BD$3,ROW()=$BE$3,ROW()=$BF$3),"本月合计",IF(ROW()&lt;7,$AQ$6,OFFSET($AQ$6,COUNT($AR$6:AR311),0)))))</f>
        <v/>
      </c>
    </row>
    <row r="313" spans="1:44">
      <c r="A313" s="469" t="str">
        <f ca="1">IFERROR(INDEX(凭证录入!A:A,$AR313),"")</f>
        <v/>
      </c>
      <c r="B313" s="469" t="str">
        <f ca="1">IFERROR(INDEX(凭证录入!B:B,$AR313),"")</f>
        <v/>
      </c>
      <c r="C313" s="470" t="str">
        <f ca="1">IFERROR(INDEX(凭证录入!G:G,$AR313),"")</f>
        <v/>
      </c>
      <c r="D313" s="471" t="str">
        <f ca="1">IFERROR(INDEX(凭证录入!F:F,$AR313),"")</f>
        <v/>
      </c>
      <c r="E313" s="472" t="str">
        <f ca="1">IFERROR(INDEX(凭证录入!H:H,$AR313),$AR313)</f>
        <v/>
      </c>
      <c r="F313" s="473">
        <f ca="1">IF(OR($BG$2=0,$AR313=""),,IF($AR313="本月合计",IF(ROW()=$BG$3,SUM($F$6:$F312),SUM(INDIRECT("$F$"&amp;OFFSET($AU$3,,MATCH(ROW(),$AU$3:$BF$3,)-2)+2&amp;":$E"&amp;ROW()-1))),IF($AR313="本年累计",SUMIF($AR$6:$AR313,"本月合计",$F$6:$F312),INDEX(凭证录入!K:K,$AR313))))</f>
        <v>0</v>
      </c>
      <c r="G313" s="459" t="str">
        <f t="shared" ca="1" si="69"/>
        <v/>
      </c>
      <c r="H313" s="460" t="str">
        <f t="shared" ca="1" si="69"/>
        <v/>
      </c>
      <c r="I313" s="460" t="str">
        <f t="shared" ca="1" si="69"/>
        <v/>
      </c>
      <c r="J313" s="460" t="str">
        <f t="shared" ca="1" si="69"/>
        <v/>
      </c>
      <c r="K313" s="460" t="str">
        <f t="shared" ca="1" si="69"/>
        <v/>
      </c>
      <c r="L313" s="460" t="str">
        <f t="shared" ca="1" si="69"/>
        <v/>
      </c>
      <c r="M313" s="460" t="str">
        <f t="shared" ca="1" si="69"/>
        <v/>
      </c>
      <c r="N313" s="460" t="str">
        <f t="shared" ca="1" si="69"/>
        <v/>
      </c>
      <c r="O313" s="461" t="str">
        <f t="shared" ca="1" si="69"/>
        <v/>
      </c>
      <c r="P313" s="474" t="str">
        <f t="shared" ca="1" si="69"/>
        <v/>
      </c>
      <c r="Q313" s="475" t="str">
        <f t="shared" ca="1" si="69"/>
        <v/>
      </c>
      <c r="R313" s="476">
        <f ca="1">IF(OR($BG$2=0,$AR313=""),,IF($AR313="本月合计",IF(ROW()=$BG$3,SUM($R$6:$R312),SUM(INDIRECT("$R$"&amp;OFFSET($AU$3,,MATCH(ROW(),$AU$3:$BF$3,)-2)+2&amp;":$R"&amp;ROW()-1))),IF($AR313="本年累计",SUMIF($AR$6:$AR313,"本月合计",$R$6:$R312),INDEX(凭证录入!L:L,$AR313))))</f>
        <v>0</v>
      </c>
      <c r="S313" s="459" t="str">
        <f t="shared" ca="1" si="70"/>
        <v/>
      </c>
      <c r="T313" s="460" t="str">
        <f t="shared" ca="1" si="70"/>
        <v/>
      </c>
      <c r="U313" s="460" t="str">
        <f t="shared" ca="1" si="70"/>
        <v/>
      </c>
      <c r="V313" s="460" t="str">
        <f t="shared" ca="1" si="70"/>
        <v/>
      </c>
      <c r="W313" s="460" t="str">
        <f t="shared" ca="1" si="70"/>
        <v/>
      </c>
      <c r="X313" s="460" t="str">
        <f t="shared" ca="1" si="70"/>
        <v/>
      </c>
      <c r="Y313" s="460" t="str">
        <f t="shared" ca="1" si="70"/>
        <v/>
      </c>
      <c r="Z313" s="460" t="str">
        <f t="shared" ca="1" si="70"/>
        <v/>
      </c>
      <c r="AA313" s="461" t="str">
        <f t="shared" ca="1" si="70"/>
        <v/>
      </c>
      <c r="AB313" s="474" t="str">
        <f t="shared" ca="1" si="70"/>
        <v/>
      </c>
      <c r="AC313" s="475" t="str">
        <f t="shared" ca="1" si="70"/>
        <v/>
      </c>
      <c r="AD313" s="477" t="str">
        <f t="shared" ca="1" si="60"/>
        <v/>
      </c>
      <c r="AE313" s="478">
        <f t="shared" ca="1" si="61"/>
        <v>0</v>
      </c>
      <c r="AF313" s="459" t="str">
        <f t="shared" ca="1" si="68"/>
        <v/>
      </c>
      <c r="AG313" s="460" t="str">
        <f t="shared" ca="1" si="68"/>
        <v/>
      </c>
      <c r="AH313" s="460" t="str">
        <f t="shared" ca="1" si="68"/>
        <v/>
      </c>
      <c r="AI313" s="460" t="str">
        <f t="shared" ca="1" si="68"/>
        <v/>
      </c>
      <c r="AJ313" s="460" t="str">
        <f t="shared" ca="1" si="68"/>
        <v/>
      </c>
      <c r="AK313" s="460" t="str">
        <f t="shared" ca="1" si="68"/>
        <v/>
      </c>
      <c r="AL313" s="460" t="str">
        <f t="shared" ca="1" si="68"/>
        <v/>
      </c>
      <c r="AM313" s="460" t="str">
        <f t="shared" ca="1" si="68"/>
        <v/>
      </c>
      <c r="AN313" s="461" t="str">
        <f t="shared" ca="1" si="68"/>
        <v/>
      </c>
      <c r="AO313" s="474" t="str">
        <f t="shared" ca="1" si="68"/>
        <v/>
      </c>
      <c r="AP313" s="475" t="str">
        <f t="shared" ca="1" si="68"/>
        <v/>
      </c>
      <c r="AQ313" s="479" t="str">
        <f t="array" aca="1" ref="AQ313" ca="1">IF(ROW()-5&lt;=COUNTIF(科目编号,$AR$2),SMALL(IF(科目编号=$AR$2,ROW(科目编号),""),ROW()-5),"")</f>
        <v/>
      </c>
      <c r="AR313" s="480" t="str">
        <f ca="1">IF($BG$2=0,"",IF(AR312="本月合计","本年累计",IF(OR(ROW()=$AU$3,ROW()=$AV$3,ROW()=$AW$3,ROW()=$AX$3,ROW()=$AY$3,ROW()=$AZ$3,ROW()=$BA$3,ROW()=$BB$3,ROW()=$BC$3,ROW()=$BD$3,ROW()=$BE$3,ROW()=$BF$3),"本月合计",IF(ROW()&lt;7,$AQ$6,OFFSET($AQ$6,COUNT($AR$6:AR312),0)))))</f>
        <v/>
      </c>
    </row>
    <row r="314" spans="1:44">
      <c r="A314" s="469" t="str">
        <f ca="1">IFERROR(INDEX(凭证录入!A:A,$AR314),"")</f>
        <v/>
      </c>
      <c r="B314" s="469" t="str">
        <f ca="1">IFERROR(INDEX(凭证录入!B:B,$AR314),"")</f>
        <v/>
      </c>
      <c r="C314" s="470" t="str">
        <f ca="1">IFERROR(INDEX(凭证录入!G:G,$AR314),"")</f>
        <v/>
      </c>
      <c r="D314" s="471" t="str">
        <f ca="1">IFERROR(INDEX(凭证录入!F:F,$AR314),"")</f>
        <v/>
      </c>
      <c r="E314" s="472" t="str">
        <f ca="1">IFERROR(INDEX(凭证录入!H:H,$AR314),$AR314)</f>
        <v/>
      </c>
      <c r="F314" s="473">
        <f ca="1">IF(OR($BG$2=0,$AR314=""),,IF($AR314="本月合计",IF(ROW()=$BG$3,SUM($F$6:$F313),SUM(INDIRECT("$F$"&amp;OFFSET($AU$3,,MATCH(ROW(),$AU$3:$BF$3,)-2)+2&amp;":$E"&amp;ROW()-1))),IF($AR314="本年累计",SUMIF($AR$6:$AR314,"本月合计",$F$6:$F313),INDEX(凭证录入!K:K,$AR314))))</f>
        <v>0</v>
      </c>
      <c r="G314" s="459" t="str">
        <f t="shared" ca="1" si="69"/>
        <v/>
      </c>
      <c r="H314" s="460" t="str">
        <f t="shared" ca="1" si="69"/>
        <v/>
      </c>
      <c r="I314" s="460" t="str">
        <f t="shared" ca="1" si="69"/>
        <v/>
      </c>
      <c r="J314" s="460" t="str">
        <f t="shared" ca="1" si="69"/>
        <v/>
      </c>
      <c r="K314" s="460" t="str">
        <f t="shared" ca="1" si="69"/>
        <v/>
      </c>
      <c r="L314" s="460" t="str">
        <f t="shared" ca="1" si="69"/>
        <v/>
      </c>
      <c r="M314" s="460" t="str">
        <f t="shared" ca="1" si="69"/>
        <v/>
      </c>
      <c r="N314" s="460" t="str">
        <f t="shared" ca="1" si="69"/>
        <v/>
      </c>
      <c r="O314" s="461" t="str">
        <f t="shared" ca="1" si="69"/>
        <v/>
      </c>
      <c r="P314" s="474" t="str">
        <f t="shared" ca="1" si="69"/>
        <v/>
      </c>
      <c r="Q314" s="475" t="str">
        <f t="shared" ca="1" si="69"/>
        <v/>
      </c>
      <c r="R314" s="476">
        <f ca="1">IF(OR($BG$2=0,$AR314=""),,IF($AR314="本月合计",IF(ROW()=$BG$3,SUM($R$6:$R313),SUM(INDIRECT("$R$"&amp;OFFSET($AU$3,,MATCH(ROW(),$AU$3:$BF$3,)-2)+2&amp;":$R"&amp;ROW()-1))),IF($AR314="本年累计",SUMIF($AR$6:$AR314,"本月合计",$R$6:$R313),INDEX(凭证录入!L:L,$AR314))))</f>
        <v>0</v>
      </c>
      <c r="S314" s="459" t="str">
        <f t="shared" ca="1" si="70"/>
        <v/>
      </c>
      <c r="T314" s="460" t="str">
        <f t="shared" ca="1" si="70"/>
        <v/>
      </c>
      <c r="U314" s="460" t="str">
        <f t="shared" ca="1" si="70"/>
        <v/>
      </c>
      <c r="V314" s="460" t="str">
        <f t="shared" ca="1" si="70"/>
        <v/>
      </c>
      <c r="W314" s="460" t="str">
        <f t="shared" ca="1" si="70"/>
        <v/>
      </c>
      <c r="X314" s="460" t="str">
        <f t="shared" ca="1" si="70"/>
        <v/>
      </c>
      <c r="Y314" s="460" t="str">
        <f t="shared" ca="1" si="70"/>
        <v/>
      </c>
      <c r="Z314" s="460" t="str">
        <f t="shared" ca="1" si="70"/>
        <v/>
      </c>
      <c r="AA314" s="461" t="str">
        <f t="shared" ca="1" si="70"/>
        <v/>
      </c>
      <c r="AB314" s="474" t="str">
        <f t="shared" ca="1" si="70"/>
        <v/>
      </c>
      <c r="AC314" s="475" t="str">
        <f t="shared" ca="1" si="70"/>
        <v/>
      </c>
      <c r="AD314" s="477" t="str">
        <f t="shared" ca="1" si="60"/>
        <v/>
      </c>
      <c r="AE314" s="478">
        <f t="shared" ca="1" si="61"/>
        <v>0</v>
      </c>
      <c r="AF314" s="459" t="str">
        <f t="shared" ca="1" si="68"/>
        <v/>
      </c>
      <c r="AG314" s="460" t="str">
        <f t="shared" ca="1" si="68"/>
        <v/>
      </c>
      <c r="AH314" s="460" t="str">
        <f t="shared" ca="1" si="68"/>
        <v/>
      </c>
      <c r="AI314" s="460" t="str">
        <f t="shared" ca="1" si="68"/>
        <v/>
      </c>
      <c r="AJ314" s="460" t="str">
        <f t="shared" ca="1" si="68"/>
        <v/>
      </c>
      <c r="AK314" s="460" t="str">
        <f t="shared" ca="1" si="68"/>
        <v/>
      </c>
      <c r="AL314" s="460" t="str">
        <f t="shared" ca="1" si="68"/>
        <v/>
      </c>
      <c r="AM314" s="460" t="str">
        <f t="shared" ca="1" si="68"/>
        <v/>
      </c>
      <c r="AN314" s="461" t="str">
        <f t="shared" ca="1" si="68"/>
        <v/>
      </c>
      <c r="AO314" s="474" t="str">
        <f t="shared" ca="1" si="68"/>
        <v/>
      </c>
      <c r="AP314" s="475" t="str">
        <f t="shared" ca="1" si="68"/>
        <v/>
      </c>
      <c r="AQ314" s="479" t="str">
        <f t="array" aca="1" ref="AQ314" ca="1">IF(ROW()-5&lt;=COUNTIF(科目编号,$AR$2),SMALL(IF(科目编号=$AR$2,ROW(科目编号),""),ROW()-5),"")</f>
        <v/>
      </c>
      <c r="AR314" s="480" t="str">
        <f ca="1">IF($BG$2=0,"",IF(AR313="本月合计","本年累计",IF(OR(ROW()=$AU$3,ROW()=$AV$3,ROW()=$AW$3,ROW()=$AX$3,ROW()=$AY$3,ROW()=$AZ$3,ROW()=$BA$3,ROW()=$BB$3,ROW()=$BC$3,ROW()=$BD$3,ROW()=$BE$3,ROW()=$BF$3),"本月合计",IF(ROW()&lt;7,$AQ$6,OFFSET($AQ$6,COUNT($AR$6:AR313),0)))))</f>
        <v/>
      </c>
    </row>
    <row r="315" spans="1:44">
      <c r="A315" s="469" t="str">
        <f ca="1">IFERROR(INDEX(凭证录入!A:A,$AR315),"")</f>
        <v/>
      </c>
      <c r="B315" s="469" t="str">
        <f ca="1">IFERROR(INDEX(凭证录入!B:B,$AR315),"")</f>
        <v/>
      </c>
      <c r="C315" s="470" t="str">
        <f ca="1">IFERROR(INDEX(凭证录入!G:G,$AR315),"")</f>
        <v/>
      </c>
      <c r="D315" s="471" t="str">
        <f ca="1">IFERROR(INDEX(凭证录入!F:F,$AR315),"")</f>
        <v/>
      </c>
      <c r="E315" s="472" t="str">
        <f ca="1">IFERROR(INDEX(凭证录入!H:H,$AR315),$AR315)</f>
        <v/>
      </c>
      <c r="F315" s="473">
        <f ca="1">IF(OR($BG$2=0,$AR315=""),,IF($AR315="本月合计",IF(ROW()=$BG$3,SUM($F$6:$F314),SUM(INDIRECT("$F$"&amp;OFFSET($AU$3,,MATCH(ROW(),$AU$3:$BF$3,)-2)+2&amp;":$E"&amp;ROW()-1))),IF($AR315="本年累计",SUMIF($AR$6:$AR315,"本月合计",$F$6:$F314),INDEX(凭证录入!K:K,$AR315))))</f>
        <v>0</v>
      </c>
      <c r="G315" s="459" t="str">
        <f t="shared" ca="1" si="69"/>
        <v/>
      </c>
      <c r="H315" s="460" t="str">
        <f t="shared" ca="1" si="69"/>
        <v/>
      </c>
      <c r="I315" s="460" t="str">
        <f t="shared" ca="1" si="69"/>
        <v/>
      </c>
      <c r="J315" s="460" t="str">
        <f t="shared" ca="1" si="69"/>
        <v/>
      </c>
      <c r="K315" s="460" t="str">
        <f t="shared" ca="1" si="69"/>
        <v/>
      </c>
      <c r="L315" s="460" t="str">
        <f t="shared" ca="1" si="69"/>
        <v/>
      </c>
      <c r="M315" s="460" t="str">
        <f t="shared" ca="1" si="69"/>
        <v/>
      </c>
      <c r="N315" s="460" t="str">
        <f t="shared" ca="1" si="69"/>
        <v/>
      </c>
      <c r="O315" s="461" t="str">
        <f t="shared" ca="1" si="69"/>
        <v/>
      </c>
      <c r="P315" s="474" t="str">
        <f t="shared" ca="1" si="69"/>
        <v/>
      </c>
      <c r="Q315" s="475" t="str">
        <f t="shared" ca="1" si="69"/>
        <v/>
      </c>
      <c r="R315" s="476">
        <f ca="1">IF(OR($BG$2=0,$AR315=""),,IF($AR315="本月合计",IF(ROW()=$BG$3,SUM($R$6:$R314),SUM(INDIRECT("$R$"&amp;OFFSET($AU$3,,MATCH(ROW(),$AU$3:$BF$3,)-2)+2&amp;":$R"&amp;ROW()-1))),IF($AR315="本年累计",SUMIF($AR$6:$AR315,"本月合计",$R$6:$R314),INDEX(凭证录入!L:L,$AR315))))</f>
        <v>0</v>
      </c>
      <c r="S315" s="459" t="str">
        <f t="shared" ca="1" si="70"/>
        <v/>
      </c>
      <c r="T315" s="460" t="str">
        <f t="shared" ca="1" si="70"/>
        <v/>
      </c>
      <c r="U315" s="460" t="str">
        <f t="shared" ca="1" si="70"/>
        <v/>
      </c>
      <c r="V315" s="460" t="str">
        <f t="shared" ca="1" si="70"/>
        <v/>
      </c>
      <c r="W315" s="460" t="str">
        <f t="shared" ca="1" si="70"/>
        <v/>
      </c>
      <c r="X315" s="460" t="str">
        <f t="shared" ca="1" si="70"/>
        <v/>
      </c>
      <c r="Y315" s="460" t="str">
        <f t="shared" ca="1" si="70"/>
        <v/>
      </c>
      <c r="Z315" s="460" t="str">
        <f t="shared" ca="1" si="70"/>
        <v/>
      </c>
      <c r="AA315" s="461" t="str">
        <f t="shared" ca="1" si="70"/>
        <v/>
      </c>
      <c r="AB315" s="474" t="str">
        <f t="shared" ca="1" si="70"/>
        <v/>
      </c>
      <c r="AC315" s="475" t="str">
        <f t="shared" ca="1" si="70"/>
        <v/>
      </c>
      <c r="AD315" s="477" t="str">
        <f t="shared" ca="1" si="60"/>
        <v/>
      </c>
      <c r="AE315" s="478">
        <f t="shared" ca="1" si="61"/>
        <v>0</v>
      </c>
      <c r="AF315" s="459" t="str">
        <f t="shared" ca="1" si="68"/>
        <v/>
      </c>
      <c r="AG315" s="460" t="str">
        <f t="shared" ca="1" si="68"/>
        <v/>
      </c>
      <c r="AH315" s="460" t="str">
        <f t="shared" ca="1" si="68"/>
        <v/>
      </c>
      <c r="AI315" s="460" t="str">
        <f t="shared" ca="1" si="68"/>
        <v/>
      </c>
      <c r="AJ315" s="460" t="str">
        <f t="shared" ca="1" si="68"/>
        <v/>
      </c>
      <c r="AK315" s="460" t="str">
        <f t="shared" ca="1" si="68"/>
        <v/>
      </c>
      <c r="AL315" s="460" t="str">
        <f t="shared" ca="1" si="68"/>
        <v/>
      </c>
      <c r="AM315" s="460" t="str">
        <f t="shared" ca="1" si="68"/>
        <v/>
      </c>
      <c r="AN315" s="461" t="str">
        <f t="shared" ca="1" si="68"/>
        <v/>
      </c>
      <c r="AO315" s="474" t="str">
        <f t="shared" ca="1" si="68"/>
        <v/>
      </c>
      <c r="AP315" s="475" t="str">
        <f t="shared" ca="1" si="68"/>
        <v/>
      </c>
      <c r="AQ315" s="479" t="str">
        <f t="array" aca="1" ref="AQ315" ca="1">IF(ROW()-5&lt;=COUNTIF(科目编号,$AR$2),SMALL(IF(科目编号=$AR$2,ROW(科目编号),""),ROW()-5),"")</f>
        <v/>
      </c>
      <c r="AR315" s="480" t="str">
        <f ca="1">IF($BG$2=0,"",IF(AR314="本月合计","本年累计",IF(OR(ROW()=$AU$3,ROW()=$AV$3,ROW()=$AW$3,ROW()=$AX$3,ROW()=$AY$3,ROW()=$AZ$3,ROW()=$BA$3,ROW()=$BB$3,ROW()=$BC$3,ROW()=$BD$3,ROW()=$BE$3,ROW()=$BF$3),"本月合计",IF(ROW()&lt;7,$AQ$6,OFFSET($AQ$6,COUNT($AR$6:AR314),0)))))</f>
        <v/>
      </c>
    </row>
    <row r="316" spans="1:44">
      <c r="A316" s="469" t="str">
        <f ca="1">IFERROR(INDEX(凭证录入!A:A,$AR316),"")</f>
        <v/>
      </c>
      <c r="B316" s="469" t="str">
        <f ca="1">IFERROR(INDEX(凭证录入!B:B,$AR316),"")</f>
        <v/>
      </c>
      <c r="C316" s="470" t="str">
        <f ca="1">IFERROR(INDEX(凭证录入!G:G,$AR316),"")</f>
        <v/>
      </c>
      <c r="D316" s="471" t="str">
        <f ca="1">IFERROR(INDEX(凭证录入!F:F,$AR316),"")</f>
        <v/>
      </c>
      <c r="E316" s="472" t="str">
        <f ca="1">IFERROR(INDEX(凭证录入!H:H,$AR316),$AR316)</f>
        <v/>
      </c>
      <c r="F316" s="473">
        <f ca="1">IF(OR($BG$2=0,$AR316=""),,IF($AR316="本月合计",IF(ROW()=$BG$3,SUM($F$6:$F315),SUM(INDIRECT("$F$"&amp;OFFSET($AU$3,,MATCH(ROW(),$AU$3:$BF$3,)-2)+2&amp;":$E"&amp;ROW()-1))),IF($AR316="本年累计",SUMIF($AR$6:$AR316,"本月合计",$F$6:$F315),INDEX(凭证录入!K:K,$AR316))))</f>
        <v>0</v>
      </c>
      <c r="G316" s="459" t="str">
        <f t="shared" ca="1" si="69"/>
        <v/>
      </c>
      <c r="H316" s="460" t="str">
        <f t="shared" ca="1" si="69"/>
        <v/>
      </c>
      <c r="I316" s="460" t="str">
        <f t="shared" ca="1" si="69"/>
        <v/>
      </c>
      <c r="J316" s="460" t="str">
        <f t="shared" ca="1" si="69"/>
        <v/>
      </c>
      <c r="K316" s="460" t="str">
        <f t="shared" ca="1" si="69"/>
        <v/>
      </c>
      <c r="L316" s="460" t="str">
        <f t="shared" ca="1" si="69"/>
        <v/>
      </c>
      <c r="M316" s="460" t="str">
        <f t="shared" ca="1" si="69"/>
        <v/>
      </c>
      <c r="N316" s="460" t="str">
        <f t="shared" ca="1" si="69"/>
        <v/>
      </c>
      <c r="O316" s="461" t="str">
        <f t="shared" ca="1" si="69"/>
        <v/>
      </c>
      <c r="P316" s="474" t="str">
        <f t="shared" ca="1" si="69"/>
        <v/>
      </c>
      <c r="Q316" s="475" t="str">
        <f t="shared" ca="1" si="69"/>
        <v/>
      </c>
      <c r="R316" s="476">
        <f ca="1">IF(OR($BG$2=0,$AR316=""),,IF($AR316="本月合计",IF(ROW()=$BG$3,SUM($R$6:$R315),SUM(INDIRECT("$R$"&amp;OFFSET($AU$3,,MATCH(ROW(),$AU$3:$BF$3,)-2)+2&amp;":$R"&amp;ROW()-1))),IF($AR316="本年累计",SUMIF($AR$6:$AR316,"本月合计",$R$6:$R315),INDEX(凭证录入!L:L,$AR316))))</f>
        <v>0</v>
      </c>
      <c r="S316" s="459" t="str">
        <f t="shared" ca="1" si="70"/>
        <v/>
      </c>
      <c r="T316" s="460" t="str">
        <f t="shared" ca="1" si="70"/>
        <v/>
      </c>
      <c r="U316" s="460" t="str">
        <f t="shared" ca="1" si="70"/>
        <v/>
      </c>
      <c r="V316" s="460" t="str">
        <f t="shared" ca="1" si="70"/>
        <v/>
      </c>
      <c r="W316" s="460" t="str">
        <f t="shared" ca="1" si="70"/>
        <v/>
      </c>
      <c r="X316" s="460" t="str">
        <f t="shared" ca="1" si="70"/>
        <v/>
      </c>
      <c r="Y316" s="460" t="str">
        <f t="shared" ca="1" si="70"/>
        <v/>
      </c>
      <c r="Z316" s="460" t="str">
        <f t="shared" ca="1" si="70"/>
        <v/>
      </c>
      <c r="AA316" s="461" t="str">
        <f t="shared" ca="1" si="70"/>
        <v/>
      </c>
      <c r="AB316" s="474" t="str">
        <f t="shared" ca="1" si="70"/>
        <v/>
      </c>
      <c r="AC316" s="475" t="str">
        <f t="shared" ca="1" si="70"/>
        <v/>
      </c>
      <c r="AD316" s="477" t="str">
        <f t="shared" ca="1" si="60"/>
        <v/>
      </c>
      <c r="AE316" s="478">
        <f t="shared" ca="1" si="61"/>
        <v>0</v>
      </c>
      <c r="AF316" s="459" t="str">
        <f t="shared" ca="1" si="68"/>
        <v/>
      </c>
      <c r="AG316" s="460" t="str">
        <f t="shared" ca="1" si="68"/>
        <v/>
      </c>
      <c r="AH316" s="460" t="str">
        <f t="shared" ca="1" si="68"/>
        <v/>
      </c>
      <c r="AI316" s="460" t="str">
        <f t="shared" ca="1" si="68"/>
        <v/>
      </c>
      <c r="AJ316" s="460" t="str">
        <f t="shared" ca="1" si="68"/>
        <v/>
      </c>
      <c r="AK316" s="460" t="str">
        <f t="shared" ca="1" si="68"/>
        <v/>
      </c>
      <c r="AL316" s="460" t="str">
        <f t="shared" ca="1" si="68"/>
        <v/>
      </c>
      <c r="AM316" s="460" t="str">
        <f t="shared" ca="1" si="68"/>
        <v/>
      </c>
      <c r="AN316" s="461" t="str">
        <f t="shared" ca="1" si="68"/>
        <v/>
      </c>
      <c r="AO316" s="474" t="str">
        <f t="shared" ca="1" si="68"/>
        <v/>
      </c>
      <c r="AP316" s="475" t="str">
        <f t="shared" ca="1" si="68"/>
        <v/>
      </c>
      <c r="AQ316" s="479" t="str">
        <f t="array" aca="1" ref="AQ316" ca="1">IF(ROW()-5&lt;=COUNTIF(科目编号,$AR$2),SMALL(IF(科目编号=$AR$2,ROW(科目编号),""),ROW()-5),"")</f>
        <v/>
      </c>
      <c r="AR316" s="480" t="str">
        <f ca="1">IF($BG$2=0,"",IF(AR315="本月合计","本年累计",IF(OR(ROW()=$AU$3,ROW()=$AV$3,ROW()=$AW$3,ROW()=$AX$3,ROW()=$AY$3,ROW()=$AZ$3,ROW()=$BA$3,ROW()=$BB$3,ROW()=$BC$3,ROW()=$BD$3,ROW()=$BE$3,ROW()=$BF$3),"本月合计",IF(ROW()&lt;7,$AQ$6,OFFSET($AQ$6,COUNT($AR$6:AR315),0)))))</f>
        <v/>
      </c>
    </row>
    <row r="317" spans="1:44">
      <c r="A317" s="469" t="str">
        <f ca="1">IFERROR(INDEX(凭证录入!A:A,$AR317),"")</f>
        <v/>
      </c>
      <c r="B317" s="469" t="str">
        <f ca="1">IFERROR(INDEX(凭证录入!B:B,$AR317),"")</f>
        <v/>
      </c>
      <c r="C317" s="470" t="str">
        <f ca="1">IFERROR(INDEX(凭证录入!G:G,$AR317),"")</f>
        <v/>
      </c>
      <c r="D317" s="471" t="str">
        <f ca="1">IFERROR(INDEX(凭证录入!F:F,$AR317),"")</f>
        <v/>
      </c>
      <c r="E317" s="472" t="str">
        <f ca="1">IFERROR(INDEX(凭证录入!H:H,$AR317),$AR317)</f>
        <v/>
      </c>
      <c r="F317" s="473">
        <f ca="1">IF(OR($BG$2=0,$AR317=""),,IF($AR317="本月合计",IF(ROW()=$BG$3,SUM($F$6:$F316),SUM(INDIRECT("$F$"&amp;OFFSET($AU$3,,MATCH(ROW(),$AU$3:$BF$3,)-2)+2&amp;":$E"&amp;ROW()-1))),IF($AR317="本年累计",SUMIF($AR$6:$AR317,"本月合计",$F$6:$F316),INDEX(凭证录入!K:K,$AR317))))</f>
        <v>0</v>
      </c>
      <c r="G317" s="459" t="str">
        <f t="shared" ca="1" si="69"/>
        <v/>
      </c>
      <c r="H317" s="460" t="str">
        <f t="shared" ca="1" si="69"/>
        <v/>
      </c>
      <c r="I317" s="460" t="str">
        <f t="shared" ca="1" si="69"/>
        <v/>
      </c>
      <c r="J317" s="460" t="str">
        <f t="shared" ca="1" si="69"/>
        <v/>
      </c>
      <c r="K317" s="460" t="str">
        <f t="shared" ca="1" si="69"/>
        <v/>
      </c>
      <c r="L317" s="460" t="str">
        <f t="shared" ca="1" si="69"/>
        <v/>
      </c>
      <c r="M317" s="460" t="str">
        <f t="shared" ca="1" si="69"/>
        <v/>
      </c>
      <c r="N317" s="460" t="str">
        <f t="shared" ca="1" si="69"/>
        <v/>
      </c>
      <c r="O317" s="461" t="str">
        <f t="shared" ca="1" si="69"/>
        <v/>
      </c>
      <c r="P317" s="474" t="str">
        <f t="shared" ca="1" si="69"/>
        <v/>
      </c>
      <c r="Q317" s="475" t="str">
        <f t="shared" ca="1" si="69"/>
        <v/>
      </c>
      <c r="R317" s="476">
        <f ca="1">IF(OR($BG$2=0,$AR317=""),,IF($AR317="本月合计",IF(ROW()=$BG$3,SUM($R$6:$R316),SUM(INDIRECT("$R$"&amp;OFFSET($AU$3,,MATCH(ROW(),$AU$3:$BF$3,)-2)+2&amp;":$R"&amp;ROW()-1))),IF($AR317="本年累计",SUMIF($AR$6:$AR317,"本月合计",$R$6:$R316),INDEX(凭证录入!L:L,$AR317))))</f>
        <v>0</v>
      </c>
      <c r="S317" s="459" t="str">
        <f t="shared" ca="1" si="70"/>
        <v/>
      </c>
      <c r="T317" s="460" t="str">
        <f t="shared" ca="1" si="70"/>
        <v/>
      </c>
      <c r="U317" s="460" t="str">
        <f t="shared" ca="1" si="70"/>
        <v/>
      </c>
      <c r="V317" s="460" t="str">
        <f t="shared" ca="1" si="70"/>
        <v/>
      </c>
      <c r="W317" s="460" t="str">
        <f t="shared" ca="1" si="70"/>
        <v/>
      </c>
      <c r="X317" s="460" t="str">
        <f t="shared" ca="1" si="70"/>
        <v/>
      </c>
      <c r="Y317" s="460" t="str">
        <f t="shared" ca="1" si="70"/>
        <v/>
      </c>
      <c r="Z317" s="460" t="str">
        <f t="shared" ca="1" si="70"/>
        <v/>
      </c>
      <c r="AA317" s="461" t="str">
        <f t="shared" ca="1" si="70"/>
        <v/>
      </c>
      <c r="AB317" s="474" t="str">
        <f t="shared" ca="1" si="70"/>
        <v/>
      </c>
      <c r="AC317" s="475" t="str">
        <f t="shared" ca="1" si="70"/>
        <v/>
      </c>
      <c r="AD317" s="477" t="str">
        <f t="shared" ca="1" si="60"/>
        <v/>
      </c>
      <c r="AE317" s="478">
        <f t="shared" ca="1" si="61"/>
        <v>0</v>
      </c>
      <c r="AF317" s="459" t="str">
        <f t="shared" ca="1" si="68"/>
        <v/>
      </c>
      <c r="AG317" s="460" t="str">
        <f t="shared" ca="1" si="68"/>
        <v/>
      </c>
      <c r="AH317" s="460" t="str">
        <f t="shared" ca="1" si="68"/>
        <v/>
      </c>
      <c r="AI317" s="460" t="str">
        <f t="shared" ca="1" si="68"/>
        <v/>
      </c>
      <c r="AJ317" s="460" t="str">
        <f t="shared" ca="1" si="68"/>
        <v/>
      </c>
      <c r="AK317" s="460" t="str">
        <f t="shared" ca="1" si="68"/>
        <v/>
      </c>
      <c r="AL317" s="460" t="str">
        <f t="shared" ca="1" si="68"/>
        <v/>
      </c>
      <c r="AM317" s="460" t="str">
        <f t="shared" ca="1" si="68"/>
        <v/>
      </c>
      <c r="AN317" s="461" t="str">
        <f t="shared" ca="1" si="68"/>
        <v/>
      </c>
      <c r="AO317" s="474" t="str">
        <f t="shared" ca="1" si="68"/>
        <v/>
      </c>
      <c r="AP317" s="475" t="str">
        <f t="shared" ca="1" si="68"/>
        <v/>
      </c>
      <c r="AQ317" s="479" t="str">
        <f t="array" aca="1" ref="AQ317" ca="1">IF(ROW()-5&lt;=COUNTIF(科目编号,$AR$2),SMALL(IF(科目编号=$AR$2,ROW(科目编号),""),ROW()-5),"")</f>
        <v/>
      </c>
      <c r="AR317" s="480" t="str">
        <f ca="1">IF($BG$2=0,"",IF(AR316="本月合计","本年累计",IF(OR(ROW()=$AU$3,ROW()=$AV$3,ROW()=$AW$3,ROW()=$AX$3,ROW()=$AY$3,ROW()=$AZ$3,ROW()=$BA$3,ROW()=$BB$3,ROW()=$BC$3,ROW()=$BD$3,ROW()=$BE$3,ROW()=$BF$3),"本月合计",IF(ROW()&lt;7,$AQ$6,OFFSET($AQ$6,COUNT($AR$6:AR316),0)))))</f>
        <v/>
      </c>
    </row>
    <row r="318" spans="1:44">
      <c r="A318" s="469" t="str">
        <f ca="1">IFERROR(INDEX(凭证录入!A:A,$AR318),"")</f>
        <v/>
      </c>
      <c r="B318" s="469" t="str">
        <f ca="1">IFERROR(INDEX(凭证录入!B:B,$AR318),"")</f>
        <v/>
      </c>
      <c r="C318" s="470" t="str">
        <f ca="1">IFERROR(INDEX(凭证录入!G:G,$AR318),"")</f>
        <v/>
      </c>
      <c r="D318" s="471" t="str">
        <f ca="1">IFERROR(INDEX(凭证录入!F:F,$AR318),"")</f>
        <v/>
      </c>
      <c r="E318" s="472" t="str">
        <f ca="1">IFERROR(INDEX(凭证录入!H:H,$AR318),$AR318)</f>
        <v/>
      </c>
      <c r="F318" s="473">
        <f ca="1">IF(OR($BG$2=0,$AR318=""),,IF($AR318="本月合计",IF(ROW()=$BG$3,SUM($F$6:$F317),SUM(INDIRECT("$F$"&amp;OFFSET($AU$3,,MATCH(ROW(),$AU$3:$BF$3,)-2)+2&amp;":$E"&amp;ROW()-1))),IF($AR318="本年累计",SUMIF($AR$6:$AR318,"本月合计",$F$6:$F317),INDEX(凭证录入!K:K,$AR318))))</f>
        <v>0</v>
      </c>
      <c r="G318" s="459" t="str">
        <f t="shared" ca="1" si="69"/>
        <v/>
      </c>
      <c r="H318" s="460" t="str">
        <f t="shared" ca="1" si="69"/>
        <v/>
      </c>
      <c r="I318" s="460" t="str">
        <f t="shared" ca="1" si="69"/>
        <v/>
      </c>
      <c r="J318" s="460" t="str">
        <f t="shared" ca="1" si="69"/>
        <v/>
      </c>
      <c r="K318" s="460" t="str">
        <f t="shared" ca="1" si="69"/>
        <v/>
      </c>
      <c r="L318" s="460" t="str">
        <f t="shared" ca="1" si="69"/>
        <v/>
      </c>
      <c r="M318" s="460" t="str">
        <f t="shared" ca="1" si="69"/>
        <v/>
      </c>
      <c r="N318" s="460" t="str">
        <f t="shared" ca="1" si="69"/>
        <v/>
      </c>
      <c r="O318" s="461" t="str">
        <f t="shared" ca="1" si="69"/>
        <v/>
      </c>
      <c r="P318" s="474" t="str">
        <f t="shared" ca="1" si="69"/>
        <v/>
      </c>
      <c r="Q318" s="475" t="str">
        <f t="shared" ca="1" si="69"/>
        <v/>
      </c>
      <c r="R318" s="476">
        <f ca="1">IF(OR($BG$2=0,$AR318=""),,IF($AR318="本月合计",IF(ROW()=$BG$3,SUM($R$6:$R317),SUM(INDIRECT("$R$"&amp;OFFSET($AU$3,,MATCH(ROW(),$AU$3:$BF$3,)-2)+2&amp;":$R"&amp;ROW()-1))),IF($AR318="本年累计",SUMIF($AR$6:$AR318,"本月合计",$R$6:$R317),INDEX(凭证录入!L:L,$AR318))))</f>
        <v>0</v>
      </c>
      <c r="S318" s="459" t="str">
        <f t="shared" ca="1" si="70"/>
        <v/>
      </c>
      <c r="T318" s="460" t="str">
        <f t="shared" ca="1" si="70"/>
        <v/>
      </c>
      <c r="U318" s="460" t="str">
        <f t="shared" ca="1" si="70"/>
        <v/>
      </c>
      <c r="V318" s="460" t="str">
        <f t="shared" ca="1" si="70"/>
        <v/>
      </c>
      <c r="W318" s="460" t="str">
        <f t="shared" ca="1" si="70"/>
        <v/>
      </c>
      <c r="X318" s="460" t="str">
        <f t="shared" ca="1" si="70"/>
        <v/>
      </c>
      <c r="Y318" s="460" t="str">
        <f t="shared" ca="1" si="70"/>
        <v/>
      </c>
      <c r="Z318" s="460" t="str">
        <f t="shared" ca="1" si="70"/>
        <v/>
      </c>
      <c r="AA318" s="461" t="str">
        <f t="shared" ca="1" si="70"/>
        <v/>
      </c>
      <c r="AB318" s="474" t="str">
        <f t="shared" ca="1" si="70"/>
        <v/>
      </c>
      <c r="AC318" s="475" t="str">
        <f t="shared" ca="1" si="70"/>
        <v/>
      </c>
      <c r="AD318" s="477" t="str">
        <f t="shared" ca="1" si="60"/>
        <v/>
      </c>
      <c r="AE318" s="478">
        <f t="shared" ca="1" si="61"/>
        <v>0</v>
      </c>
      <c r="AF318" s="459" t="str">
        <f t="shared" ca="1" si="68"/>
        <v/>
      </c>
      <c r="AG318" s="460" t="str">
        <f t="shared" ca="1" si="68"/>
        <v/>
      </c>
      <c r="AH318" s="460" t="str">
        <f t="shared" ca="1" si="68"/>
        <v/>
      </c>
      <c r="AI318" s="460" t="str">
        <f t="shared" ca="1" si="68"/>
        <v/>
      </c>
      <c r="AJ318" s="460" t="str">
        <f t="shared" ca="1" si="68"/>
        <v/>
      </c>
      <c r="AK318" s="460" t="str">
        <f t="shared" ca="1" si="68"/>
        <v/>
      </c>
      <c r="AL318" s="460" t="str">
        <f t="shared" ca="1" si="68"/>
        <v/>
      </c>
      <c r="AM318" s="460" t="str">
        <f t="shared" ca="1" si="68"/>
        <v/>
      </c>
      <c r="AN318" s="461" t="str">
        <f t="shared" ca="1" si="68"/>
        <v/>
      </c>
      <c r="AO318" s="474" t="str">
        <f t="shared" ca="1" si="68"/>
        <v/>
      </c>
      <c r="AP318" s="475" t="str">
        <f t="shared" ca="1" si="68"/>
        <v/>
      </c>
      <c r="AQ318" s="479" t="str">
        <f t="array" aca="1" ref="AQ318" ca="1">IF(ROW()-5&lt;=COUNTIF(科目编号,$AR$2),SMALL(IF(科目编号=$AR$2,ROW(科目编号),""),ROW()-5),"")</f>
        <v/>
      </c>
      <c r="AR318" s="480" t="str">
        <f ca="1">IF($BG$2=0,"",IF(AR317="本月合计","本年累计",IF(OR(ROW()=$AU$3,ROW()=$AV$3,ROW()=$AW$3,ROW()=$AX$3,ROW()=$AY$3,ROW()=$AZ$3,ROW()=$BA$3,ROW()=$BB$3,ROW()=$BC$3,ROW()=$BD$3,ROW()=$BE$3,ROW()=$BF$3),"本月合计",IF(ROW()&lt;7,$AQ$6,OFFSET($AQ$6,COUNT($AR$6:AR317),0)))))</f>
        <v/>
      </c>
    </row>
    <row r="319" spans="1:44">
      <c r="A319" s="469" t="str">
        <f ca="1">IFERROR(INDEX(凭证录入!A:A,$AR319),"")</f>
        <v/>
      </c>
      <c r="B319" s="469" t="str">
        <f ca="1">IFERROR(INDEX(凭证录入!B:B,$AR319),"")</f>
        <v/>
      </c>
      <c r="C319" s="470" t="str">
        <f ca="1">IFERROR(INDEX(凭证录入!G:G,$AR319),"")</f>
        <v/>
      </c>
      <c r="D319" s="471" t="str">
        <f ca="1">IFERROR(INDEX(凭证录入!F:F,$AR319),"")</f>
        <v/>
      </c>
      <c r="E319" s="472" t="str">
        <f ca="1">IFERROR(INDEX(凭证录入!H:H,$AR319),$AR319)</f>
        <v/>
      </c>
      <c r="F319" s="473">
        <f ca="1">IF(OR($BG$2=0,$AR319=""),,IF($AR319="本月合计",IF(ROW()=$BG$3,SUM($F$6:$F318),SUM(INDIRECT("$F$"&amp;OFFSET($AU$3,,MATCH(ROW(),$AU$3:$BF$3,)-2)+2&amp;":$E"&amp;ROW()-1))),IF($AR319="本年累计",SUMIF($AR$6:$AR319,"本月合计",$F$6:$F318),INDEX(凭证录入!K:K,$AR319))))</f>
        <v>0</v>
      </c>
      <c r="G319" s="459" t="str">
        <f t="shared" ca="1" si="69"/>
        <v/>
      </c>
      <c r="H319" s="460" t="str">
        <f t="shared" ca="1" si="69"/>
        <v/>
      </c>
      <c r="I319" s="460" t="str">
        <f t="shared" ca="1" si="69"/>
        <v/>
      </c>
      <c r="J319" s="460" t="str">
        <f t="shared" ca="1" si="69"/>
        <v/>
      </c>
      <c r="K319" s="460" t="str">
        <f t="shared" ca="1" si="69"/>
        <v/>
      </c>
      <c r="L319" s="460" t="str">
        <f t="shared" ca="1" si="69"/>
        <v/>
      </c>
      <c r="M319" s="460" t="str">
        <f t="shared" ca="1" si="69"/>
        <v/>
      </c>
      <c r="N319" s="460" t="str">
        <f t="shared" ca="1" si="69"/>
        <v/>
      </c>
      <c r="O319" s="461" t="str">
        <f t="shared" ca="1" si="69"/>
        <v/>
      </c>
      <c r="P319" s="474" t="str">
        <f t="shared" ca="1" si="69"/>
        <v/>
      </c>
      <c r="Q319" s="475" t="str">
        <f t="shared" ca="1" si="69"/>
        <v/>
      </c>
      <c r="R319" s="476">
        <f ca="1">IF(OR($BG$2=0,$AR319=""),,IF($AR319="本月合计",IF(ROW()=$BG$3,SUM($R$6:$R318),SUM(INDIRECT("$R$"&amp;OFFSET($AU$3,,MATCH(ROW(),$AU$3:$BF$3,)-2)+2&amp;":$R"&amp;ROW()-1))),IF($AR319="本年累计",SUMIF($AR$6:$AR319,"本月合计",$R$6:$R318),INDEX(凭证录入!L:L,$AR319))))</f>
        <v>0</v>
      </c>
      <c r="S319" s="459" t="str">
        <f t="shared" ca="1" si="70"/>
        <v/>
      </c>
      <c r="T319" s="460" t="str">
        <f t="shared" ca="1" si="70"/>
        <v/>
      </c>
      <c r="U319" s="460" t="str">
        <f t="shared" ca="1" si="70"/>
        <v/>
      </c>
      <c r="V319" s="460" t="str">
        <f t="shared" ca="1" si="70"/>
        <v/>
      </c>
      <c r="W319" s="460" t="str">
        <f t="shared" ca="1" si="70"/>
        <v/>
      </c>
      <c r="X319" s="460" t="str">
        <f t="shared" ca="1" si="70"/>
        <v/>
      </c>
      <c r="Y319" s="460" t="str">
        <f t="shared" ca="1" si="70"/>
        <v/>
      </c>
      <c r="Z319" s="460" t="str">
        <f t="shared" ca="1" si="70"/>
        <v/>
      </c>
      <c r="AA319" s="461" t="str">
        <f t="shared" ca="1" si="70"/>
        <v/>
      </c>
      <c r="AB319" s="474" t="str">
        <f t="shared" ca="1" si="70"/>
        <v/>
      </c>
      <c r="AC319" s="475" t="str">
        <f t="shared" ca="1" si="70"/>
        <v/>
      </c>
      <c r="AD319" s="477" t="str">
        <f t="shared" ca="1" si="60"/>
        <v/>
      </c>
      <c r="AE319" s="478">
        <f t="shared" ca="1" si="61"/>
        <v>0</v>
      </c>
      <c r="AF319" s="459" t="str">
        <f t="shared" ca="1" si="68"/>
        <v/>
      </c>
      <c r="AG319" s="460" t="str">
        <f t="shared" ca="1" si="68"/>
        <v/>
      </c>
      <c r="AH319" s="460" t="str">
        <f t="shared" ca="1" si="68"/>
        <v/>
      </c>
      <c r="AI319" s="460" t="str">
        <f t="shared" ca="1" si="68"/>
        <v/>
      </c>
      <c r="AJ319" s="460" t="str">
        <f t="shared" ca="1" si="68"/>
        <v/>
      </c>
      <c r="AK319" s="460" t="str">
        <f t="shared" ca="1" si="68"/>
        <v/>
      </c>
      <c r="AL319" s="460" t="str">
        <f t="shared" ca="1" si="68"/>
        <v/>
      </c>
      <c r="AM319" s="460" t="str">
        <f t="shared" ca="1" si="68"/>
        <v/>
      </c>
      <c r="AN319" s="461" t="str">
        <f t="shared" ca="1" si="68"/>
        <v/>
      </c>
      <c r="AO319" s="474" t="str">
        <f t="shared" ca="1" si="68"/>
        <v/>
      </c>
      <c r="AP319" s="475" t="str">
        <f t="shared" ca="1" si="68"/>
        <v/>
      </c>
      <c r="AQ319" s="479" t="str">
        <f t="array" aca="1" ref="AQ319" ca="1">IF(ROW()-5&lt;=COUNTIF(科目编号,$AR$2),SMALL(IF(科目编号=$AR$2,ROW(科目编号),""),ROW()-5),"")</f>
        <v/>
      </c>
      <c r="AR319" s="480" t="str">
        <f ca="1">IF($BG$2=0,"",IF(AR318="本月合计","本年累计",IF(OR(ROW()=$AU$3,ROW()=$AV$3,ROW()=$AW$3,ROW()=$AX$3,ROW()=$AY$3,ROW()=$AZ$3,ROW()=$BA$3,ROW()=$BB$3,ROW()=$BC$3,ROW()=$BD$3,ROW()=$BE$3,ROW()=$BF$3),"本月合计",IF(ROW()&lt;7,$AQ$6,OFFSET($AQ$6,COUNT($AR$6:AR318),0)))))</f>
        <v/>
      </c>
    </row>
    <row r="320" spans="1:44">
      <c r="A320" s="469" t="str">
        <f ca="1">IFERROR(INDEX(凭证录入!A:A,$AR320),"")</f>
        <v/>
      </c>
      <c r="B320" s="469" t="str">
        <f ca="1">IFERROR(INDEX(凭证录入!B:B,$AR320),"")</f>
        <v/>
      </c>
      <c r="C320" s="470" t="str">
        <f ca="1">IFERROR(INDEX(凭证录入!G:G,$AR320),"")</f>
        <v/>
      </c>
      <c r="D320" s="471" t="str">
        <f ca="1">IFERROR(INDEX(凭证录入!F:F,$AR320),"")</f>
        <v/>
      </c>
      <c r="E320" s="472" t="str">
        <f ca="1">IFERROR(INDEX(凭证录入!H:H,$AR320),$AR320)</f>
        <v/>
      </c>
      <c r="F320" s="473">
        <f ca="1">IF(OR($BG$2=0,$AR320=""),,IF($AR320="本月合计",IF(ROW()=$BG$3,SUM($F$6:$F319),SUM(INDIRECT("$F$"&amp;OFFSET($AU$3,,MATCH(ROW(),$AU$3:$BF$3,)-2)+2&amp;":$E"&amp;ROW()-1))),IF($AR320="本年累计",SUMIF($AR$6:$AR320,"本月合计",$F$6:$F319),INDEX(凭证录入!K:K,$AR320))))</f>
        <v>0</v>
      </c>
      <c r="G320" s="459" t="str">
        <f t="shared" ca="1" si="69"/>
        <v/>
      </c>
      <c r="H320" s="460" t="str">
        <f t="shared" ca="1" si="69"/>
        <v/>
      </c>
      <c r="I320" s="460" t="str">
        <f t="shared" ca="1" si="69"/>
        <v/>
      </c>
      <c r="J320" s="460" t="str">
        <f t="shared" ca="1" si="69"/>
        <v/>
      </c>
      <c r="K320" s="460" t="str">
        <f t="shared" ca="1" si="69"/>
        <v/>
      </c>
      <c r="L320" s="460" t="str">
        <f t="shared" ca="1" si="69"/>
        <v/>
      </c>
      <c r="M320" s="460" t="str">
        <f t="shared" ca="1" si="69"/>
        <v/>
      </c>
      <c r="N320" s="460" t="str">
        <f t="shared" ca="1" si="69"/>
        <v/>
      </c>
      <c r="O320" s="461" t="str">
        <f t="shared" ca="1" si="69"/>
        <v/>
      </c>
      <c r="P320" s="474" t="str">
        <f t="shared" ca="1" si="69"/>
        <v/>
      </c>
      <c r="Q320" s="475" t="str">
        <f t="shared" ca="1" si="69"/>
        <v/>
      </c>
      <c r="R320" s="476">
        <f ca="1">IF(OR($BG$2=0,$AR320=""),,IF($AR320="本月合计",IF(ROW()=$BG$3,SUM($R$6:$R319),SUM(INDIRECT("$R$"&amp;OFFSET($AU$3,,MATCH(ROW(),$AU$3:$BF$3,)-2)+2&amp;":$R"&amp;ROW()-1))),IF($AR320="本年累计",SUMIF($AR$6:$AR320,"本月合计",$R$6:$R319),INDEX(凭证录入!L:L,$AR320))))</f>
        <v>0</v>
      </c>
      <c r="S320" s="459" t="str">
        <f t="shared" ca="1" si="70"/>
        <v/>
      </c>
      <c r="T320" s="460" t="str">
        <f t="shared" ca="1" si="70"/>
        <v/>
      </c>
      <c r="U320" s="460" t="str">
        <f t="shared" ca="1" si="70"/>
        <v/>
      </c>
      <c r="V320" s="460" t="str">
        <f t="shared" ca="1" si="70"/>
        <v/>
      </c>
      <c r="W320" s="460" t="str">
        <f t="shared" ca="1" si="70"/>
        <v/>
      </c>
      <c r="X320" s="460" t="str">
        <f t="shared" ca="1" si="70"/>
        <v/>
      </c>
      <c r="Y320" s="460" t="str">
        <f t="shared" ca="1" si="70"/>
        <v/>
      </c>
      <c r="Z320" s="460" t="str">
        <f t="shared" ca="1" si="70"/>
        <v/>
      </c>
      <c r="AA320" s="461" t="str">
        <f t="shared" ca="1" si="70"/>
        <v/>
      </c>
      <c r="AB320" s="474" t="str">
        <f t="shared" ca="1" si="70"/>
        <v/>
      </c>
      <c r="AC320" s="475" t="str">
        <f t="shared" ca="1" si="70"/>
        <v/>
      </c>
      <c r="AD320" s="477" t="str">
        <f t="shared" ca="1" si="60"/>
        <v/>
      </c>
      <c r="AE320" s="478">
        <f t="shared" ca="1" si="61"/>
        <v>0</v>
      </c>
      <c r="AF320" s="459" t="str">
        <f t="shared" ca="1" si="68"/>
        <v/>
      </c>
      <c r="AG320" s="460" t="str">
        <f t="shared" ca="1" si="68"/>
        <v/>
      </c>
      <c r="AH320" s="460" t="str">
        <f t="shared" ca="1" si="68"/>
        <v/>
      </c>
      <c r="AI320" s="460" t="str">
        <f t="shared" ca="1" si="68"/>
        <v/>
      </c>
      <c r="AJ320" s="460" t="str">
        <f t="shared" ca="1" si="68"/>
        <v/>
      </c>
      <c r="AK320" s="460" t="str">
        <f t="shared" ca="1" si="68"/>
        <v/>
      </c>
      <c r="AL320" s="460" t="str">
        <f t="shared" ca="1" si="68"/>
        <v/>
      </c>
      <c r="AM320" s="460" t="str">
        <f t="shared" ca="1" si="68"/>
        <v/>
      </c>
      <c r="AN320" s="461" t="str">
        <f t="shared" ca="1" si="68"/>
        <v/>
      </c>
      <c r="AO320" s="474" t="str">
        <f t="shared" ca="1" si="68"/>
        <v/>
      </c>
      <c r="AP320" s="475" t="str">
        <f t="shared" ca="1" si="68"/>
        <v/>
      </c>
      <c r="AQ320" s="479" t="str">
        <f t="array" aca="1" ref="AQ320" ca="1">IF(ROW()-5&lt;=COUNTIF(科目编号,$AR$2),SMALL(IF(科目编号=$AR$2,ROW(科目编号),""),ROW()-5),"")</f>
        <v/>
      </c>
      <c r="AR320" s="480" t="str">
        <f ca="1">IF($BG$2=0,"",IF(AR319="本月合计","本年累计",IF(OR(ROW()=$AU$3,ROW()=$AV$3,ROW()=$AW$3,ROW()=$AX$3,ROW()=$AY$3,ROW()=$AZ$3,ROW()=$BA$3,ROW()=$BB$3,ROW()=$BC$3,ROW()=$BD$3,ROW()=$BE$3,ROW()=$BF$3),"本月合计",IF(ROW()&lt;7,$AQ$6,OFFSET($AQ$6,COUNT($AR$6:AR319),0)))))</f>
        <v/>
      </c>
    </row>
    <row r="321" spans="1:44">
      <c r="A321" s="469" t="str">
        <f ca="1">IFERROR(INDEX(凭证录入!A:A,$AR321),"")</f>
        <v/>
      </c>
      <c r="B321" s="469" t="str">
        <f ca="1">IFERROR(INDEX(凭证录入!B:B,$AR321),"")</f>
        <v/>
      </c>
      <c r="C321" s="470" t="str">
        <f ca="1">IFERROR(INDEX(凭证录入!G:G,$AR321),"")</f>
        <v/>
      </c>
      <c r="D321" s="471" t="str">
        <f ca="1">IFERROR(INDEX(凭证录入!F:F,$AR321),"")</f>
        <v/>
      </c>
      <c r="E321" s="472" t="str">
        <f ca="1">IFERROR(INDEX(凭证录入!H:H,$AR321),$AR321)</f>
        <v/>
      </c>
      <c r="F321" s="473">
        <f ca="1">IF(OR($BG$2=0,$AR321=""),,IF($AR321="本月合计",IF(ROW()=$BG$3,SUM($F$6:$F320),SUM(INDIRECT("$F$"&amp;OFFSET($AU$3,,MATCH(ROW(),$AU$3:$BF$3,)-2)+2&amp;":$E"&amp;ROW()-1))),IF($AR321="本年累计",SUMIF($AR$6:$AR321,"本月合计",$F$6:$F320),INDEX(凭证录入!K:K,$AR321))))</f>
        <v>0</v>
      </c>
      <c r="G321" s="459" t="str">
        <f t="shared" ca="1" si="69"/>
        <v/>
      </c>
      <c r="H321" s="460" t="str">
        <f t="shared" ca="1" si="69"/>
        <v/>
      </c>
      <c r="I321" s="460" t="str">
        <f t="shared" ca="1" si="69"/>
        <v/>
      </c>
      <c r="J321" s="460" t="str">
        <f t="shared" ca="1" si="69"/>
        <v/>
      </c>
      <c r="K321" s="460" t="str">
        <f t="shared" ca="1" si="69"/>
        <v/>
      </c>
      <c r="L321" s="460" t="str">
        <f t="shared" ca="1" si="69"/>
        <v/>
      </c>
      <c r="M321" s="460" t="str">
        <f t="shared" ca="1" si="69"/>
        <v/>
      </c>
      <c r="N321" s="460" t="str">
        <f t="shared" ca="1" si="69"/>
        <v/>
      </c>
      <c r="O321" s="461" t="str">
        <f t="shared" ca="1" si="69"/>
        <v/>
      </c>
      <c r="P321" s="474" t="str">
        <f t="shared" ca="1" si="69"/>
        <v/>
      </c>
      <c r="Q321" s="475" t="str">
        <f t="shared" ca="1" si="69"/>
        <v/>
      </c>
      <c r="R321" s="476">
        <f ca="1">IF(OR($BG$2=0,$AR321=""),,IF($AR321="本月合计",IF(ROW()=$BG$3,SUM($R$6:$R320),SUM(INDIRECT("$R$"&amp;OFFSET($AU$3,,MATCH(ROW(),$AU$3:$BF$3,)-2)+2&amp;":$R"&amp;ROW()-1))),IF($AR321="本年累计",SUMIF($AR$6:$AR321,"本月合计",$R$6:$R320),INDEX(凭证录入!L:L,$AR321))))</f>
        <v>0</v>
      </c>
      <c r="S321" s="459" t="str">
        <f t="shared" ca="1" si="70"/>
        <v/>
      </c>
      <c r="T321" s="460" t="str">
        <f t="shared" ca="1" si="70"/>
        <v/>
      </c>
      <c r="U321" s="460" t="str">
        <f t="shared" ca="1" si="70"/>
        <v/>
      </c>
      <c r="V321" s="460" t="str">
        <f t="shared" ca="1" si="70"/>
        <v/>
      </c>
      <c r="W321" s="460" t="str">
        <f t="shared" ca="1" si="70"/>
        <v/>
      </c>
      <c r="X321" s="460" t="str">
        <f t="shared" ca="1" si="70"/>
        <v/>
      </c>
      <c r="Y321" s="460" t="str">
        <f t="shared" ca="1" si="70"/>
        <v/>
      </c>
      <c r="Z321" s="460" t="str">
        <f t="shared" ca="1" si="70"/>
        <v/>
      </c>
      <c r="AA321" s="461" t="str">
        <f t="shared" ca="1" si="70"/>
        <v/>
      </c>
      <c r="AB321" s="474" t="str">
        <f t="shared" ca="1" si="70"/>
        <v/>
      </c>
      <c r="AC321" s="475" t="str">
        <f t="shared" ca="1" si="70"/>
        <v/>
      </c>
      <c r="AD321" s="477" t="str">
        <f t="shared" ca="1" si="60"/>
        <v/>
      </c>
      <c r="AE321" s="478">
        <f t="shared" ca="1" si="61"/>
        <v>0</v>
      </c>
      <c r="AF321" s="459" t="str">
        <f t="shared" ca="1" si="68"/>
        <v/>
      </c>
      <c r="AG321" s="460" t="str">
        <f t="shared" ca="1" si="68"/>
        <v/>
      </c>
      <c r="AH321" s="460" t="str">
        <f t="shared" ca="1" si="68"/>
        <v/>
      </c>
      <c r="AI321" s="460" t="str">
        <f t="shared" ca="1" si="68"/>
        <v/>
      </c>
      <c r="AJ321" s="460" t="str">
        <f t="shared" ca="1" si="68"/>
        <v/>
      </c>
      <c r="AK321" s="460" t="str">
        <f t="shared" ca="1" si="68"/>
        <v/>
      </c>
      <c r="AL321" s="460" t="str">
        <f t="shared" ca="1" si="68"/>
        <v/>
      </c>
      <c r="AM321" s="460" t="str">
        <f t="shared" ca="1" si="68"/>
        <v/>
      </c>
      <c r="AN321" s="461" t="str">
        <f t="shared" ca="1" si="68"/>
        <v/>
      </c>
      <c r="AO321" s="474" t="str">
        <f t="shared" ca="1" si="68"/>
        <v/>
      </c>
      <c r="AP321" s="475" t="str">
        <f t="shared" ca="1" si="68"/>
        <v/>
      </c>
      <c r="AQ321" s="479" t="str">
        <f t="array" aca="1" ref="AQ321" ca="1">IF(ROW()-5&lt;=COUNTIF(科目编号,$AR$2),SMALL(IF(科目编号=$AR$2,ROW(科目编号),""),ROW()-5),"")</f>
        <v/>
      </c>
      <c r="AR321" s="480" t="str">
        <f ca="1">IF($BG$2=0,"",IF(AR320="本月合计","本年累计",IF(OR(ROW()=$AU$3,ROW()=$AV$3,ROW()=$AW$3,ROW()=$AX$3,ROW()=$AY$3,ROW()=$AZ$3,ROW()=$BA$3,ROW()=$BB$3,ROW()=$BC$3,ROW()=$BD$3,ROW()=$BE$3,ROW()=$BF$3),"本月合计",IF(ROW()&lt;7,$AQ$6,OFFSET($AQ$6,COUNT($AR$6:AR320),0)))))</f>
        <v/>
      </c>
    </row>
    <row r="322" spans="1:44">
      <c r="A322" s="469" t="str">
        <f ca="1">IFERROR(INDEX(凭证录入!A:A,$AR322),"")</f>
        <v/>
      </c>
      <c r="B322" s="469" t="str">
        <f ca="1">IFERROR(INDEX(凭证录入!B:B,$AR322),"")</f>
        <v/>
      </c>
      <c r="C322" s="470" t="str">
        <f ca="1">IFERROR(INDEX(凭证录入!G:G,$AR322),"")</f>
        <v/>
      </c>
      <c r="D322" s="471" t="str">
        <f ca="1">IFERROR(INDEX(凭证录入!F:F,$AR322),"")</f>
        <v/>
      </c>
      <c r="E322" s="472" t="str">
        <f ca="1">IFERROR(INDEX(凭证录入!H:H,$AR322),$AR322)</f>
        <v/>
      </c>
      <c r="F322" s="473">
        <f ca="1">IF(OR($BG$2=0,$AR322=""),,IF($AR322="本月合计",IF(ROW()=$BG$3,SUM($F$6:$F321),SUM(INDIRECT("$F$"&amp;OFFSET($AU$3,,MATCH(ROW(),$AU$3:$BF$3,)-2)+2&amp;":$E"&amp;ROW()-1))),IF($AR322="本年累计",SUMIF($AR$6:$AR322,"本月合计",$F$6:$F321),INDEX(凭证录入!K:K,$AR322))))</f>
        <v>0</v>
      </c>
      <c r="G322" s="459" t="str">
        <f t="shared" ca="1" si="69"/>
        <v/>
      </c>
      <c r="H322" s="460" t="str">
        <f t="shared" ca="1" si="69"/>
        <v/>
      </c>
      <c r="I322" s="460" t="str">
        <f t="shared" ca="1" si="69"/>
        <v/>
      </c>
      <c r="J322" s="460" t="str">
        <f t="shared" ca="1" si="69"/>
        <v/>
      </c>
      <c r="K322" s="460" t="str">
        <f t="shared" ca="1" si="69"/>
        <v/>
      </c>
      <c r="L322" s="460" t="str">
        <f t="shared" ca="1" si="69"/>
        <v/>
      </c>
      <c r="M322" s="460" t="str">
        <f t="shared" ca="1" si="69"/>
        <v/>
      </c>
      <c r="N322" s="460" t="str">
        <f t="shared" ca="1" si="69"/>
        <v/>
      </c>
      <c r="O322" s="461" t="str">
        <f t="shared" ca="1" si="69"/>
        <v/>
      </c>
      <c r="P322" s="474" t="str">
        <f t="shared" ca="1" si="69"/>
        <v/>
      </c>
      <c r="Q322" s="475" t="str">
        <f t="shared" ca="1" si="69"/>
        <v/>
      </c>
      <c r="R322" s="476">
        <f ca="1">IF(OR($BG$2=0,$AR322=""),,IF($AR322="本月合计",IF(ROW()=$BG$3,SUM($R$6:$R321),SUM(INDIRECT("$R$"&amp;OFFSET($AU$3,,MATCH(ROW(),$AU$3:$BF$3,)-2)+2&amp;":$R"&amp;ROW()-1))),IF($AR322="本年累计",SUMIF($AR$6:$AR322,"本月合计",$R$6:$R321),INDEX(凭证录入!L:L,$AR322))))</f>
        <v>0</v>
      </c>
      <c r="S322" s="459" t="str">
        <f t="shared" ca="1" si="70"/>
        <v/>
      </c>
      <c r="T322" s="460" t="str">
        <f t="shared" ca="1" si="70"/>
        <v/>
      </c>
      <c r="U322" s="460" t="str">
        <f t="shared" ca="1" si="70"/>
        <v/>
      </c>
      <c r="V322" s="460" t="str">
        <f t="shared" ca="1" si="70"/>
        <v/>
      </c>
      <c r="W322" s="460" t="str">
        <f t="shared" ca="1" si="70"/>
        <v/>
      </c>
      <c r="X322" s="460" t="str">
        <f t="shared" ca="1" si="70"/>
        <v/>
      </c>
      <c r="Y322" s="460" t="str">
        <f t="shared" ca="1" si="70"/>
        <v/>
      </c>
      <c r="Z322" s="460" t="str">
        <f t="shared" ca="1" si="70"/>
        <v/>
      </c>
      <c r="AA322" s="461" t="str">
        <f t="shared" ca="1" si="70"/>
        <v/>
      </c>
      <c r="AB322" s="474" t="str">
        <f t="shared" ca="1" si="70"/>
        <v/>
      </c>
      <c r="AC322" s="475" t="str">
        <f t="shared" ca="1" si="70"/>
        <v/>
      </c>
      <c r="AD322" s="477" t="str">
        <f t="shared" ca="1" si="60"/>
        <v/>
      </c>
      <c r="AE322" s="478">
        <f t="shared" ca="1" si="61"/>
        <v>0</v>
      </c>
      <c r="AF322" s="459" t="str">
        <f t="shared" ca="1" si="68"/>
        <v/>
      </c>
      <c r="AG322" s="460" t="str">
        <f t="shared" ca="1" si="68"/>
        <v/>
      </c>
      <c r="AH322" s="460" t="str">
        <f t="shared" ca="1" si="68"/>
        <v/>
      </c>
      <c r="AI322" s="460" t="str">
        <f t="shared" ca="1" si="68"/>
        <v/>
      </c>
      <c r="AJ322" s="460" t="str">
        <f t="shared" ca="1" si="68"/>
        <v/>
      </c>
      <c r="AK322" s="460" t="str">
        <f t="shared" ca="1" si="68"/>
        <v/>
      </c>
      <c r="AL322" s="460" t="str">
        <f t="shared" ca="1" si="68"/>
        <v/>
      </c>
      <c r="AM322" s="460" t="str">
        <f t="shared" ca="1" si="68"/>
        <v/>
      </c>
      <c r="AN322" s="461" t="str">
        <f t="shared" ca="1" si="68"/>
        <v/>
      </c>
      <c r="AO322" s="474" t="str">
        <f t="shared" ca="1" si="68"/>
        <v/>
      </c>
      <c r="AP322" s="475" t="str">
        <f t="shared" ca="1" si="68"/>
        <v/>
      </c>
      <c r="AQ322" s="479" t="str">
        <f t="array" aca="1" ref="AQ322" ca="1">IF(ROW()-5&lt;=COUNTIF(科目编号,$AR$2),SMALL(IF(科目编号=$AR$2,ROW(科目编号),""),ROW()-5),"")</f>
        <v/>
      </c>
      <c r="AR322" s="480" t="str">
        <f ca="1">IF($BG$2=0,"",IF(AR321="本月合计","本年累计",IF(OR(ROW()=$AU$3,ROW()=$AV$3,ROW()=$AW$3,ROW()=$AX$3,ROW()=$AY$3,ROW()=$AZ$3,ROW()=$BA$3,ROW()=$BB$3,ROW()=$BC$3,ROW()=$BD$3,ROW()=$BE$3,ROW()=$BF$3),"本月合计",IF(ROW()&lt;7,$AQ$6,OFFSET($AQ$6,COUNT($AR$6:AR321),0)))))</f>
        <v/>
      </c>
    </row>
    <row r="323" spans="1:44">
      <c r="A323" s="469" t="str">
        <f ca="1">IFERROR(INDEX(凭证录入!A:A,$AR323),"")</f>
        <v/>
      </c>
      <c r="B323" s="469" t="str">
        <f ca="1">IFERROR(INDEX(凭证录入!B:B,$AR323),"")</f>
        <v/>
      </c>
      <c r="C323" s="470" t="str">
        <f ca="1">IFERROR(INDEX(凭证录入!G:G,$AR323),"")</f>
        <v/>
      </c>
      <c r="D323" s="471" t="str">
        <f ca="1">IFERROR(INDEX(凭证录入!F:F,$AR323),"")</f>
        <v/>
      </c>
      <c r="E323" s="472" t="str">
        <f ca="1">IFERROR(INDEX(凭证录入!H:H,$AR323),$AR323)</f>
        <v/>
      </c>
      <c r="F323" s="473">
        <f ca="1">IF(OR($BG$2=0,$AR323=""),,IF($AR323="本月合计",IF(ROW()=$BG$3,SUM($F$6:$F322),SUM(INDIRECT("$F$"&amp;OFFSET($AU$3,,MATCH(ROW(),$AU$3:$BF$3,)-2)+2&amp;":$E"&amp;ROW()-1))),IF($AR323="本年累计",SUMIF($AR$6:$AR323,"本月合计",$F$6:$F322),INDEX(凭证录入!K:K,$AR323))))</f>
        <v>0</v>
      </c>
      <c r="G323" s="459" t="str">
        <f t="shared" ca="1" si="69"/>
        <v/>
      </c>
      <c r="H323" s="460" t="str">
        <f t="shared" ca="1" si="69"/>
        <v/>
      </c>
      <c r="I323" s="460" t="str">
        <f t="shared" ca="1" si="69"/>
        <v/>
      </c>
      <c r="J323" s="460" t="str">
        <f t="shared" ca="1" si="69"/>
        <v/>
      </c>
      <c r="K323" s="460" t="str">
        <f t="shared" ca="1" si="69"/>
        <v/>
      </c>
      <c r="L323" s="460" t="str">
        <f t="shared" ca="1" si="69"/>
        <v/>
      </c>
      <c r="M323" s="460" t="str">
        <f t="shared" ca="1" si="69"/>
        <v/>
      </c>
      <c r="N323" s="460" t="str">
        <f t="shared" ca="1" si="69"/>
        <v/>
      </c>
      <c r="O323" s="461" t="str">
        <f t="shared" ca="1" si="69"/>
        <v/>
      </c>
      <c r="P323" s="474" t="str">
        <f t="shared" ca="1" si="69"/>
        <v/>
      </c>
      <c r="Q323" s="475" t="str">
        <f t="shared" ca="1" si="69"/>
        <v/>
      </c>
      <c r="R323" s="476">
        <f ca="1">IF(OR($BG$2=0,$AR323=""),,IF($AR323="本月合计",IF(ROW()=$BG$3,SUM($R$6:$R322),SUM(INDIRECT("$R$"&amp;OFFSET($AU$3,,MATCH(ROW(),$AU$3:$BF$3,)-2)+2&amp;":$R"&amp;ROW()-1))),IF($AR323="本年累计",SUMIF($AR$6:$AR323,"本月合计",$R$6:$R322),INDEX(凭证录入!L:L,$AR323))))</f>
        <v>0</v>
      </c>
      <c r="S323" s="459" t="str">
        <f t="shared" ca="1" si="70"/>
        <v/>
      </c>
      <c r="T323" s="460" t="str">
        <f t="shared" ca="1" si="70"/>
        <v/>
      </c>
      <c r="U323" s="460" t="str">
        <f t="shared" ca="1" si="70"/>
        <v/>
      </c>
      <c r="V323" s="460" t="str">
        <f t="shared" ca="1" si="70"/>
        <v/>
      </c>
      <c r="W323" s="460" t="str">
        <f t="shared" ca="1" si="70"/>
        <v/>
      </c>
      <c r="X323" s="460" t="str">
        <f t="shared" ca="1" si="70"/>
        <v/>
      </c>
      <c r="Y323" s="460" t="str">
        <f t="shared" ca="1" si="70"/>
        <v/>
      </c>
      <c r="Z323" s="460" t="str">
        <f t="shared" ca="1" si="70"/>
        <v/>
      </c>
      <c r="AA323" s="461" t="str">
        <f t="shared" ca="1" si="70"/>
        <v/>
      </c>
      <c r="AB323" s="474" t="str">
        <f t="shared" ca="1" si="70"/>
        <v/>
      </c>
      <c r="AC323" s="475" t="str">
        <f t="shared" ca="1" si="70"/>
        <v/>
      </c>
      <c r="AD323" s="477" t="str">
        <f t="shared" ca="1" si="60"/>
        <v/>
      </c>
      <c r="AE323" s="478">
        <f t="shared" ca="1" si="61"/>
        <v>0</v>
      </c>
      <c r="AF323" s="459" t="str">
        <f t="shared" ca="1" si="68"/>
        <v/>
      </c>
      <c r="AG323" s="460" t="str">
        <f t="shared" ca="1" si="68"/>
        <v/>
      </c>
      <c r="AH323" s="460" t="str">
        <f t="shared" ca="1" si="68"/>
        <v/>
      </c>
      <c r="AI323" s="460" t="str">
        <f t="shared" ca="1" si="68"/>
        <v/>
      </c>
      <c r="AJ323" s="460" t="str">
        <f t="shared" ca="1" si="68"/>
        <v/>
      </c>
      <c r="AK323" s="460" t="str">
        <f t="shared" ca="1" si="68"/>
        <v/>
      </c>
      <c r="AL323" s="460" t="str">
        <f t="shared" ca="1" si="68"/>
        <v/>
      </c>
      <c r="AM323" s="460" t="str">
        <f t="shared" ca="1" si="68"/>
        <v/>
      </c>
      <c r="AN323" s="461" t="str">
        <f t="shared" ca="1" si="68"/>
        <v/>
      </c>
      <c r="AO323" s="474" t="str">
        <f t="shared" ca="1" si="68"/>
        <v/>
      </c>
      <c r="AP323" s="475" t="str">
        <f t="shared" ca="1" si="68"/>
        <v/>
      </c>
      <c r="AQ323" s="479" t="str">
        <f t="array" aca="1" ref="AQ323" ca="1">IF(ROW()-5&lt;=COUNTIF(科目编号,$AR$2),SMALL(IF(科目编号=$AR$2,ROW(科目编号),""),ROW()-5),"")</f>
        <v/>
      </c>
      <c r="AR323" s="480" t="str">
        <f ca="1">IF($BG$2=0,"",IF(AR322="本月合计","本年累计",IF(OR(ROW()=$AU$3,ROW()=$AV$3,ROW()=$AW$3,ROW()=$AX$3,ROW()=$AY$3,ROW()=$AZ$3,ROW()=$BA$3,ROW()=$BB$3,ROW()=$BC$3,ROW()=$BD$3,ROW()=$BE$3,ROW()=$BF$3),"本月合计",IF(ROW()&lt;7,$AQ$6,OFFSET($AQ$6,COUNT($AR$6:AR322),0)))))</f>
        <v/>
      </c>
    </row>
    <row r="324" spans="1:44">
      <c r="A324" s="469" t="str">
        <f ca="1">IFERROR(INDEX(凭证录入!A:A,$AR324),"")</f>
        <v/>
      </c>
      <c r="B324" s="469" t="str">
        <f ca="1">IFERROR(INDEX(凭证录入!B:B,$AR324),"")</f>
        <v/>
      </c>
      <c r="C324" s="470" t="str">
        <f ca="1">IFERROR(INDEX(凭证录入!G:G,$AR324),"")</f>
        <v/>
      </c>
      <c r="D324" s="471" t="str">
        <f ca="1">IFERROR(INDEX(凭证录入!F:F,$AR324),"")</f>
        <v/>
      </c>
      <c r="E324" s="472" t="str">
        <f ca="1">IFERROR(INDEX(凭证录入!H:H,$AR324),$AR324)</f>
        <v/>
      </c>
      <c r="F324" s="473">
        <f ca="1">IF(OR($BG$2=0,$AR324=""),,IF($AR324="本月合计",IF(ROW()=$BG$3,SUM($F$6:$F323),SUM(INDIRECT("$F$"&amp;OFFSET($AU$3,,MATCH(ROW(),$AU$3:$BF$3,)-2)+2&amp;":$E"&amp;ROW()-1))),IF($AR324="本年累计",SUMIF($AR$6:$AR324,"本月合计",$F$6:$F323),INDEX(凭证录入!K:K,$AR324))))</f>
        <v>0</v>
      </c>
      <c r="G324" s="459" t="str">
        <f t="shared" ca="1" si="69"/>
        <v/>
      </c>
      <c r="H324" s="460" t="str">
        <f t="shared" ca="1" si="69"/>
        <v/>
      </c>
      <c r="I324" s="460" t="str">
        <f t="shared" ca="1" si="69"/>
        <v/>
      </c>
      <c r="J324" s="460" t="str">
        <f t="shared" ca="1" si="69"/>
        <v/>
      </c>
      <c r="K324" s="460" t="str">
        <f t="shared" ca="1" si="69"/>
        <v/>
      </c>
      <c r="L324" s="460" t="str">
        <f t="shared" ca="1" si="69"/>
        <v/>
      </c>
      <c r="M324" s="460" t="str">
        <f t="shared" ca="1" si="69"/>
        <v/>
      </c>
      <c r="N324" s="460" t="str">
        <f t="shared" ca="1" si="69"/>
        <v/>
      </c>
      <c r="O324" s="461" t="str">
        <f t="shared" ca="1" si="69"/>
        <v/>
      </c>
      <c r="P324" s="474" t="str">
        <f t="shared" ca="1" si="69"/>
        <v/>
      </c>
      <c r="Q324" s="475" t="str">
        <f t="shared" ca="1" si="69"/>
        <v/>
      </c>
      <c r="R324" s="476">
        <f ca="1">IF(OR($BG$2=0,$AR324=""),,IF($AR324="本月合计",IF(ROW()=$BG$3,SUM($R$6:$R323),SUM(INDIRECT("$R$"&amp;OFFSET($AU$3,,MATCH(ROW(),$AU$3:$BF$3,)-2)+2&amp;":$R"&amp;ROW()-1))),IF($AR324="本年累计",SUMIF($AR$6:$AR324,"本月合计",$R$6:$R323),INDEX(凭证录入!L:L,$AR324))))</f>
        <v>0</v>
      </c>
      <c r="S324" s="459" t="str">
        <f t="shared" ca="1" si="70"/>
        <v/>
      </c>
      <c r="T324" s="460" t="str">
        <f t="shared" ca="1" si="70"/>
        <v/>
      </c>
      <c r="U324" s="460" t="str">
        <f t="shared" ca="1" si="70"/>
        <v/>
      </c>
      <c r="V324" s="460" t="str">
        <f t="shared" ca="1" si="70"/>
        <v/>
      </c>
      <c r="W324" s="460" t="str">
        <f t="shared" ca="1" si="70"/>
        <v/>
      </c>
      <c r="X324" s="460" t="str">
        <f t="shared" ca="1" si="70"/>
        <v/>
      </c>
      <c r="Y324" s="460" t="str">
        <f t="shared" ca="1" si="70"/>
        <v/>
      </c>
      <c r="Z324" s="460" t="str">
        <f t="shared" ca="1" si="70"/>
        <v/>
      </c>
      <c r="AA324" s="461" t="str">
        <f t="shared" ca="1" si="70"/>
        <v/>
      </c>
      <c r="AB324" s="474" t="str">
        <f t="shared" ca="1" si="70"/>
        <v/>
      </c>
      <c r="AC324" s="475" t="str">
        <f t="shared" ca="1" si="70"/>
        <v/>
      </c>
      <c r="AD324" s="477" t="str">
        <f t="shared" ca="1" si="60"/>
        <v/>
      </c>
      <c r="AE324" s="478">
        <f t="shared" ca="1" si="61"/>
        <v>0</v>
      </c>
      <c r="AF324" s="459" t="str">
        <f t="shared" ca="1" si="68"/>
        <v/>
      </c>
      <c r="AG324" s="460" t="str">
        <f t="shared" ca="1" si="68"/>
        <v/>
      </c>
      <c r="AH324" s="460" t="str">
        <f t="shared" ca="1" si="68"/>
        <v/>
      </c>
      <c r="AI324" s="460" t="str">
        <f t="shared" ca="1" si="68"/>
        <v/>
      </c>
      <c r="AJ324" s="460" t="str">
        <f t="shared" ca="1" si="68"/>
        <v/>
      </c>
      <c r="AK324" s="460" t="str">
        <f t="shared" ca="1" si="68"/>
        <v/>
      </c>
      <c r="AL324" s="460" t="str">
        <f t="shared" ca="1" si="68"/>
        <v/>
      </c>
      <c r="AM324" s="460" t="str">
        <f t="shared" ca="1" si="68"/>
        <v/>
      </c>
      <c r="AN324" s="461" t="str">
        <f t="shared" ca="1" si="68"/>
        <v/>
      </c>
      <c r="AO324" s="474" t="str">
        <f t="shared" ca="1" si="68"/>
        <v/>
      </c>
      <c r="AP324" s="475" t="str">
        <f t="shared" ca="1" si="68"/>
        <v/>
      </c>
      <c r="AQ324" s="479" t="str">
        <f t="array" aca="1" ref="AQ324" ca="1">IF(ROW()-5&lt;=COUNTIF(科目编号,$AR$2),SMALL(IF(科目编号=$AR$2,ROW(科目编号),""),ROW()-5),"")</f>
        <v/>
      </c>
      <c r="AR324" s="480" t="str">
        <f ca="1">IF($BG$2=0,"",IF(AR323="本月合计","本年累计",IF(OR(ROW()=$AU$3,ROW()=$AV$3,ROW()=$AW$3,ROW()=$AX$3,ROW()=$AY$3,ROW()=$AZ$3,ROW()=$BA$3,ROW()=$BB$3,ROW()=$BC$3,ROW()=$BD$3,ROW()=$BE$3,ROW()=$BF$3),"本月合计",IF(ROW()&lt;7,$AQ$6,OFFSET($AQ$6,COUNT($AR$6:AR323),0)))))</f>
        <v/>
      </c>
    </row>
    <row r="325" spans="1:44">
      <c r="A325" s="469" t="str">
        <f ca="1">IFERROR(INDEX(凭证录入!A:A,$AR325),"")</f>
        <v/>
      </c>
      <c r="B325" s="469" t="str">
        <f ca="1">IFERROR(INDEX(凭证录入!B:B,$AR325),"")</f>
        <v/>
      </c>
      <c r="C325" s="470" t="str">
        <f ca="1">IFERROR(INDEX(凭证录入!G:G,$AR325),"")</f>
        <v/>
      </c>
      <c r="D325" s="471" t="str">
        <f ca="1">IFERROR(INDEX(凭证录入!F:F,$AR325),"")</f>
        <v/>
      </c>
      <c r="E325" s="472" t="str">
        <f ca="1">IFERROR(INDEX(凭证录入!H:H,$AR325),$AR325)</f>
        <v/>
      </c>
      <c r="F325" s="473">
        <f ca="1">IF(OR($BG$2=0,$AR325=""),,IF($AR325="本月合计",IF(ROW()=$BG$3,SUM($F$6:$F324),SUM(INDIRECT("$F$"&amp;OFFSET($AU$3,,MATCH(ROW(),$AU$3:$BF$3,)-2)+2&amp;":$E"&amp;ROW()-1))),IF($AR325="本年累计",SUMIF($AR$6:$AR325,"本月合计",$F$6:$F324),INDEX(凭证录入!K:K,$AR325))))</f>
        <v>0</v>
      </c>
      <c r="G325" s="459" t="str">
        <f t="shared" ca="1" si="69"/>
        <v/>
      </c>
      <c r="H325" s="460" t="str">
        <f t="shared" ca="1" si="69"/>
        <v/>
      </c>
      <c r="I325" s="460" t="str">
        <f t="shared" ca="1" si="69"/>
        <v/>
      </c>
      <c r="J325" s="460" t="str">
        <f t="shared" ca="1" si="69"/>
        <v/>
      </c>
      <c r="K325" s="460" t="str">
        <f t="shared" ca="1" si="69"/>
        <v/>
      </c>
      <c r="L325" s="460" t="str">
        <f t="shared" ca="1" si="69"/>
        <v/>
      </c>
      <c r="M325" s="460" t="str">
        <f t="shared" ca="1" si="69"/>
        <v/>
      </c>
      <c r="N325" s="460" t="str">
        <f t="shared" ca="1" si="69"/>
        <v/>
      </c>
      <c r="O325" s="461" t="str">
        <f t="shared" ca="1" si="69"/>
        <v/>
      </c>
      <c r="P325" s="474" t="str">
        <f t="shared" ca="1" si="69"/>
        <v/>
      </c>
      <c r="Q325" s="475" t="str">
        <f t="shared" ca="1" si="69"/>
        <v/>
      </c>
      <c r="R325" s="476">
        <f ca="1">IF(OR($BG$2=0,$AR325=""),,IF($AR325="本月合计",IF(ROW()=$BG$3,SUM($R$6:$R324),SUM(INDIRECT("$R$"&amp;OFFSET($AU$3,,MATCH(ROW(),$AU$3:$BF$3,)-2)+2&amp;":$R"&amp;ROW()-1))),IF($AR325="本年累计",SUMIF($AR$6:$AR325,"本月合计",$R$6:$R324),INDEX(凭证录入!L:L,$AR325))))</f>
        <v>0</v>
      </c>
      <c r="S325" s="459" t="str">
        <f t="shared" ca="1" si="70"/>
        <v/>
      </c>
      <c r="T325" s="460" t="str">
        <f t="shared" ca="1" si="70"/>
        <v/>
      </c>
      <c r="U325" s="460" t="str">
        <f t="shared" ca="1" si="70"/>
        <v/>
      </c>
      <c r="V325" s="460" t="str">
        <f t="shared" ca="1" si="70"/>
        <v/>
      </c>
      <c r="W325" s="460" t="str">
        <f t="shared" ca="1" si="70"/>
        <v/>
      </c>
      <c r="X325" s="460" t="str">
        <f t="shared" ca="1" si="70"/>
        <v/>
      </c>
      <c r="Y325" s="460" t="str">
        <f t="shared" ca="1" si="70"/>
        <v/>
      </c>
      <c r="Z325" s="460" t="str">
        <f t="shared" ca="1" si="70"/>
        <v/>
      </c>
      <c r="AA325" s="461" t="str">
        <f t="shared" ca="1" si="70"/>
        <v/>
      </c>
      <c r="AB325" s="474" t="str">
        <f t="shared" ca="1" si="70"/>
        <v/>
      </c>
      <c r="AC325" s="475" t="str">
        <f t="shared" ca="1" si="70"/>
        <v/>
      </c>
      <c r="AD325" s="477" t="str">
        <f t="shared" ca="1" si="60"/>
        <v/>
      </c>
      <c r="AE325" s="478">
        <f t="shared" ca="1" si="61"/>
        <v>0</v>
      </c>
      <c r="AF325" s="459" t="str">
        <f t="shared" ref="AF325:AP340" ca="1" si="71">LEFT(RIGHT(TEXT($AE325/1%," ￥0; ￥-0;"),43-COLUMN()))</f>
        <v/>
      </c>
      <c r="AG325" s="460" t="str">
        <f t="shared" ca="1" si="71"/>
        <v/>
      </c>
      <c r="AH325" s="460" t="str">
        <f t="shared" ca="1" si="71"/>
        <v/>
      </c>
      <c r="AI325" s="460" t="str">
        <f t="shared" ca="1" si="71"/>
        <v/>
      </c>
      <c r="AJ325" s="460" t="str">
        <f t="shared" ca="1" si="71"/>
        <v/>
      </c>
      <c r="AK325" s="460" t="str">
        <f t="shared" ca="1" si="71"/>
        <v/>
      </c>
      <c r="AL325" s="460" t="str">
        <f t="shared" ca="1" si="71"/>
        <v/>
      </c>
      <c r="AM325" s="460" t="str">
        <f t="shared" ca="1" si="71"/>
        <v/>
      </c>
      <c r="AN325" s="461" t="str">
        <f t="shared" ca="1" si="71"/>
        <v/>
      </c>
      <c r="AO325" s="474" t="str">
        <f t="shared" ca="1" si="71"/>
        <v/>
      </c>
      <c r="AP325" s="475" t="str">
        <f t="shared" ca="1" si="71"/>
        <v/>
      </c>
      <c r="AQ325" s="479" t="str">
        <f t="array" aca="1" ref="AQ325" ca="1">IF(ROW()-5&lt;=COUNTIF(科目编号,$AR$2),SMALL(IF(科目编号=$AR$2,ROW(科目编号),""),ROW()-5),"")</f>
        <v/>
      </c>
      <c r="AR325" s="480" t="str">
        <f ca="1">IF($BG$2=0,"",IF(AR324="本月合计","本年累计",IF(OR(ROW()=$AU$3,ROW()=$AV$3,ROW()=$AW$3,ROW()=$AX$3,ROW()=$AY$3,ROW()=$AZ$3,ROW()=$BA$3,ROW()=$BB$3,ROW()=$BC$3,ROW()=$BD$3,ROW()=$BE$3,ROW()=$BF$3),"本月合计",IF(ROW()&lt;7,$AQ$6,OFFSET($AQ$6,COUNT($AR$6:AR324),0)))))</f>
        <v/>
      </c>
    </row>
    <row r="326" spans="1:44">
      <c r="A326" s="469" t="str">
        <f ca="1">IFERROR(INDEX(凭证录入!A:A,$AR326),"")</f>
        <v/>
      </c>
      <c r="B326" s="469" t="str">
        <f ca="1">IFERROR(INDEX(凭证录入!B:B,$AR326),"")</f>
        <v/>
      </c>
      <c r="C326" s="470" t="str">
        <f ca="1">IFERROR(INDEX(凭证录入!G:G,$AR326),"")</f>
        <v/>
      </c>
      <c r="D326" s="471" t="str">
        <f ca="1">IFERROR(INDEX(凭证录入!F:F,$AR326),"")</f>
        <v/>
      </c>
      <c r="E326" s="472" t="str">
        <f ca="1">IFERROR(INDEX(凭证录入!H:H,$AR326),$AR326)</f>
        <v/>
      </c>
      <c r="F326" s="473">
        <f ca="1">IF(OR($BG$2=0,$AR326=""),,IF($AR326="本月合计",IF(ROW()=$BG$3,SUM($F$6:$F325),SUM(INDIRECT("$F$"&amp;OFFSET($AU$3,,MATCH(ROW(),$AU$3:$BF$3,)-2)+2&amp;":$E"&amp;ROW()-1))),IF($AR326="本年累计",SUMIF($AR$6:$AR326,"本月合计",$F$6:$F325),INDEX(凭证录入!K:K,$AR326))))</f>
        <v>0</v>
      </c>
      <c r="G326" s="459" t="str">
        <f t="shared" ref="G326:Q341" ca="1" si="72">LEFT(RIGHT(TEXT($F326/1%," ￥0; ￥-0;"),18-COLUMN()))</f>
        <v/>
      </c>
      <c r="H326" s="460" t="str">
        <f t="shared" ca="1" si="72"/>
        <v/>
      </c>
      <c r="I326" s="460" t="str">
        <f t="shared" ca="1" si="72"/>
        <v/>
      </c>
      <c r="J326" s="460" t="str">
        <f t="shared" ca="1" si="72"/>
        <v/>
      </c>
      <c r="K326" s="460" t="str">
        <f t="shared" ca="1" si="72"/>
        <v/>
      </c>
      <c r="L326" s="460" t="str">
        <f t="shared" ca="1" si="72"/>
        <v/>
      </c>
      <c r="M326" s="460" t="str">
        <f t="shared" ca="1" si="72"/>
        <v/>
      </c>
      <c r="N326" s="460" t="str">
        <f t="shared" ca="1" si="72"/>
        <v/>
      </c>
      <c r="O326" s="461" t="str">
        <f t="shared" ca="1" si="72"/>
        <v/>
      </c>
      <c r="P326" s="474" t="str">
        <f t="shared" ca="1" si="72"/>
        <v/>
      </c>
      <c r="Q326" s="475" t="str">
        <f t="shared" ca="1" si="72"/>
        <v/>
      </c>
      <c r="R326" s="476">
        <f ca="1">IF(OR($BG$2=0,$AR326=""),,IF($AR326="本月合计",IF(ROW()=$BG$3,SUM($R$6:$R325),SUM(INDIRECT("$R$"&amp;OFFSET($AU$3,,MATCH(ROW(),$AU$3:$BF$3,)-2)+2&amp;":$R"&amp;ROW()-1))),IF($AR326="本年累计",SUMIF($AR$6:$AR326,"本月合计",$R$6:$R325),INDEX(凭证录入!L:L,$AR326))))</f>
        <v>0</v>
      </c>
      <c r="S326" s="459" t="str">
        <f t="shared" ref="S326:AC341" ca="1" si="73">LEFT(RIGHT(TEXT($R326/1%," ￥0; ￥-0;"),30-COLUMN()))</f>
        <v/>
      </c>
      <c r="T326" s="460" t="str">
        <f t="shared" ca="1" si="73"/>
        <v/>
      </c>
      <c r="U326" s="460" t="str">
        <f t="shared" ca="1" si="73"/>
        <v/>
      </c>
      <c r="V326" s="460" t="str">
        <f t="shared" ca="1" si="73"/>
        <v/>
      </c>
      <c r="W326" s="460" t="str">
        <f t="shared" ca="1" si="73"/>
        <v/>
      </c>
      <c r="X326" s="460" t="str">
        <f t="shared" ca="1" si="73"/>
        <v/>
      </c>
      <c r="Y326" s="460" t="str">
        <f t="shared" ca="1" si="73"/>
        <v/>
      </c>
      <c r="Z326" s="460" t="str">
        <f t="shared" ca="1" si="73"/>
        <v/>
      </c>
      <c r="AA326" s="461" t="str">
        <f t="shared" ca="1" si="73"/>
        <v/>
      </c>
      <c r="AB326" s="474" t="str">
        <f t="shared" ca="1" si="73"/>
        <v/>
      </c>
      <c r="AC326" s="475" t="str">
        <f t="shared" ca="1" si="73"/>
        <v/>
      </c>
      <c r="AD326" s="477" t="str">
        <f t="shared" ref="AD326:AD389" ca="1" si="74">IF(OR($BG$2=0,$AR326="",$AR326="本月合计",$AR326="本年累计"),"",IF(OR(AND($AD325="",$AE325="",$AD323&lt;&gt;"借",$AD323&lt;&gt;"贷",($F326-$R326)&gt;=0),AND($AD325="",$AE325&lt;&gt;"",$AD323="借",($AE324+$F326-$R326)&gt;=0),AND($AD325="",$AE325&lt;&gt;"",$AD323="贷",(-$AE324+$F326-$R326)&gt;=0),AND($AD325="借",($AE325+$F326-$R326)&gt;=0),AND($AD325="贷",(-$AE325+$F326-$R326)&gt;=0),),"借","贷"))</f>
        <v/>
      </c>
      <c r="AE326" s="478">
        <f t="shared" ref="AE326:AE389" ca="1" si="75">IF(OR($BG$2=0,$AR326=""),,IF(OR($AR326="本月合计",$AR326="本年累计"),$AE325,IF(OR(AD325="借",AND(AD325="",AD324="",AD323="借")),ABS(AE325+F326-R326),ABS(-AE325+F326-R326))))</f>
        <v>0</v>
      </c>
      <c r="AF326" s="459" t="str">
        <f t="shared" ca="1" si="71"/>
        <v/>
      </c>
      <c r="AG326" s="460" t="str">
        <f t="shared" ca="1" si="71"/>
        <v/>
      </c>
      <c r="AH326" s="460" t="str">
        <f t="shared" ca="1" si="71"/>
        <v/>
      </c>
      <c r="AI326" s="460" t="str">
        <f t="shared" ca="1" si="71"/>
        <v/>
      </c>
      <c r="AJ326" s="460" t="str">
        <f t="shared" ca="1" si="71"/>
        <v/>
      </c>
      <c r="AK326" s="460" t="str">
        <f t="shared" ca="1" si="71"/>
        <v/>
      </c>
      <c r="AL326" s="460" t="str">
        <f t="shared" ca="1" si="71"/>
        <v/>
      </c>
      <c r="AM326" s="460" t="str">
        <f t="shared" ca="1" si="71"/>
        <v/>
      </c>
      <c r="AN326" s="461" t="str">
        <f t="shared" ca="1" si="71"/>
        <v/>
      </c>
      <c r="AO326" s="474" t="str">
        <f t="shared" ca="1" si="71"/>
        <v/>
      </c>
      <c r="AP326" s="475" t="str">
        <f t="shared" ca="1" si="71"/>
        <v/>
      </c>
      <c r="AQ326" s="479" t="str">
        <f t="array" aca="1" ref="AQ326" ca="1">IF(ROW()-5&lt;=COUNTIF(科目编号,$AR$2),SMALL(IF(科目编号=$AR$2,ROW(科目编号),""),ROW()-5),"")</f>
        <v/>
      </c>
      <c r="AR326" s="480" t="str">
        <f ca="1">IF($BG$2=0,"",IF(AR325="本月合计","本年累计",IF(OR(ROW()=$AU$3,ROW()=$AV$3,ROW()=$AW$3,ROW()=$AX$3,ROW()=$AY$3,ROW()=$AZ$3,ROW()=$BA$3,ROW()=$BB$3,ROW()=$BC$3,ROW()=$BD$3,ROW()=$BE$3,ROW()=$BF$3),"本月合计",IF(ROW()&lt;7,$AQ$6,OFFSET($AQ$6,COUNT($AR$6:AR325),0)))))</f>
        <v/>
      </c>
    </row>
    <row r="327" spans="1:44">
      <c r="A327" s="469" t="str">
        <f ca="1">IFERROR(INDEX(凭证录入!A:A,$AR327),"")</f>
        <v/>
      </c>
      <c r="B327" s="469" t="str">
        <f ca="1">IFERROR(INDEX(凭证录入!B:B,$AR327),"")</f>
        <v/>
      </c>
      <c r="C327" s="470" t="str">
        <f ca="1">IFERROR(INDEX(凭证录入!G:G,$AR327),"")</f>
        <v/>
      </c>
      <c r="D327" s="471" t="str">
        <f ca="1">IFERROR(INDEX(凭证录入!F:F,$AR327),"")</f>
        <v/>
      </c>
      <c r="E327" s="472" t="str">
        <f ca="1">IFERROR(INDEX(凭证录入!H:H,$AR327),$AR327)</f>
        <v/>
      </c>
      <c r="F327" s="473">
        <f ca="1">IF(OR($BG$2=0,$AR327=""),,IF($AR327="本月合计",IF(ROW()=$BG$3,SUM($F$6:$F326),SUM(INDIRECT("$F$"&amp;OFFSET($AU$3,,MATCH(ROW(),$AU$3:$BF$3,)-2)+2&amp;":$E"&amp;ROW()-1))),IF($AR327="本年累计",SUMIF($AR$6:$AR327,"本月合计",$F$6:$F326),INDEX(凭证录入!K:K,$AR327))))</f>
        <v>0</v>
      </c>
      <c r="G327" s="459" t="str">
        <f t="shared" ca="1" si="72"/>
        <v/>
      </c>
      <c r="H327" s="460" t="str">
        <f t="shared" ca="1" si="72"/>
        <v/>
      </c>
      <c r="I327" s="460" t="str">
        <f t="shared" ca="1" si="72"/>
        <v/>
      </c>
      <c r="J327" s="460" t="str">
        <f t="shared" ca="1" si="72"/>
        <v/>
      </c>
      <c r="K327" s="460" t="str">
        <f t="shared" ca="1" si="72"/>
        <v/>
      </c>
      <c r="L327" s="460" t="str">
        <f t="shared" ca="1" si="72"/>
        <v/>
      </c>
      <c r="M327" s="460" t="str">
        <f t="shared" ca="1" si="72"/>
        <v/>
      </c>
      <c r="N327" s="460" t="str">
        <f t="shared" ca="1" si="72"/>
        <v/>
      </c>
      <c r="O327" s="461" t="str">
        <f t="shared" ca="1" si="72"/>
        <v/>
      </c>
      <c r="P327" s="474" t="str">
        <f t="shared" ca="1" si="72"/>
        <v/>
      </c>
      <c r="Q327" s="475" t="str">
        <f t="shared" ca="1" si="72"/>
        <v/>
      </c>
      <c r="R327" s="476">
        <f ca="1">IF(OR($BG$2=0,$AR327=""),,IF($AR327="本月合计",IF(ROW()=$BG$3,SUM($R$6:$R326),SUM(INDIRECT("$R$"&amp;OFFSET($AU$3,,MATCH(ROW(),$AU$3:$BF$3,)-2)+2&amp;":$R"&amp;ROW()-1))),IF($AR327="本年累计",SUMIF($AR$6:$AR327,"本月合计",$R$6:$R326),INDEX(凭证录入!L:L,$AR327))))</f>
        <v>0</v>
      </c>
      <c r="S327" s="459" t="str">
        <f t="shared" ca="1" si="73"/>
        <v/>
      </c>
      <c r="T327" s="460" t="str">
        <f t="shared" ca="1" si="73"/>
        <v/>
      </c>
      <c r="U327" s="460" t="str">
        <f t="shared" ca="1" si="73"/>
        <v/>
      </c>
      <c r="V327" s="460" t="str">
        <f t="shared" ca="1" si="73"/>
        <v/>
      </c>
      <c r="W327" s="460" t="str">
        <f t="shared" ca="1" si="73"/>
        <v/>
      </c>
      <c r="X327" s="460" t="str">
        <f t="shared" ca="1" si="73"/>
        <v/>
      </c>
      <c r="Y327" s="460" t="str">
        <f t="shared" ca="1" si="73"/>
        <v/>
      </c>
      <c r="Z327" s="460" t="str">
        <f t="shared" ca="1" si="73"/>
        <v/>
      </c>
      <c r="AA327" s="461" t="str">
        <f t="shared" ca="1" si="73"/>
        <v/>
      </c>
      <c r="AB327" s="474" t="str">
        <f t="shared" ca="1" si="73"/>
        <v/>
      </c>
      <c r="AC327" s="475" t="str">
        <f t="shared" ca="1" si="73"/>
        <v/>
      </c>
      <c r="AD327" s="477" t="str">
        <f t="shared" ca="1" si="74"/>
        <v/>
      </c>
      <c r="AE327" s="478">
        <f t="shared" ca="1" si="75"/>
        <v>0</v>
      </c>
      <c r="AF327" s="459" t="str">
        <f t="shared" ca="1" si="71"/>
        <v/>
      </c>
      <c r="AG327" s="460" t="str">
        <f t="shared" ca="1" si="71"/>
        <v/>
      </c>
      <c r="AH327" s="460" t="str">
        <f t="shared" ca="1" si="71"/>
        <v/>
      </c>
      <c r="AI327" s="460" t="str">
        <f t="shared" ca="1" si="71"/>
        <v/>
      </c>
      <c r="AJ327" s="460" t="str">
        <f t="shared" ca="1" si="71"/>
        <v/>
      </c>
      <c r="AK327" s="460" t="str">
        <f t="shared" ca="1" si="71"/>
        <v/>
      </c>
      <c r="AL327" s="460" t="str">
        <f t="shared" ca="1" si="71"/>
        <v/>
      </c>
      <c r="AM327" s="460" t="str">
        <f t="shared" ca="1" si="71"/>
        <v/>
      </c>
      <c r="AN327" s="461" t="str">
        <f t="shared" ca="1" si="71"/>
        <v/>
      </c>
      <c r="AO327" s="474" t="str">
        <f t="shared" ca="1" si="71"/>
        <v/>
      </c>
      <c r="AP327" s="475" t="str">
        <f t="shared" ca="1" si="71"/>
        <v/>
      </c>
      <c r="AQ327" s="479" t="str">
        <f t="array" aca="1" ref="AQ327" ca="1">IF(ROW()-5&lt;=COUNTIF(科目编号,$AR$2),SMALL(IF(科目编号=$AR$2,ROW(科目编号),""),ROW()-5),"")</f>
        <v/>
      </c>
      <c r="AR327" s="480" t="str">
        <f ca="1">IF($BG$2=0,"",IF(AR326="本月合计","本年累计",IF(OR(ROW()=$AU$3,ROW()=$AV$3,ROW()=$AW$3,ROW()=$AX$3,ROW()=$AY$3,ROW()=$AZ$3,ROW()=$BA$3,ROW()=$BB$3,ROW()=$BC$3,ROW()=$BD$3,ROW()=$BE$3,ROW()=$BF$3),"本月合计",IF(ROW()&lt;7,$AQ$6,OFFSET($AQ$6,COUNT($AR$6:AR326),0)))))</f>
        <v/>
      </c>
    </row>
    <row r="328" spans="1:44">
      <c r="A328" s="469" t="str">
        <f ca="1">IFERROR(INDEX(凭证录入!A:A,$AR328),"")</f>
        <v/>
      </c>
      <c r="B328" s="469" t="str">
        <f ca="1">IFERROR(INDEX(凭证录入!B:B,$AR328),"")</f>
        <v/>
      </c>
      <c r="C328" s="470" t="str">
        <f ca="1">IFERROR(INDEX(凭证录入!G:G,$AR328),"")</f>
        <v/>
      </c>
      <c r="D328" s="471" t="str">
        <f ca="1">IFERROR(INDEX(凭证录入!F:F,$AR328),"")</f>
        <v/>
      </c>
      <c r="E328" s="472" t="str">
        <f ca="1">IFERROR(INDEX(凭证录入!H:H,$AR328),$AR328)</f>
        <v/>
      </c>
      <c r="F328" s="473">
        <f ca="1">IF(OR($BG$2=0,$AR328=""),,IF($AR328="本月合计",IF(ROW()=$BG$3,SUM($F$6:$F327),SUM(INDIRECT("$F$"&amp;OFFSET($AU$3,,MATCH(ROW(),$AU$3:$BF$3,)-2)+2&amp;":$E"&amp;ROW()-1))),IF($AR328="本年累计",SUMIF($AR$6:$AR328,"本月合计",$F$6:$F327),INDEX(凭证录入!K:K,$AR328))))</f>
        <v>0</v>
      </c>
      <c r="G328" s="459" t="str">
        <f t="shared" ca="1" si="72"/>
        <v/>
      </c>
      <c r="H328" s="460" t="str">
        <f t="shared" ca="1" si="72"/>
        <v/>
      </c>
      <c r="I328" s="460" t="str">
        <f t="shared" ca="1" si="72"/>
        <v/>
      </c>
      <c r="J328" s="460" t="str">
        <f t="shared" ca="1" si="72"/>
        <v/>
      </c>
      <c r="K328" s="460" t="str">
        <f t="shared" ca="1" si="72"/>
        <v/>
      </c>
      <c r="L328" s="460" t="str">
        <f t="shared" ca="1" si="72"/>
        <v/>
      </c>
      <c r="M328" s="460" t="str">
        <f t="shared" ca="1" si="72"/>
        <v/>
      </c>
      <c r="N328" s="460" t="str">
        <f t="shared" ca="1" si="72"/>
        <v/>
      </c>
      <c r="O328" s="461" t="str">
        <f t="shared" ca="1" si="72"/>
        <v/>
      </c>
      <c r="P328" s="474" t="str">
        <f t="shared" ca="1" si="72"/>
        <v/>
      </c>
      <c r="Q328" s="475" t="str">
        <f t="shared" ca="1" si="72"/>
        <v/>
      </c>
      <c r="R328" s="476">
        <f ca="1">IF(OR($BG$2=0,$AR328=""),,IF($AR328="本月合计",IF(ROW()=$BG$3,SUM($R$6:$R327),SUM(INDIRECT("$R$"&amp;OFFSET($AU$3,,MATCH(ROW(),$AU$3:$BF$3,)-2)+2&amp;":$R"&amp;ROW()-1))),IF($AR328="本年累计",SUMIF($AR$6:$AR328,"本月合计",$R$6:$R327),INDEX(凭证录入!L:L,$AR328))))</f>
        <v>0</v>
      </c>
      <c r="S328" s="459" t="str">
        <f t="shared" ca="1" si="73"/>
        <v/>
      </c>
      <c r="T328" s="460" t="str">
        <f t="shared" ca="1" si="73"/>
        <v/>
      </c>
      <c r="U328" s="460" t="str">
        <f t="shared" ca="1" si="73"/>
        <v/>
      </c>
      <c r="V328" s="460" t="str">
        <f t="shared" ca="1" si="73"/>
        <v/>
      </c>
      <c r="W328" s="460" t="str">
        <f t="shared" ca="1" si="73"/>
        <v/>
      </c>
      <c r="X328" s="460" t="str">
        <f t="shared" ca="1" si="73"/>
        <v/>
      </c>
      <c r="Y328" s="460" t="str">
        <f t="shared" ca="1" si="73"/>
        <v/>
      </c>
      <c r="Z328" s="460" t="str">
        <f t="shared" ca="1" si="73"/>
        <v/>
      </c>
      <c r="AA328" s="461" t="str">
        <f t="shared" ca="1" si="73"/>
        <v/>
      </c>
      <c r="AB328" s="474" t="str">
        <f t="shared" ca="1" si="73"/>
        <v/>
      </c>
      <c r="AC328" s="475" t="str">
        <f t="shared" ca="1" si="73"/>
        <v/>
      </c>
      <c r="AD328" s="477" t="str">
        <f t="shared" ca="1" si="74"/>
        <v/>
      </c>
      <c r="AE328" s="478">
        <f t="shared" ca="1" si="75"/>
        <v>0</v>
      </c>
      <c r="AF328" s="459" t="str">
        <f t="shared" ca="1" si="71"/>
        <v/>
      </c>
      <c r="AG328" s="460" t="str">
        <f t="shared" ca="1" si="71"/>
        <v/>
      </c>
      <c r="AH328" s="460" t="str">
        <f t="shared" ca="1" si="71"/>
        <v/>
      </c>
      <c r="AI328" s="460" t="str">
        <f t="shared" ca="1" si="71"/>
        <v/>
      </c>
      <c r="AJ328" s="460" t="str">
        <f t="shared" ca="1" si="71"/>
        <v/>
      </c>
      <c r="AK328" s="460" t="str">
        <f t="shared" ca="1" si="71"/>
        <v/>
      </c>
      <c r="AL328" s="460" t="str">
        <f t="shared" ca="1" si="71"/>
        <v/>
      </c>
      <c r="AM328" s="460" t="str">
        <f t="shared" ca="1" si="71"/>
        <v/>
      </c>
      <c r="AN328" s="461" t="str">
        <f t="shared" ca="1" si="71"/>
        <v/>
      </c>
      <c r="AO328" s="474" t="str">
        <f t="shared" ca="1" si="71"/>
        <v/>
      </c>
      <c r="AP328" s="475" t="str">
        <f t="shared" ca="1" si="71"/>
        <v/>
      </c>
      <c r="AQ328" s="479" t="str">
        <f t="array" aca="1" ref="AQ328" ca="1">IF(ROW()-5&lt;=COUNTIF(科目编号,$AR$2),SMALL(IF(科目编号=$AR$2,ROW(科目编号),""),ROW()-5),"")</f>
        <v/>
      </c>
      <c r="AR328" s="480" t="str">
        <f ca="1">IF($BG$2=0,"",IF(AR327="本月合计","本年累计",IF(OR(ROW()=$AU$3,ROW()=$AV$3,ROW()=$AW$3,ROW()=$AX$3,ROW()=$AY$3,ROW()=$AZ$3,ROW()=$BA$3,ROW()=$BB$3,ROW()=$BC$3,ROW()=$BD$3,ROW()=$BE$3,ROW()=$BF$3),"本月合计",IF(ROW()&lt;7,$AQ$6,OFFSET($AQ$6,COUNT($AR$6:AR327),0)))))</f>
        <v/>
      </c>
    </row>
    <row r="329" spans="1:44">
      <c r="A329" s="469" t="str">
        <f ca="1">IFERROR(INDEX(凭证录入!A:A,$AR329),"")</f>
        <v/>
      </c>
      <c r="B329" s="469" t="str">
        <f ca="1">IFERROR(INDEX(凭证录入!B:B,$AR329),"")</f>
        <v/>
      </c>
      <c r="C329" s="470" t="str">
        <f ca="1">IFERROR(INDEX(凭证录入!G:G,$AR329),"")</f>
        <v/>
      </c>
      <c r="D329" s="471" t="str">
        <f ca="1">IFERROR(INDEX(凭证录入!F:F,$AR329),"")</f>
        <v/>
      </c>
      <c r="E329" s="472" t="str">
        <f ca="1">IFERROR(INDEX(凭证录入!H:H,$AR329),$AR329)</f>
        <v/>
      </c>
      <c r="F329" s="473">
        <f ca="1">IF(OR($BG$2=0,$AR329=""),,IF($AR329="本月合计",IF(ROW()=$BG$3,SUM($F$6:$F328),SUM(INDIRECT("$F$"&amp;OFFSET($AU$3,,MATCH(ROW(),$AU$3:$BF$3,)-2)+2&amp;":$E"&amp;ROW()-1))),IF($AR329="本年累计",SUMIF($AR$6:$AR329,"本月合计",$F$6:$F328),INDEX(凭证录入!K:K,$AR329))))</f>
        <v>0</v>
      </c>
      <c r="G329" s="459" t="str">
        <f t="shared" ca="1" si="72"/>
        <v/>
      </c>
      <c r="H329" s="460" t="str">
        <f t="shared" ca="1" si="72"/>
        <v/>
      </c>
      <c r="I329" s="460" t="str">
        <f t="shared" ca="1" si="72"/>
        <v/>
      </c>
      <c r="J329" s="460" t="str">
        <f t="shared" ca="1" si="72"/>
        <v/>
      </c>
      <c r="K329" s="460" t="str">
        <f t="shared" ca="1" si="72"/>
        <v/>
      </c>
      <c r="L329" s="460" t="str">
        <f t="shared" ca="1" si="72"/>
        <v/>
      </c>
      <c r="M329" s="460" t="str">
        <f t="shared" ca="1" si="72"/>
        <v/>
      </c>
      <c r="N329" s="460" t="str">
        <f t="shared" ca="1" si="72"/>
        <v/>
      </c>
      <c r="O329" s="461" t="str">
        <f t="shared" ca="1" si="72"/>
        <v/>
      </c>
      <c r="P329" s="474" t="str">
        <f t="shared" ca="1" si="72"/>
        <v/>
      </c>
      <c r="Q329" s="475" t="str">
        <f t="shared" ca="1" si="72"/>
        <v/>
      </c>
      <c r="R329" s="476">
        <f ca="1">IF(OR($BG$2=0,$AR329=""),,IF($AR329="本月合计",IF(ROW()=$BG$3,SUM($R$6:$R328),SUM(INDIRECT("$R$"&amp;OFFSET($AU$3,,MATCH(ROW(),$AU$3:$BF$3,)-2)+2&amp;":$R"&amp;ROW()-1))),IF($AR329="本年累计",SUMIF($AR$6:$AR329,"本月合计",$R$6:$R328),INDEX(凭证录入!L:L,$AR329))))</f>
        <v>0</v>
      </c>
      <c r="S329" s="459" t="str">
        <f t="shared" ca="1" si="73"/>
        <v/>
      </c>
      <c r="T329" s="460" t="str">
        <f t="shared" ca="1" si="73"/>
        <v/>
      </c>
      <c r="U329" s="460" t="str">
        <f t="shared" ca="1" si="73"/>
        <v/>
      </c>
      <c r="V329" s="460" t="str">
        <f t="shared" ca="1" si="73"/>
        <v/>
      </c>
      <c r="W329" s="460" t="str">
        <f t="shared" ca="1" si="73"/>
        <v/>
      </c>
      <c r="X329" s="460" t="str">
        <f t="shared" ca="1" si="73"/>
        <v/>
      </c>
      <c r="Y329" s="460" t="str">
        <f t="shared" ca="1" si="73"/>
        <v/>
      </c>
      <c r="Z329" s="460" t="str">
        <f t="shared" ca="1" si="73"/>
        <v/>
      </c>
      <c r="AA329" s="461" t="str">
        <f t="shared" ca="1" si="73"/>
        <v/>
      </c>
      <c r="AB329" s="474" t="str">
        <f t="shared" ca="1" si="73"/>
        <v/>
      </c>
      <c r="AC329" s="475" t="str">
        <f t="shared" ca="1" si="73"/>
        <v/>
      </c>
      <c r="AD329" s="477" t="str">
        <f t="shared" ca="1" si="74"/>
        <v/>
      </c>
      <c r="AE329" s="478">
        <f t="shared" ca="1" si="75"/>
        <v>0</v>
      </c>
      <c r="AF329" s="459" t="str">
        <f t="shared" ca="1" si="71"/>
        <v/>
      </c>
      <c r="AG329" s="460" t="str">
        <f t="shared" ca="1" si="71"/>
        <v/>
      </c>
      <c r="AH329" s="460" t="str">
        <f t="shared" ca="1" si="71"/>
        <v/>
      </c>
      <c r="AI329" s="460" t="str">
        <f t="shared" ca="1" si="71"/>
        <v/>
      </c>
      <c r="AJ329" s="460" t="str">
        <f t="shared" ca="1" si="71"/>
        <v/>
      </c>
      <c r="AK329" s="460" t="str">
        <f t="shared" ca="1" si="71"/>
        <v/>
      </c>
      <c r="AL329" s="460" t="str">
        <f t="shared" ca="1" si="71"/>
        <v/>
      </c>
      <c r="AM329" s="460" t="str">
        <f t="shared" ca="1" si="71"/>
        <v/>
      </c>
      <c r="AN329" s="461" t="str">
        <f t="shared" ca="1" si="71"/>
        <v/>
      </c>
      <c r="AO329" s="474" t="str">
        <f t="shared" ca="1" si="71"/>
        <v/>
      </c>
      <c r="AP329" s="475" t="str">
        <f t="shared" ca="1" si="71"/>
        <v/>
      </c>
      <c r="AQ329" s="479" t="str">
        <f t="array" aca="1" ref="AQ329" ca="1">IF(ROW()-5&lt;=COUNTIF(科目编号,$AR$2),SMALL(IF(科目编号=$AR$2,ROW(科目编号),""),ROW()-5),"")</f>
        <v/>
      </c>
      <c r="AR329" s="480" t="str">
        <f ca="1">IF($BG$2=0,"",IF(AR328="本月合计","本年累计",IF(OR(ROW()=$AU$3,ROW()=$AV$3,ROW()=$AW$3,ROW()=$AX$3,ROW()=$AY$3,ROW()=$AZ$3,ROW()=$BA$3,ROW()=$BB$3,ROW()=$BC$3,ROW()=$BD$3,ROW()=$BE$3,ROW()=$BF$3),"本月合计",IF(ROW()&lt;7,$AQ$6,OFFSET($AQ$6,COUNT($AR$6:AR328),0)))))</f>
        <v/>
      </c>
    </row>
    <row r="330" spans="1:44">
      <c r="A330" s="469" t="str">
        <f ca="1">IFERROR(INDEX(凭证录入!A:A,$AR330),"")</f>
        <v/>
      </c>
      <c r="B330" s="469" t="str">
        <f ca="1">IFERROR(INDEX(凭证录入!B:B,$AR330),"")</f>
        <v/>
      </c>
      <c r="C330" s="470" t="str">
        <f ca="1">IFERROR(INDEX(凭证录入!G:G,$AR330),"")</f>
        <v/>
      </c>
      <c r="D330" s="471" t="str">
        <f ca="1">IFERROR(INDEX(凭证录入!F:F,$AR330),"")</f>
        <v/>
      </c>
      <c r="E330" s="472" t="str">
        <f ca="1">IFERROR(INDEX(凭证录入!H:H,$AR330),$AR330)</f>
        <v/>
      </c>
      <c r="F330" s="473">
        <f ca="1">IF(OR($BG$2=0,$AR330=""),,IF($AR330="本月合计",IF(ROW()=$BG$3,SUM($F$6:$F329),SUM(INDIRECT("$F$"&amp;OFFSET($AU$3,,MATCH(ROW(),$AU$3:$BF$3,)-2)+2&amp;":$E"&amp;ROW()-1))),IF($AR330="本年累计",SUMIF($AR$6:$AR330,"本月合计",$F$6:$F329),INDEX(凭证录入!K:K,$AR330))))</f>
        <v>0</v>
      </c>
      <c r="G330" s="459" t="str">
        <f t="shared" ca="1" si="72"/>
        <v/>
      </c>
      <c r="H330" s="460" t="str">
        <f t="shared" ca="1" si="72"/>
        <v/>
      </c>
      <c r="I330" s="460" t="str">
        <f t="shared" ca="1" si="72"/>
        <v/>
      </c>
      <c r="J330" s="460" t="str">
        <f t="shared" ca="1" si="72"/>
        <v/>
      </c>
      <c r="K330" s="460" t="str">
        <f t="shared" ca="1" si="72"/>
        <v/>
      </c>
      <c r="L330" s="460" t="str">
        <f t="shared" ca="1" si="72"/>
        <v/>
      </c>
      <c r="M330" s="460" t="str">
        <f t="shared" ca="1" si="72"/>
        <v/>
      </c>
      <c r="N330" s="460" t="str">
        <f t="shared" ca="1" si="72"/>
        <v/>
      </c>
      <c r="O330" s="461" t="str">
        <f t="shared" ca="1" si="72"/>
        <v/>
      </c>
      <c r="P330" s="474" t="str">
        <f t="shared" ca="1" si="72"/>
        <v/>
      </c>
      <c r="Q330" s="475" t="str">
        <f t="shared" ca="1" si="72"/>
        <v/>
      </c>
      <c r="R330" s="476">
        <f ca="1">IF(OR($BG$2=0,$AR330=""),,IF($AR330="本月合计",IF(ROW()=$BG$3,SUM($R$6:$R329),SUM(INDIRECT("$R$"&amp;OFFSET($AU$3,,MATCH(ROW(),$AU$3:$BF$3,)-2)+2&amp;":$R"&amp;ROW()-1))),IF($AR330="本年累计",SUMIF($AR$6:$AR330,"本月合计",$R$6:$R329),INDEX(凭证录入!L:L,$AR330))))</f>
        <v>0</v>
      </c>
      <c r="S330" s="459" t="str">
        <f t="shared" ca="1" si="73"/>
        <v/>
      </c>
      <c r="T330" s="460" t="str">
        <f t="shared" ca="1" si="73"/>
        <v/>
      </c>
      <c r="U330" s="460" t="str">
        <f t="shared" ca="1" si="73"/>
        <v/>
      </c>
      <c r="V330" s="460" t="str">
        <f t="shared" ca="1" si="73"/>
        <v/>
      </c>
      <c r="W330" s="460" t="str">
        <f t="shared" ca="1" si="73"/>
        <v/>
      </c>
      <c r="X330" s="460" t="str">
        <f t="shared" ca="1" si="73"/>
        <v/>
      </c>
      <c r="Y330" s="460" t="str">
        <f t="shared" ca="1" si="73"/>
        <v/>
      </c>
      <c r="Z330" s="460" t="str">
        <f t="shared" ca="1" si="73"/>
        <v/>
      </c>
      <c r="AA330" s="461" t="str">
        <f t="shared" ca="1" si="73"/>
        <v/>
      </c>
      <c r="AB330" s="474" t="str">
        <f t="shared" ca="1" si="73"/>
        <v/>
      </c>
      <c r="AC330" s="475" t="str">
        <f t="shared" ca="1" si="73"/>
        <v/>
      </c>
      <c r="AD330" s="477" t="str">
        <f t="shared" ca="1" si="74"/>
        <v/>
      </c>
      <c r="AE330" s="478">
        <f t="shared" ca="1" si="75"/>
        <v>0</v>
      </c>
      <c r="AF330" s="459" t="str">
        <f t="shared" ca="1" si="71"/>
        <v/>
      </c>
      <c r="AG330" s="460" t="str">
        <f t="shared" ca="1" si="71"/>
        <v/>
      </c>
      <c r="AH330" s="460" t="str">
        <f t="shared" ca="1" si="71"/>
        <v/>
      </c>
      <c r="AI330" s="460" t="str">
        <f t="shared" ca="1" si="71"/>
        <v/>
      </c>
      <c r="AJ330" s="460" t="str">
        <f t="shared" ca="1" si="71"/>
        <v/>
      </c>
      <c r="AK330" s="460" t="str">
        <f t="shared" ca="1" si="71"/>
        <v/>
      </c>
      <c r="AL330" s="460" t="str">
        <f t="shared" ca="1" si="71"/>
        <v/>
      </c>
      <c r="AM330" s="460" t="str">
        <f t="shared" ca="1" si="71"/>
        <v/>
      </c>
      <c r="AN330" s="461" t="str">
        <f t="shared" ca="1" si="71"/>
        <v/>
      </c>
      <c r="AO330" s="474" t="str">
        <f t="shared" ca="1" si="71"/>
        <v/>
      </c>
      <c r="AP330" s="475" t="str">
        <f t="shared" ca="1" si="71"/>
        <v/>
      </c>
      <c r="AQ330" s="479" t="str">
        <f t="array" aca="1" ref="AQ330" ca="1">IF(ROW()-5&lt;=COUNTIF(科目编号,$AR$2),SMALL(IF(科目编号=$AR$2,ROW(科目编号),""),ROW()-5),"")</f>
        <v/>
      </c>
      <c r="AR330" s="480" t="str">
        <f ca="1">IF($BG$2=0,"",IF(AR329="本月合计","本年累计",IF(OR(ROW()=$AU$3,ROW()=$AV$3,ROW()=$AW$3,ROW()=$AX$3,ROW()=$AY$3,ROW()=$AZ$3,ROW()=$BA$3,ROW()=$BB$3,ROW()=$BC$3,ROW()=$BD$3,ROW()=$BE$3,ROW()=$BF$3),"本月合计",IF(ROW()&lt;7,$AQ$6,OFFSET($AQ$6,COUNT($AR$6:AR329),0)))))</f>
        <v/>
      </c>
    </row>
    <row r="331" spans="1:44">
      <c r="A331" s="469" t="str">
        <f ca="1">IFERROR(INDEX(凭证录入!A:A,$AR331),"")</f>
        <v/>
      </c>
      <c r="B331" s="469" t="str">
        <f ca="1">IFERROR(INDEX(凭证录入!B:B,$AR331),"")</f>
        <v/>
      </c>
      <c r="C331" s="470" t="str">
        <f ca="1">IFERROR(INDEX(凭证录入!G:G,$AR331),"")</f>
        <v/>
      </c>
      <c r="D331" s="471" t="str">
        <f ca="1">IFERROR(INDEX(凭证录入!F:F,$AR331),"")</f>
        <v/>
      </c>
      <c r="E331" s="472" t="str">
        <f ca="1">IFERROR(INDEX(凭证录入!H:H,$AR331),$AR331)</f>
        <v/>
      </c>
      <c r="F331" s="473">
        <f ca="1">IF(OR($BG$2=0,$AR331=""),,IF($AR331="本月合计",IF(ROW()=$BG$3,SUM($F$6:$F330),SUM(INDIRECT("$F$"&amp;OFFSET($AU$3,,MATCH(ROW(),$AU$3:$BF$3,)-2)+2&amp;":$E"&amp;ROW()-1))),IF($AR331="本年累计",SUMIF($AR$6:$AR331,"本月合计",$F$6:$F330),INDEX(凭证录入!K:K,$AR331))))</f>
        <v>0</v>
      </c>
      <c r="G331" s="459" t="str">
        <f t="shared" ca="1" si="72"/>
        <v/>
      </c>
      <c r="H331" s="460" t="str">
        <f t="shared" ca="1" si="72"/>
        <v/>
      </c>
      <c r="I331" s="460" t="str">
        <f t="shared" ca="1" si="72"/>
        <v/>
      </c>
      <c r="J331" s="460" t="str">
        <f t="shared" ca="1" si="72"/>
        <v/>
      </c>
      <c r="K331" s="460" t="str">
        <f t="shared" ca="1" si="72"/>
        <v/>
      </c>
      <c r="L331" s="460" t="str">
        <f t="shared" ca="1" si="72"/>
        <v/>
      </c>
      <c r="M331" s="460" t="str">
        <f t="shared" ca="1" si="72"/>
        <v/>
      </c>
      <c r="N331" s="460" t="str">
        <f t="shared" ca="1" si="72"/>
        <v/>
      </c>
      <c r="O331" s="461" t="str">
        <f t="shared" ca="1" si="72"/>
        <v/>
      </c>
      <c r="P331" s="474" t="str">
        <f t="shared" ca="1" si="72"/>
        <v/>
      </c>
      <c r="Q331" s="475" t="str">
        <f t="shared" ca="1" si="72"/>
        <v/>
      </c>
      <c r="R331" s="476">
        <f ca="1">IF(OR($BG$2=0,$AR331=""),,IF($AR331="本月合计",IF(ROW()=$BG$3,SUM($R$6:$R330),SUM(INDIRECT("$R$"&amp;OFFSET($AU$3,,MATCH(ROW(),$AU$3:$BF$3,)-2)+2&amp;":$R"&amp;ROW()-1))),IF($AR331="本年累计",SUMIF($AR$6:$AR331,"本月合计",$R$6:$R330),INDEX(凭证录入!L:L,$AR331))))</f>
        <v>0</v>
      </c>
      <c r="S331" s="459" t="str">
        <f t="shared" ca="1" si="73"/>
        <v/>
      </c>
      <c r="T331" s="460" t="str">
        <f t="shared" ca="1" si="73"/>
        <v/>
      </c>
      <c r="U331" s="460" t="str">
        <f t="shared" ca="1" si="73"/>
        <v/>
      </c>
      <c r="V331" s="460" t="str">
        <f t="shared" ca="1" si="73"/>
        <v/>
      </c>
      <c r="W331" s="460" t="str">
        <f t="shared" ca="1" si="73"/>
        <v/>
      </c>
      <c r="X331" s="460" t="str">
        <f t="shared" ca="1" si="73"/>
        <v/>
      </c>
      <c r="Y331" s="460" t="str">
        <f t="shared" ca="1" si="73"/>
        <v/>
      </c>
      <c r="Z331" s="460" t="str">
        <f t="shared" ca="1" si="73"/>
        <v/>
      </c>
      <c r="AA331" s="461" t="str">
        <f t="shared" ca="1" si="73"/>
        <v/>
      </c>
      <c r="AB331" s="474" t="str">
        <f t="shared" ca="1" si="73"/>
        <v/>
      </c>
      <c r="AC331" s="475" t="str">
        <f t="shared" ca="1" si="73"/>
        <v/>
      </c>
      <c r="AD331" s="477" t="str">
        <f t="shared" ca="1" si="74"/>
        <v/>
      </c>
      <c r="AE331" s="478">
        <f t="shared" ca="1" si="75"/>
        <v>0</v>
      </c>
      <c r="AF331" s="459" t="str">
        <f t="shared" ca="1" si="71"/>
        <v/>
      </c>
      <c r="AG331" s="460" t="str">
        <f t="shared" ca="1" si="71"/>
        <v/>
      </c>
      <c r="AH331" s="460" t="str">
        <f t="shared" ca="1" si="71"/>
        <v/>
      </c>
      <c r="AI331" s="460" t="str">
        <f t="shared" ca="1" si="71"/>
        <v/>
      </c>
      <c r="AJ331" s="460" t="str">
        <f t="shared" ca="1" si="71"/>
        <v/>
      </c>
      <c r="AK331" s="460" t="str">
        <f t="shared" ca="1" si="71"/>
        <v/>
      </c>
      <c r="AL331" s="460" t="str">
        <f t="shared" ca="1" si="71"/>
        <v/>
      </c>
      <c r="AM331" s="460" t="str">
        <f t="shared" ca="1" si="71"/>
        <v/>
      </c>
      <c r="AN331" s="461" t="str">
        <f t="shared" ca="1" si="71"/>
        <v/>
      </c>
      <c r="AO331" s="474" t="str">
        <f t="shared" ca="1" si="71"/>
        <v/>
      </c>
      <c r="AP331" s="475" t="str">
        <f t="shared" ca="1" si="71"/>
        <v/>
      </c>
      <c r="AQ331" s="479" t="str">
        <f t="array" aca="1" ref="AQ331" ca="1">IF(ROW()-5&lt;=COUNTIF(科目编号,$AR$2),SMALL(IF(科目编号=$AR$2,ROW(科目编号),""),ROW()-5),"")</f>
        <v/>
      </c>
      <c r="AR331" s="480" t="str">
        <f ca="1">IF($BG$2=0,"",IF(AR330="本月合计","本年累计",IF(OR(ROW()=$AU$3,ROW()=$AV$3,ROW()=$AW$3,ROW()=$AX$3,ROW()=$AY$3,ROW()=$AZ$3,ROW()=$BA$3,ROW()=$BB$3,ROW()=$BC$3,ROW()=$BD$3,ROW()=$BE$3,ROW()=$BF$3),"本月合计",IF(ROW()&lt;7,$AQ$6,OFFSET($AQ$6,COUNT($AR$6:AR330),0)))))</f>
        <v/>
      </c>
    </row>
    <row r="332" spans="1:44">
      <c r="A332" s="469" t="str">
        <f ca="1">IFERROR(INDEX(凭证录入!A:A,$AR332),"")</f>
        <v/>
      </c>
      <c r="B332" s="469" t="str">
        <f ca="1">IFERROR(INDEX(凭证录入!B:B,$AR332),"")</f>
        <v/>
      </c>
      <c r="C332" s="470" t="str">
        <f ca="1">IFERROR(INDEX(凭证录入!G:G,$AR332),"")</f>
        <v/>
      </c>
      <c r="D332" s="471" t="str">
        <f ca="1">IFERROR(INDEX(凭证录入!F:F,$AR332),"")</f>
        <v/>
      </c>
      <c r="E332" s="472" t="str">
        <f ca="1">IFERROR(INDEX(凭证录入!H:H,$AR332),$AR332)</f>
        <v/>
      </c>
      <c r="F332" s="473">
        <f ca="1">IF(OR($BG$2=0,$AR332=""),,IF($AR332="本月合计",IF(ROW()=$BG$3,SUM($F$6:$F331),SUM(INDIRECT("$F$"&amp;OFFSET($AU$3,,MATCH(ROW(),$AU$3:$BF$3,)-2)+2&amp;":$E"&amp;ROW()-1))),IF($AR332="本年累计",SUMIF($AR$6:$AR332,"本月合计",$F$6:$F331),INDEX(凭证录入!K:K,$AR332))))</f>
        <v>0</v>
      </c>
      <c r="G332" s="459" t="str">
        <f t="shared" ca="1" si="72"/>
        <v/>
      </c>
      <c r="H332" s="460" t="str">
        <f t="shared" ca="1" si="72"/>
        <v/>
      </c>
      <c r="I332" s="460" t="str">
        <f t="shared" ca="1" si="72"/>
        <v/>
      </c>
      <c r="J332" s="460" t="str">
        <f t="shared" ca="1" si="72"/>
        <v/>
      </c>
      <c r="K332" s="460" t="str">
        <f t="shared" ca="1" si="72"/>
        <v/>
      </c>
      <c r="L332" s="460" t="str">
        <f t="shared" ca="1" si="72"/>
        <v/>
      </c>
      <c r="M332" s="460" t="str">
        <f t="shared" ca="1" si="72"/>
        <v/>
      </c>
      <c r="N332" s="460" t="str">
        <f t="shared" ca="1" si="72"/>
        <v/>
      </c>
      <c r="O332" s="461" t="str">
        <f t="shared" ca="1" si="72"/>
        <v/>
      </c>
      <c r="P332" s="474" t="str">
        <f t="shared" ca="1" si="72"/>
        <v/>
      </c>
      <c r="Q332" s="475" t="str">
        <f t="shared" ca="1" si="72"/>
        <v/>
      </c>
      <c r="R332" s="476">
        <f ca="1">IF(OR($BG$2=0,$AR332=""),,IF($AR332="本月合计",IF(ROW()=$BG$3,SUM($R$6:$R331),SUM(INDIRECT("$R$"&amp;OFFSET($AU$3,,MATCH(ROW(),$AU$3:$BF$3,)-2)+2&amp;":$R"&amp;ROW()-1))),IF($AR332="本年累计",SUMIF($AR$6:$AR332,"本月合计",$R$6:$R331),INDEX(凭证录入!L:L,$AR332))))</f>
        <v>0</v>
      </c>
      <c r="S332" s="459" t="str">
        <f t="shared" ca="1" si="73"/>
        <v/>
      </c>
      <c r="T332" s="460" t="str">
        <f t="shared" ca="1" si="73"/>
        <v/>
      </c>
      <c r="U332" s="460" t="str">
        <f t="shared" ca="1" si="73"/>
        <v/>
      </c>
      <c r="V332" s="460" t="str">
        <f t="shared" ca="1" si="73"/>
        <v/>
      </c>
      <c r="W332" s="460" t="str">
        <f t="shared" ca="1" si="73"/>
        <v/>
      </c>
      <c r="X332" s="460" t="str">
        <f t="shared" ca="1" si="73"/>
        <v/>
      </c>
      <c r="Y332" s="460" t="str">
        <f t="shared" ca="1" si="73"/>
        <v/>
      </c>
      <c r="Z332" s="460" t="str">
        <f t="shared" ca="1" si="73"/>
        <v/>
      </c>
      <c r="AA332" s="461" t="str">
        <f t="shared" ca="1" si="73"/>
        <v/>
      </c>
      <c r="AB332" s="474" t="str">
        <f t="shared" ca="1" si="73"/>
        <v/>
      </c>
      <c r="AC332" s="475" t="str">
        <f t="shared" ca="1" si="73"/>
        <v/>
      </c>
      <c r="AD332" s="477" t="str">
        <f t="shared" ca="1" si="74"/>
        <v/>
      </c>
      <c r="AE332" s="478">
        <f t="shared" ca="1" si="75"/>
        <v>0</v>
      </c>
      <c r="AF332" s="459" t="str">
        <f t="shared" ca="1" si="71"/>
        <v/>
      </c>
      <c r="AG332" s="460" t="str">
        <f t="shared" ca="1" si="71"/>
        <v/>
      </c>
      <c r="AH332" s="460" t="str">
        <f t="shared" ca="1" si="71"/>
        <v/>
      </c>
      <c r="AI332" s="460" t="str">
        <f t="shared" ca="1" si="71"/>
        <v/>
      </c>
      <c r="AJ332" s="460" t="str">
        <f t="shared" ca="1" si="71"/>
        <v/>
      </c>
      <c r="AK332" s="460" t="str">
        <f t="shared" ca="1" si="71"/>
        <v/>
      </c>
      <c r="AL332" s="460" t="str">
        <f t="shared" ca="1" si="71"/>
        <v/>
      </c>
      <c r="AM332" s="460" t="str">
        <f t="shared" ca="1" si="71"/>
        <v/>
      </c>
      <c r="AN332" s="461" t="str">
        <f t="shared" ca="1" si="71"/>
        <v/>
      </c>
      <c r="AO332" s="474" t="str">
        <f t="shared" ca="1" si="71"/>
        <v/>
      </c>
      <c r="AP332" s="475" t="str">
        <f t="shared" ca="1" si="71"/>
        <v/>
      </c>
      <c r="AQ332" s="479" t="str">
        <f t="array" aca="1" ref="AQ332" ca="1">IF(ROW()-5&lt;=COUNTIF(科目编号,$AR$2),SMALL(IF(科目编号=$AR$2,ROW(科目编号),""),ROW()-5),"")</f>
        <v/>
      </c>
      <c r="AR332" s="480" t="str">
        <f ca="1">IF($BG$2=0,"",IF(AR331="本月合计","本年累计",IF(OR(ROW()=$AU$3,ROW()=$AV$3,ROW()=$AW$3,ROW()=$AX$3,ROW()=$AY$3,ROW()=$AZ$3,ROW()=$BA$3,ROW()=$BB$3,ROW()=$BC$3,ROW()=$BD$3,ROW()=$BE$3,ROW()=$BF$3),"本月合计",IF(ROW()&lt;7,$AQ$6,OFFSET($AQ$6,COUNT($AR$6:AR331),0)))))</f>
        <v/>
      </c>
    </row>
    <row r="333" spans="1:44">
      <c r="A333" s="469" t="str">
        <f ca="1">IFERROR(INDEX(凭证录入!A:A,$AR333),"")</f>
        <v/>
      </c>
      <c r="B333" s="469" t="str">
        <f ca="1">IFERROR(INDEX(凭证录入!B:B,$AR333),"")</f>
        <v/>
      </c>
      <c r="C333" s="470" t="str">
        <f ca="1">IFERROR(INDEX(凭证录入!G:G,$AR333),"")</f>
        <v/>
      </c>
      <c r="D333" s="471" t="str">
        <f ca="1">IFERROR(INDEX(凭证录入!F:F,$AR333),"")</f>
        <v/>
      </c>
      <c r="E333" s="472" t="str">
        <f ca="1">IFERROR(INDEX(凭证录入!H:H,$AR333),$AR333)</f>
        <v/>
      </c>
      <c r="F333" s="473">
        <f ca="1">IF(OR($BG$2=0,$AR333=""),,IF($AR333="本月合计",IF(ROW()=$BG$3,SUM($F$6:$F332),SUM(INDIRECT("$F$"&amp;OFFSET($AU$3,,MATCH(ROW(),$AU$3:$BF$3,)-2)+2&amp;":$E"&amp;ROW()-1))),IF($AR333="本年累计",SUMIF($AR$6:$AR333,"本月合计",$F$6:$F332),INDEX(凭证录入!K:K,$AR333))))</f>
        <v>0</v>
      </c>
      <c r="G333" s="459" t="str">
        <f t="shared" ca="1" si="72"/>
        <v/>
      </c>
      <c r="H333" s="460" t="str">
        <f t="shared" ca="1" si="72"/>
        <v/>
      </c>
      <c r="I333" s="460" t="str">
        <f t="shared" ca="1" si="72"/>
        <v/>
      </c>
      <c r="J333" s="460" t="str">
        <f t="shared" ca="1" si="72"/>
        <v/>
      </c>
      <c r="K333" s="460" t="str">
        <f t="shared" ca="1" si="72"/>
        <v/>
      </c>
      <c r="L333" s="460" t="str">
        <f t="shared" ca="1" si="72"/>
        <v/>
      </c>
      <c r="M333" s="460" t="str">
        <f t="shared" ca="1" si="72"/>
        <v/>
      </c>
      <c r="N333" s="460" t="str">
        <f t="shared" ca="1" si="72"/>
        <v/>
      </c>
      <c r="O333" s="461" t="str">
        <f t="shared" ca="1" si="72"/>
        <v/>
      </c>
      <c r="P333" s="474" t="str">
        <f t="shared" ca="1" si="72"/>
        <v/>
      </c>
      <c r="Q333" s="475" t="str">
        <f t="shared" ca="1" si="72"/>
        <v/>
      </c>
      <c r="R333" s="476">
        <f ca="1">IF(OR($BG$2=0,$AR333=""),,IF($AR333="本月合计",IF(ROW()=$BG$3,SUM($R$6:$R332),SUM(INDIRECT("$R$"&amp;OFFSET($AU$3,,MATCH(ROW(),$AU$3:$BF$3,)-2)+2&amp;":$R"&amp;ROW()-1))),IF($AR333="本年累计",SUMIF($AR$6:$AR333,"本月合计",$R$6:$R332),INDEX(凭证录入!L:L,$AR333))))</f>
        <v>0</v>
      </c>
      <c r="S333" s="459" t="str">
        <f t="shared" ca="1" si="73"/>
        <v/>
      </c>
      <c r="T333" s="460" t="str">
        <f t="shared" ca="1" si="73"/>
        <v/>
      </c>
      <c r="U333" s="460" t="str">
        <f t="shared" ca="1" si="73"/>
        <v/>
      </c>
      <c r="V333" s="460" t="str">
        <f t="shared" ca="1" si="73"/>
        <v/>
      </c>
      <c r="W333" s="460" t="str">
        <f t="shared" ca="1" si="73"/>
        <v/>
      </c>
      <c r="X333" s="460" t="str">
        <f t="shared" ca="1" si="73"/>
        <v/>
      </c>
      <c r="Y333" s="460" t="str">
        <f t="shared" ca="1" si="73"/>
        <v/>
      </c>
      <c r="Z333" s="460" t="str">
        <f t="shared" ca="1" si="73"/>
        <v/>
      </c>
      <c r="AA333" s="461" t="str">
        <f t="shared" ca="1" si="73"/>
        <v/>
      </c>
      <c r="AB333" s="474" t="str">
        <f t="shared" ca="1" si="73"/>
        <v/>
      </c>
      <c r="AC333" s="475" t="str">
        <f t="shared" ca="1" si="73"/>
        <v/>
      </c>
      <c r="AD333" s="477" t="str">
        <f t="shared" ca="1" si="74"/>
        <v/>
      </c>
      <c r="AE333" s="478">
        <f t="shared" ca="1" si="75"/>
        <v>0</v>
      </c>
      <c r="AF333" s="459" t="str">
        <f t="shared" ca="1" si="71"/>
        <v/>
      </c>
      <c r="AG333" s="460" t="str">
        <f t="shared" ca="1" si="71"/>
        <v/>
      </c>
      <c r="AH333" s="460" t="str">
        <f t="shared" ca="1" si="71"/>
        <v/>
      </c>
      <c r="AI333" s="460" t="str">
        <f t="shared" ca="1" si="71"/>
        <v/>
      </c>
      <c r="AJ333" s="460" t="str">
        <f t="shared" ca="1" si="71"/>
        <v/>
      </c>
      <c r="AK333" s="460" t="str">
        <f t="shared" ca="1" si="71"/>
        <v/>
      </c>
      <c r="AL333" s="460" t="str">
        <f t="shared" ca="1" si="71"/>
        <v/>
      </c>
      <c r="AM333" s="460" t="str">
        <f t="shared" ca="1" si="71"/>
        <v/>
      </c>
      <c r="AN333" s="461" t="str">
        <f t="shared" ca="1" si="71"/>
        <v/>
      </c>
      <c r="AO333" s="474" t="str">
        <f t="shared" ca="1" si="71"/>
        <v/>
      </c>
      <c r="AP333" s="475" t="str">
        <f t="shared" ca="1" si="71"/>
        <v/>
      </c>
      <c r="AQ333" s="479" t="str">
        <f t="array" aca="1" ref="AQ333" ca="1">IF(ROW()-5&lt;=COUNTIF(科目编号,$AR$2),SMALL(IF(科目编号=$AR$2,ROW(科目编号),""),ROW()-5),"")</f>
        <v/>
      </c>
      <c r="AR333" s="480" t="str">
        <f ca="1">IF($BG$2=0,"",IF(AR332="本月合计","本年累计",IF(OR(ROW()=$AU$3,ROW()=$AV$3,ROW()=$AW$3,ROW()=$AX$3,ROW()=$AY$3,ROW()=$AZ$3,ROW()=$BA$3,ROW()=$BB$3,ROW()=$BC$3,ROW()=$BD$3,ROW()=$BE$3,ROW()=$BF$3),"本月合计",IF(ROW()&lt;7,$AQ$6,OFFSET($AQ$6,COUNT($AR$6:AR332),0)))))</f>
        <v/>
      </c>
    </row>
    <row r="334" spans="1:44">
      <c r="A334" s="469" t="str">
        <f ca="1">IFERROR(INDEX(凭证录入!A:A,$AR334),"")</f>
        <v/>
      </c>
      <c r="B334" s="469" t="str">
        <f ca="1">IFERROR(INDEX(凭证录入!B:B,$AR334),"")</f>
        <v/>
      </c>
      <c r="C334" s="470" t="str">
        <f ca="1">IFERROR(INDEX(凭证录入!G:G,$AR334),"")</f>
        <v/>
      </c>
      <c r="D334" s="471" t="str">
        <f ca="1">IFERROR(INDEX(凭证录入!F:F,$AR334),"")</f>
        <v/>
      </c>
      <c r="E334" s="472" t="str">
        <f ca="1">IFERROR(INDEX(凭证录入!H:H,$AR334),$AR334)</f>
        <v/>
      </c>
      <c r="F334" s="473">
        <f ca="1">IF(OR($BG$2=0,$AR334=""),,IF($AR334="本月合计",IF(ROW()=$BG$3,SUM($F$6:$F333),SUM(INDIRECT("$F$"&amp;OFFSET($AU$3,,MATCH(ROW(),$AU$3:$BF$3,)-2)+2&amp;":$E"&amp;ROW()-1))),IF($AR334="本年累计",SUMIF($AR$6:$AR334,"本月合计",$F$6:$F333),INDEX(凭证录入!K:K,$AR334))))</f>
        <v>0</v>
      </c>
      <c r="G334" s="459" t="str">
        <f t="shared" ca="1" si="72"/>
        <v/>
      </c>
      <c r="H334" s="460" t="str">
        <f t="shared" ca="1" si="72"/>
        <v/>
      </c>
      <c r="I334" s="460" t="str">
        <f t="shared" ca="1" si="72"/>
        <v/>
      </c>
      <c r="J334" s="460" t="str">
        <f t="shared" ca="1" si="72"/>
        <v/>
      </c>
      <c r="K334" s="460" t="str">
        <f t="shared" ca="1" si="72"/>
        <v/>
      </c>
      <c r="L334" s="460" t="str">
        <f t="shared" ca="1" si="72"/>
        <v/>
      </c>
      <c r="M334" s="460" t="str">
        <f t="shared" ca="1" si="72"/>
        <v/>
      </c>
      <c r="N334" s="460" t="str">
        <f t="shared" ca="1" si="72"/>
        <v/>
      </c>
      <c r="O334" s="461" t="str">
        <f t="shared" ca="1" si="72"/>
        <v/>
      </c>
      <c r="P334" s="474" t="str">
        <f t="shared" ca="1" si="72"/>
        <v/>
      </c>
      <c r="Q334" s="475" t="str">
        <f t="shared" ca="1" si="72"/>
        <v/>
      </c>
      <c r="R334" s="476">
        <f ca="1">IF(OR($BG$2=0,$AR334=""),,IF($AR334="本月合计",IF(ROW()=$BG$3,SUM($R$6:$R333),SUM(INDIRECT("$R$"&amp;OFFSET($AU$3,,MATCH(ROW(),$AU$3:$BF$3,)-2)+2&amp;":$R"&amp;ROW()-1))),IF($AR334="本年累计",SUMIF($AR$6:$AR334,"本月合计",$R$6:$R333),INDEX(凭证录入!L:L,$AR334))))</f>
        <v>0</v>
      </c>
      <c r="S334" s="459" t="str">
        <f t="shared" ca="1" si="73"/>
        <v/>
      </c>
      <c r="T334" s="460" t="str">
        <f t="shared" ca="1" si="73"/>
        <v/>
      </c>
      <c r="U334" s="460" t="str">
        <f t="shared" ca="1" si="73"/>
        <v/>
      </c>
      <c r="V334" s="460" t="str">
        <f t="shared" ca="1" si="73"/>
        <v/>
      </c>
      <c r="W334" s="460" t="str">
        <f t="shared" ca="1" si="73"/>
        <v/>
      </c>
      <c r="X334" s="460" t="str">
        <f t="shared" ca="1" si="73"/>
        <v/>
      </c>
      <c r="Y334" s="460" t="str">
        <f t="shared" ca="1" si="73"/>
        <v/>
      </c>
      <c r="Z334" s="460" t="str">
        <f t="shared" ca="1" si="73"/>
        <v/>
      </c>
      <c r="AA334" s="461" t="str">
        <f t="shared" ca="1" si="73"/>
        <v/>
      </c>
      <c r="AB334" s="474" t="str">
        <f t="shared" ca="1" si="73"/>
        <v/>
      </c>
      <c r="AC334" s="475" t="str">
        <f t="shared" ca="1" si="73"/>
        <v/>
      </c>
      <c r="AD334" s="477" t="str">
        <f t="shared" ca="1" si="74"/>
        <v/>
      </c>
      <c r="AE334" s="478">
        <f t="shared" ca="1" si="75"/>
        <v>0</v>
      </c>
      <c r="AF334" s="459" t="str">
        <f t="shared" ca="1" si="71"/>
        <v/>
      </c>
      <c r="AG334" s="460" t="str">
        <f t="shared" ca="1" si="71"/>
        <v/>
      </c>
      <c r="AH334" s="460" t="str">
        <f t="shared" ca="1" si="71"/>
        <v/>
      </c>
      <c r="AI334" s="460" t="str">
        <f t="shared" ca="1" si="71"/>
        <v/>
      </c>
      <c r="AJ334" s="460" t="str">
        <f t="shared" ca="1" si="71"/>
        <v/>
      </c>
      <c r="AK334" s="460" t="str">
        <f t="shared" ca="1" si="71"/>
        <v/>
      </c>
      <c r="AL334" s="460" t="str">
        <f t="shared" ca="1" si="71"/>
        <v/>
      </c>
      <c r="AM334" s="460" t="str">
        <f t="shared" ca="1" si="71"/>
        <v/>
      </c>
      <c r="AN334" s="461" t="str">
        <f t="shared" ca="1" si="71"/>
        <v/>
      </c>
      <c r="AO334" s="474" t="str">
        <f t="shared" ca="1" si="71"/>
        <v/>
      </c>
      <c r="AP334" s="475" t="str">
        <f t="shared" ca="1" si="71"/>
        <v/>
      </c>
      <c r="AQ334" s="479" t="str">
        <f t="array" aca="1" ref="AQ334" ca="1">IF(ROW()-5&lt;=COUNTIF(科目编号,$AR$2),SMALL(IF(科目编号=$AR$2,ROW(科目编号),""),ROW()-5),"")</f>
        <v/>
      </c>
      <c r="AR334" s="480" t="str">
        <f ca="1">IF($BG$2=0,"",IF(AR333="本月合计","本年累计",IF(OR(ROW()=$AU$3,ROW()=$AV$3,ROW()=$AW$3,ROW()=$AX$3,ROW()=$AY$3,ROW()=$AZ$3,ROW()=$BA$3,ROW()=$BB$3,ROW()=$BC$3,ROW()=$BD$3,ROW()=$BE$3,ROW()=$BF$3),"本月合计",IF(ROW()&lt;7,$AQ$6,OFFSET($AQ$6,COUNT($AR$6:AR333),0)))))</f>
        <v/>
      </c>
    </row>
    <row r="335" spans="1:44">
      <c r="A335" s="469" t="str">
        <f ca="1">IFERROR(INDEX(凭证录入!A:A,$AR335),"")</f>
        <v/>
      </c>
      <c r="B335" s="469" t="str">
        <f ca="1">IFERROR(INDEX(凭证录入!B:B,$AR335),"")</f>
        <v/>
      </c>
      <c r="C335" s="470" t="str">
        <f ca="1">IFERROR(INDEX(凭证录入!G:G,$AR335),"")</f>
        <v/>
      </c>
      <c r="D335" s="471" t="str">
        <f ca="1">IFERROR(INDEX(凭证录入!F:F,$AR335),"")</f>
        <v/>
      </c>
      <c r="E335" s="472" t="str">
        <f ca="1">IFERROR(INDEX(凭证录入!H:H,$AR335),$AR335)</f>
        <v/>
      </c>
      <c r="F335" s="473">
        <f ca="1">IF(OR($BG$2=0,$AR335=""),,IF($AR335="本月合计",IF(ROW()=$BG$3,SUM($F$6:$F334),SUM(INDIRECT("$F$"&amp;OFFSET($AU$3,,MATCH(ROW(),$AU$3:$BF$3,)-2)+2&amp;":$E"&amp;ROW()-1))),IF($AR335="本年累计",SUMIF($AR$6:$AR335,"本月合计",$F$6:$F334),INDEX(凭证录入!K:K,$AR335))))</f>
        <v>0</v>
      </c>
      <c r="G335" s="459" t="str">
        <f t="shared" ca="1" si="72"/>
        <v/>
      </c>
      <c r="H335" s="460" t="str">
        <f t="shared" ca="1" si="72"/>
        <v/>
      </c>
      <c r="I335" s="460" t="str">
        <f t="shared" ca="1" si="72"/>
        <v/>
      </c>
      <c r="J335" s="460" t="str">
        <f t="shared" ca="1" si="72"/>
        <v/>
      </c>
      <c r="K335" s="460" t="str">
        <f t="shared" ca="1" si="72"/>
        <v/>
      </c>
      <c r="L335" s="460" t="str">
        <f t="shared" ca="1" si="72"/>
        <v/>
      </c>
      <c r="M335" s="460" t="str">
        <f t="shared" ca="1" si="72"/>
        <v/>
      </c>
      <c r="N335" s="460" t="str">
        <f t="shared" ca="1" si="72"/>
        <v/>
      </c>
      <c r="O335" s="461" t="str">
        <f t="shared" ca="1" si="72"/>
        <v/>
      </c>
      <c r="P335" s="474" t="str">
        <f t="shared" ca="1" si="72"/>
        <v/>
      </c>
      <c r="Q335" s="475" t="str">
        <f t="shared" ca="1" si="72"/>
        <v/>
      </c>
      <c r="R335" s="476">
        <f ca="1">IF(OR($BG$2=0,$AR335=""),,IF($AR335="本月合计",IF(ROW()=$BG$3,SUM($R$6:$R334),SUM(INDIRECT("$R$"&amp;OFFSET($AU$3,,MATCH(ROW(),$AU$3:$BF$3,)-2)+2&amp;":$R"&amp;ROW()-1))),IF($AR335="本年累计",SUMIF($AR$6:$AR335,"本月合计",$R$6:$R334),INDEX(凭证录入!L:L,$AR335))))</f>
        <v>0</v>
      </c>
      <c r="S335" s="459" t="str">
        <f t="shared" ca="1" si="73"/>
        <v/>
      </c>
      <c r="T335" s="460" t="str">
        <f t="shared" ca="1" si="73"/>
        <v/>
      </c>
      <c r="U335" s="460" t="str">
        <f t="shared" ca="1" si="73"/>
        <v/>
      </c>
      <c r="V335" s="460" t="str">
        <f t="shared" ca="1" si="73"/>
        <v/>
      </c>
      <c r="W335" s="460" t="str">
        <f t="shared" ca="1" si="73"/>
        <v/>
      </c>
      <c r="X335" s="460" t="str">
        <f t="shared" ca="1" si="73"/>
        <v/>
      </c>
      <c r="Y335" s="460" t="str">
        <f t="shared" ca="1" si="73"/>
        <v/>
      </c>
      <c r="Z335" s="460" t="str">
        <f t="shared" ca="1" si="73"/>
        <v/>
      </c>
      <c r="AA335" s="461" t="str">
        <f t="shared" ca="1" si="73"/>
        <v/>
      </c>
      <c r="AB335" s="474" t="str">
        <f t="shared" ca="1" si="73"/>
        <v/>
      </c>
      <c r="AC335" s="475" t="str">
        <f t="shared" ca="1" si="73"/>
        <v/>
      </c>
      <c r="AD335" s="477" t="str">
        <f t="shared" ca="1" si="74"/>
        <v/>
      </c>
      <c r="AE335" s="478">
        <f t="shared" ca="1" si="75"/>
        <v>0</v>
      </c>
      <c r="AF335" s="459" t="str">
        <f t="shared" ca="1" si="71"/>
        <v/>
      </c>
      <c r="AG335" s="460" t="str">
        <f t="shared" ca="1" si="71"/>
        <v/>
      </c>
      <c r="AH335" s="460" t="str">
        <f t="shared" ca="1" si="71"/>
        <v/>
      </c>
      <c r="AI335" s="460" t="str">
        <f t="shared" ca="1" si="71"/>
        <v/>
      </c>
      <c r="AJ335" s="460" t="str">
        <f t="shared" ca="1" si="71"/>
        <v/>
      </c>
      <c r="AK335" s="460" t="str">
        <f t="shared" ca="1" si="71"/>
        <v/>
      </c>
      <c r="AL335" s="460" t="str">
        <f t="shared" ca="1" si="71"/>
        <v/>
      </c>
      <c r="AM335" s="460" t="str">
        <f t="shared" ca="1" si="71"/>
        <v/>
      </c>
      <c r="AN335" s="461" t="str">
        <f t="shared" ca="1" si="71"/>
        <v/>
      </c>
      <c r="AO335" s="474" t="str">
        <f t="shared" ca="1" si="71"/>
        <v/>
      </c>
      <c r="AP335" s="475" t="str">
        <f t="shared" ca="1" si="71"/>
        <v/>
      </c>
      <c r="AQ335" s="479" t="str">
        <f t="array" aca="1" ref="AQ335" ca="1">IF(ROW()-5&lt;=COUNTIF(科目编号,$AR$2),SMALL(IF(科目编号=$AR$2,ROW(科目编号),""),ROW()-5),"")</f>
        <v/>
      </c>
      <c r="AR335" s="480" t="str">
        <f ca="1">IF($BG$2=0,"",IF(AR334="本月合计","本年累计",IF(OR(ROW()=$AU$3,ROW()=$AV$3,ROW()=$AW$3,ROW()=$AX$3,ROW()=$AY$3,ROW()=$AZ$3,ROW()=$BA$3,ROW()=$BB$3,ROW()=$BC$3,ROW()=$BD$3,ROW()=$BE$3,ROW()=$BF$3),"本月合计",IF(ROW()&lt;7,$AQ$6,OFFSET($AQ$6,COUNT($AR$6:AR334),0)))))</f>
        <v/>
      </c>
    </row>
    <row r="336" spans="1:44">
      <c r="A336" s="469" t="str">
        <f ca="1">IFERROR(INDEX(凭证录入!A:A,$AR336),"")</f>
        <v/>
      </c>
      <c r="B336" s="469" t="str">
        <f ca="1">IFERROR(INDEX(凭证录入!B:B,$AR336),"")</f>
        <v/>
      </c>
      <c r="C336" s="470" t="str">
        <f ca="1">IFERROR(INDEX(凭证录入!G:G,$AR336),"")</f>
        <v/>
      </c>
      <c r="D336" s="471" t="str">
        <f ca="1">IFERROR(INDEX(凭证录入!F:F,$AR336),"")</f>
        <v/>
      </c>
      <c r="E336" s="472" t="str">
        <f ca="1">IFERROR(INDEX(凭证录入!H:H,$AR336),$AR336)</f>
        <v/>
      </c>
      <c r="F336" s="473">
        <f ca="1">IF(OR($BG$2=0,$AR336=""),,IF($AR336="本月合计",IF(ROW()=$BG$3,SUM($F$6:$F335),SUM(INDIRECT("$F$"&amp;OFFSET($AU$3,,MATCH(ROW(),$AU$3:$BF$3,)-2)+2&amp;":$E"&amp;ROW()-1))),IF($AR336="本年累计",SUMIF($AR$6:$AR336,"本月合计",$F$6:$F335),INDEX(凭证录入!K:K,$AR336))))</f>
        <v>0</v>
      </c>
      <c r="G336" s="459" t="str">
        <f t="shared" ca="1" si="72"/>
        <v/>
      </c>
      <c r="H336" s="460" t="str">
        <f t="shared" ca="1" si="72"/>
        <v/>
      </c>
      <c r="I336" s="460" t="str">
        <f t="shared" ca="1" si="72"/>
        <v/>
      </c>
      <c r="J336" s="460" t="str">
        <f t="shared" ca="1" si="72"/>
        <v/>
      </c>
      <c r="K336" s="460" t="str">
        <f t="shared" ca="1" si="72"/>
        <v/>
      </c>
      <c r="L336" s="460" t="str">
        <f t="shared" ca="1" si="72"/>
        <v/>
      </c>
      <c r="M336" s="460" t="str">
        <f t="shared" ca="1" si="72"/>
        <v/>
      </c>
      <c r="N336" s="460" t="str">
        <f t="shared" ca="1" si="72"/>
        <v/>
      </c>
      <c r="O336" s="461" t="str">
        <f t="shared" ca="1" si="72"/>
        <v/>
      </c>
      <c r="P336" s="474" t="str">
        <f t="shared" ca="1" si="72"/>
        <v/>
      </c>
      <c r="Q336" s="475" t="str">
        <f t="shared" ca="1" si="72"/>
        <v/>
      </c>
      <c r="R336" s="476">
        <f ca="1">IF(OR($BG$2=0,$AR336=""),,IF($AR336="本月合计",IF(ROW()=$BG$3,SUM($R$6:$R335),SUM(INDIRECT("$R$"&amp;OFFSET($AU$3,,MATCH(ROW(),$AU$3:$BF$3,)-2)+2&amp;":$R"&amp;ROW()-1))),IF($AR336="本年累计",SUMIF($AR$6:$AR336,"本月合计",$R$6:$R335),INDEX(凭证录入!L:L,$AR336))))</f>
        <v>0</v>
      </c>
      <c r="S336" s="459" t="str">
        <f t="shared" ca="1" si="73"/>
        <v/>
      </c>
      <c r="T336" s="460" t="str">
        <f t="shared" ca="1" si="73"/>
        <v/>
      </c>
      <c r="U336" s="460" t="str">
        <f t="shared" ca="1" si="73"/>
        <v/>
      </c>
      <c r="V336" s="460" t="str">
        <f t="shared" ca="1" si="73"/>
        <v/>
      </c>
      <c r="W336" s="460" t="str">
        <f t="shared" ca="1" si="73"/>
        <v/>
      </c>
      <c r="X336" s="460" t="str">
        <f t="shared" ca="1" si="73"/>
        <v/>
      </c>
      <c r="Y336" s="460" t="str">
        <f t="shared" ca="1" si="73"/>
        <v/>
      </c>
      <c r="Z336" s="460" t="str">
        <f t="shared" ca="1" si="73"/>
        <v/>
      </c>
      <c r="AA336" s="461" t="str">
        <f t="shared" ca="1" si="73"/>
        <v/>
      </c>
      <c r="AB336" s="474" t="str">
        <f t="shared" ca="1" si="73"/>
        <v/>
      </c>
      <c r="AC336" s="475" t="str">
        <f t="shared" ca="1" si="73"/>
        <v/>
      </c>
      <c r="AD336" s="477" t="str">
        <f t="shared" ca="1" si="74"/>
        <v/>
      </c>
      <c r="AE336" s="478">
        <f t="shared" ca="1" si="75"/>
        <v>0</v>
      </c>
      <c r="AF336" s="459" t="str">
        <f t="shared" ca="1" si="71"/>
        <v/>
      </c>
      <c r="AG336" s="460" t="str">
        <f t="shared" ca="1" si="71"/>
        <v/>
      </c>
      <c r="AH336" s="460" t="str">
        <f t="shared" ca="1" si="71"/>
        <v/>
      </c>
      <c r="AI336" s="460" t="str">
        <f t="shared" ca="1" si="71"/>
        <v/>
      </c>
      <c r="AJ336" s="460" t="str">
        <f t="shared" ca="1" si="71"/>
        <v/>
      </c>
      <c r="AK336" s="460" t="str">
        <f t="shared" ca="1" si="71"/>
        <v/>
      </c>
      <c r="AL336" s="460" t="str">
        <f t="shared" ca="1" si="71"/>
        <v/>
      </c>
      <c r="AM336" s="460" t="str">
        <f t="shared" ca="1" si="71"/>
        <v/>
      </c>
      <c r="AN336" s="461" t="str">
        <f t="shared" ca="1" si="71"/>
        <v/>
      </c>
      <c r="AO336" s="474" t="str">
        <f t="shared" ca="1" si="71"/>
        <v/>
      </c>
      <c r="AP336" s="475" t="str">
        <f t="shared" ca="1" si="71"/>
        <v/>
      </c>
      <c r="AQ336" s="479" t="str">
        <f t="array" aca="1" ref="AQ336" ca="1">IF(ROW()-5&lt;=COUNTIF(科目编号,$AR$2),SMALL(IF(科目编号=$AR$2,ROW(科目编号),""),ROW()-5),"")</f>
        <v/>
      </c>
      <c r="AR336" s="480" t="str">
        <f ca="1">IF($BG$2=0,"",IF(AR335="本月合计","本年累计",IF(OR(ROW()=$AU$3,ROW()=$AV$3,ROW()=$AW$3,ROW()=$AX$3,ROW()=$AY$3,ROW()=$AZ$3,ROW()=$BA$3,ROW()=$BB$3,ROW()=$BC$3,ROW()=$BD$3,ROW()=$BE$3,ROW()=$BF$3),"本月合计",IF(ROW()&lt;7,$AQ$6,OFFSET($AQ$6,COUNT($AR$6:AR335),0)))))</f>
        <v/>
      </c>
    </row>
    <row r="337" spans="1:44">
      <c r="A337" s="469" t="str">
        <f ca="1">IFERROR(INDEX(凭证录入!A:A,$AR337),"")</f>
        <v/>
      </c>
      <c r="B337" s="469" t="str">
        <f ca="1">IFERROR(INDEX(凭证录入!B:B,$AR337),"")</f>
        <v/>
      </c>
      <c r="C337" s="470" t="str">
        <f ca="1">IFERROR(INDEX(凭证录入!G:G,$AR337),"")</f>
        <v/>
      </c>
      <c r="D337" s="471" t="str">
        <f ca="1">IFERROR(INDEX(凭证录入!F:F,$AR337),"")</f>
        <v/>
      </c>
      <c r="E337" s="472" t="str">
        <f ca="1">IFERROR(INDEX(凭证录入!H:H,$AR337),$AR337)</f>
        <v/>
      </c>
      <c r="F337" s="473">
        <f ca="1">IF(OR($BG$2=0,$AR337=""),,IF($AR337="本月合计",IF(ROW()=$BG$3,SUM($F$6:$F336),SUM(INDIRECT("$F$"&amp;OFFSET($AU$3,,MATCH(ROW(),$AU$3:$BF$3,)-2)+2&amp;":$E"&amp;ROW()-1))),IF($AR337="本年累计",SUMIF($AR$6:$AR337,"本月合计",$F$6:$F336),INDEX(凭证录入!K:K,$AR337))))</f>
        <v>0</v>
      </c>
      <c r="G337" s="459" t="str">
        <f t="shared" ca="1" si="72"/>
        <v/>
      </c>
      <c r="H337" s="460" t="str">
        <f t="shared" ca="1" si="72"/>
        <v/>
      </c>
      <c r="I337" s="460" t="str">
        <f t="shared" ca="1" si="72"/>
        <v/>
      </c>
      <c r="J337" s="460" t="str">
        <f t="shared" ca="1" si="72"/>
        <v/>
      </c>
      <c r="K337" s="460" t="str">
        <f t="shared" ca="1" si="72"/>
        <v/>
      </c>
      <c r="L337" s="460" t="str">
        <f t="shared" ca="1" si="72"/>
        <v/>
      </c>
      <c r="M337" s="460" t="str">
        <f t="shared" ca="1" si="72"/>
        <v/>
      </c>
      <c r="N337" s="460" t="str">
        <f t="shared" ca="1" si="72"/>
        <v/>
      </c>
      <c r="O337" s="461" t="str">
        <f t="shared" ca="1" si="72"/>
        <v/>
      </c>
      <c r="P337" s="474" t="str">
        <f t="shared" ca="1" si="72"/>
        <v/>
      </c>
      <c r="Q337" s="475" t="str">
        <f t="shared" ca="1" si="72"/>
        <v/>
      </c>
      <c r="R337" s="476">
        <f ca="1">IF(OR($BG$2=0,$AR337=""),,IF($AR337="本月合计",IF(ROW()=$BG$3,SUM($R$6:$R336),SUM(INDIRECT("$R$"&amp;OFFSET($AU$3,,MATCH(ROW(),$AU$3:$BF$3,)-2)+2&amp;":$R"&amp;ROW()-1))),IF($AR337="本年累计",SUMIF($AR$6:$AR337,"本月合计",$R$6:$R336),INDEX(凭证录入!L:L,$AR337))))</f>
        <v>0</v>
      </c>
      <c r="S337" s="459" t="str">
        <f t="shared" ca="1" si="73"/>
        <v/>
      </c>
      <c r="T337" s="460" t="str">
        <f t="shared" ca="1" si="73"/>
        <v/>
      </c>
      <c r="U337" s="460" t="str">
        <f t="shared" ca="1" si="73"/>
        <v/>
      </c>
      <c r="V337" s="460" t="str">
        <f t="shared" ca="1" si="73"/>
        <v/>
      </c>
      <c r="W337" s="460" t="str">
        <f t="shared" ca="1" si="73"/>
        <v/>
      </c>
      <c r="X337" s="460" t="str">
        <f t="shared" ca="1" si="73"/>
        <v/>
      </c>
      <c r="Y337" s="460" t="str">
        <f t="shared" ca="1" si="73"/>
        <v/>
      </c>
      <c r="Z337" s="460" t="str">
        <f t="shared" ca="1" si="73"/>
        <v/>
      </c>
      <c r="AA337" s="461" t="str">
        <f t="shared" ca="1" si="73"/>
        <v/>
      </c>
      <c r="AB337" s="474" t="str">
        <f t="shared" ca="1" si="73"/>
        <v/>
      </c>
      <c r="AC337" s="475" t="str">
        <f t="shared" ca="1" si="73"/>
        <v/>
      </c>
      <c r="AD337" s="477" t="str">
        <f t="shared" ca="1" si="74"/>
        <v/>
      </c>
      <c r="AE337" s="478">
        <f t="shared" ca="1" si="75"/>
        <v>0</v>
      </c>
      <c r="AF337" s="459" t="str">
        <f t="shared" ca="1" si="71"/>
        <v/>
      </c>
      <c r="AG337" s="460" t="str">
        <f t="shared" ca="1" si="71"/>
        <v/>
      </c>
      <c r="AH337" s="460" t="str">
        <f t="shared" ca="1" si="71"/>
        <v/>
      </c>
      <c r="AI337" s="460" t="str">
        <f t="shared" ca="1" si="71"/>
        <v/>
      </c>
      <c r="AJ337" s="460" t="str">
        <f t="shared" ca="1" si="71"/>
        <v/>
      </c>
      <c r="AK337" s="460" t="str">
        <f t="shared" ca="1" si="71"/>
        <v/>
      </c>
      <c r="AL337" s="460" t="str">
        <f t="shared" ca="1" si="71"/>
        <v/>
      </c>
      <c r="AM337" s="460" t="str">
        <f t="shared" ca="1" si="71"/>
        <v/>
      </c>
      <c r="AN337" s="461" t="str">
        <f t="shared" ca="1" si="71"/>
        <v/>
      </c>
      <c r="AO337" s="474" t="str">
        <f t="shared" ca="1" si="71"/>
        <v/>
      </c>
      <c r="AP337" s="475" t="str">
        <f t="shared" ca="1" si="71"/>
        <v/>
      </c>
      <c r="AQ337" s="479" t="str">
        <f t="array" aca="1" ref="AQ337" ca="1">IF(ROW()-5&lt;=COUNTIF(科目编号,$AR$2),SMALL(IF(科目编号=$AR$2,ROW(科目编号),""),ROW()-5),"")</f>
        <v/>
      </c>
      <c r="AR337" s="480" t="str">
        <f ca="1">IF($BG$2=0,"",IF(AR336="本月合计","本年累计",IF(OR(ROW()=$AU$3,ROW()=$AV$3,ROW()=$AW$3,ROW()=$AX$3,ROW()=$AY$3,ROW()=$AZ$3,ROW()=$BA$3,ROW()=$BB$3,ROW()=$BC$3,ROW()=$BD$3,ROW()=$BE$3,ROW()=$BF$3),"本月合计",IF(ROW()&lt;7,$AQ$6,OFFSET($AQ$6,COUNT($AR$6:AR336),0)))))</f>
        <v/>
      </c>
    </row>
    <row r="338" spans="1:44">
      <c r="A338" s="469" t="str">
        <f ca="1">IFERROR(INDEX(凭证录入!A:A,$AR338),"")</f>
        <v/>
      </c>
      <c r="B338" s="469" t="str">
        <f ca="1">IFERROR(INDEX(凭证录入!B:B,$AR338),"")</f>
        <v/>
      </c>
      <c r="C338" s="470" t="str">
        <f ca="1">IFERROR(INDEX(凭证录入!G:G,$AR338),"")</f>
        <v/>
      </c>
      <c r="D338" s="471" t="str">
        <f ca="1">IFERROR(INDEX(凭证录入!F:F,$AR338),"")</f>
        <v/>
      </c>
      <c r="E338" s="472" t="str">
        <f ca="1">IFERROR(INDEX(凭证录入!H:H,$AR338),$AR338)</f>
        <v/>
      </c>
      <c r="F338" s="473">
        <f ca="1">IF(OR($BG$2=0,$AR338=""),,IF($AR338="本月合计",IF(ROW()=$BG$3,SUM($F$6:$F337),SUM(INDIRECT("$F$"&amp;OFFSET($AU$3,,MATCH(ROW(),$AU$3:$BF$3,)-2)+2&amp;":$E"&amp;ROW()-1))),IF($AR338="本年累计",SUMIF($AR$6:$AR338,"本月合计",$F$6:$F337),INDEX(凭证录入!K:K,$AR338))))</f>
        <v>0</v>
      </c>
      <c r="G338" s="459" t="str">
        <f t="shared" ca="1" si="72"/>
        <v/>
      </c>
      <c r="H338" s="460" t="str">
        <f t="shared" ca="1" si="72"/>
        <v/>
      </c>
      <c r="I338" s="460" t="str">
        <f t="shared" ca="1" si="72"/>
        <v/>
      </c>
      <c r="J338" s="460" t="str">
        <f t="shared" ca="1" si="72"/>
        <v/>
      </c>
      <c r="K338" s="460" t="str">
        <f t="shared" ca="1" si="72"/>
        <v/>
      </c>
      <c r="L338" s="460" t="str">
        <f t="shared" ca="1" si="72"/>
        <v/>
      </c>
      <c r="M338" s="460" t="str">
        <f t="shared" ca="1" si="72"/>
        <v/>
      </c>
      <c r="N338" s="460" t="str">
        <f t="shared" ca="1" si="72"/>
        <v/>
      </c>
      <c r="O338" s="461" t="str">
        <f t="shared" ca="1" si="72"/>
        <v/>
      </c>
      <c r="P338" s="474" t="str">
        <f t="shared" ca="1" si="72"/>
        <v/>
      </c>
      <c r="Q338" s="475" t="str">
        <f t="shared" ca="1" si="72"/>
        <v/>
      </c>
      <c r="R338" s="476">
        <f ca="1">IF(OR($BG$2=0,$AR338=""),,IF($AR338="本月合计",IF(ROW()=$BG$3,SUM($R$6:$R337),SUM(INDIRECT("$R$"&amp;OFFSET($AU$3,,MATCH(ROW(),$AU$3:$BF$3,)-2)+2&amp;":$R"&amp;ROW()-1))),IF($AR338="本年累计",SUMIF($AR$6:$AR338,"本月合计",$R$6:$R337),INDEX(凭证录入!L:L,$AR338))))</f>
        <v>0</v>
      </c>
      <c r="S338" s="459" t="str">
        <f t="shared" ca="1" si="73"/>
        <v/>
      </c>
      <c r="T338" s="460" t="str">
        <f t="shared" ca="1" si="73"/>
        <v/>
      </c>
      <c r="U338" s="460" t="str">
        <f t="shared" ca="1" si="73"/>
        <v/>
      </c>
      <c r="V338" s="460" t="str">
        <f t="shared" ca="1" si="73"/>
        <v/>
      </c>
      <c r="W338" s="460" t="str">
        <f t="shared" ca="1" si="73"/>
        <v/>
      </c>
      <c r="X338" s="460" t="str">
        <f t="shared" ca="1" si="73"/>
        <v/>
      </c>
      <c r="Y338" s="460" t="str">
        <f t="shared" ca="1" si="73"/>
        <v/>
      </c>
      <c r="Z338" s="460" t="str">
        <f t="shared" ca="1" si="73"/>
        <v/>
      </c>
      <c r="AA338" s="461" t="str">
        <f t="shared" ca="1" si="73"/>
        <v/>
      </c>
      <c r="AB338" s="474" t="str">
        <f t="shared" ca="1" si="73"/>
        <v/>
      </c>
      <c r="AC338" s="475" t="str">
        <f t="shared" ca="1" si="73"/>
        <v/>
      </c>
      <c r="AD338" s="477" t="str">
        <f t="shared" ca="1" si="74"/>
        <v/>
      </c>
      <c r="AE338" s="478">
        <f t="shared" ca="1" si="75"/>
        <v>0</v>
      </c>
      <c r="AF338" s="459" t="str">
        <f t="shared" ca="1" si="71"/>
        <v/>
      </c>
      <c r="AG338" s="460" t="str">
        <f t="shared" ca="1" si="71"/>
        <v/>
      </c>
      <c r="AH338" s="460" t="str">
        <f t="shared" ca="1" si="71"/>
        <v/>
      </c>
      <c r="AI338" s="460" t="str">
        <f t="shared" ca="1" si="71"/>
        <v/>
      </c>
      <c r="AJ338" s="460" t="str">
        <f t="shared" ca="1" si="71"/>
        <v/>
      </c>
      <c r="AK338" s="460" t="str">
        <f t="shared" ca="1" si="71"/>
        <v/>
      </c>
      <c r="AL338" s="460" t="str">
        <f t="shared" ca="1" si="71"/>
        <v/>
      </c>
      <c r="AM338" s="460" t="str">
        <f t="shared" ca="1" si="71"/>
        <v/>
      </c>
      <c r="AN338" s="461" t="str">
        <f t="shared" ca="1" si="71"/>
        <v/>
      </c>
      <c r="AO338" s="474" t="str">
        <f t="shared" ca="1" si="71"/>
        <v/>
      </c>
      <c r="AP338" s="475" t="str">
        <f t="shared" ca="1" si="71"/>
        <v/>
      </c>
      <c r="AQ338" s="479" t="str">
        <f t="array" aca="1" ref="AQ338" ca="1">IF(ROW()-5&lt;=COUNTIF(科目编号,$AR$2),SMALL(IF(科目编号=$AR$2,ROW(科目编号),""),ROW()-5),"")</f>
        <v/>
      </c>
      <c r="AR338" s="480" t="str">
        <f ca="1">IF($BG$2=0,"",IF(AR337="本月合计","本年累计",IF(OR(ROW()=$AU$3,ROW()=$AV$3,ROW()=$AW$3,ROW()=$AX$3,ROW()=$AY$3,ROW()=$AZ$3,ROW()=$BA$3,ROW()=$BB$3,ROW()=$BC$3,ROW()=$BD$3,ROW()=$BE$3,ROW()=$BF$3),"本月合计",IF(ROW()&lt;7,$AQ$6,OFFSET($AQ$6,COUNT($AR$6:AR337),0)))))</f>
        <v/>
      </c>
    </row>
    <row r="339" spans="1:44">
      <c r="A339" s="469" t="str">
        <f ca="1">IFERROR(INDEX(凭证录入!A:A,$AR339),"")</f>
        <v/>
      </c>
      <c r="B339" s="469" t="str">
        <f ca="1">IFERROR(INDEX(凭证录入!B:B,$AR339),"")</f>
        <v/>
      </c>
      <c r="C339" s="470" t="str">
        <f ca="1">IFERROR(INDEX(凭证录入!G:G,$AR339),"")</f>
        <v/>
      </c>
      <c r="D339" s="471" t="str">
        <f ca="1">IFERROR(INDEX(凭证录入!F:F,$AR339),"")</f>
        <v/>
      </c>
      <c r="E339" s="472" t="str">
        <f ca="1">IFERROR(INDEX(凭证录入!H:H,$AR339),$AR339)</f>
        <v/>
      </c>
      <c r="F339" s="473">
        <f ca="1">IF(OR($BG$2=0,$AR339=""),,IF($AR339="本月合计",IF(ROW()=$BG$3,SUM($F$6:$F338),SUM(INDIRECT("$F$"&amp;OFFSET($AU$3,,MATCH(ROW(),$AU$3:$BF$3,)-2)+2&amp;":$E"&amp;ROW()-1))),IF($AR339="本年累计",SUMIF($AR$6:$AR339,"本月合计",$F$6:$F338),INDEX(凭证录入!K:K,$AR339))))</f>
        <v>0</v>
      </c>
      <c r="G339" s="459" t="str">
        <f t="shared" ca="1" si="72"/>
        <v/>
      </c>
      <c r="H339" s="460" t="str">
        <f t="shared" ca="1" si="72"/>
        <v/>
      </c>
      <c r="I339" s="460" t="str">
        <f t="shared" ca="1" si="72"/>
        <v/>
      </c>
      <c r="J339" s="460" t="str">
        <f t="shared" ca="1" si="72"/>
        <v/>
      </c>
      <c r="K339" s="460" t="str">
        <f t="shared" ca="1" si="72"/>
        <v/>
      </c>
      <c r="L339" s="460" t="str">
        <f t="shared" ca="1" si="72"/>
        <v/>
      </c>
      <c r="M339" s="460" t="str">
        <f t="shared" ca="1" si="72"/>
        <v/>
      </c>
      <c r="N339" s="460" t="str">
        <f t="shared" ca="1" si="72"/>
        <v/>
      </c>
      <c r="O339" s="461" t="str">
        <f t="shared" ca="1" si="72"/>
        <v/>
      </c>
      <c r="P339" s="474" t="str">
        <f t="shared" ca="1" si="72"/>
        <v/>
      </c>
      <c r="Q339" s="475" t="str">
        <f t="shared" ca="1" si="72"/>
        <v/>
      </c>
      <c r="R339" s="476">
        <f ca="1">IF(OR($BG$2=0,$AR339=""),,IF($AR339="本月合计",IF(ROW()=$BG$3,SUM($R$6:$R338),SUM(INDIRECT("$R$"&amp;OFFSET($AU$3,,MATCH(ROW(),$AU$3:$BF$3,)-2)+2&amp;":$R"&amp;ROW()-1))),IF($AR339="本年累计",SUMIF($AR$6:$AR339,"本月合计",$R$6:$R338),INDEX(凭证录入!L:L,$AR339))))</f>
        <v>0</v>
      </c>
      <c r="S339" s="459" t="str">
        <f t="shared" ca="1" si="73"/>
        <v/>
      </c>
      <c r="T339" s="460" t="str">
        <f t="shared" ca="1" si="73"/>
        <v/>
      </c>
      <c r="U339" s="460" t="str">
        <f t="shared" ca="1" si="73"/>
        <v/>
      </c>
      <c r="V339" s="460" t="str">
        <f t="shared" ca="1" si="73"/>
        <v/>
      </c>
      <c r="W339" s="460" t="str">
        <f t="shared" ca="1" si="73"/>
        <v/>
      </c>
      <c r="X339" s="460" t="str">
        <f t="shared" ca="1" si="73"/>
        <v/>
      </c>
      <c r="Y339" s="460" t="str">
        <f t="shared" ca="1" si="73"/>
        <v/>
      </c>
      <c r="Z339" s="460" t="str">
        <f t="shared" ca="1" si="73"/>
        <v/>
      </c>
      <c r="AA339" s="461" t="str">
        <f t="shared" ca="1" si="73"/>
        <v/>
      </c>
      <c r="AB339" s="474" t="str">
        <f t="shared" ca="1" si="73"/>
        <v/>
      </c>
      <c r="AC339" s="475" t="str">
        <f t="shared" ca="1" si="73"/>
        <v/>
      </c>
      <c r="AD339" s="477" t="str">
        <f t="shared" ca="1" si="74"/>
        <v/>
      </c>
      <c r="AE339" s="478">
        <f t="shared" ca="1" si="75"/>
        <v>0</v>
      </c>
      <c r="AF339" s="459" t="str">
        <f t="shared" ca="1" si="71"/>
        <v/>
      </c>
      <c r="AG339" s="460" t="str">
        <f t="shared" ca="1" si="71"/>
        <v/>
      </c>
      <c r="AH339" s="460" t="str">
        <f t="shared" ca="1" si="71"/>
        <v/>
      </c>
      <c r="AI339" s="460" t="str">
        <f t="shared" ca="1" si="71"/>
        <v/>
      </c>
      <c r="AJ339" s="460" t="str">
        <f t="shared" ca="1" si="71"/>
        <v/>
      </c>
      <c r="AK339" s="460" t="str">
        <f t="shared" ca="1" si="71"/>
        <v/>
      </c>
      <c r="AL339" s="460" t="str">
        <f t="shared" ca="1" si="71"/>
        <v/>
      </c>
      <c r="AM339" s="460" t="str">
        <f t="shared" ca="1" si="71"/>
        <v/>
      </c>
      <c r="AN339" s="461" t="str">
        <f t="shared" ca="1" si="71"/>
        <v/>
      </c>
      <c r="AO339" s="474" t="str">
        <f t="shared" ca="1" si="71"/>
        <v/>
      </c>
      <c r="AP339" s="475" t="str">
        <f t="shared" ca="1" si="71"/>
        <v/>
      </c>
      <c r="AQ339" s="479" t="str">
        <f t="array" aca="1" ref="AQ339" ca="1">IF(ROW()-5&lt;=COUNTIF(科目编号,$AR$2),SMALL(IF(科目编号=$AR$2,ROW(科目编号),""),ROW()-5),"")</f>
        <v/>
      </c>
      <c r="AR339" s="480" t="str">
        <f ca="1">IF($BG$2=0,"",IF(AR338="本月合计","本年累计",IF(OR(ROW()=$AU$3,ROW()=$AV$3,ROW()=$AW$3,ROW()=$AX$3,ROW()=$AY$3,ROW()=$AZ$3,ROW()=$BA$3,ROW()=$BB$3,ROW()=$BC$3,ROW()=$BD$3,ROW()=$BE$3,ROW()=$BF$3),"本月合计",IF(ROW()&lt;7,$AQ$6,OFFSET($AQ$6,COUNT($AR$6:AR338),0)))))</f>
        <v/>
      </c>
    </row>
    <row r="340" spans="1:44">
      <c r="A340" s="469" t="str">
        <f ca="1">IFERROR(INDEX(凭证录入!A:A,$AR340),"")</f>
        <v/>
      </c>
      <c r="B340" s="469" t="str">
        <f ca="1">IFERROR(INDEX(凭证录入!B:B,$AR340),"")</f>
        <v/>
      </c>
      <c r="C340" s="470" t="str">
        <f ca="1">IFERROR(INDEX(凭证录入!G:G,$AR340),"")</f>
        <v/>
      </c>
      <c r="D340" s="471" t="str">
        <f ca="1">IFERROR(INDEX(凭证录入!F:F,$AR340),"")</f>
        <v/>
      </c>
      <c r="E340" s="472" t="str">
        <f ca="1">IFERROR(INDEX(凭证录入!H:H,$AR340),$AR340)</f>
        <v/>
      </c>
      <c r="F340" s="473">
        <f ca="1">IF(OR($BG$2=0,$AR340=""),,IF($AR340="本月合计",IF(ROW()=$BG$3,SUM($F$6:$F339),SUM(INDIRECT("$F$"&amp;OFFSET($AU$3,,MATCH(ROW(),$AU$3:$BF$3,)-2)+2&amp;":$E"&amp;ROW()-1))),IF($AR340="本年累计",SUMIF($AR$6:$AR340,"本月合计",$F$6:$F339),INDEX(凭证录入!K:K,$AR340))))</f>
        <v>0</v>
      </c>
      <c r="G340" s="459" t="str">
        <f t="shared" ca="1" si="72"/>
        <v/>
      </c>
      <c r="H340" s="460" t="str">
        <f t="shared" ca="1" si="72"/>
        <v/>
      </c>
      <c r="I340" s="460" t="str">
        <f t="shared" ca="1" si="72"/>
        <v/>
      </c>
      <c r="J340" s="460" t="str">
        <f t="shared" ca="1" si="72"/>
        <v/>
      </c>
      <c r="K340" s="460" t="str">
        <f t="shared" ca="1" si="72"/>
        <v/>
      </c>
      <c r="L340" s="460" t="str">
        <f t="shared" ca="1" si="72"/>
        <v/>
      </c>
      <c r="M340" s="460" t="str">
        <f t="shared" ca="1" si="72"/>
        <v/>
      </c>
      <c r="N340" s="460" t="str">
        <f t="shared" ca="1" si="72"/>
        <v/>
      </c>
      <c r="O340" s="461" t="str">
        <f t="shared" ca="1" si="72"/>
        <v/>
      </c>
      <c r="P340" s="474" t="str">
        <f t="shared" ca="1" si="72"/>
        <v/>
      </c>
      <c r="Q340" s="475" t="str">
        <f t="shared" ca="1" si="72"/>
        <v/>
      </c>
      <c r="R340" s="476">
        <f ca="1">IF(OR($BG$2=0,$AR340=""),,IF($AR340="本月合计",IF(ROW()=$BG$3,SUM($R$6:$R339),SUM(INDIRECT("$R$"&amp;OFFSET($AU$3,,MATCH(ROW(),$AU$3:$BF$3,)-2)+2&amp;":$R"&amp;ROW()-1))),IF($AR340="本年累计",SUMIF($AR$6:$AR340,"本月合计",$R$6:$R339),INDEX(凭证录入!L:L,$AR340))))</f>
        <v>0</v>
      </c>
      <c r="S340" s="459" t="str">
        <f t="shared" ca="1" si="73"/>
        <v/>
      </c>
      <c r="T340" s="460" t="str">
        <f t="shared" ca="1" si="73"/>
        <v/>
      </c>
      <c r="U340" s="460" t="str">
        <f t="shared" ca="1" si="73"/>
        <v/>
      </c>
      <c r="V340" s="460" t="str">
        <f t="shared" ca="1" si="73"/>
        <v/>
      </c>
      <c r="W340" s="460" t="str">
        <f t="shared" ca="1" si="73"/>
        <v/>
      </c>
      <c r="X340" s="460" t="str">
        <f t="shared" ca="1" si="73"/>
        <v/>
      </c>
      <c r="Y340" s="460" t="str">
        <f t="shared" ca="1" si="73"/>
        <v/>
      </c>
      <c r="Z340" s="460" t="str">
        <f t="shared" ca="1" si="73"/>
        <v/>
      </c>
      <c r="AA340" s="461" t="str">
        <f t="shared" ca="1" si="73"/>
        <v/>
      </c>
      <c r="AB340" s="474" t="str">
        <f t="shared" ca="1" si="73"/>
        <v/>
      </c>
      <c r="AC340" s="475" t="str">
        <f t="shared" ca="1" si="73"/>
        <v/>
      </c>
      <c r="AD340" s="477" t="str">
        <f t="shared" ca="1" si="74"/>
        <v/>
      </c>
      <c r="AE340" s="478">
        <f t="shared" ca="1" si="75"/>
        <v>0</v>
      </c>
      <c r="AF340" s="459" t="str">
        <f t="shared" ca="1" si="71"/>
        <v/>
      </c>
      <c r="AG340" s="460" t="str">
        <f t="shared" ca="1" si="71"/>
        <v/>
      </c>
      <c r="AH340" s="460" t="str">
        <f t="shared" ca="1" si="71"/>
        <v/>
      </c>
      <c r="AI340" s="460" t="str">
        <f t="shared" ca="1" si="71"/>
        <v/>
      </c>
      <c r="AJ340" s="460" t="str">
        <f t="shared" ca="1" si="71"/>
        <v/>
      </c>
      <c r="AK340" s="460" t="str">
        <f t="shared" ca="1" si="71"/>
        <v/>
      </c>
      <c r="AL340" s="460" t="str">
        <f t="shared" ca="1" si="71"/>
        <v/>
      </c>
      <c r="AM340" s="460" t="str">
        <f t="shared" ca="1" si="71"/>
        <v/>
      </c>
      <c r="AN340" s="461" t="str">
        <f t="shared" ca="1" si="71"/>
        <v/>
      </c>
      <c r="AO340" s="474" t="str">
        <f t="shared" ca="1" si="71"/>
        <v/>
      </c>
      <c r="AP340" s="475" t="str">
        <f t="shared" ca="1" si="71"/>
        <v/>
      </c>
      <c r="AQ340" s="479" t="str">
        <f t="array" aca="1" ref="AQ340" ca="1">IF(ROW()-5&lt;=COUNTIF(科目编号,$AR$2),SMALL(IF(科目编号=$AR$2,ROW(科目编号),""),ROW()-5),"")</f>
        <v/>
      </c>
      <c r="AR340" s="480" t="str">
        <f ca="1">IF($BG$2=0,"",IF(AR339="本月合计","本年累计",IF(OR(ROW()=$AU$3,ROW()=$AV$3,ROW()=$AW$3,ROW()=$AX$3,ROW()=$AY$3,ROW()=$AZ$3,ROW()=$BA$3,ROW()=$BB$3,ROW()=$BC$3,ROW()=$BD$3,ROW()=$BE$3,ROW()=$BF$3),"本月合计",IF(ROW()&lt;7,$AQ$6,OFFSET($AQ$6,COUNT($AR$6:AR339),0)))))</f>
        <v/>
      </c>
    </row>
    <row r="341" spans="1:44">
      <c r="A341" s="469" t="str">
        <f ca="1">IFERROR(INDEX(凭证录入!A:A,$AR341),"")</f>
        <v/>
      </c>
      <c r="B341" s="469" t="str">
        <f ca="1">IFERROR(INDEX(凭证录入!B:B,$AR341),"")</f>
        <v/>
      </c>
      <c r="C341" s="470" t="str">
        <f ca="1">IFERROR(INDEX(凭证录入!G:G,$AR341),"")</f>
        <v/>
      </c>
      <c r="D341" s="471" t="str">
        <f ca="1">IFERROR(INDEX(凭证录入!F:F,$AR341),"")</f>
        <v/>
      </c>
      <c r="E341" s="472" t="str">
        <f ca="1">IFERROR(INDEX(凭证录入!H:H,$AR341),$AR341)</f>
        <v/>
      </c>
      <c r="F341" s="473">
        <f ca="1">IF(OR($BG$2=0,$AR341=""),,IF($AR341="本月合计",IF(ROW()=$BG$3,SUM($F$6:$F340),SUM(INDIRECT("$F$"&amp;OFFSET($AU$3,,MATCH(ROW(),$AU$3:$BF$3,)-2)+2&amp;":$E"&amp;ROW()-1))),IF($AR341="本年累计",SUMIF($AR$6:$AR341,"本月合计",$F$6:$F340),INDEX(凭证录入!K:K,$AR341))))</f>
        <v>0</v>
      </c>
      <c r="G341" s="459" t="str">
        <f t="shared" ca="1" si="72"/>
        <v/>
      </c>
      <c r="H341" s="460" t="str">
        <f t="shared" ca="1" si="72"/>
        <v/>
      </c>
      <c r="I341" s="460" t="str">
        <f t="shared" ca="1" si="72"/>
        <v/>
      </c>
      <c r="J341" s="460" t="str">
        <f t="shared" ca="1" si="72"/>
        <v/>
      </c>
      <c r="K341" s="460" t="str">
        <f t="shared" ca="1" si="72"/>
        <v/>
      </c>
      <c r="L341" s="460" t="str">
        <f t="shared" ca="1" si="72"/>
        <v/>
      </c>
      <c r="M341" s="460" t="str">
        <f t="shared" ca="1" si="72"/>
        <v/>
      </c>
      <c r="N341" s="460" t="str">
        <f t="shared" ca="1" si="72"/>
        <v/>
      </c>
      <c r="O341" s="461" t="str">
        <f t="shared" ca="1" si="72"/>
        <v/>
      </c>
      <c r="P341" s="474" t="str">
        <f t="shared" ca="1" si="72"/>
        <v/>
      </c>
      <c r="Q341" s="475" t="str">
        <f t="shared" ca="1" si="72"/>
        <v/>
      </c>
      <c r="R341" s="476">
        <f ca="1">IF(OR($BG$2=0,$AR341=""),,IF($AR341="本月合计",IF(ROW()=$BG$3,SUM($R$6:$R340),SUM(INDIRECT("$R$"&amp;OFFSET($AU$3,,MATCH(ROW(),$AU$3:$BF$3,)-2)+2&amp;":$R"&amp;ROW()-1))),IF($AR341="本年累计",SUMIF($AR$6:$AR341,"本月合计",$R$6:$R340),INDEX(凭证录入!L:L,$AR341))))</f>
        <v>0</v>
      </c>
      <c r="S341" s="459" t="str">
        <f t="shared" ca="1" si="73"/>
        <v/>
      </c>
      <c r="T341" s="460" t="str">
        <f t="shared" ca="1" si="73"/>
        <v/>
      </c>
      <c r="U341" s="460" t="str">
        <f t="shared" ca="1" si="73"/>
        <v/>
      </c>
      <c r="V341" s="460" t="str">
        <f t="shared" ca="1" si="73"/>
        <v/>
      </c>
      <c r="W341" s="460" t="str">
        <f t="shared" ca="1" si="73"/>
        <v/>
      </c>
      <c r="X341" s="460" t="str">
        <f t="shared" ca="1" si="73"/>
        <v/>
      </c>
      <c r="Y341" s="460" t="str">
        <f t="shared" ca="1" si="73"/>
        <v/>
      </c>
      <c r="Z341" s="460" t="str">
        <f t="shared" ca="1" si="73"/>
        <v/>
      </c>
      <c r="AA341" s="461" t="str">
        <f t="shared" ca="1" si="73"/>
        <v/>
      </c>
      <c r="AB341" s="474" t="str">
        <f t="shared" ca="1" si="73"/>
        <v/>
      </c>
      <c r="AC341" s="475" t="str">
        <f t="shared" ca="1" si="73"/>
        <v/>
      </c>
      <c r="AD341" s="477" t="str">
        <f t="shared" ca="1" si="74"/>
        <v/>
      </c>
      <c r="AE341" s="478">
        <f t="shared" ca="1" si="75"/>
        <v>0</v>
      </c>
      <c r="AF341" s="459" t="str">
        <f t="shared" ref="AF341:AP356" ca="1" si="76">LEFT(RIGHT(TEXT($AE341/1%," ￥0; ￥-0;"),43-COLUMN()))</f>
        <v/>
      </c>
      <c r="AG341" s="460" t="str">
        <f t="shared" ca="1" si="76"/>
        <v/>
      </c>
      <c r="AH341" s="460" t="str">
        <f t="shared" ca="1" si="76"/>
        <v/>
      </c>
      <c r="AI341" s="460" t="str">
        <f t="shared" ca="1" si="76"/>
        <v/>
      </c>
      <c r="AJ341" s="460" t="str">
        <f t="shared" ca="1" si="76"/>
        <v/>
      </c>
      <c r="AK341" s="460" t="str">
        <f t="shared" ca="1" si="76"/>
        <v/>
      </c>
      <c r="AL341" s="460" t="str">
        <f t="shared" ca="1" si="76"/>
        <v/>
      </c>
      <c r="AM341" s="460" t="str">
        <f t="shared" ca="1" si="76"/>
        <v/>
      </c>
      <c r="AN341" s="461" t="str">
        <f t="shared" ca="1" si="76"/>
        <v/>
      </c>
      <c r="AO341" s="474" t="str">
        <f t="shared" ca="1" si="76"/>
        <v/>
      </c>
      <c r="AP341" s="475" t="str">
        <f t="shared" ca="1" si="76"/>
        <v/>
      </c>
      <c r="AQ341" s="479" t="str">
        <f t="array" aca="1" ref="AQ341" ca="1">IF(ROW()-5&lt;=COUNTIF(科目编号,$AR$2),SMALL(IF(科目编号=$AR$2,ROW(科目编号),""),ROW()-5),"")</f>
        <v/>
      </c>
      <c r="AR341" s="480" t="str">
        <f ca="1">IF($BG$2=0,"",IF(AR340="本月合计","本年累计",IF(OR(ROW()=$AU$3,ROW()=$AV$3,ROW()=$AW$3,ROW()=$AX$3,ROW()=$AY$3,ROW()=$AZ$3,ROW()=$BA$3,ROW()=$BB$3,ROW()=$BC$3,ROW()=$BD$3,ROW()=$BE$3,ROW()=$BF$3),"本月合计",IF(ROW()&lt;7,$AQ$6,OFFSET($AQ$6,COUNT($AR$6:AR340),0)))))</f>
        <v/>
      </c>
    </row>
    <row r="342" spans="1:44">
      <c r="A342" s="469" t="str">
        <f ca="1">IFERROR(INDEX(凭证录入!A:A,$AR342),"")</f>
        <v/>
      </c>
      <c r="B342" s="469" t="str">
        <f ca="1">IFERROR(INDEX(凭证录入!B:B,$AR342),"")</f>
        <v/>
      </c>
      <c r="C342" s="470" t="str">
        <f ca="1">IFERROR(INDEX(凭证录入!G:G,$AR342),"")</f>
        <v/>
      </c>
      <c r="D342" s="471" t="str">
        <f ca="1">IFERROR(INDEX(凭证录入!F:F,$AR342),"")</f>
        <v/>
      </c>
      <c r="E342" s="472" t="str">
        <f ca="1">IFERROR(INDEX(凭证录入!H:H,$AR342),$AR342)</f>
        <v/>
      </c>
      <c r="F342" s="473">
        <f ca="1">IF(OR($BG$2=0,$AR342=""),,IF($AR342="本月合计",IF(ROW()=$BG$3,SUM($F$6:$F341),SUM(INDIRECT("$F$"&amp;OFFSET($AU$3,,MATCH(ROW(),$AU$3:$BF$3,)-2)+2&amp;":$E"&amp;ROW()-1))),IF($AR342="本年累计",SUMIF($AR$6:$AR342,"本月合计",$F$6:$F341),INDEX(凭证录入!K:K,$AR342))))</f>
        <v>0</v>
      </c>
      <c r="G342" s="459" t="str">
        <f t="shared" ref="G342:Q357" ca="1" si="77">LEFT(RIGHT(TEXT($F342/1%," ￥0; ￥-0;"),18-COLUMN()))</f>
        <v/>
      </c>
      <c r="H342" s="460" t="str">
        <f t="shared" ca="1" si="77"/>
        <v/>
      </c>
      <c r="I342" s="460" t="str">
        <f t="shared" ca="1" si="77"/>
        <v/>
      </c>
      <c r="J342" s="460" t="str">
        <f t="shared" ca="1" si="77"/>
        <v/>
      </c>
      <c r="K342" s="460" t="str">
        <f t="shared" ca="1" si="77"/>
        <v/>
      </c>
      <c r="L342" s="460" t="str">
        <f t="shared" ca="1" si="77"/>
        <v/>
      </c>
      <c r="M342" s="460" t="str">
        <f t="shared" ca="1" si="77"/>
        <v/>
      </c>
      <c r="N342" s="460" t="str">
        <f t="shared" ca="1" si="77"/>
        <v/>
      </c>
      <c r="O342" s="461" t="str">
        <f t="shared" ca="1" si="77"/>
        <v/>
      </c>
      <c r="P342" s="474" t="str">
        <f t="shared" ca="1" si="77"/>
        <v/>
      </c>
      <c r="Q342" s="475" t="str">
        <f t="shared" ca="1" si="77"/>
        <v/>
      </c>
      <c r="R342" s="476">
        <f ca="1">IF(OR($BG$2=0,$AR342=""),,IF($AR342="本月合计",IF(ROW()=$BG$3,SUM($R$6:$R341),SUM(INDIRECT("$R$"&amp;OFFSET($AU$3,,MATCH(ROW(),$AU$3:$BF$3,)-2)+2&amp;":$R"&amp;ROW()-1))),IF($AR342="本年累计",SUMIF($AR$6:$AR342,"本月合计",$R$6:$R341),INDEX(凭证录入!L:L,$AR342))))</f>
        <v>0</v>
      </c>
      <c r="S342" s="459" t="str">
        <f t="shared" ref="S342:AC357" ca="1" si="78">LEFT(RIGHT(TEXT($R342/1%," ￥0; ￥-0;"),30-COLUMN()))</f>
        <v/>
      </c>
      <c r="T342" s="460" t="str">
        <f t="shared" ca="1" si="78"/>
        <v/>
      </c>
      <c r="U342" s="460" t="str">
        <f t="shared" ca="1" si="78"/>
        <v/>
      </c>
      <c r="V342" s="460" t="str">
        <f t="shared" ca="1" si="78"/>
        <v/>
      </c>
      <c r="W342" s="460" t="str">
        <f t="shared" ca="1" si="78"/>
        <v/>
      </c>
      <c r="X342" s="460" t="str">
        <f t="shared" ca="1" si="78"/>
        <v/>
      </c>
      <c r="Y342" s="460" t="str">
        <f t="shared" ca="1" si="78"/>
        <v/>
      </c>
      <c r="Z342" s="460" t="str">
        <f t="shared" ca="1" si="78"/>
        <v/>
      </c>
      <c r="AA342" s="461" t="str">
        <f t="shared" ca="1" si="78"/>
        <v/>
      </c>
      <c r="AB342" s="474" t="str">
        <f t="shared" ca="1" si="78"/>
        <v/>
      </c>
      <c r="AC342" s="475" t="str">
        <f t="shared" ca="1" si="78"/>
        <v/>
      </c>
      <c r="AD342" s="477" t="str">
        <f t="shared" ca="1" si="74"/>
        <v/>
      </c>
      <c r="AE342" s="478">
        <f t="shared" ca="1" si="75"/>
        <v>0</v>
      </c>
      <c r="AF342" s="459" t="str">
        <f t="shared" ca="1" si="76"/>
        <v/>
      </c>
      <c r="AG342" s="460" t="str">
        <f t="shared" ca="1" si="76"/>
        <v/>
      </c>
      <c r="AH342" s="460" t="str">
        <f t="shared" ca="1" si="76"/>
        <v/>
      </c>
      <c r="AI342" s="460" t="str">
        <f t="shared" ca="1" si="76"/>
        <v/>
      </c>
      <c r="AJ342" s="460" t="str">
        <f t="shared" ca="1" si="76"/>
        <v/>
      </c>
      <c r="AK342" s="460" t="str">
        <f t="shared" ca="1" si="76"/>
        <v/>
      </c>
      <c r="AL342" s="460" t="str">
        <f t="shared" ca="1" si="76"/>
        <v/>
      </c>
      <c r="AM342" s="460" t="str">
        <f t="shared" ca="1" si="76"/>
        <v/>
      </c>
      <c r="AN342" s="461" t="str">
        <f t="shared" ca="1" si="76"/>
        <v/>
      </c>
      <c r="AO342" s="474" t="str">
        <f t="shared" ca="1" si="76"/>
        <v/>
      </c>
      <c r="AP342" s="475" t="str">
        <f t="shared" ca="1" si="76"/>
        <v/>
      </c>
      <c r="AQ342" s="479" t="str">
        <f t="array" aca="1" ref="AQ342" ca="1">IF(ROW()-5&lt;=COUNTIF(科目编号,$AR$2),SMALL(IF(科目编号=$AR$2,ROW(科目编号),""),ROW()-5),"")</f>
        <v/>
      </c>
      <c r="AR342" s="480" t="str">
        <f ca="1">IF($BG$2=0,"",IF(AR341="本月合计","本年累计",IF(OR(ROW()=$AU$3,ROW()=$AV$3,ROW()=$AW$3,ROW()=$AX$3,ROW()=$AY$3,ROW()=$AZ$3,ROW()=$BA$3,ROW()=$BB$3,ROW()=$BC$3,ROW()=$BD$3,ROW()=$BE$3,ROW()=$BF$3),"本月合计",IF(ROW()&lt;7,$AQ$6,OFFSET($AQ$6,COUNT($AR$6:AR341),0)))))</f>
        <v/>
      </c>
    </row>
    <row r="343" spans="1:44">
      <c r="A343" s="469" t="str">
        <f ca="1">IFERROR(INDEX(凭证录入!A:A,$AR343),"")</f>
        <v/>
      </c>
      <c r="B343" s="469" t="str">
        <f ca="1">IFERROR(INDEX(凭证录入!B:B,$AR343),"")</f>
        <v/>
      </c>
      <c r="C343" s="470" t="str">
        <f ca="1">IFERROR(INDEX(凭证录入!G:G,$AR343),"")</f>
        <v/>
      </c>
      <c r="D343" s="471" t="str">
        <f ca="1">IFERROR(INDEX(凭证录入!F:F,$AR343),"")</f>
        <v/>
      </c>
      <c r="E343" s="472" t="str">
        <f ca="1">IFERROR(INDEX(凭证录入!H:H,$AR343),$AR343)</f>
        <v/>
      </c>
      <c r="F343" s="473">
        <f ca="1">IF(OR($BG$2=0,$AR343=""),,IF($AR343="本月合计",IF(ROW()=$BG$3,SUM($F$6:$F342),SUM(INDIRECT("$F$"&amp;OFFSET($AU$3,,MATCH(ROW(),$AU$3:$BF$3,)-2)+2&amp;":$E"&amp;ROW()-1))),IF($AR343="本年累计",SUMIF($AR$6:$AR343,"本月合计",$F$6:$F342),INDEX(凭证录入!K:K,$AR343))))</f>
        <v>0</v>
      </c>
      <c r="G343" s="459" t="str">
        <f t="shared" ca="1" si="77"/>
        <v/>
      </c>
      <c r="H343" s="460" t="str">
        <f t="shared" ca="1" si="77"/>
        <v/>
      </c>
      <c r="I343" s="460" t="str">
        <f t="shared" ca="1" si="77"/>
        <v/>
      </c>
      <c r="J343" s="460" t="str">
        <f t="shared" ca="1" si="77"/>
        <v/>
      </c>
      <c r="K343" s="460" t="str">
        <f t="shared" ca="1" si="77"/>
        <v/>
      </c>
      <c r="L343" s="460" t="str">
        <f t="shared" ca="1" si="77"/>
        <v/>
      </c>
      <c r="M343" s="460" t="str">
        <f t="shared" ca="1" si="77"/>
        <v/>
      </c>
      <c r="N343" s="460" t="str">
        <f t="shared" ca="1" si="77"/>
        <v/>
      </c>
      <c r="O343" s="461" t="str">
        <f t="shared" ca="1" si="77"/>
        <v/>
      </c>
      <c r="P343" s="474" t="str">
        <f t="shared" ca="1" si="77"/>
        <v/>
      </c>
      <c r="Q343" s="475" t="str">
        <f t="shared" ca="1" si="77"/>
        <v/>
      </c>
      <c r="R343" s="476">
        <f ca="1">IF(OR($BG$2=0,$AR343=""),,IF($AR343="本月合计",IF(ROW()=$BG$3,SUM($R$6:$R342),SUM(INDIRECT("$R$"&amp;OFFSET($AU$3,,MATCH(ROW(),$AU$3:$BF$3,)-2)+2&amp;":$R"&amp;ROW()-1))),IF($AR343="本年累计",SUMIF($AR$6:$AR343,"本月合计",$R$6:$R342),INDEX(凭证录入!L:L,$AR343))))</f>
        <v>0</v>
      </c>
      <c r="S343" s="459" t="str">
        <f t="shared" ca="1" si="78"/>
        <v/>
      </c>
      <c r="T343" s="460" t="str">
        <f t="shared" ca="1" si="78"/>
        <v/>
      </c>
      <c r="U343" s="460" t="str">
        <f t="shared" ca="1" si="78"/>
        <v/>
      </c>
      <c r="V343" s="460" t="str">
        <f t="shared" ca="1" si="78"/>
        <v/>
      </c>
      <c r="W343" s="460" t="str">
        <f t="shared" ca="1" si="78"/>
        <v/>
      </c>
      <c r="X343" s="460" t="str">
        <f t="shared" ca="1" si="78"/>
        <v/>
      </c>
      <c r="Y343" s="460" t="str">
        <f t="shared" ca="1" si="78"/>
        <v/>
      </c>
      <c r="Z343" s="460" t="str">
        <f t="shared" ca="1" si="78"/>
        <v/>
      </c>
      <c r="AA343" s="461" t="str">
        <f t="shared" ca="1" si="78"/>
        <v/>
      </c>
      <c r="AB343" s="474" t="str">
        <f t="shared" ca="1" si="78"/>
        <v/>
      </c>
      <c r="AC343" s="475" t="str">
        <f t="shared" ca="1" si="78"/>
        <v/>
      </c>
      <c r="AD343" s="477" t="str">
        <f t="shared" ca="1" si="74"/>
        <v/>
      </c>
      <c r="AE343" s="478">
        <f t="shared" ca="1" si="75"/>
        <v>0</v>
      </c>
      <c r="AF343" s="459" t="str">
        <f t="shared" ca="1" si="76"/>
        <v/>
      </c>
      <c r="AG343" s="460" t="str">
        <f t="shared" ca="1" si="76"/>
        <v/>
      </c>
      <c r="AH343" s="460" t="str">
        <f t="shared" ca="1" si="76"/>
        <v/>
      </c>
      <c r="AI343" s="460" t="str">
        <f t="shared" ca="1" si="76"/>
        <v/>
      </c>
      <c r="AJ343" s="460" t="str">
        <f t="shared" ca="1" si="76"/>
        <v/>
      </c>
      <c r="AK343" s="460" t="str">
        <f t="shared" ca="1" si="76"/>
        <v/>
      </c>
      <c r="AL343" s="460" t="str">
        <f t="shared" ca="1" si="76"/>
        <v/>
      </c>
      <c r="AM343" s="460" t="str">
        <f t="shared" ca="1" si="76"/>
        <v/>
      </c>
      <c r="AN343" s="461" t="str">
        <f t="shared" ca="1" si="76"/>
        <v/>
      </c>
      <c r="AO343" s="474" t="str">
        <f t="shared" ca="1" si="76"/>
        <v/>
      </c>
      <c r="AP343" s="475" t="str">
        <f t="shared" ca="1" si="76"/>
        <v/>
      </c>
      <c r="AQ343" s="479" t="str">
        <f t="array" aca="1" ref="AQ343" ca="1">IF(ROW()-5&lt;=COUNTIF(科目编号,$AR$2),SMALL(IF(科目编号=$AR$2,ROW(科目编号),""),ROW()-5),"")</f>
        <v/>
      </c>
      <c r="AR343" s="480" t="str">
        <f ca="1">IF($BG$2=0,"",IF(AR342="本月合计","本年累计",IF(OR(ROW()=$AU$3,ROW()=$AV$3,ROW()=$AW$3,ROW()=$AX$3,ROW()=$AY$3,ROW()=$AZ$3,ROW()=$BA$3,ROW()=$BB$3,ROW()=$BC$3,ROW()=$BD$3,ROW()=$BE$3,ROW()=$BF$3),"本月合计",IF(ROW()&lt;7,$AQ$6,OFFSET($AQ$6,COUNT($AR$6:AR342),0)))))</f>
        <v/>
      </c>
    </row>
    <row r="344" spans="1:44">
      <c r="A344" s="469" t="str">
        <f ca="1">IFERROR(INDEX(凭证录入!A:A,$AR344),"")</f>
        <v/>
      </c>
      <c r="B344" s="469" t="str">
        <f ca="1">IFERROR(INDEX(凭证录入!B:B,$AR344),"")</f>
        <v/>
      </c>
      <c r="C344" s="470" t="str">
        <f ca="1">IFERROR(INDEX(凭证录入!G:G,$AR344),"")</f>
        <v/>
      </c>
      <c r="D344" s="471" t="str">
        <f ca="1">IFERROR(INDEX(凭证录入!F:F,$AR344),"")</f>
        <v/>
      </c>
      <c r="E344" s="472" t="str">
        <f ca="1">IFERROR(INDEX(凭证录入!H:H,$AR344),$AR344)</f>
        <v/>
      </c>
      <c r="F344" s="473">
        <f ca="1">IF(OR($BG$2=0,$AR344=""),,IF($AR344="本月合计",IF(ROW()=$BG$3,SUM($F$6:$F343),SUM(INDIRECT("$F$"&amp;OFFSET($AU$3,,MATCH(ROW(),$AU$3:$BF$3,)-2)+2&amp;":$E"&amp;ROW()-1))),IF($AR344="本年累计",SUMIF($AR$6:$AR344,"本月合计",$F$6:$F343),INDEX(凭证录入!K:K,$AR344))))</f>
        <v>0</v>
      </c>
      <c r="G344" s="459" t="str">
        <f t="shared" ca="1" si="77"/>
        <v/>
      </c>
      <c r="H344" s="460" t="str">
        <f t="shared" ca="1" si="77"/>
        <v/>
      </c>
      <c r="I344" s="460" t="str">
        <f t="shared" ca="1" si="77"/>
        <v/>
      </c>
      <c r="J344" s="460" t="str">
        <f t="shared" ca="1" si="77"/>
        <v/>
      </c>
      <c r="K344" s="460" t="str">
        <f t="shared" ca="1" si="77"/>
        <v/>
      </c>
      <c r="L344" s="460" t="str">
        <f t="shared" ca="1" si="77"/>
        <v/>
      </c>
      <c r="M344" s="460" t="str">
        <f t="shared" ca="1" si="77"/>
        <v/>
      </c>
      <c r="N344" s="460" t="str">
        <f t="shared" ca="1" si="77"/>
        <v/>
      </c>
      <c r="O344" s="461" t="str">
        <f t="shared" ca="1" si="77"/>
        <v/>
      </c>
      <c r="P344" s="474" t="str">
        <f t="shared" ca="1" si="77"/>
        <v/>
      </c>
      <c r="Q344" s="475" t="str">
        <f t="shared" ca="1" si="77"/>
        <v/>
      </c>
      <c r="R344" s="476">
        <f ca="1">IF(OR($BG$2=0,$AR344=""),,IF($AR344="本月合计",IF(ROW()=$BG$3,SUM($R$6:$R343),SUM(INDIRECT("$R$"&amp;OFFSET($AU$3,,MATCH(ROW(),$AU$3:$BF$3,)-2)+2&amp;":$R"&amp;ROW()-1))),IF($AR344="本年累计",SUMIF($AR$6:$AR344,"本月合计",$R$6:$R343),INDEX(凭证录入!L:L,$AR344))))</f>
        <v>0</v>
      </c>
      <c r="S344" s="459" t="str">
        <f t="shared" ca="1" si="78"/>
        <v/>
      </c>
      <c r="T344" s="460" t="str">
        <f t="shared" ca="1" si="78"/>
        <v/>
      </c>
      <c r="U344" s="460" t="str">
        <f t="shared" ca="1" si="78"/>
        <v/>
      </c>
      <c r="V344" s="460" t="str">
        <f t="shared" ca="1" si="78"/>
        <v/>
      </c>
      <c r="W344" s="460" t="str">
        <f t="shared" ca="1" si="78"/>
        <v/>
      </c>
      <c r="X344" s="460" t="str">
        <f t="shared" ca="1" si="78"/>
        <v/>
      </c>
      <c r="Y344" s="460" t="str">
        <f t="shared" ca="1" si="78"/>
        <v/>
      </c>
      <c r="Z344" s="460" t="str">
        <f t="shared" ca="1" si="78"/>
        <v/>
      </c>
      <c r="AA344" s="461" t="str">
        <f t="shared" ca="1" si="78"/>
        <v/>
      </c>
      <c r="AB344" s="474" t="str">
        <f t="shared" ca="1" si="78"/>
        <v/>
      </c>
      <c r="AC344" s="475" t="str">
        <f t="shared" ca="1" si="78"/>
        <v/>
      </c>
      <c r="AD344" s="477" t="str">
        <f t="shared" ca="1" si="74"/>
        <v/>
      </c>
      <c r="AE344" s="478">
        <f t="shared" ca="1" si="75"/>
        <v>0</v>
      </c>
      <c r="AF344" s="459" t="str">
        <f t="shared" ca="1" si="76"/>
        <v/>
      </c>
      <c r="AG344" s="460" t="str">
        <f t="shared" ca="1" si="76"/>
        <v/>
      </c>
      <c r="AH344" s="460" t="str">
        <f t="shared" ca="1" si="76"/>
        <v/>
      </c>
      <c r="AI344" s="460" t="str">
        <f t="shared" ca="1" si="76"/>
        <v/>
      </c>
      <c r="AJ344" s="460" t="str">
        <f t="shared" ca="1" si="76"/>
        <v/>
      </c>
      <c r="AK344" s="460" t="str">
        <f t="shared" ca="1" si="76"/>
        <v/>
      </c>
      <c r="AL344" s="460" t="str">
        <f t="shared" ca="1" si="76"/>
        <v/>
      </c>
      <c r="AM344" s="460" t="str">
        <f t="shared" ca="1" si="76"/>
        <v/>
      </c>
      <c r="AN344" s="461" t="str">
        <f t="shared" ca="1" si="76"/>
        <v/>
      </c>
      <c r="AO344" s="474" t="str">
        <f t="shared" ca="1" si="76"/>
        <v/>
      </c>
      <c r="AP344" s="475" t="str">
        <f t="shared" ca="1" si="76"/>
        <v/>
      </c>
      <c r="AQ344" s="479" t="str">
        <f t="array" aca="1" ref="AQ344" ca="1">IF(ROW()-5&lt;=COUNTIF(科目编号,$AR$2),SMALL(IF(科目编号=$AR$2,ROW(科目编号),""),ROW()-5),"")</f>
        <v/>
      </c>
      <c r="AR344" s="480" t="str">
        <f ca="1">IF($BG$2=0,"",IF(AR343="本月合计","本年累计",IF(OR(ROW()=$AU$3,ROW()=$AV$3,ROW()=$AW$3,ROW()=$AX$3,ROW()=$AY$3,ROW()=$AZ$3,ROW()=$BA$3,ROW()=$BB$3,ROW()=$BC$3,ROW()=$BD$3,ROW()=$BE$3,ROW()=$BF$3),"本月合计",IF(ROW()&lt;7,$AQ$6,OFFSET($AQ$6,COUNT($AR$6:AR343),0)))))</f>
        <v/>
      </c>
    </row>
    <row r="345" spans="1:44">
      <c r="A345" s="469" t="str">
        <f ca="1">IFERROR(INDEX(凭证录入!A:A,$AR345),"")</f>
        <v/>
      </c>
      <c r="B345" s="469" t="str">
        <f ca="1">IFERROR(INDEX(凭证录入!B:B,$AR345),"")</f>
        <v/>
      </c>
      <c r="C345" s="470" t="str">
        <f ca="1">IFERROR(INDEX(凭证录入!G:G,$AR345),"")</f>
        <v/>
      </c>
      <c r="D345" s="471" t="str">
        <f ca="1">IFERROR(INDEX(凭证录入!F:F,$AR345),"")</f>
        <v/>
      </c>
      <c r="E345" s="472" t="str">
        <f ca="1">IFERROR(INDEX(凭证录入!H:H,$AR345),$AR345)</f>
        <v/>
      </c>
      <c r="F345" s="473">
        <f ca="1">IF(OR($BG$2=0,$AR345=""),,IF($AR345="本月合计",IF(ROW()=$BG$3,SUM($F$6:$F344),SUM(INDIRECT("$F$"&amp;OFFSET($AU$3,,MATCH(ROW(),$AU$3:$BF$3,)-2)+2&amp;":$E"&amp;ROW()-1))),IF($AR345="本年累计",SUMIF($AR$6:$AR345,"本月合计",$F$6:$F344),INDEX(凭证录入!K:K,$AR345))))</f>
        <v>0</v>
      </c>
      <c r="G345" s="459" t="str">
        <f t="shared" ca="1" si="77"/>
        <v/>
      </c>
      <c r="H345" s="460" t="str">
        <f t="shared" ca="1" si="77"/>
        <v/>
      </c>
      <c r="I345" s="460" t="str">
        <f t="shared" ca="1" si="77"/>
        <v/>
      </c>
      <c r="J345" s="460" t="str">
        <f t="shared" ca="1" si="77"/>
        <v/>
      </c>
      <c r="K345" s="460" t="str">
        <f t="shared" ca="1" si="77"/>
        <v/>
      </c>
      <c r="L345" s="460" t="str">
        <f t="shared" ca="1" si="77"/>
        <v/>
      </c>
      <c r="M345" s="460" t="str">
        <f t="shared" ca="1" si="77"/>
        <v/>
      </c>
      <c r="N345" s="460" t="str">
        <f t="shared" ca="1" si="77"/>
        <v/>
      </c>
      <c r="O345" s="461" t="str">
        <f t="shared" ca="1" si="77"/>
        <v/>
      </c>
      <c r="P345" s="474" t="str">
        <f t="shared" ca="1" si="77"/>
        <v/>
      </c>
      <c r="Q345" s="475" t="str">
        <f t="shared" ca="1" si="77"/>
        <v/>
      </c>
      <c r="R345" s="476">
        <f ca="1">IF(OR($BG$2=0,$AR345=""),,IF($AR345="本月合计",IF(ROW()=$BG$3,SUM($R$6:$R344),SUM(INDIRECT("$R$"&amp;OFFSET($AU$3,,MATCH(ROW(),$AU$3:$BF$3,)-2)+2&amp;":$R"&amp;ROW()-1))),IF($AR345="本年累计",SUMIF($AR$6:$AR345,"本月合计",$R$6:$R344),INDEX(凭证录入!L:L,$AR345))))</f>
        <v>0</v>
      </c>
      <c r="S345" s="459" t="str">
        <f t="shared" ca="1" si="78"/>
        <v/>
      </c>
      <c r="T345" s="460" t="str">
        <f t="shared" ca="1" si="78"/>
        <v/>
      </c>
      <c r="U345" s="460" t="str">
        <f t="shared" ca="1" si="78"/>
        <v/>
      </c>
      <c r="V345" s="460" t="str">
        <f t="shared" ca="1" si="78"/>
        <v/>
      </c>
      <c r="W345" s="460" t="str">
        <f t="shared" ca="1" si="78"/>
        <v/>
      </c>
      <c r="X345" s="460" t="str">
        <f t="shared" ca="1" si="78"/>
        <v/>
      </c>
      <c r="Y345" s="460" t="str">
        <f t="shared" ca="1" si="78"/>
        <v/>
      </c>
      <c r="Z345" s="460" t="str">
        <f t="shared" ca="1" si="78"/>
        <v/>
      </c>
      <c r="AA345" s="461" t="str">
        <f t="shared" ca="1" si="78"/>
        <v/>
      </c>
      <c r="AB345" s="474" t="str">
        <f t="shared" ca="1" si="78"/>
        <v/>
      </c>
      <c r="AC345" s="475" t="str">
        <f t="shared" ca="1" si="78"/>
        <v/>
      </c>
      <c r="AD345" s="477" t="str">
        <f t="shared" ca="1" si="74"/>
        <v/>
      </c>
      <c r="AE345" s="478">
        <f t="shared" ca="1" si="75"/>
        <v>0</v>
      </c>
      <c r="AF345" s="459" t="str">
        <f t="shared" ca="1" si="76"/>
        <v/>
      </c>
      <c r="AG345" s="460" t="str">
        <f t="shared" ca="1" si="76"/>
        <v/>
      </c>
      <c r="AH345" s="460" t="str">
        <f t="shared" ca="1" si="76"/>
        <v/>
      </c>
      <c r="AI345" s="460" t="str">
        <f t="shared" ca="1" si="76"/>
        <v/>
      </c>
      <c r="AJ345" s="460" t="str">
        <f t="shared" ca="1" si="76"/>
        <v/>
      </c>
      <c r="AK345" s="460" t="str">
        <f t="shared" ca="1" si="76"/>
        <v/>
      </c>
      <c r="AL345" s="460" t="str">
        <f t="shared" ca="1" si="76"/>
        <v/>
      </c>
      <c r="AM345" s="460" t="str">
        <f t="shared" ca="1" si="76"/>
        <v/>
      </c>
      <c r="AN345" s="461" t="str">
        <f t="shared" ca="1" si="76"/>
        <v/>
      </c>
      <c r="AO345" s="474" t="str">
        <f t="shared" ca="1" si="76"/>
        <v/>
      </c>
      <c r="AP345" s="475" t="str">
        <f t="shared" ca="1" si="76"/>
        <v/>
      </c>
      <c r="AQ345" s="479" t="str">
        <f t="array" aca="1" ref="AQ345" ca="1">IF(ROW()-5&lt;=COUNTIF(科目编号,$AR$2),SMALL(IF(科目编号=$AR$2,ROW(科目编号),""),ROW()-5),"")</f>
        <v/>
      </c>
      <c r="AR345" s="480" t="str">
        <f ca="1">IF($BG$2=0,"",IF(AR344="本月合计","本年累计",IF(OR(ROW()=$AU$3,ROW()=$AV$3,ROW()=$AW$3,ROW()=$AX$3,ROW()=$AY$3,ROW()=$AZ$3,ROW()=$BA$3,ROW()=$BB$3,ROW()=$BC$3,ROW()=$BD$3,ROW()=$BE$3,ROW()=$BF$3),"本月合计",IF(ROW()&lt;7,$AQ$6,OFFSET($AQ$6,COUNT($AR$6:AR344),0)))))</f>
        <v/>
      </c>
    </row>
    <row r="346" spans="1:44">
      <c r="A346" s="469" t="str">
        <f ca="1">IFERROR(INDEX(凭证录入!A:A,$AR346),"")</f>
        <v/>
      </c>
      <c r="B346" s="469" t="str">
        <f ca="1">IFERROR(INDEX(凭证录入!B:B,$AR346),"")</f>
        <v/>
      </c>
      <c r="C346" s="470" t="str">
        <f ca="1">IFERROR(INDEX(凭证录入!G:G,$AR346),"")</f>
        <v/>
      </c>
      <c r="D346" s="471" t="str">
        <f ca="1">IFERROR(INDEX(凭证录入!F:F,$AR346),"")</f>
        <v/>
      </c>
      <c r="E346" s="472" t="str">
        <f ca="1">IFERROR(INDEX(凭证录入!H:H,$AR346),$AR346)</f>
        <v/>
      </c>
      <c r="F346" s="473">
        <f ca="1">IF(OR($BG$2=0,$AR346=""),,IF($AR346="本月合计",IF(ROW()=$BG$3,SUM($F$6:$F345),SUM(INDIRECT("$F$"&amp;OFFSET($AU$3,,MATCH(ROW(),$AU$3:$BF$3,)-2)+2&amp;":$E"&amp;ROW()-1))),IF($AR346="本年累计",SUMIF($AR$6:$AR346,"本月合计",$F$6:$F345),INDEX(凭证录入!K:K,$AR346))))</f>
        <v>0</v>
      </c>
      <c r="G346" s="459" t="str">
        <f t="shared" ca="1" si="77"/>
        <v/>
      </c>
      <c r="H346" s="460" t="str">
        <f t="shared" ca="1" si="77"/>
        <v/>
      </c>
      <c r="I346" s="460" t="str">
        <f t="shared" ca="1" si="77"/>
        <v/>
      </c>
      <c r="J346" s="460" t="str">
        <f t="shared" ca="1" si="77"/>
        <v/>
      </c>
      <c r="K346" s="460" t="str">
        <f t="shared" ca="1" si="77"/>
        <v/>
      </c>
      <c r="L346" s="460" t="str">
        <f t="shared" ca="1" si="77"/>
        <v/>
      </c>
      <c r="M346" s="460" t="str">
        <f t="shared" ca="1" si="77"/>
        <v/>
      </c>
      <c r="N346" s="460" t="str">
        <f t="shared" ca="1" si="77"/>
        <v/>
      </c>
      <c r="O346" s="461" t="str">
        <f t="shared" ca="1" si="77"/>
        <v/>
      </c>
      <c r="P346" s="474" t="str">
        <f t="shared" ca="1" si="77"/>
        <v/>
      </c>
      <c r="Q346" s="475" t="str">
        <f t="shared" ca="1" si="77"/>
        <v/>
      </c>
      <c r="R346" s="476">
        <f ca="1">IF(OR($BG$2=0,$AR346=""),,IF($AR346="本月合计",IF(ROW()=$BG$3,SUM($R$6:$R345),SUM(INDIRECT("$R$"&amp;OFFSET($AU$3,,MATCH(ROW(),$AU$3:$BF$3,)-2)+2&amp;":$R"&amp;ROW()-1))),IF($AR346="本年累计",SUMIF($AR$6:$AR346,"本月合计",$R$6:$R345),INDEX(凭证录入!L:L,$AR346))))</f>
        <v>0</v>
      </c>
      <c r="S346" s="459" t="str">
        <f t="shared" ca="1" si="78"/>
        <v/>
      </c>
      <c r="T346" s="460" t="str">
        <f t="shared" ca="1" si="78"/>
        <v/>
      </c>
      <c r="U346" s="460" t="str">
        <f t="shared" ca="1" si="78"/>
        <v/>
      </c>
      <c r="V346" s="460" t="str">
        <f t="shared" ca="1" si="78"/>
        <v/>
      </c>
      <c r="W346" s="460" t="str">
        <f t="shared" ca="1" si="78"/>
        <v/>
      </c>
      <c r="X346" s="460" t="str">
        <f t="shared" ca="1" si="78"/>
        <v/>
      </c>
      <c r="Y346" s="460" t="str">
        <f t="shared" ca="1" si="78"/>
        <v/>
      </c>
      <c r="Z346" s="460" t="str">
        <f t="shared" ca="1" si="78"/>
        <v/>
      </c>
      <c r="AA346" s="461" t="str">
        <f t="shared" ca="1" si="78"/>
        <v/>
      </c>
      <c r="AB346" s="474" t="str">
        <f t="shared" ca="1" si="78"/>
        <v/>
      </c>
      <c r="AC346" s="475" t="str">
        <f t="shared" ca="1" si="78"/>
        <v/>
      </c>
      <c r="AD346" s="477" t="str">
        <f t="shared" ca="1" si="74"/>
        <v/>
      </c>
      <c r="AE346" s="478">
        <f t="shared" ca="1" si="75"/>
        <v>0</v>
      </c>
      <c r="AF346" s="459" t="str">
        <f t="shared" ca="1" si="76"/>
        <v/>
      </c>
      <c r="AG346" s="460" t="str">
        <f t="shared" ca="1" si="76"/>
        <v/>
      </c>
      <c r="AH346" s="460" t="str">
        <f t="shared" ca="1" si="76"/>
        <v/>
      </c>
      <c r="AI346" s="460" t="str">
        <f t="shared" ca="1" si="76"/>
        <v/>
      </c>
      <c r="AJ346" s="460" t="str">
        <f t="shared" ca="1" si="76"/>
        <v/>
      </c>
      <c r="AK346" s="460" t="str">
        <f t="shared" ca="1" si="76"/>
        <v/>
      </c>
      <c r="AL346" s="460" t="str">
        <f t="shared" ca="1" si="76"/>
        <v/>
      </c>
      <c r="AM346" s="460" t="str">
        <f t="shared" ca="1" si="76"/>
        <v/>
      </c>
      <c r="AN346" s="461" t="str">
        <f t="shared" ca="1" si="76"/>
        <v/>
      </c>
      <c r="AO346" s="474" t="str">
        <f t="shared" ca="1" si="76"/>
        <v/>
      </c>
      <c r="AP346" s="475" t="str">
        <f t="shared" ca="1" si="76"/>
        <v/>
      </c>
      <c r="AQ346" s="479" t="str">
        <f t="array" aca="1" ref="AQ346" ca="1">IF(ROW()-5&lt;=COUNTIF(科目编号,$AR$2),SMALL(IF(科目编号=$AR$2,ROW(科目编号),""),ROW()-5),"")</f>
        <v/>
      </c>
      <c r="AR346" s="480" t="str">
        <f ca="1">IF($BG$2=0,"",IF(AR345="本月合计","本年累计",IF(OR(ROW()=$AU$3,ROW()=$AV$3,ROW()=$AW$3,ROW()=$AX$3,ROW()=$AY$3,ROW()=$AZ$3,ROW()=$BA$3,ROW()=$BB$3,ROW()=$BC$3,ROW()=$BD$3,ROW()=$BE$3,ROW()=$BF$3),"本月合计",IF(ROW()&lt;7,$AQ$6,OFFSET($AQ$6,COUNT($AR$6:AR345),0)))))</f>
        <v/>
      </c>
    </row>
    <row r="347" spans="1:44">
      <c r="A347" s="469" t="str">
        <f ca="1">IFERROR(INDEX(凭证录入!A:A,$AR347),"")</f>
        <v/>
      </c>
      <c r="B347" s="469" t="str">
        <f ca="1">IFERROR(INDEX(凭证录入!B:B,$AR347),"")</f>
        <v/>
      </c>
      <c r="C347" s="470" t="str">
        <f ca="1">IFERROR(INDEX(凭证录入!G:G,$AR347),"")</f>
        <v/>
      </c>
      <c r="D347" s="471" t="str">
        <f ca="1">IFERROR(INDEX(凭证录入!F:F,$AR347),"")</f>
        <v/>
      </c>
      <c r="E347" s="472" t="str">
        <f ca="1">IFERROR(INDEX(凭证录入!H:H,$AR347),$AR347)</f>
        <v/>
      </c>
      <c r="F347" s="473">
        <f ca="1">IF(OR($BG$2=0,$AR347=""),,IF($AR347="本月合计",IF(ROW()=$BG$3,SUM($F$6:$F346),SUM(INDIRECT("$F$"&amp;OFFSET($AU$3,,MATCH(ROW(),$AU$3:$BF$3,)-2)+2&amp;":$E"&amp;ROW()-1))),IF($AR347="本年累计",SUMIF($AR$6:$AR347,"本月合计",$F$6:$F346),INDEX(凭证录入!K:K,$AR347))))</f>
        <v>0</v>
      </c>
      <c r="G347" s="459" t="str">
        <f t="shared" ca="1" si="77"/>
        <v/>
      </c>
      <c r="H347" s="460" t="str">
        <f t="shared" ca="1" si="77"/>
        <v/>
      </c>
      <c r="I347" s="460" t="str">
        <f t="shared" ca="1" si="77"/>
        <v/>
      </c>
      <c r="J347" s="460" t="str">
        <f t="shared" ca="1" si="77"/>
        <v/>
      </c>
      <c r="K347" s="460" t="str">
        <f t="shared" ca="1" si="77"/>
        <v/>
      </c>
      <c r="L347" s="460" t="str">
        <f t="shared" ca="1" si="77"/>
        <v/>
      </c>
      <c r="M347" s="460" t="str">
        <f t="shared" ca="1" si="77"/>
        <v/>
      </c>
      <c r="N347" s="460" t="str">
        <f t="shared" ca="1" si="77"/>
        <v/>
      </c>
      <c r="O347" s="461" t="str">
        <f t="shared" ca="1" si="77"/>
        <v/>
      </c>
      <c r="P347" s="474" t="str">
        <f t="shared" ca="1" si="77"/>
        <v/>
      </c>
      <c r="Q347" s="475" t="str">
        <f t="shared" ca="1" si="77"/>
        <v/>
      </c>
      <c r="R347" s="476">
        <f ca="1">IF(OR($BG$2=0,$AR347=""),,IF($AR347="本月合计",IF(ROW()=$BG$3,SUM($R$6:$R346),SUM(INDIRECT("$R$"&amp;OFFSET($AU$3,,MATCH(ROW(),$AU$3:$BF$3,)-2)+2&amp;":$R"&amp;ROW()-1))),IF($AR347="本年累计",SUMIF($AR$6:$AR347,"本月合计",$R$6:$R346),INDEX(凭证录入!L:L,$AR347))))</f>
        <v>0</v>
      </c>
      <c r="S347" s="459" t="str">
        <f t="shared" ca="1" si="78"/>
        <v/>
      </c>
      <c r="T347" s="460" t="str">
        <f t="shared" ca="1" si="78"/>
        <v/>
      </c>
      <c r="U347" s="460" t="str">
        <f t="shared" ca="1" si="78"/>
        <v/>
      </c>
      <c r="V347" s="460" t="str">
        <f t="shared" ca="1" si="78"/>
        <v/>
      </c>
      <c r="W347" s="460" t="str">
        <f t="shared" ca="1" si="78"/>
        <v/>
      </c>
      <c r="X347" s="460" t="str">
        <f t="shared" ca="1" si="78"/>
        <v/>
      </c>
      <c r="Y347" s="460" t="str">
        <f t="shared" ca="1" si="78"/>
        <v/>
      </c>
      <c r="Z347" s="460" t="str">
        <f t="shared" ca="1" si="78"/>
        <v/>
      </c>
      <c r="AA347" s="461" t="str">
        <f t="shared" ca="1" si="78"/>
        <v/>
      </c>
      <c r="AB347" s="474" t="str">
        <f t="shared" ca="1" si="78"/>
        <v/>
      </c>
      <c r="AC347" s="475" t="str">
        <f t="shared" ca="1" si="78"/>
        <v/>
      </c>
      <c r="AD347" s="477" t="str">
        <f t="shared" ca="1" si="74"/>
        <v/>
      </c>
      <c r="AE347" s="478">
        <f t="shared" ca="1" si="75"/>
        <v>0</v>
      </c>
      <c r="AF347" s="459" t="str">
        <f t="shared" ca="1" si="76"/>
        <v/>
      </c>
      <c r="AG347" s="460" t="str">
        <f t="shared" ca="1" si="76"/>
        <v/>
      </c>
      <c r="AH347" s="460" t="str">
        <f t="shared" ca="1" si="76"/>
        <v/>
      </c>
      <c r="AI347" s="460" t="str">
        <f t="shared" ca="1" si="76"/>
        <v/>
      </c>
      <c r="AJ347" s="460" t="str">
        <f t="shared" ca="1" si="76"/>
        <v/>
      </c>
      <c r="AK347" s="460" t="str">
        <f t="shared" ca="1" si="76"/>
        <v/>
      </c>
      <c r="AL347" s="460" t="str">
        <f t="shared" ca="1" si="76"/>
        <v/>
      </c>
      <c r="AM347" s="460" t="str">
        <f t="shared" ca="1" si="76"/>
        <v/>
      </c>
      <c r="AN347" s="461" t="str">
        <f t="shared" ca="1" si="76"/>
        <v/>
      </c>
      <c r="AO347" s="474" t="str">
        <f t="shared" ca="1" si="76"/>
        <v/>
      </c>
      <c r="AP347" s="475" t="str">
        <f t="shared" ca="1" si="76"/>
        <v/>
      </c>
      <c r="AQ347" s="479" t="str">
        <f t="array" aca="1" ref="AQ347" ca="1">IF(ROW()-5&lt;=COUNTIF(科目编号,$AR$2),SMALL(IF(科目编号=$AR$2,ROW(科目编号),""),ROW()-5),"")</f>
        <v/>
      </c>
      <c r="AR347" s="480" t="str">
        <f ca="1">IF($BG$2=0,"",IF(AR346="本月合计","本年累计",IF(OR(ROW()=$AU$3,ROW()=$AV$3,ROW()=$AW$3,ROW()=$AX$3,ROW()=$AY$3,ROW()=$AZ$3,ROW()=$BA$3,ROW()=$BB$3,ROW()=$BC$3,ROW()=$BD$3,ROW()=$BE$3,ROW()=$BF$3),"本月合计",IF(ROW()&lt;7,$AQ$6,OFFSET($AQ$6,COUNT($AR$6:AR346),0)))))</f>
        <v/>
      </c>
    </row>
    <row r="348" spans="1:44">
      <c r="A348" s="469" t="str">
        <f ca="1">IFERROR(INDEX(凭证录入!A:A,$AR348),"")</f>
        <v/>
      </c>
      <c r="B348" s="469" t="str">
        <f ca="1">IFERROR(INDEX(凭证录入!B:B,$AR348),"")</f>
        <v/>
      </c>
      <c r="C348" s="470" t="str">
        <f ca="1">IFERROR(INDEX(凭证录入!G:G,$AR348),"")</f>
        <v/>
      </c>
      <c r="D348" s="471" t="str">
        <f ca="1">IFERROR(INDEX(凭证录入!F:F,$AR348),"")</f>
        <v/>
      </c>
      <c r="E348" s="472" t="str">
        <f ca="1">IFERROR(INDEX(凭证录入!H:H,$AR348),$AR348)</f>
        <v/>
      </c>
      <c r="F348" s="473">
        <f ca="1">IF(OR($BG$2=0,$AR348=""),,IF($AR348="本月合计",IF(ROW()=$BG$3,SUM($F$6:$F347),SUM(INDIRECT("$F$"&amp;OFFSET($AU$3,,MATCH(ROW(),$AU$3:$BF$3,)-2)+2&amp;":$E"&amp;ROW()-1))),IF($AR348="本年累计",SUMIF($AR$6:$AR348,"本月合计",$F$6:$F347),INDEX(凭证录入!K:K,$AR348))))</f>
        <v>0</v>
      </c>
      <c r="G348" s="459" t="str">
        <f t="shared" ca="1" si="77"/>
        <v/>
      </c>
      <c r="H348" s="460" t="str">
        <f t="shared" ca="1" si="77"/>
        <v/>
      </c>
      <c r="I348" s="460" t="str">
        <f t="shared" ca="1" si="77"/>
        <v/>
      </c>
      <c r="J348" s="460" t="str">
        <f t="shared" ca="1" si="77"/>
        <v/>
      </c>
      <c r="K348" s="460" t="str">
        <f t="shared" ca="1" si="77"/>
        <v/>
      </c>
      <c r="L348" s="460" t="str">
        <f t="shared" ca="1" si="77"/>
        <v/>
      </c>
      <c r="M348" s="460" t="str">
        <f t="shared" ca="1" si="77"/>
        <v/>
      </c>
      <c r="N348" s="460" t="str">
        <f t="shared" ca="1" si="77"/>
        <v/>
      </c>
      <c r="O348" s="461" t="str">
        <f t="shared" ca="1" si="77"/>
        <v/>
      </c>
      <c r="P348" s="474" t="str">
        <f t="shared" ca="1" si="77"/>
        <v/>
      </c>
      <c r="Q348" s="475" t="str">
        <f t="shared" ca="1" si="77"/>
        <v/>
      </c>
      <c r="R348" s="476">
        <f ca="1">IF(OR($BG$2=0,$AR348=""),,IF($AR348="本月合计",IF(ROW()=$BG$3,SUM($R$6:$R347),SUM(INDIRECT("$R$"&amp;OFFSET($AU$3,,MATCH(ROW(),$AU$3:$BF$3,)-2)+2&amp;":$R"&amp;ROW()-1))),IF($AR348="本年累计",SUMIF($AR$6:$AR348,"本月合计",$R$6:$R347),INDEX(凭证录入!L:L,$AR348))))</f>
        <v>0</v>
      </c>
      <c r="S348" s="459" t="str">
        <f t="shared" ca="1" si="78"/>
        <v/>
      </c>
      <c r="T348" s="460" t="str">
        <f t="shared" ca="1" si="78"/>
        <v/>
      </c>
      <c r="U348" s="460" t="str">
        <f t="shared" ca="1" si="78"/>
        <v/>
      </c>
      <c r="V348" s="460" t="str">
        <f t="shared" ca="1" si="78"/>
        <v/>
      </c>
      <c r="W348" s="460" t="str">
        <f t="shared" ca="1" si="78"/>
        <v/>
      </c>
      <c r="X348" s="460" t="str">
        <f t="shared" ca="1" si="78"/>
        <v/>
      </c>
      <c r="Y348" s="460" t="str">
        <f t="shared" ca="1" si="78"/>
        <v/>
      </c>
      <c r="Z348" s="460" t="str">
        <f t="shared" ca="1" si="78"/>
        <v/>
      </c>
      <c r="AA348" s="461" t="str">
        <f t="shared" ca="1" si="78"/>
        <v/>
      </c>
      <c r="AB348" s="474" t="str">
        <f t="shared" ca="1" si="78"/>
        <v/>
      </c>
      <c r="AC348" s="475" t="str">
        <f t="shared" ca="1" si="78"/>
        <v/>
      </c>
      <c r="AD348" s="477" t="str">
        <f t="shared" ca="1" si="74"/>
        <v/>
      </c>
      <c r="AE348" s="478">
        <f t="shared" ca="1" si="75"/>
        <v>0</v>
      </c>
      <c r="AF348" s="459" t="str">
        <f t="shared" ca="1" si="76"/>
        <v/>
      </c>
      <c r="AG348" s="460" t="str">
        <f t="shared" ca="1" si="76"/>
        <v/>
      </c>
      <c r="AH348" s="460" t="str">
        <f t="shared" ca="1" si="76"/>
        <v/>
      </c>
      <c r="AI348" s="460" t="str">
        <f t="shared" ca="1" si="76"/>
        <v/>
      </c>
      <c r="AJ348" s="460" t="str">
        <f t="shared" ca="1" si="76"/>
        <v/>
      </c>
      <c r="AK348" s="460" t="str">
        <f t="shared" ca="1" si="76"/>
        <v/>
      </c>
      <c r="AL348" s="460" t="str">
        <f t="shared" ca="1" si="76"/>
        <v/>
      </c>
      <c r="AM348" s="460" t="str">
        <f t="shared" ca="1" si="76"/>
        <v/>
      </c>
      <c r="AN348" s="461" t="str">
        <f t="shared" ca="1" si="76"/>
        <v/>
      </c>
      <c r="AO348" s="474" t="str">
        <f t="shared" ca="1" si="76"/>
        <v/>
      </c>
      <c r="AP348" s="475" t="str">
        <f t="shared" ca="1" si="76"/>
        <v/>
      </c>
      <c r="AQ348" s="479" t="str">
        <f t="array" aca="1" ref="AQ348" ca="1">IF(ROW()-5&lt;=COUNTIF(科目编号,$AR$2),SMALL(IF(科目编号=$AR$2,ROW(科目编号),""),ROW()-5),"")</f>
        <v/>
      </c>
      <c r="AR348" s="480" t="str">
        <f ca="1">IF($BG$2=0,"",IF(AR347="本月合计","本年累计",IF(OR(ROW()=$AU$3,ROW()=$AV$3,ROW()=$AW$3,ROW()=$AX$3,ROW()=$AY$3,ROW()=$AZ$3,ROW()=$BA$3,ROW()=$BB$3,ROW()=$BC$3,ROW()=$BD$3,ROW()=$BE$3,ROW()=$BF$3),"本月合计",IF(ROW()&lt;7,$AQ$6,OFFSET($AQ$6,COUNT($AR$6:AR347),0)))))</f>
        <v/>
      </c>
    </row>
    <row r="349" spans="1:44">
      <c r="A349" s="469" t="str">
        <f ca="1">IFERROR(INDEX(凭证录入!A:A,$AR349),"")</f>
        <v/>
      </c>
      <c r="B349" s="469" t="str">
        <f ca="1">IFERROR(INDEX(凭证录入!B:B,$AR349),"")</f>
        <v/>
      </c>
      <c r="C349" s="470" t="str">
        <f ca="1">IFERROR(INDEX(凭证录入!G:G,$AR349),"")</f>
        <v/>
      </c>
      <c r="D349" s="471" t="str">
        <f ca="1">IFERROR(INDEX(凭证录入!F:F,$AR349),"")</f>
        <v/>
      </c>
      <c r="E349" s="472" t="str">
        <f ca="1">IFERROR(INDEX(凭证录入!H:H,$AR349),$AR349)</f>
        <v/>
      </c>
      <c r="F349" s="473">
        <f ca="1">IF(OR($BG$2=0,$AR349=""),,IF($AR349="本月合计",IF(ROW()=$BG$3,SUM($F$6:$F348),SUM(INDIRECT("$F$"&amp;OFFSET($AU$3,,MATCH(ROW(),$AU$3:$BF$3,)-2)+2&amp;":$E"&amp;ROW()-1))),IF($AR349="本年累计",SUMIF($AR$6:$AR349,"本月合计",$F$6:$F348),INDEX(凭证录入!K:K,$AR349))))</f>
        <v>0</v>
      </c>
      <c r="G349" s="459" t="str">
        <f t="shared" ca="1" si="77"/>
        <v/>
      </c>
      <c r="H349" s="460" t="str">
        <f t="shared" ca="1" si="77"/>
        <v/>
      </c>
      <c r="I349" s="460" t="str">
        <f t="shared" ca="1" si="77"/>
        <v/>
      </c>
      <c r="J349" s="460" t="str">
        <f t="shared" ca="1" si="77"/>
        <v/>
      </c>
      <c r="K349" s="460" t="str">
        <f t="shared" ca="1" si="77"/>
        <v/>
      </c>
      <c r="L349" s="460" t="str">
        <f t="shared" ca="1" si="77"/>
        <v/>
      </c>
      <c r="M349" s="460" t="str">
        <f t="shared" ca="1" si="77"/>
        <v/>
      </c>
      <c r="N349" s="460" t="str">
        <f t="shared" ca="1" si="77"/>
        <v/>
      </c>
      <c r="O349" s="461" t="str">
        <f t="shared" ca="1" si="77"/>
        <v/>
      </c>
      <c r="P349" s="474" t="str">
        <f t="shared" ca="1" si="77"/>
        <v/>
      </c>
      <c r="Q349" s="475" t="str">
        <f t="shared" ca="1" si="77"/>
        <v/>
      </c>
      <c r="R349" s="476">
        <f ca="1">IF(OR($BG$2=0,$AR349=""),,IF($AR349="本月合计",IF(ROW()=$BG$3,SUM($R$6:$R348),SUM(INDIRECT("$R$"&amp;OFFSET($AU$3,,MATCH(ROW(),$AU$3:$BF$3,)-2)+2&amp;":$R"&amp;ROW()-1))),IF($AR349="本年累计",SUMIF($AR$6:$AR349,"本月合计",$R$6:$R348),INDEX(凭证录入!L:L,$AR349))))</f>
        <v>0</v>
      </c>
      <c r="S349" s="459" t="str">
        <f t="shared" ca="1" si="78"/>
        <v/>
      </c>
      <c r="T349" s="460" t="str">
        <f t="shared" ca="1" si="78"/>
        <v/>
      </c>
      <c r="U349" s="460" t="str">
        <f t="shared" ca="1" si="78"/>
        <v/>
      </c>
      <c r="V349" s="460" t="str">
        <f t="shared" ca="1" si="78"/>
        <v/>
      </c>
      <c r="W349" s="460" t="str">
        <f t="shared" ca="1" si="78"/>
        <v/>
      </c>
      <c r="X349" s="460" t="str">
        <f t="shared" ca="1" si="78"/>
        <v/>
      </c>
      <c r="Y349" s="460" t="str">
        <f t="shared" ca="1" si="78"/>
        <v/>
      </c>
      <c r="Z349" s="460" t="str">
        <f t="shared" ca="1" si="78"/>
        <v/>
      </c>
      <c r="AA349" s="461" t="str">
        <f t="shared" ca="1" si="78"/>
        <v/>
      </c>
      <c r="AB349" s="474" t="str">
        <f t="shared" ca="1" si="78"/>
        <v/>
      </c>
      <c r="AC349" s="475" t="str">
        <f t="shared" ca="1" si="78"/>
        <v/>
      </c>
      <c r="AD349" s="477" t="str">
        <f t="shared" ca="1" si="74"/>
        <v/>
      </c>
      <c r="AE349" s="478">
        <f t="shared" ca="1" si="75"/>
        <v>0</v>
      </c>
      <c r="AF349" s="459" t="str">
        <f t="shared" ca="1" si="76"/>
        <v/>
      </c>
      <c r="AG349" s="460" t="str">
        <f t="shared" ca="1" si="76"/>
        <v/>
      </c>
      <c r="AH349" s="460" t="str">
        <f t="shared" ca="1" si="76"/>
        <v/>
      </c>
      <c r="AI349" s="460" t="str">
        <f t="shared" ca="1" si="76"/>
        <v/>
      </c>
      <c r="AJ349" s="460" t="str">
        <f t="shared" ca="1" si="76"/>
        <v/>
      </c>
      <c r="AK349" s="460" t="str">
        <f t="shared" ca="1" si="76"/>
        <v/>
      </c>
      <c r="AL349" s="460" t="str">
        <f t="shared" ca="1" si="76"/>
        <v/>
      </c>
      <c r="AM349" s="460" t="str">
        <f t="shared" ca="1" si="76"/>
        <v/>
      </c>
      <c r="AN349" s="461" t="str">
        <f t="shared" ca="1" si="76"/>
        <v/>
      </c>
      <c r="AO349" s="474" t="str">
        <f t="shared" ca="1" si="76"/>
        <v/>
      </c>
      <c r="AP349" s="475" t="str">
        <f t="shared" ca="1" si="76"/>
        <v/>
      </c>
      <c r="AQ349" s="479" t="str">
        <f t="array" aca="1" ref="AQ349" ca="1">IF(ROW()-5&lt;=COUNTIF(科目编号,$AR$2),SMALL(IF(科目编号=$AR$2,ROW(科目编号),""),ROW()-5),"")</f>
        <v/>
      </c>
      <c r="AR349" s="480" t="str">
        <f ca="1">IF($BG$2=0,"",IF(AR348="本月合计","本年累计",IF(OR(ROW()=$AU$3,ROW()=$AV$3,ROW()=$AW$3,ROW()=$AX$3,ROW()=$AY$3,ROW()=$AZ$3,ROW()=$BA$3,ROW()=$BB$3,ROW()=$BC$3,ROW()=$BD$3,ROW()=$BE$3,ROW()=$BF$3),"本月合计",IF(ROW()&lt;7,$AQ$6,OFFSET($AQ$6,COUNT($AR$6:AR348),0)))))</f>
        <v/>
      </c>
    </row>
    <row r="350" spans="1:44">
      <c r="A350" s="469" t="str">
        <f ca="1">IFERROR(INDEX(凭证录入!A:A,$AR350),"")</f>
        <v/>
      </c>
      <c r="B350" s="469" t="str">
        <f ca="1">IFERROR(INDEX(凭证录入!B:B,$AR350),"")</f>
        <v/>
      </c>
      <c r="C350" s="470" t="str">
        <f ca="1">IFERROR(INDEX(凭证录入!G:G,$AR350),"")</f>
        <v/>
      </c>
      <c r="D350" s="471" t="str">
        <f ca="1">IFERROR(INDEX(凭证录入!F:F,$AR350),"")</f>
        <v/>
      </c>
      <c r="E350" s="472" t="str">
        <f ca="1">IFERROR(INDEX(凭证录入!H:H,$AR350),$AR350)</f>
        <v/>
      </c>
      <c r="F350" s="473">
        <f ca="1">IF(OR($BG$2=0,$AR350=""),,IF($AR350="本月合计",IF(ROW()=$BG$3,SUM($F$6:$F349),SUM(INDIRECT("$F$"&amp;OFFSET($AU$3,,MATCH(ROW(),$AU$3:$BF$3,)-2)+2&amp;":$E"&amp;ROW()-1))),IF($AR350="本年累计",SUMIF($AR$6:$AR350,"本月合计",$F$6:$F349),INDEX(凭证录入!K:K,$AR350))))</f>
        <v>0</v>
      </c>
      <c r="G350" s="459" t="str">
        <f t="shared" ca="1" si="77"/>
        <v/>
      </c>
      <c r="H350" s="460" t="str">
        <f t="shared" ca="1" si="77"/>
        <v/>
      </c>
      <c r="I350" s="460" t="str">
        <f t="shared" ca="1" si="77"/>
        <v/>
      </c>
      <c r="J350" s="460" t="str">
        <f t="shared" ca="1" si="77"/>
        <v/>
      </c>
      <c r="K350" s="460" t="str">
        <f t="shared" ca="1" si="77"/>
        <v/>
      </c>
      <c r="L350" s="460" t="str">
        <f t="shared" ca="1" si="77"/>
        <v/>
      </c>
      <c r="M350" s="460" t="str">
        <f t="shared" ca="1" si="77"/>
        <v/>
      </c>
      <c r="N350" s="460" t="str">
        <f t="shared" ca="1" si="77"/>
        <v/>
      </c>
      <c r="O350" s="461" t="str">
        <f t="shared" ca="1" si="77"/>
        <v/>
      </c>
      <c r="P350" s="474" t="str">
        <f t="shared" ca="1" si="77"/>
        <v/>
      </c>
      <c r="Q350" s="475" t="str">
        <f t="shared" ca="1" si="77"/>
        <v/>
      </c>
      <c r="R350" s="476">
        <f ca="1">IF(OR($BG$2=0,$AR350=""),,IF($AR350="本月合计",IF(ROW()=$BG$3,SUM($R$6:$R349),SUM(INDIRECT("$R$"&amp;OFFSET($AU$3,,MATCH(ROW(),$AU$3:$BF$3,)-2)+2&amp;":$R"&amp;ROW()-1))),IF($AR350="本年累计",SUMIF($AR$6:$AR350,"本月合计",$R$6:$R349),INDEX(凭证录入!L:L,$AR350))))</f>
        <v>0</v>
      </c>
      <c r="S350" s="459" t="str">
        <f t="shared" ca="1" si="78"/>
        <v/>
      </c>
      <c r="T350" s="460" t="str">
        <f t="shared" ca="1" si="78"/>
        <v/>
      </c>
      <c r="U350" s="460" t="str">
        <f t="shared" ca="1" si="78"/>
        <v/>
      </c>
      <c r="V350" s="460" t="str">
        <f t="shared" ca="1" si="78"/>
        <v/>
      </c>
      <c r="W350" s="460" t="str">
        <f t="shared" ca="1" si="78"/>
        <v/>
      </c>
      <c r="X350" s="460" t="str">
        <f t="shared" ca="1" si="78"/>
        <v/>
      </c>
      <c r="Y350" s="460" t="str">
        <f t="shared" ca="1" si="78"/>
        <v/>
      </c>
      <c r="Z350" s="460" t="str">
        <f t="shared" ca="1" si="78"/>
        <v/>
      </c>
      <c r="AA350" s="461" t="str">
        <f t="shared" ca="1" si="78"/>
        <v/>
      </c>
      <c r="AB350" s="474" t="str">
        <f t="shared" ca="1" si="78"/>
        <v/>
      </c>
      <c r="AC350" s="475" t="str">
        <f t="shared" ca="1" si="78"/>
        <v/>
      </c>
      <c r="AD350" s="477" t="str">
        <f t="shared" ca="1" si="74"/>
        <v/>
      </c>
      <c r="AE350" s="478">
        <f t="shared" ca="1" si="75"/>
        <v>0</v>
      </c>
      <c r="AF350" s="459" t="str">
        <f t="shared" ca="1" si="76"/>
        <v/>
      </c>
      <c r="AG350" s="460" t="str">
        <f t="shared" ca="1" si="76"/>
        <v/>
      </c>
      <c r="AH350" s="460" t="str">
        <f t="shared" ca="1" si="76"/>
        <v/>
      </c>
      <c r="AI350" s="460" t="str">
        <f t="shared" ca="1" si="76"/>
        <v/>
      </c>
      <c r="AJ350" s="460" t="str">
        <f t="shared" ca="1" si="76"/>
        <v/>
      </c>
      <c r="AK350" s="460" t="str">
        <f t="shared" ca="1" si="76"/>
        <v/>
      </c>
      <c r="AL350" s="460" t="str">
        <f t="shared" ca="1" si="76"/>
        <v/>
      </c>
      <c r="AM350" s="460" t="str">
        <f t="shared" ca="1" si="76"/>
        <v/>
      </c>
      <c r="AN350" s="461" t="str">
        <f t="shared" ca="1" si="76"/>
        <v/>
      </c>
      <c r="AO350" s="474" t="str">
        <f t="shared" ca="1" si="76"/>
        <v/>
      </c>
      <c r="AP350" s="475" t="str">
        <f t="shared" ca="1" si="76"/>
        <v/>
      </c>
      <c r="AQ350" s="479" t="str">
        <f t="array" aca="1" ref="AQ350" ca="1">IF(ROW()-5&lt;=COUNTIF(科目编号,$AR$2),SMALL(IF(科目编号=$AR$2,ROW(科目编号),""),ROW()-5),"")</f>
        <v/>
      </c>
      <c r="AR350" s="480" t="str">
        <f ca="1">IF($BG$2=0,"",IF(AR349="本月合计","本年累计",IF(OR(ROW()=$AU$3,ROW()=$AV$3,ROW()=$AW$3,ROW()=$AX$3,ROW()=$AY$3,ROW()=$AZ$3,ROW()=$BA$3,ROW()=$BB$3,ROW()=$BC$3,ROW()=$BD$3,ROW()=$BE$3,ROW()=$BF$3),"本月合计",IF(ROW()&lt;7,$AQ$6,OFFSET($AQ$6,COUNT($AR$6:AR349),0)))))</f>
        <v/>
      </c>
    </row>
    <row r="351" spans="1:44">
      <c r="A351" s="469" t="str">
        <f ca="1">IFERROR(INDEX(凭证录入!A:A,$AR351),"")</f>
        <v/>
      </c>
      <c r="B351" s="469" t="str">
        <f ca="1">IFERROR(INDEX(凭证录入!B:B,$AR351),"")</f>
        <v/>
      </c>
      <c r="C351" s="470" t="str">
        <f ca="1">IFERROR(INDEX(凭证录入!G:G,$AR351),"")</f>
        <v/>
      </c>
      <c r="D351" s="471" t="str">
        <f ca="1">IFERROR(INDEX(凭证录入!F:F,$AR351),"")</f>
        <v/>
      </c>
      <c r="E351" s="472" t="str">
        <f ca="1">IFERROR(INDEX(凭证录入!H:H,$AR351),$AR351)</f>
        <v/>
      </c>
      <c r="F351" s="473">
        <f ca="1">IF(OR($BG$2=0,$AR351=""),,IF($AR351="本月合计",IF(ROW()=$BG$3,SUM($F$6:$F350),SUM(INDIRECT("$F$"&amp;OFFSET($AU$3,,MATCH(ROW(),$AU$3:$BF$3,)-2)+2&amp;":$E"&amp;ROW()-1))),IF($AR351="本年累计",SUMIF($AR$6:$AR351,"本月合计",$F$6:$F350),INDEX(凭证录入!K:K,$AR351))))</f>
        <v>0</v>
      </c>
      <c r="G351" s="459" t="str">
        <f t="shared" ca="1" si="77"/>
        <v/>
      </c>
      <c r="H351" s="460" t="str">
        <f t="shared" ca="1" si="77"/>
        <v/>
      </c>
      <c r="I351" s="460" t="str">
        <f t="shared" ca="1" si="77"/>
        <v/>
      </c>
      <c r="J351" s="460" t="str">
        <f t="shared" ca="1" si="77"/>
        <v/>
      </c>
      <c r="K351" s="460" t="str">
        <f t="shared" ca="1" si="77"/>
        <v/>
      </c>
      <c r="L351" s="460" t="str">
        <f t="shared" ca="1" si="77"/>
        <v/>
      </c>
      <c r="M351" s="460" t="str">
        <f t="shared" ca="1" si="77"/>
        <v/>
      </c>
      <c r="N351" s="460" t="str">
        <f t="shared" ca="1" si="77"/>
        <v/>
      </c>
      <c r="O351" s="461" t="str">
        <f t="shared" ca="1" si="77"/>
        <v/>
      </c>
      <c r="P351" s="474" t="str">
        <f t="shared" ca="1" si="77"/>
        <v/>
      </c>
      <c r="Q351" s="475" t="str">
        <f t="shared" ca="1" si="77"/>
        <v/>
      </c>
      <c r="R351" s="476">
        <f ca="1">IF(OR($BG$2=0,$AR351=""),,IF($AR351="本月合计",IF(ROW()=$BG$3,SUM($R$6:$R350),SUM(INDIRECT("$R$"&amp;OFFSET($AU$3,,MATCH(ROW(),$AU$3:$BF$3,)-2)+2&amp;":$R"&amp;ROW()-1))),IF($AR351="本年累计",SUMIF($AR$6:$AR351,"本月合计",$R$6:$R350),INDEX(凭证录入!L:L,$AR351))))</f>
        <v>0</v>
      </c>
      <c r="S351" s="459" t="str">
        <f t="shared" ca="1" si="78"/>
        <v/>
      </c>
      <c r="T351" s="460" t="str">
        <f t="shared" ca="1" si="78"/>
        <v/>
      </c>
      <c r="U351" s="460" t="str">
        <f t="shared" ca="1" si="78"/>
        <v/>
      </c>
      <c r="V351" s="460" t="str">
        <f t="shared" ca="1" si="78"/>
        <v/>
      </c>
      <c r="W351" s="460" t="str">
        <f t="shared" ca="1" si="78"/>
        <v/>
      </c>
      <c r="X351" s="460" t="str">
        <f t="shared" ca="1" si="78"/>
        <v/>
      </c>
      <c r="Y351" s="460" t="str">
        <f t="shared" ca="1" si="78"/>
        <v/>
      </c>
      <c r="Z351" s="460" t="str">
        <f t="shared" ca="1" si="78"/>
        <v/>
      </c>
      <c r="AA351" s="461" t="str">
        <f t="shared" ca="1" si="78"/>
        <v/>
      </c>
      <c r="AB351" s="474" t="str">
        <f t="shared" ca="1" si="78"/>
        <v/>
      </c>
      <c r="AC351" s="475" t="str">
        <f t="shared" ca="1" si="78"/>
        <v/>
      </c>
      <c r="AD351" s="477" t="str">
        <f t="shared" ca="1" si="74"/>
        <v/>
      </c>
      <c r="AE351" s="478">
        <f t="shared" ca="1" si="75"/>
        <v>0</v>
      </c>
      <c r="AF351" s="459" t="str">
        <f t="shared" ca="1" si="76"/>
        <v/>
      </c>
      <c r="AG351" s="460" t="str">
        <f t="shared" ca="1" si="76"/>
        <v/>
      </c>
      <c r="AH351" s="460" t="str">
        <f t="shared" ca="1" si="76"/>
        <v/>
      </c>
      <c r="AI351" s="460" t="str">
        <f t="shared" ca="1" si="76"/>
        <v/>
      </c>
      <c r="AJ351" s="460" t="str">
        <f t="shared" ca="1" si="76"/>
        <v/>
      </c>
      <c r="AK351" s="460" t="str">
        <f t="shared" ca="1" si="76"/>
        <v/>
      </c>
      <c r="AL351" s="460" t="str">
        <f t="shared" ca="1" si="76"/>
        <v/>
      </c>
      <c r="AM351" s="460" t="str">
        <f t="shared" ca="1" si="76"/>
        <v/>
      </c>
      <c r="AN351" s="461" t="str">
        <f t="shared" ca="1" si="76"/>
        <v/>
      </c>
      <c r="AO351" s="474" t="str">
        <f t="shared" ca="1" si="76"/>
        <v/>
      </c>
      <c r="AP351" s="475" t="str">
        <f t="shared" ca="1" si="76"/>
        <v/>
      </c>
      <c r="AQ351" s="479" t="str">
        <f t="array" aca="1" ref="AQ351" ca="1">IF(ROW()-5&lt;=COUNTIF(科目编号,$AR$2),SMALL(IF(科目编号=$AR$2,ROW(科目编号),""),ROW()-5),"")</f>
        <v/>
      </c>
      <c r="AR351" s="480" t="str">
        <f ca="1">IF($BG$2=0,"",IF(AR350="本月合计","本年累计",IF(OR(ROW()=$AU$3,ROW()=$AV$3,ROW()=$AW$3,ROW()=$AX$3,ROW()=$AY$3,ROW()=$AZ$3,ROW()=$BA$3,ROW()=$BB$3,ROW()=$BC$3,ROW()=$BD$3,ROW()=$BE$3,ROW()=$BF$3),"本月合计",IF(ROW()&lt;7,$AQ$6,OFFSET($AQ$6,COUNT($AR$6:AR350),0)))))</f>
        <v/>
      </c>
    </row>
    <row r="352" spans="1:44">
      <c r="A352" s="469" t="str">
        <f ca="1">IFERROR(INDEX(凭证录入!A:A,$AR352),"")</f>
        <v/>
      </c>
      <c r="B352" s="469" t="str">
        <f ca="1">IFERROR(INDEX(凭证录入!B:B,$AR352),"")</f>
        <v/>
      </c>
      <c r="C352" s="470" t="str">
        <f ca="1">IFERROR(INDEX(凭证录入!G:G,$AR352),"")</f>
        <v/>
      </c>
      <c r="D352" s="471" t="str">
        <f ca="1">IFERROR(INDEX(凭证录入!F:F,$AR352),"")</f>
        <v/>
      </c>
      <c r="E352" s="472" t="str">
        <f ca="1">IFERROR(INDEX(凭证录入!H:H,$AR352),$AR352)</f>
        <v/>
      </c>
      <c r="F352" s="473">
        <f ca="1">IF(OR($BG$2=0,$AR352=""),,IF($AR352="本月合计",IF(ROW()=$BG$3,SUM($F$6:$F351),SUM(INDIRECT("$F$"&amp;OFFSET($AU$3,,MATCH(ROW(),$AU$3:$BF$3,)-2)+2&amp;":$E"&amp;ROW()-1))),IF($AR352="本年累计",SUMIF($AR$6:$AR352,"本月合计",$F$6:$F351),INDEX(凭证录入!K:K,$AR352))))</f>
        <v>0</v>
      </c>
      <c r="G352" s="459" t="str">
        <f t="shared" ca="1" si="77"/>
        <v/>
      </c>
      <c r="H352" s="460" t="str">
        <f t="shared" ca="1" si="77"/>
        <v/>
      </c>
      <c r="I352" s="460" t="str">
        <f t="shared" ca="1" si="77"/>
        <v/>
      </c>
      <c r="J352" s="460" t="str">
        <f t="shared" ca="1" si="77"/>
        <v/>
      </c>
      <c r="K352" s="460" t="str">
        <f t="shared" ca="1" si="77"/>
        <v/>
      </c>
      <c r="L352" s="460" t="str">
        <f t="shared" ca="1" si="77"/>
        <v/>
      </c>
      <c r="M352" s="460" t="str">
        <f t="shared" ca="1" si="77"/>
        <v/>
      </c>
      <c r="N352" s="460" t="str">
        <f t="shared" ca="1" si="77"/>
        <v/>
      </c>
      <c r="O352" s="461" t="str">
        <f t="shared" ca="1" si="77"/>
        <v/>
      </c>
      <c r="P352" s="474" t="str">
        <f t="shared" ca="1" si="77"/>
        <v/>
      </c>
      <c r="Q352" s="475" t="str">
        <f t="shared" ca="1" si="77"/>
        <v/>
      </c>
      <c r="R352" s="476">
        <f ca="1">IF(OR($BG$2=0,$AR352=""),,IF($AR352="本月合计",IF(ROW()=$BG$3,SUM($R$6:$R351),SUM(INDIRECT("$R$"&amp;OFFSET($AU$3,,MATCH(ROW(),$AU$3:$BF$3,)-2)+2&amp;":$R"&amp;ROW()-1))),IF($AR352="本年累计",SUMIF($AR$6:$AR352,"本月合计",$R$6:$R351),INDEX(凭证录入!L:L,$AR352))))</f>
        <v>0</v>
      </c>
      <c r="S352" s="459" t="str">
        <f t="shared" ca="1" si="78"/>
        <v/>
      </c>
      <c r="T352" s="460" t="str">
        <f t="shared" ca="1" si="78"/>
        <v/>
      </c>
      <c r="U352" s="460" t="str">
        <f t="shared" ca="1" si="78"/>
        <v/>
      </c>
      <c r="V352" s="460" t="str">
        <f t="shared" ca="1" si="78"/>
        <v/>
      </c>
      <c r="W352" s="460" t="str">
        <f t="shared" ca="1" si="78"/>
        <v/>
      </c>
      <c r="X352" s="460" t="str">
        <f t="shared" ca="1" si="78"/>
        <v/>
      </c>
      <c r="Y352" s="460" t="str">
        <f t="shared" ca="1" si="78"/>
        <v/>
      </c>
      <c r="Z352" s="460" t="str">
        <f t="shared" ca="1" si="78"/>
        <v/>
      </c>
      <c r="AA352" s="461" t="str">
        <f t="shared" ca="1" si="78"/>
        <v/>
      </c>
      <c r="AB352" s="474" t="str">
        <f t="shared" ca="1" si="78"/>
        <v/>
      </c>
      <c r="AC352" s="475" t="str">
        <f t="shared" ca="1" si="78"/>
        <v/>
      </c>
      <c r="AD352" s="477" t="str">
        <f t="shared" ca="1" si="74"/>
        <v/>
      </c>
      <c r="AE352" s="478">
        <f t="shared" ca="1" si="75"/>
        <v>0</v>
      </c>
      <c r="AF352" s="459" t="str">
        <f t="shared" ca="1" si="76"/>
        <v/>
      </c>
      <c r="AG352" s="460" t="str">
        <f t="shared" ca="1" si="76"/>
        <v/>
      </c>
      <c r="AH352" s="460" t="str">
        <f t="shared" ca="1" si="76"/>
        <v/>
      </c>
      <c r="AI352" s="460" t="str">
        <f t="shared" ca="1" si="76"/>
        <v/>
      </c>
      <c r="AJ352" s="460" t="str">
        <f t="shared" ca="1" si="76"/>
        <v/>
      </c>
      <c r="AK352" s="460" t="str">
        <f t="shared" ca="1" si="76"/>
        <v/>
      </c>
      <c r="AL352" s="460" t="str">
        <f t="shared" ca="1" si="76"/>
        <v/>
      </c>
      <c r="AM352" s="460" t="str">
        <f t="shared" ca="1" si="76"/>
        <v/>
      </c>
      <c r="AN352" s="461" t="str">
        <f t="shared" ca="1" si="76"/>
        <v/>
      </c>
      <c r="AO352" s="474" t="str">
        <f t="shared" ca="1" si="76"/>
        <v/>
      </c>
      <c r="AP352" s="475" t="str">
        <f t="shared" ca="1" si="76"/>
        <v/>
      </c>
      <c r="AQ352" s="479" t="str">
        <f t="array" aca="1" ref="AQ352" ca="1">IF(ROW()-5&lt;=COUNTIF(科目编号,$AR$2),SMALL(IF(科目编号=$AR$2,ROW(科目编号),""),ROW()-5),"")</f>
        <v/>
      </c>
      <c r="AR352" s="480" t="str">
        <f ca="1">IF($BG$2=0,"",IF(AR351="本月合计","本年累计",IF(OR(ROW()=$AU$3,ROW()=$AV$3,ROW()=$AW$3,ROW()=$AX$3,ROW()=$AY$3,ROW()=$AZ$3,ROW()=$BA$3,ROW()=$BB$3,ROW()=$BC$3,ROW()=$BD$3,ROW()=$BE$3,ROW()=$BF$3),"本月合计",IF(ROW()&lt;7,$AQ$6,OFFSET($AQ$6,COUNT($AR$6:AR351),0)))))</f>
        <v/>
      </c>
    </row>
    <row r="353" spans="1:44">
      <c r="A353" s="469" t="str">
        <f ca="1">IFERROR(INDEX(凭证录入!A:A,$AR353),"")</f>
        <v/>
      </c>
      <c r="B353" s="469" t="str">
        <f ca="1">IFERROR(INDEX(凭证录入!B:B,$AR353),"")</f>
        <v/>
      </c>
      <c r="C353" s="470" t="str">
        <f ca="1">IFERROR(INDEX(凭证录入!G:G,$AR353),"")</f>
        <v/>
      </c>
      <c r="D353" s="471" t="str">
        <f ca="1">IFERROR(INDEX(凭证录入!F:F,$AR353),"")</f>
        <v/>
      </c>
      <c r="E353" s="472" t="str">
        <f ca="1">IFERROR(INDEX(凭证录入!H:H,$AR353),$AR353)</f>
        <v/>
      </c>
      <c r="F353" s="473">
        <f ca="1">IF(OR($BG$2=0,$AR353=""),,IF($AR353="本月合计",IF(ROW()=$BG$3,SUM($F$6:$F352),SUM(INDIRECT("$F$"&amp;OFFSET($AU$3,,MATCH(ROW(),$AU$3:$BF$3,)-2)+2&amp;":$E"&amp;ROW()-1))),IF($AR353="本年累计",SUMIF($AR$6:$AR353,"本月合计",$F$6:$F352),INDEX(凭证录入!K:K,$AR353))))</f>
        <v>0</v>
      </c>
      <c r="G353" s="459" t="str">
        <f t="shared" ca="1" si="77"/>
        <v/>
      </c>
      <c r="H353" s="460" t="str">
        <f t="shared" ca="1" si="77"/>
        <v/>
      </c>
      <c r="I353" s="460" t="str">
        <f t="shared" ca="1" si="77"/>
        <v/>
      </c>
      <c r="J353" s="460" t="str">
        <f t="shared" ca="1" si="77"/>
        <v/>
      </c>
      <c r="K353" s="460" t="str">
        <f t="shared" ca="1" si="77"/>
        <v/>
      </c>
      <c r="L353" s="460" t="str">
        <f t="shared" ca="1" si="77"/>
        <v/>
      </c>
      <c r="M353" s="460" t="str">
        <f t="shared" ca="1" si="77"/>
        <v/>
      </c>
      <c r="N353" s="460" t="str">
        <f t="shared" ca="1" si="77"/>
        <v/>
      </c>
      <c r="O353" s="461" t="str">
        <f t="shared" ca="1" si="77"/>
        <v/>
      </c>
      <c r="P353" s="474" t="str">
        <f t="shared" ca="1" si="77"/>
        <v/>
      </c>
      <c r="Q353" s="475" t="str">
        <f t="shared" ca="1" si="77"/>
        <v/>
      </c>
      <c r="R353" s="476">
        <f ca="1">IF(OR($BG$2=0,$AR353=""),,IF($AR353="本月合计",IF(ROW()=$BG$3,SUM($R$6:$R352),SUM(INDIRECT("$R$"&amp;OFFSET($AU$3,,MATCH(ROW(),$AU$3:$BF$3,)-2)+2&amp;":$R"&amp;ROW()-1))),IF($AR353="本年累计",SUMIF($AR$6:$AR353,"本月合计",$R$6:$R352),INDEX(凭证录入!L:L,$AR353))))</f>
        <v>0</v>
      </c>
      <c r="S353" s="459" t="str">
        <f t="shared" ca="1" si="78"/>
        <v/>
      </c>
      <c r="T353" s="460" t="str">
        <f t="shared" ca="1" si="78"/>
        <v/>
      </c>
      <c r="U353" s="460" t="str">
        <f t="shared" ca="1" si="78"/>
        <v/>
      </c>
      <c r="V353" s="460" t="str">
        <f t="shared" ca="1" si="78"/>
        <v/>
      </c>
      <c r="W353" s="460" t="str">
        <f t="shared" ca="1" si="78"/>
        <v/>
      </c>
      <c r="X353" s="460" t="str">
        <f t="shared" ca="1" si="78"/>
        <v/>
      </c>
      <c r="Y353" s="460" t="str">
        <f t="shared" ca="1" si="78"/>
        <v/>
      </c>
      <c r="Z353" s="460" t="str">
        <f t="shared" ca="1" si="78"/>
        <v/>
      </c>
      <c r="AA353" s="461" t="str">
        <f t="shared" ca="1" si="78"/>
        <v/>
      </c>
      <c r="AB353" s="474" t="str">
        <f t="shared" ca="1" si="78"/>
        <v/>
      </c>
      <c r="AC353" s="475" t="str">
        <f t="shared" ca="1" si="78"/>
        <v/>
      </c>
      <c r="AD353" s="477" t="str">
        <f t="shared" ca="1" si="74"/>
        <v/>
      </c>
      <c r="AE353" s="478">
        <f t="shared" ca="1" si="75"/>
        <v>0</v>
      </c>
      <c r="AF353" s="459" t="str">
        <f t="shared" ca="1" si="76"/>
        <v/>
      </c>
      <c r="AG353" s="460" t="str">
        <f t="shared" ca="1" si="76"/>
        <v/>
      </c>
      <c r="AH353" s="460" t="str">
        <f t="shared" ca="1" si="76"/>
        <v/>
      </c>
      <c r="AI353" s="460" t="str">
        <f t="shared" ca="1" si="76"/>
        <v/>
      </c>
      <c r="AJ353" s="460" t="str">
        <f t="shared" ca="1" si="76"/>
        <v/>
      </c>
      <c r="AK353" s="460" t="str">
        <f t="shared" ca="1" si="76"/>
        <v/>
      </c>
      <c r="AL353" s="460" t="str">
        <f t="shared" ca="1" si="76"/>
        <v/>
      </c>
      <c r="AM353" s="460" t="str">
        <f t="shared" ca="1" si="76"/>
        <v/>
      </c>
      <c r="AN353" s="461" t="str">
        <f t="shared" ca="1" si="76"/>
        <v/>
      </c>
      <c r="AO353" s="474" t="str">
        <f t="shared" ca="1" si="76"/>
        <v/>
      </c>
      <c r="AP353" s="475" t="str">
        <f t="shared" ca="1" si="76"/>
        <v/>
      </c>
      <c r="AQ353" s="479" t="str">
        <f t="array" aca="1" ref="AQ353" ca="1">IF(ROW()-5&lt;=COUNTIF(科目编号,$AR$2),SMALL(IF(科目编号=$AR$2,ROW(科目编号),""),ROW()-5),"")</f>
        <v/>
      </c>
      <c r="AR353" s="480" t="str">
        <f ca="1">IF($BG$2=0,"",IF(AR352="本月合计","本年累计",IF(OR(ROW()=$AU$3,ROW()=$AV$3,ROW()=$AW$3,ROW()=$AX$3,ROW()=$AY$3,ROW()=$AZ$3,ROW()=$BA$3,ROW()=$BB$3,ROW()=$BC$3,ROW()=$BD$3,ROW()=$BE$3,ROW()=$BF$3),"本月合计",IF(ROW()&lt;7,$AQ$6,OFFSET($AQ$6,COUNT($AR$6:AR352),0)))))</f>
        <v/>
      </c>
    </row>
    <row r="354" spans="1:44">
      <c r="A354" s="469" t="str">
        <f ca="1">IFERROR(INDEX(凭证录入!A:A,$AR354),"")</f>
        <v/>
      </c>
      <c r="B354" s="469" t="str">
        <f ca="1">IFERROR(INDEX(凭证录入!B:B,$AR354),"")</f>
        <v/>
      </c>
      <c r="C354" s="470" t="str">
        <f ca="1">IFERROR(INDEX(凭证录入!G:G,$AR354),"")</f>
        <v/>
      </c>
      <c r="D354" s="471" t="str">
        <f ca="1">IFERROR(INDEX(凭证录入!F:F,$AR354),"")</f>
        <v/>
      </c>
      <c r="E354" s="472" t="str">
        <f ca="1">IFERROR(INDEX(凭证录入!H:H,$AR354),$AR354)</f>
        <v/>
      </c>
      <c r="F354" s="473">
        <f ca="1">IF(OR($BG$2=0,$AR354=""),,IF($AR354="本月合计",IF(ROW()=$BG$3,SUM($F$6:$F353),SUM(INDIRECT("$F$"&amp;OFFSET($AU$3,,MATCH(ROW(),$AU$3:$BF$3,)-2)+2&amp;":$E"&amp;ROW()-1))),IF($AR354="本年累计",SUMIF($AR$6:$AR354,"本月合计",$F$6:$F353),INDEX(凭证录入!K:K,$AR354))))</f>
        <v>0</v>
      </c>
      <c r="G354" s="459" t="str">
        <f t="shared" ca="1" si="77"/>
        <v/>
      </c>
      <c r="H354" s="460" t="str">
        <f t="shared" ca="1" si="77"/>
        <v/>
      </c>
      <c r="I354" s="460" t="str">
        <f t="shared" ca="1" si="77"/>
        <v/>
      </c>
      <c r="J354" s="460" t="str">
        <f t="shared" ca="1" si="77"/>
        <v/>
      </c>
      <c r="K354" s="460" t="str">
        <f t="shared" ca="1" si="77"/>
        <v/>
      </c>
      <c r="L354" s="460" t="str">
        <f t="shared" ca="1" si="77"/>
        <v/>
      </c>
      <c r="M354" s="460" t="str">
        <f t="shared" ca="1" si="77"/>
        <v/>
      </c>
      <c r="N354" s="460" t="str">
        <f t="shared" ca="1" si="77"/>
        <v/>
      </c>
      <c r="O354" s="461" t="str">
        <f t="shared" ca="1" si="77"/>
        <v/>
      </c>
      <c r="P354" s="474" t="str">
        <f t="shared" ca="1" si="77"/>
        <v/>
      </c>
      <c r="Q354" s="475" t="str">
        <f t="shared" ca="1" si="77"/>
        <v/>
      </c>
      <c r="R354" s="476">
        <f ca="1">IF(OR($BG$2=0,$AR354=""),,IF($AR354="本月合计",IF(ROW()=$BG$3,SUM($R$6:$R353),SUM(INDIRECT("$R$"&amp;OFFSET($AU$3,,MATCH(ROW(),$AU$3:$BF$3,)-2)+2&amp;":$R"&amp;ROW()-1))),IF($AR354="本年累计",SUMIF($AR$6:$AR354,"本月合计",$R$6:$R353),INDEX(凭证录入!L:L,$AR354))))</f>
        <v>0</v>
      </c>
      <c r="S354" s="459" t="str">
        <f t="shared" ca="1" si="78"/>
        <v/>
      </c>
      <c r="T354" s="460" t="str">
        <f t="shared" ca="1" si="78"/>
        <v/>
      </c>
      <c r="U354" s="460" t="str">
        <f t="shared" ca="1" si="78"/>
        <v/>
      </c>
      <c r="V354" s="460" t="str">
        <f t="shared" ca="1" si="78"/>
        <v/>
      </c>
      <c r="W354" s="460" t="str">
        <f t="shared" ca="1" si="78"/>
        <v/>
      </c>
      <c r="X354" s="460" t="str">
        <f t="shared" ca="1" si="78"/>
        <v/>
      </c>
      <c r="Y354" s="460" t="str">
        <f t="shared" ca="1" si="78"/>
        <v/>
      </c>
      <c r="Z354" s="460" t="str">
        <f t="shared" ca="1" si="78"/>
        <v/>
      </c>
      <c r="AA354" s="461" t="str">
        <f t="shared" ca="1" si="78"/>
        <v/>
      </c>
      <c r="AB354" s="474" t="str">
        <f t="shared" ca="1" si="78"/>
        <v/>
      </c>
      <c r="AC354" s="475" t="str">
        <f t="shared" ca="1" si="78"/>
        <v/>
      </c>
      <c r="AD354" s="477" t="str">
        <f t="shared" ca="1" si="74"/>
        <v/>
      </c>
      <c r="AE354" s="478">
        <f t="shared" ca="1" si="75"/>
        <v>0</v>
      </c>
      <c r="AF354" s="459" t="str">
        <f t="shared" ca="1" si="76"/>
        <v/>
      </c>
      <c r="AG354" s="460" t="str">
        <f t="shared" ca="1" si="76"/>
        <v/>
      </c>
      <c r="AH354" s="460" t="str">
        <f t="shared" ca="1" si="76"/>
        <v/>
      </c>
      <c r="AI354" s="460" t="str">
        <f t="shared" ca="1" si="76"/>
        <v/>
      </c>
      <c r="AJ354" s="460" t="str">
        <f t="shared" ca="1" si="76"/>
        <v/>
      </c>
      <c r="AK354" s="460" t="str">
        <f t="shared" ca="1" si="76"/>
        <v/>
      </c>
      <c r="AL354" s="460" t="str">
        <f t="shared" ca="1" si="76"/>
        <v/>
      </c>
      <c r="AM354" s="460" t="str">
        <f t="shared" ca="1" si="76"/>
        <v/>
      </c>
      <c r="AN354" s="461" t="str">
        <f t="shared" ca="1" si="76"/>
        <v/>
      </c>
      <c r="AO354" s="474" t="str">
        <f t="shared" ca="1" si="76"/>
        <v/>
      </c>
      <c r="AP354" s="475" t="str">
        <f t="shared" ca="1" si="76"/>
        <v/>
      </c>
      <c r="AQ354" s="479" t="str">
        <f t="array" aca="1" ref="AQ354" ca="1">IF(ROW()-5&lt;=COUNTIF(科目编号,$AR$2),SMALL(IF(科目编号=$AR$2,ROW(科目编号),""),ROW()-5),"")</f>
        <v/>
      </c>
      <c r="AR354" s="480" t="str">
        <f ca="1">IF($BG$2=0,"",IF(AR353="本月合计","本年累计",IF(OR(ROW()=$AU$3,ROW()=$AV$3,ROW()=$AW$3,ROW()=$AX$3,ROW()=$AY$3,ROW()=$AZ$3,ROW()=$BA$3,ROW()=$BB$3,ROW()=$BC$3,ROW()=$BD$3,ROW()=$BE$3,ROW()=$BF$3),"本月合计",IF(ROW()&lt;7,$AQ$6,OFFSET($AQ$6,COUNT($AR$6:AR353),0)))))</f>
        <v/>
      </c>
    </row>
    <row r="355" spans="1:44">
      <c r="A355" s="469" t="str">
        <f ca="1">IFERROR(INDEX(凭证录入!A:A,$AR355),"")</f>
        <v/>
      </c>
      <c r="B355" s="469" t="str">
        <f ca="1">IFERROR(INDEX(凭证录入!B:B,$AR355),"")</f>
        <v/>
      </c>
      <c r="C355" s="470" t="str">
        <f ca="1">IFERROR(INDEX(凭证录入!G:G,$AR355),"")</f>
        <v/>
      </c>
      <c r="D355" s="471" t="str">
        <f ca="1">IFERROR(INDEX(凭证录入!F:F,$AR355),"")</f>
        <v/>
      </c>
      <c r="E355" s="472" t="str">
        <f ca="1">IFERROR(INDEX(凭证录入!H:H,$AR355),$AR355)</f>
        <v/>
      </c>
      <c r="F355" s="473">
        <f ca="1">IF(OR($BG$2=0,$AR355=""),,IF($AR355="本月合计",IF(ROW()=$BG$3,SUM($F$6:$F354),SUM(INDIRECT("$F$"&amp;OFFSET($AU$3,,MATCH(ROW(),$AU$3:$BF$3,)-2)+2&amp;":$E"&amp;ROW()-1))),IF($AR355="本年累计",SUMIF($AR$6:$AR355,"本月合计",$F$6:$F354),INDEX(凭证录入!K:K,$AR355))))</f>
        <v>0</v>
      </c>
      <c r="G355" s="459" t="str">
        <f t="shared" ca="1" si="77"/>
        <v/>
      </c>
      <c r="H355" s="460" t="str">
        <f t="shared" ca="1" si="77"/>
        <v/>
      </c>
      <c r="I355" s="460" t="str">
        <f t="shared" ca="1" si="77"/>
        <v/>
      </c>
      <c r="J355" s="460" t="str">
        <f t="shared" ca="1" si="77"/>
        <v/>
      </c>
      <c r="K355" s="460" t="str">
        <f t="shared" ca="1" si="77"/>
        <v/>
      </c>
      <c r="L355" s="460" t="str">
        <f t="shared" ca="1" si="77"/>
        <v/>
      </c>
      <c r="M355" s="460" t="str">
        <f t="shared" ca="1" si="77"/>
        <v/>
      </c>
      <c r="N355" s="460" t="str">
        <f t="shared" ca="1" si="77"/>
        <v/>
      </c>
      <c r="O355" s="461" t="str">
        <f t="shared" ca="1" si="77"/>
        <v/>
      </c>
      <c r="P355" s="474" t="str">
        <f t="shared" ca="1" si="77"/>
        <v/>
      </c>
      <c r="Q355" s="475" t="str">
        <f t="shared" ca="1" si="77"/>
        <v/>
      </c>
      <c r="R355" s="476">
        <f ca="1">IF(OR($BG$2=0,$AR355=""),,IF($AR355="本月合计",IF(ROW()=$BG$3,SUM($R$6:$R354),SUM(INDIRECT("$R$"&amp;OFFSET($AU$3,,MATCH(ROW(),$AU$3:$BF$3,)-2)+2&amp;":$R"&amp;ROW()-1))),IF($AR355="本年累计",SUMIF($AR$6:$AR355,"本月合计",$R$6:$R354),INDEX(凭证录入!L:L,$AR355))))</f>
        <v>0</v>
      </c>
      <c r="S355" s="459" t="str">
        <f t="shared" ca="1" si="78"/>
        <v/>
      </c>
      <c r="T355" s="460" t="str">
        <f t="shared" ca="1" si="78"/>
        <v/>
      </c>
      <c r="U355" s="460" t="str">
        <f t="shared" ca="1" si="78"/>
        <v/>
      </c>
      <c r="V355" s="460" t="str">
        <f t="shared" ca="1" si="78"/>
        <v/>
      </c>
      <c r="W355" s="460" t="str">
        <f t="shared" ca="1" si="78"/>
        <v/>
      </c>
      <c r="X355" s="460" t="str">
        <f t="shared" ca="1" si="78"/>
        <v/>
      </c>
      <c r="Y355" s="460" t="str">
        <f t="shared" ca="1" si="78"/>
        <v/>
      </c>
      <c r="Z355" s="460" t="str">
        <f t="shared" ca="1" si="78"/>
        <v/>
      </c>
      <c r="AA355" s="461" t="str">
        <f t="shared" ca="1" si="78"/>
        <v/>
      </c>
      <c r="AB355" s="474" t="str">
        <f t="shared" ca="1" si="78"/>
        <v/>
      </c>
      <c r="AC355" s="475" t="str">
        <f t="shared" ca="1" si="78"/>
        <v/>
      </c>
      <c r="AD355" s="477" t="str">
        <f t="shared" ca="1" si="74"/>
        <v/>
      </c>
      <c r="AE355" s="478">
        <f t="shared" ca="1" si="75"/>
        <v>0</v>
      </c>
      <c r="AF355" s="459" t="str">
        <f t="shared" ca="1" si="76"/>
        <v/>
      </c>
      <c r="AG355" s="460" t="str">
        <f t="shared" ca="1" si="76"/>
        <v/>
      </c>
      <c r="AH355" s="460" t="str">
        <f t="shared" ca="1" si="76"/>
        <v/>
      </c>
      <c r="AI355" s="460" t="str">
        <f t="shared" ca="1" si="76"/>
        <v/>
      </c>
      <c r="AJ355" s="460" t="str">
        <f t="shared" ca="1" si="76"/>
        <v/>
      </c>
      <c r="AK355" s="460" t="str">
        <f t="shared" ca="1" si="76"/>
        <v/>
      </c>
      <c r="AL355" s="460" t="str">
        <f t="shared" ca="1" si="76"/>
        <v/>
      </c>
      <c r="AM355" s="460" t="str">
        <f t="shared" ca="1" si="76"/>
        <v/>
      </c>
      <c r="AN355" s="461" t="str">
        <f t="shared" ca="1" si="76"/>
        <v/>
      </c>
      <c r="AO355" s="474" t="str">
        <f t="shared" ca="1" si="76"/>
        <v/>
      </c>
      <c r="AP355" s="475" t="str">
        <f t="shared" ca="1" si="76"/>
        <v/>
      </c>
      <c r="AQ355" s="479" t="str">
        <f t="array" aca="1" ref="AQ355" ca="1">IF(ROW()-5&lt;=COUNTIF(科目编号,$AR$2),SMALL(IF(科目编号=$AR$2,ROW(科目编号),""),ROW()-5),"")</f>
        <v/>
      </c>
      <c r="AR355" s="480" t="str">
        <f ca="1">IF($BG$2=0,"",IF(AR354="本月合计","本年累计",IF(OR(ROW()=$AU$3,ROW()=$AV$3,ROW()=$AW$3,ROW()=$AX$3,ROW()=$AY$3,ROW()=$AZ$3,ROW()=$BA$3,ROW()=$BB$3,ROW()=$BC$3,ROW()=$BD$3,ROW()=$BE$3,ROW()=$BF$3),"本月合计",IF(ROW()&lt;7,$AQ$6,OFFSET($AQ$6,COUNT($AR$6:AR354),0)))))</f>
        <v/>
      </c>
    </row>
    <row r="356" spans="1:44">
      <c r="A356" s="469" t="str">
        <f ca="1">IFERROR(INDEX(凭证录入!A:A,$AR356),"")</f>
        <v/>
      </c>
      <c r="B356" s="469" t="str">
        <f ca="1">IFERROR(INDEX(凭证录入!B:B,$AR356),"")</f>
        <v/>
      </c>
      <c r="C356" s="470" t="str">
        <f ca="1">IFERROR(INDEX(凭证录入!G:G,$AR356),"")</f>
        <v/>
      </c>
      <c r="D356" s="471" t="str">
        <f ca="1">IFERROR(INDEX(凭证录入!F:F,$AR356),"")</f>
        <v/>
      </c>
      <c r="E356" s="472" t="str">
        <f ca="1">IFERROR(INDEX(凭证录入!H:H,$AR356),$AR356)</f>
        <v/>
      </c>
      <c r="F356" s="473">
        <f ca="1">IF(OR($BG$2=0,$AR356=""),,IF($AR356="本月合计",IF(ROW()=$BG$3,SUM($F$6:$F355),SUM(INDIRECT("$F$"&amp;OFFSET($AU$3,,MATCH(ROW(),$AU$3:$BF$3,)-2)+2&amp;":$E"&amp;ROW()-1))),IF($AR356="本年累计",SUMIF($AR$6:$AR356,"本月合计",$F$6:$F355),INDEX(凭证录入!K:K,$AR356))))</f>
        <v>0</v>
      </c>
      <c r="G356" s="459" t="str">
        <f t="shared" ca="1" si="77"/>
        <v/>
      </c>
      <c r="H356" s="460" t="str">
        <f t="shared" ca="1" si="77"/>
        <v/>
      </c>
      <c r="I356" s="460" t="str">
        <f t="shared" ca="1" si="77"/>
        <v/>
      </c>
      <c r="J356" s="460" t="str">
        <f t="shared" ca="1" si="77"/>
        <v/>
      </c>
      <c r="K356" s="460" t="str">
        <f t="shared" ca="1" si="77"/>
        <v/>
      </c>
      <c r="L356" s="460" t="str">
        <f t="shared" ca="1" si="77"/>
        <v/>
      </c>
      <c r="M356" s="460" t="str">
        <f t="shared" ca="1" si="77"/>
        <v/>
      </c>
      <c r="N356" s="460" t="str">
        <f t="shared" ca="1" si="77"/>
        <v/>
      </c>
      <c r="O356" s="461" t="str">
        <f t="shared" ca="1" si="77"/>
        <v/>
      </c>
      <c r="P356" s="474" t="str">
        <f t="shared" ca="1" si="77"/>
        <v/>
      </c>
      <c r="Q356" s="475" t="str">
        <f t="shared" ca="1" si="77"/>
        <v/>
      </c>
      <c r="R356" s="476">
        <f ca="1">IF(OR($BG$2=0,$AR356=""),,IF($AR356="本月合计",IF(ROW()=$BG$3,SUM($R$6:$R355),SUM(INDIRECT("$R$"&amp;OFFSET($AU$3,,MATCH(ROW(),$AU$3:$BF$3,)-2)+2&amp;":$R"&amp;ROW()-1))),IF($AR356="本年累计",SUMIF($AR$6:$AR356,"本月合计",$R$6:$R355),INDEX(凭证录入!L:L,$AR356))))</f>
        <v>0</v>
      </c>
      <c r="S356" s="459" t="str">
        <f t="shared" ca="1" si="78"/>
        <v/>
      </c>
      <c r="T356" s="460" t="str">
        <f t="shared" ca="1" si="78"/>
        <v/>
      </c>
      <c r="U356" s="460" t="str">
        <f t="shared" ca="1" si="78"/>
        <v/>
      </c>
      <c r="V356" s="460" t="str">
        <f t="shared" ca="1" si="78"/>
        <v/>
      </c>
      <c r="W356" s="460" t="str">
        <f t="shared" ca="1" si="78"/>
        <v/>
      </c>
      <c r="X356" s="460" t="str">
        <f t="shared" ca="1" si="78"/>
        <v/>
      </c>
      <c r="Y356" s="460" t="str">
        <f t="shared" ca="1" si="78"/>
        <v/>
      </c>
      <c r="Z356" s="460" t="str">
        <f t="shared" ca="1" si="78"/>
        <v/>
      </c>
      <c r="AA356" s="461" t="str">
        <f t="shared" ca="1" si="78"/>
        <v/>
      </c>
      <c r="AB356" s="474" t="str">
        <f t="shared" ca="1" si="78"/>
        <v/>
      </c>
      <c r="AC356" s="475" t="str">
        <f t="shared" ca="1" si="78"/>
        <v/>
      </c>
      <c r="AD356" s="477" t="str">
        <f t="shared" ca="1" si="74"/>
        <v/>
      </c>
      <c r="AE356" s="478">
        <f t="shared" ca="1" si="75"/>
        <v>0</v>
      </c>
      <c r="AF356" s="459" t="str">
        <f t="shared" ca="1" si="76"/>
        <v/>
      </c>
      <c r="AG356" s="460" t="str">
        <f t="shared" ca="1" si="76"/>
        <v/>
      </c>
      <c r="AH356" s="460" t="str">
        <f t="shared" ca="1" si="76"/>
        <v/>
      </c>
      <c r="AI356" s="460" t="str">
        <f t="shared" ca="1" si="76"/>
        <v/>
      </c>
      <c r="AJ356" s="460" t="str">
        <f t="shared" ca="1" si="76"/>
        <v/>
      </c>
      <c r="AK356" s="460" t="str">
        <f t="shared" ca="1" si="76"/>
        <v/>
      </c>
      <c r="AL356" s="460" t="str">
        <f t="shared" ca="1" si="76"/>
        <v/>
      </c>
      <c r="AM356" s="460" t="str">
        <f t="shared" ca="1" si="76"/>
        <v/>
      </c>
      <c r="AN356" s="461" t="str">
        <f t="shared" ca="1" si="76"/>
        <v/>
      </c>
      <c r="AO356" s="474" t="str">
        <f t="shared" ca="1" si="76"/>
        <v/>
      </c>
      <c r="AP356" s="475" t="str">
        <f t="shared" ca="1" si="76"/>
        <v/>
      </c>
      <c r="AQ356" s="479" t="str">
        <f t="array" aca="1" ref="AQ356" ca="1">IF(ROW()-5&lt;=COUNTIF(科目编号,$AR$2),SMALL(IF(科目编号=$AR$2,ROW(科目编号),""),ROW()-5),"")</f>
        <v/>
      </c>
      <c r="AR356" s="480" t="str">
        <f ca="1">IF($BG$2=0,"",IF(AR355="本月合计","本年累计",IF(OR(ROW()=$AU$3,ROW()=$AV$3,ROW()=$AW$3,ROW()=$AX$3,ROW()=$AY$3,ROW()=$AZ$3,ROW()=$BA$3,ROW()=$BB$3,ROW()=$BC$3,ROW()=$BD$3,ROW()=$BE$3,ROW()=$BF$3),"本月合计",IF(ROW()&lt;7,$AQ$6,OFFSET($AQ$6,COUNT($AR$6:AR355),0)))))</f>
        <v/>
      </c>
    </row>
    <row r="357" spans="1:44">
      <c r="A357" s="469" t="str">
        <f ca="1">IFERROR(INDEX(凭证录入!A:A,$AR357),"")</f>
        <v/>
      </c>
      <c r="B357" s="469" t="str">
        <f ca="1">IFERROR(INDEX(凭证录入!B:B,$AR357),"")</f>
        <v/>
      </c>
      <c r="C357" s="470" t="str">
        <f ca="1">IFERROR(INDEX(凭证录入!G:G,$AR357),"")</f>
        <v/>
      </c>
      <c r="D357" s="471" t="str">
        <f ca="1">IFERROR(INDEX(凭证录入!F:F,$AR357),"")</f>
        <v/>
      </c>
      <c r="E357" s="472" t="str">
        <f ca="1">IFERROR(INDEX(凭证录入!H:H,$AR357),$AR357)</f>
        <v/>
      </c>
      <c r="F357" s="473">
        <f ca="1">IF(OR($BG$2=0,$AR357=""),,IF($AR357="本月合计",IF(ROW()=$BG$3,SUM($F$6:$F356),SUM(INDIRECT("$F$"&amp;OFFSET($AU$3,,MATCH(ROW(),$AU$3:$BF$3,)-2)+2&amp;":$E"&amp;ROW()-1))),IF($AR357="本年累计",SUMIF($AR$6:$AR357,"本月合计",$F$6:$F356),INDEX(凭证录入!K:K,$AR357))))</f>
        <v>0</v>
      </c>
      <c r="G357" s="459" t="str">
        <f t="shared" ca="1" si="77"/>
        <v/>
      </c>
      <c r="H357" s="460" t="str">
        <f t="shared" ca="1" si="77"/>
        <v/>
      </c>
      <c r="I357" s="460" t="str">
        <f t="shared" ca="1" si="77"/>
        <v/>
      </c>
      <c r="J357" s="460" t="str">
        <f t="shared" ca="1" si="77"/>
        <v/>
      </c>
      <c r="K357" s="460" t="str">
        <f t="shared" ca="1" si="77"/>
        <v/>
      </c>
      <c r="L357" s="460" t="str">
        <f t="shared" ca="1" si="77"/>
        <v/>
      </c>
      <c r="M357" s="460" t="str">
        <f t="shared" ca="1" si="77"/>
        <v/>
      </c>
      <c r="N357" s="460" t="str">
        <f t="shared" ca="1" si="77"/>
        <v/>
      </c>
      <c r="O357" s="461" t="str">
        <f t="shared" ca="1" si="77"/>
        <v/>
      </c>
      <c r="P357" s="474" t="str">
        <f t="shared" ca="1" si="77"/>
        <v/>
      </c>
      <c r="Q357" s="475" t="str">
        <f t="shared" ca="1" si="77"/>
        <v/>
      </c>
      <c r="R357" s="476">
        <f ca="1">IF(OR($BG$2=0,$AR357=""),,IF($AR357="本月合计",IF(ROW()=$BG$3,SUM($R$6:$R356),SUM(INDIRECT("$R$"&amp;OFFSET($AU$3,,MATCH(ROW(),$AU$3:$BF$3,)-2)+2&amp;":$R"&amp;ROW()-1))),IF($AR357="本年累计",SUMIF($AR$6:$AR357,"本月合计",$R$6:$R356),INDEX(凭证录入!L:L,$AR357))))</f>
        <v>0</v>
      </c>
      <c r="S357" s="459" t="str">
        <f t="shared" ca="1" si="78"/>
        <v/>
      </c>
      <c r="T357" s="460" t="str">
        <f t="shared" ca="1" si="78"/>
        <v/>
      </c>
      <c r="U357" s="460" t="str">
        <f t="shared" ca="1" si="78"/>
        <v/>
      </c>
      <c r="V357" s="460" t="str">
        <f t="shared" ca="1" si="78"/>
        <v/>
      </c>
      <c r="W357" s="460" t="str">
        <f t="shared" ca="1" si="78"/>
        <v/>
      </c>
      <c r="X357" s="460" t="str">
        <f t="shared" ca="1" si="78"/>
        <v/>
      </c>
      <c r="Y357" s="460" t="str">
        <f t="shared" ca="1" si="78"/>
        <v/>
      </c>
      <c r="Z357" s="460" t="str">
        <f t="shared" ca="1" si="78"/>
        <v/>
      </c>
      <c r="AA357" s="461" t="str">
        <f t="shared" ca="1" si="78"/>
        <v/>
      </c>
      <c r="AB357" s="474" t="str">
        <f t="shared" ca="1" si="78"/>
        <v/>
      </c>
      <c r="AC357" s="475" t="str">
        <f t="shared" ca="1" si="78"/>
        <v/>
      </c>
      <c r="AD357" s="477" t="str">
        <f t="shared" ca="1" si="74"/>
        <v/>
      </c>
      <c r="AE357" s="478">
        <f t="shared" ca="1" si="75"/>
        <v>0</v>
      </c>
      <c r="AF357" s="459" t="str">
        <f t="shared" ref="AF357:AP372" ca="1" si="79">LEFT(RIGHT(TEXT($AE357/1%," ￥0; ￥-0;"),43-COLUMN()))</f>
        <v/>
      </c>
      <c r="AG357" s="460" t="str">
        <f t="shared" ca="1" si="79"/>
        <v/>
      </c>
      <c r="AH357" s="460" t="str">
        <f t="shared" ca="1" si="79"/>
        <v/>
      </c>
      <c r="AI357" s="460" t="str">
        <f t="shared" ca="1" si="79"/>
        <v/>
      </c>
      <c r="AJ357" s="460" t="str">
        <f t="shared" ca="1" si="79"/>
        <v/>
      </c>
      <c r="AK357" s="460" t="str">
        <f t="shared" ca="1" si="79"/>
        <v/>
      </c>
      <c r="AL357" s="460" t="str">
        <f t="shared" ca="1" si="79"/>
        <v/>
      </c>
      <c r="AM357" s="460" t="str">
        <f t="shared" ca="1" si="79"/>
        <v/>
      </c>
      <c r="AN357" s="461" t="str">
        <f t="shared" ca="1" si="79"/>
        <v/>
      </c>
      <c r="AO357" s="474" t="str">
        <f t="shared" ca="1" si="79"/>
        <v/>
      </c>
      <c r="AP357" s="475" t="str">
        <f t="shared" ca="1" si="79"/>
        <v/>
      </c>
      <c r="AQ357" s="479" t="str">
        <f t="array" aca="1" ref="AQ357" ca="1">IF(ROW()-5&lt;=COUNTIF(科目编号,$AR$2),SMALL(IF(科目编号=$AR$2,ROW(科目编号),""),ROW()-5),"")</f>
        <v/>
      </c>
      <c r="AR357" s="480" t="str">
        <f ca="1">IF($BG$2=0,"",IF(AR356="本月合计","本年累计",IF(OR(ROW()=$AU$3,ROW()=$AV$3,ROW()=$AW$3,ROW()=$AX$3,ROW()=$AY$3,ROW()=$AZ$3,ROW()=$BA$3,ROW()=$BB$3,ROW()=$BC$3,ROW()=$BD$3,ROW()=$BE$3,ROW()=$BF$3),"本月合计",IF(ROW()&lt;7,$AQ$6,OFFSET($AQ$6,COUNT($AR$6:AR356),0)))))</f>
        <v/>
      </c>
    </row>
    <row r="358" spans="1:44">
      <c r="A358" s="469" t="str">
        <f ca="1">IFERROR(INDEX(凭证录入!A:A,$AR358),"")</f>
        <v/>
      </c>
      <c r="B358" s="469" t="str">
        <f ca="1">IFERROR(INDEX(凭证录入!B:B,$AR358),"")</f>
        <v/>
      </c>
      <c r="C358" s="470" t="str">
        <f ca="1">IFERROR(INDEX(凭证录入!G:G,$AR358),"")</f>
        <v/>
      </c>
      <c r="D358" s="471" t="str">
        <f ca="1">IFERROR(INDEX(凭证录入!F:F,$AR358),"")</f>
        <v/>
      </c>
      <c r="E358" s="472" t="str">
        <f ca="1">IFERROR(INDEX(凭证录入!H:H,$AR358),$AR358)</f>
        <v/>
      </c>
      <c r="F358" s="473">
        <f ca="1">IF(OR($BG$2=0,$AR358=""),,IF($AR358="本月合计",IF(ROW()=$BG$3,SUM($F$6:$F357),SUM(INDIRECT("$F$"&amp;OFFSET($AU$3,,MATCH(ROW(),$AU$3:$BF$3,)-2)+2&amp;":$E"&amp;ROW()-1))),IF($AR358="本年累计",SUMIF($AR$6:$AR358,"本月合计",$F$6:$F357),INDEX(凭证录入!K:K,$AR358))))</f>
        <v>0</v>
      </c>
      <c r="G358" s="459" t="str">
        <f t="shared" ref="G358:Q373" ca="1" si="80">LEFT(RIGHT(TEXT($F358/1%," ￥0; ￥-0;"),18-COLUMN()))</f>
        <v/>
      </c>
      <c r="H358" s="460" t="str">
        <f t="shared" ca="1" si="80"/>
        <v/>
      </c>
      <c r="I358" s="460" t="str">
        <f t="shared" ca="1" si="80"/>
        <v/>
      </c>
      <c r="J358" s="460" t="str">
        <f t="shared" ca="1" si="80"/>
        <v/>
      </c>
      <c r="K358" s="460" t="str">
        <f t="shared" ca="1" si="80"/>
        <v/>
      </c>
      <c r="L358" s="460" t="str">
        <f t="shared" ca="1" si="80"/>
        <v/>
      </c>
      <c r="M358" s="460" t="str">
        <f t="shared" ca="1" si="80"/>
        <v/>
      </c>
      <c r="N358" s="460" t="str">
        <f t="shared" ca="1" si="80"/>
        <v/>
      </c>
      <c r="O358" s="461" t="str">
        <f t="shared" ca="1" si="80"/>
        <v/>
      </c>
      <c r="P358" s="474" t="str">
        <f t="shared" ca="1" si="80"/>
        <v/>
      </c>
      <c r="Q358" s="475" t="str">
        <f t="shared" ca="1" si="80"/>
        <v/>
      </c>
      <c r="R358" s="476">
        <f ca="1">IF(OR($BG$2=0,$AR358=""),,IF($AR358="本月合计",IF(ROW()=$BG$3,SUM($R$6:$R357),SUM(INDIRECT("$R$"&amp;OFFSET($AU$3,,MATCH(ROW(),$AU$3:$BF$3,)-2)+2&amp;":$R"&amp;ROW()-1))),IF($AR358="本年累计",SUMIF($AR$6:$AR358,"本月合计",$R$6:$R357),INDEX(凭证录入!L:L,$AR358))))</f>
        <v>0</v>
      </c>
      <c r="S358" s="459" t="str">
        <f t="shared" ref="S358:AC373" ca="1" si="81">LEFT(RIGHT(TEXT($R358/1%," ￥0; ￥-0;"),30-COLUMN()))</f>
        <v/>
      </c>
      <c r="T358" s="460" t="str">
        <f t="shared" ca="1" si="81"/>
        <v/>
      </c>
      <c r="U358" s="460" t="str">
        <f t="shared" ca="1" si="81"/>
        <v/>
      </c>
      <c r="V358" s="460" t="str">
        <f t="shared" ca="1" si="81"/>
        <v/>
      </c>
      <c r="W358" s="460" t="str">
        <f t="shared" ca="1" si="81"/>
        <v/>
      </c>
      <c r="X358" s="460" t="str">
        <f t="shared" ca="1" si="81"/>
        <v/>
      </c>
      <c r="Y358" s="460" t="str">
        <f t="shared" ca="1" si="81"/>
        <v/>
      </c>
      <c r="Z358" s="460" t="str">
        <f t="shared" ca="1" si="81"/>
        <v/>
      </c>
      <c r="AA358" s="461" t="str">
        <f t="shared" ca="1" si="81"/>
        <v/>
      </c>
      <c r="AB358" s="474" t="str">
        <f t="shared" ca="1" si="81"/>
        <v/>
      </c>
      <c r="AC358" s="475" t="str">
        <f t="shared" ca="1" si="81"/>
        <v/>
      </c>
      <c r="AD358" s="477" t="str">
        <f t="shared" ca="1" si="74"/>
        <v/>
      </c>
      <c r="AE358" s="478">
        <f t="shared" ca="1" si="75"/>
        <v>0</v>
      </c>
      <c r="AF358" s="459" t="str">
        <f t="shared" ca="1" si="79"/>
        <v/>
      </c>
      <c r="AG358" s="460" t="str">
        <f t="shared" ca="1" si="79"/>
        <v/>
      </c>
      <c r="AH358" s="460" t="str">
        <f t="shared" ca="1" si="79"/>
        <v/>
      </c>
      <c r="AI358" s="460" t="str">
        <f t="shared" ca="1" si="79"/>
        <v/>
      </c>
      <c r="AJ358" s="460" t="str">
        <f t="shared" ca="1" si="79"/>
        <v/>
      </c>
      <c r="AK358" s="460" t="str">
        <f t="shared" ca="1" si="79"/>
        <v/>
      </c>
      <c r="AL358" s="460" t="str">
        <f t="shared" ca="1" si="79"/>
        <v/>
      </c>
      <c r="AM358" s="460" t="str">
        <f t="shared" ca="1" si="79"/>
        <v/>
      </c>
      <c r="AN358" s="461" t="str">
        <f t="shared" ca="1" si="79"/>
        <v/>
      </c>
      <c r="AO358" s="474" t="str">
        <f t="shared" ca="1" si="79"/>
        <v/>
      </c>
      <c r="AP358" s="475" t="str">
        <f t="shared" ca="1" si="79"/>
        <v/>
      </c>
      <c r="AQ358" s="479" t="str">
        <f t="array" aca="1" ref="AQ358" ca="1">IF(ROW()-5&lt;=COUNTIF(科目编号,$AR$2),SMALL(IF(科目编号=$AR$2,ROW(科目编号),""),ROW()-5),"")</f>
        <v/>
      </c>
      <c r="AR358" s="480" t="str">
        <f ca="1">IF($BG$2=0,"",IF(AR357="本月合计","本年累计",IF(OR(ROW()=$AU$3,ROW()=$AV$3,ROW()=$AW$3,ROW()=$AX$3,ROW()=$AY$3,ROW()=$AZ$3,ROW()=$BA$3,ROW()=$BB$3,ROW()=$BC$3,ROW()=$BD$3,ROW()=$BE$3,ROW()=$BF$3),"本月合计",IF(ROW()&lt;7,$AQ$6,OFFSET($AQ$6,COUNT($AR$6:AR357),0)))))</f>
        <v/>
      </c>
    </row>
    <row r="359" spans="1:44">
      <c r="A359" s="469" t="str">
        <f ca="1">IFERROR(INDEX(凭证录入!A:A,$AR359),"")</f>
        <v/>
      </c>
      <c r="B359" s="469" t="str">
        <f ca="1">IFERROR(INDEX(凭证录入!B:B,$AR359),"")</f>
        <v/>
      </c>
      <c r="C359" s="470" t="str">
        <f ca="1">IFERROR(INDEX(凭证录入!G:G,$AR359),"")</f>
        <v/>
      </c>
      <c r="D359" s="471" t="str">
        <f ca="1">IFERROR(INDEX(凭证录入!F:F,$AR359),"")</f>
        <v/>
      </c>
      <c r="E359" s="472" t="str">
        <f ca="1">IFERROR(INDEX(凭证录入!H:H,$AR359),$AR359)</f>
        <v/>
      </c>
      <c r="F359" s="473">
        <f ca="1">IF(OR($BG$2=0,$AR359=""),,IF($AR359="本月合计",IF(ROW()=$BG$3,SUM($F$6:$F358),SUM(INDIRECT("$F$"&amp;OFFSET($AU$3,,MATCH(ROW(),$AU$3:$BF$3,)-2)+2&amp;":$E"&amp;ROW()-1))),IF($AR359="本年累计",SUMIF($AR$6:$AR359,"本月合计",$F$6:$F358),INDEX(凭证录入!K:K,$AR359))))</f>
        <v>0</v>
      </c>
      <c r="G359" s="459" t="str">
        <f t="shared" ca="1" si="80"/>
        <v/>
      </c>
      <c r="H359" s="460" t="str">
        <f t="shared" ca="1" si="80"/>
        <v/>
      </c>
      <c r="I359" s="460" t="str">
        <f t="shared" ca="1" si="80"/>
        <v/>
      </c>
      <c r="J359" s="460" t="str">
        <f t="shared" ca="1" si="80"/>
        <v/>
      </c>
      <c r="K359" s="460" t="str">
        <f t="shared" ca="1" si="80"/>
        <v/>
      </c>
      <c r="L359" s="460" t="str">
        <f t="shared" ca="1" si="80"/>
        <v/>
      </c>
      <c r="M359" s="460" t="str">
        <f t="shared" ca="1" si="80"/>
        <v/>
      </c>
      <c r="N359" s="460" t="str">
        <f t="shared" ca="1" si="80"/>
        <v/>
      </c>
      <c r="O359" s="461" t="str">
        <f t="shared" ca="1" si="80"/>
        <v/>
      </c>
      <c r="P359" s="474" t="str">
        <f t="shared" ca="1" si="80"/>
        <v/>
      </c>
      <c r="Q359" s="475" t="str">
        <f t="shared" ca="1" si="80"/>
        <v/>
      </c>
      <c r="R359" s="476">
        <f ca="1">IF(OR($BG$2=0,$AR359=""),,IF($AR359="本月合计",IF(ROW()=$BG$3,SUM($R$6:$R358),SUM(INDIRECT("$R$"&amp;OFFSET($AU$3,,MATCH(ROW(),$AU$3:$BF$3,)-2)+2&amp;":$R"&amp;ROW()-1))),IF($AR359="本年累计",SUMIF($AR$6:$AR359,"本月合计",$R$6:$R358),INDEX(凭证录入!L:L,$AR359))))</f>
        <v>0</v>
      </c>
      <c r="S359" s="459" t="str">
        <f t="shared" ca="1" si="81"/>
        <v/>
      </c>
      <c r="T359" s="460" t="str">
        <f t="shared" ca="1" si="81"/>
        <v/>
      </c>
      <c r="U359" s="460" t="str">
        <f t="shared" ca="1" si="81"/>
        <v/>
      </c>
      <c r="V359" s="460" t="str">
        <f t="shared" ca="1" si="81"/>
        <v/>
      </c>
      <c r="W359" s="460" t="str">
        <f t="shared" ca="1" si="81"/>
        <v/>
      </c>
      <c r="X359" s="460" t="str">
        <f t="shared" ca="1" si="81"/>
        <v/>
      </c>
      <c r="Y359" s="460" t="str">
        <f t="shared" ca="1" si="81"/>
        <v/>
      </c>
      <c r="Z359" s="460" t="str">
        <f t="shared" ca="1" si="81"/>
        <v/>
      </c>
      <c r="AA359" s="461" t="str">
        <f t="shared" ca="1" si="81"/>
        <v/>
      </c>
      <c r="AB359" s="474" t="str">
        <f t="shared" ca="1" si="81"/>
        <v/>
      </c>
      <c r="AC359" s="475" t="str">
        <f t="shared" ca="1" si="81"/>
        <v/>
      </c>
      <c r="AD359" s="477" t="str">
        <f t="shared" ca="1" si="74"/>
        <v/>
      </c>
      <c r="AE359" s="478">
        <f t="shared" ca="1" si="75"/>
        <v>0</v>
      </c>
      <c r="AF359" s="459" t="str">
        <f t="shared" ca="1" si="79"/>
        <v/>
      </c>
      <c r="AG359" s="460" t="str">
        <f t="shared" ca="1" si="79"/>
        <v/>
      </c>
      <c r="AH359" s="460" t="str">
        <f t="shared" ca="1" si="79"/>
        <v/>
      </c>
      <c r="AI359" s="460" t="str">
        <f t="shared" ca="1" si="79"/>
        <v/>
      </c>
      <c r="AJ359" s="460" t="str">
        <f t="shared" ca="1" si="79"/>
        <v/>
      </c>
      <c r="AK359" s="460" t="str">
        <f t="shared" ca="1" si="79"/>
        <v/>
      </c>
      <c r="AL359" s="460" t="str">
        <f t="shared" ca="1" si="79"/>
        <v/>
      </c>
      <c r="AM359" s="460" t="str">
        <f t="shared" ca="1" si="79"/>
        <v/>
      </c>
      <c r="AN359" s="461" t="str">
        <f t="shared" ca="1" si="79"/>
        <v/>
      </c>
      <c r="AO359" s="474" t="str">
        <f t="shared" ca="1" si="79"/>
        <v/>
      </c>
      <c r="AP359" s="475" t="str">
        <f t="shared" ca="1" si="79"/>
        <v/>
      </c>
      <c r="AQ359" s="479" t="str">
        <f t="array" aca="1" ref="AQ359" ca="1">IF(ROW()-5&lt;=COUNTIF(科目编号,$AR$2),SMALL(IF(科目编号=$AR$2,ROW(科目编号),""),ROW()-5),"")</f>
        <v/>
      </c>
      <c r="AR359" s="480" t="str">
        <f ca="1">IF($BG$2=0,"",IF(AR358="本月合计","本年累计",IF(OR(ROW()=$AU$3,ROW()=$AV$3,ROW()=$AW$3,ROW()=$AX$3,ROW()=$AY$3,ROW()=$AZ$3,ROW()=$BA$3,ROW()=$BB$3,ROW()=$BC$3,ROW()=$BD$3,ROW()=$BE$3,ROW()=$BF$3),"本月合计",IF(ROW()&lt;7,$AQ$6,OFFSET($AQ$6,COUNT($AR$6:AR358),0)))))</f>
        <v/>
      </c>
    </row>
    <row r="360" spans="1:44">
      <c r="A360" s="469" t="str">
        <f ca="1">IFERROR(INDEX(凭证录入!A:A,$AR360),"")</f>
        <v/>
      </c>
      <c r="B360" s="469" t="str">
        <f ca="1">IFERROR(INDEX(凭证录入!B:B,$AR360),"")</f>
        <v/>
      </c>
      <c r="C360" s="470" t="str">
        <f ca="1">IFERROR(INDEX(凭证录入!G:G,$AR360),"")</f>
        <v/>
      </c>
      <c r="D360" s="471" t="str">
        <f ca="1">IFERROR(INDEX(凭证录入!F:F,$AR360),"")</f>
        <v/>
      </c>
      <c r="E360" s="472" t="str">
        <f ca="1">IFERROR(INDEX(凭证录入!H:H,$AR360),$AR360)</f>
        <v/>
      </c>
      <c r="F360" s="473">
        <f ca="1">IF(OR($BG$2=0,$AR360=""),,IF($AR360="本月合计",IF(ROW()=$BG$3,SUM($F$6:$F359),SUM(INDIRECT("$F$"&amp;OFFSET($AU$3,,MATCH(ROW(),$AU$3:$BF$3,)-2)+2&amp;":$E"&amp;ROW()-1))),IF($AR360="本年累计",SUMIF($AR$6:$AR360,"本月合计",$F$6:$F359),INDEX(凭证录入!K:K,$AR360))))</f>
        <v>0</v>
      </c>
      <c r="G360" s="459" t="str">
        <f t="shared" ca="1" si="80"/>
        <v/>
      </c>
      <c r="H360" s="460" t="str">
        <f t="shared" ca="1" si="80"/>
        <v/>
      </c>
      <c r="I360" s="460" t="str">
        <f t="shared" ca="1" si="80"/>
        <v/>
      </c>
      <c r="J360" s="460" t="str">
        <f t="shared" ca="1" si="80"/>
        <v/>
      </c>
      <c r="K360" s="460" t="str">
        <f t="shared" ca="1" si="80"/>
        <v/>
      </c>
      <c r="L360" s="460" t="str">
        <f t="shared" ca="1" si="80"/>
        <v/>
      </c>
      <c r="M360" s="460" t="str">
        <f t="shared" ca="1" si="80"/>
        <v/>
      </c>
      <c r="N360" s="460" t="str">
        <f t="shared" ca="1" si="80"/>
        <v/>
      </c>
      <c r="O360" s="461" t="str">
        <f t="shared" ca="1" si="80"/>
        <v/>
      </c>
      <c r="P360" s="474" t="str">
        <f t="shared" ca="1" si="80"/>
        <v/>
      </c>
      <c r="Q360" s="475" t="str">
        <f t="shared" ca="1" si="80"/>
        <v/>
      </c>
      <c r="R360" s="476">
        <f ca="1">IF(OR($BG$2=0,$AR360=""),,IF($AR360="本月合计",IF(ROW()=$BG$3,SUM($R$6:$R359),SUM(INDIRECT("$R$"&amp;OFFSET($AU$3,,MATCH(ROW(),$AU$3:$BF$3,)-2)+2&amp;":$R"&amp;ROW()-1))),IF($AR360="本年累计",SUMIF($AR$6:$AR360,"本月合计",$R$6:$R359),INDEX(凭证录入!L:L,$AR360))))</f>
        <v>0</v>
      </c>
      <c r="S360" s="459" t="str">
        <f t="shared" ca="1" si="81"/>
        <v/>
      </c>
      <c r="T360" s="460" t="str">
        <f t="shared" ca="1" si="81"/>
        <v/>
      </c>
      <c r="U360" s="460" t="str">
        <f t="shared" ca="1" si="81"/>
        <v/>
      </c>
      <c r="V360" s="460" t="str">
        <f t="shared" ca="1" si="81"/>
        <v/>
      </c>
      <c r="W360" s="460" t="str">
        <f t="shared" ca="1" si="81"/>
        <v/>
      </c>
      <c r="X360" s="460" t="str">
        <f t="shared" ca="1" si="81"/>
        <v/>
      </c>
      <c r="Y360" s="460" t="str">
        <f t="shared" ca="1" si="81"/>
        <v/>
      </c>
      <c r="Z360" s="460" t="str">
        <f t="shared" ca="1" si="81"/>
        <v/>
      </c>
      <c r="AA360" s="461" t="str">
        <f t="shared" ca="1" si="81"/>
        <v/>
      </c>
      <c r="AB360" s="474" t="str">
        <f t="shared" ca="1" si="81"/>
        <v/>
      </c>
      <c r="AC360" s="475" t="str">
        <f t="shared" ca="1" si="81"/>
        <v/>
      </c>
      <c r="AD360" s="477" t="str">
        <f t="shared" ca="1" si="74"/>
        <v/>
      </c>
      <c r="AE360" s="478">
        <f t="shared" ca="1" si="75"/>
        <v>0</v>
      </c>
      <c r="AF360" s="459" t="str">
        <f t="shared" ca="1" si="79"/>
        <v/>
      </c>
      <c r="AG360" s="460" t="str">
        <f t="shared" ca="1" si="79"/>
        <v/>
      </c>
      <c r="AH360" s="460" t="str">
        <f t="shared" ca="1" si="79"/>
        <v/>
      </c>
      <c r="AI360" s="460" t="str">
        <f t="shared" ca="1" si="79"/>
        <v/>
      </c>
      <c r="AJ360" s="460" t="str">
        <f t="shared" ca="1" si="79"/>
        <v/>
      </c>
      <c r="AK360" s="460" t="str">
        <f t="shared" ca="1" si="79"/>
        <v/>
      </c>
      <c r="AL360" s="460" t="str">
        <f t="shared" ca="1" si="79"/>
        <v/>
      </c>
      <c r="AM360" s="460" t="str">
        <f t="shared" ca="1" si="79"/>
        <v/>
      </c>
      <c r="AN360" s="461" t="str">
        <f t="shared" ca="1" si="79"/>
        <v/>
      </c>
      <c r="AO360" s="474" t="str">
        <f t="shared" ca="1" si="79"/>
        <v/>
      </c>
      <c r="AP360" s="475" t="str">
        <f t="shared" ca="1" si="79"/>
        <v/>
      </c>
      <c r="AQ360" s="479" t="str">
        <f t="array" aca="1" ref="AQ360" ca="1">IF(ROW()-5&lt;=COUNTIF(科目编号,$AR$2),SMALL(IF(科目编号=$AR$2,ROW(科目编号),""),ROW()-5),"")</f>
        <v/>
      </c>
      <c r="AR360" s="480" t="str">
        <f ca="1">IF($BG$2=0,"",IF(AR359="本月合计","本年累计",IF(OR(ROW()=$AU$3,ROW()=$AV$3,ROW()=$AW$3,ROW()=$AX$3,ROW()=$AY$3,ROW()=$AZ$3,ROW()=$BA$3,ROW()=$BB$3,ROW()=$BC$3,ROW()=$BD$3,ROW()=$BE$3,ROW()=$BF$3),"本月合计",IF(ROW()&lt;7,$AQ$6,OFFSET($AQ$6,COUNT($AR$6:AR359),0)))))</f>
        <v/>
      </c>
    </row>
    <row r="361" spans="1:44">
      <c r="A361" s="469" t="str">
        <f ca="1">IFERROR(INDEX(凭证录入!A:A,$AR361),"")</f>
        <v/>
      </c>
      <c r="B361" s="469" t="str">
        <f ca="1">IFERROR(INDEX(凭证录入!B:B,$AR361),"")</f>
        <v/>
      </c>
      <c r="C361" s="470" t="str">
        <f ca="1">IFERROR(INDEX(凭证录入!G:G,$AR361),"")</f>
        <v/>
      </c>
      <c r="D361" s="471" t="str">
        <f ca="1">IFERROR(INDEX(凭证录入!F:F,$AR361),"")</f>
        <v/>
      </c>
      <c r="E361" s="472" t="str">
        <f ca="1">IFERROR(INDEX(凭证录入!H:H,$AR361),$AR361)</f>
        <v/>
      </c>
      <c r="F361" s="473">
        <f ca="1">IF(OR($BG$2=0,$AR361=""),,IF($AR361="本月合计",IF(ROW()=$BG$3,SUM($F$6:$F360),SUM(INDIRECT("$F$"&amp;OFFSET($AU$3,,MATCH(ROW(),$AU$3:$BF$3,)-2)+2&amp;":$E"&amp;ROW()-1))),IF($AR361="本年累计",SUMIF($AR$6:$AR361,"本月合计",$F$6:$F360),INDEX(凭证录入!K:K,$AR361))))</f>
        <v>0</v>
      </c>
      <c r="G361" s="459" t="str">
        <f t="shared" ca="1" si="80"/>
        <v/>
      </c>
      <c r="H361" s="460" t="str">
        <f t="shared" ca="1" si="80"/>
        <v/>
      </c>
      <c r="I361" s="460" t="str">
        <f t="shared" ca="1" si="80"/>
        <v/>
      </c>
      <c r="J361" s="460" t="str">
        <f t="shared" ca="1" si="80"/>
        <v/>
      </c>
      <c r="K361" s="460" t="str">
        <f t="shared" ca="1" si="80"/>
        <v/>
      </c>
      <c r="L361" s="460" t="str">
        <f t="shared" ca="1" si="80"/>
        <v/>
      </c>
      <c r="M361" s="460" t="str">
        <f t="shared" ca="1" si="80"/>
        <v/>
      </c>
      <c r="N361" s="460" t="str">
        <f t="shared" ca="1" si="80"/>
        <v/>
      </c>
      <c r="O361" s="461" t="str">
        <f t="shared" ca="1" si="80"/>
        <v/>
      </c>
      <c r="P361" s="474" t="str">
        <f t="shared" ca="1" si="80"/>
        <v/>
      </c>
      <c r="Q361" s="475" t="str">
        <f t="shared" ca="1" si="80"/>
        <v/>
      </c>
      <c r="R361" s="476">
        <f ca="1">IF(OR($BG$2=0,$AR361=""),,IF($AR361="本月合计",IF(ROW()=$BG$3,SUM($R$6:$R360),SUM(INDIRECT("$R$"&amp;OFFSET($AU$3,,MATCH(ROW(),$AU$3:$BF$3,)-2)+2&amp;":$R"&amp;ROW()-1))),IF($AR361="本年累计",SUMIF($AR$6:$AR361,"本月合计",$R$6:$R360),INDEX(凭证录入!L:L,$AR361))))</f>
        <v>0</v>
      </c>
      <c r="S361" s="459" t="str">
        <f t="shared" ca="1" si="81"/>
        <v/>
      </c>
      <c r="T361" s="460" t="str">
        <f t="shared" ca="1" si="81"/>
        <v/>
      </c>
      <c r="U361" s="460" t="str">
        <f t="shared" ca="1" si="81"/>
        <v/>
      </c>
      <c r="V361" s="460" t="str">
        <f t="shared" ca="1" si="81"/>
        <v/>
      </c>
      <c r="W361" s="460" t="str">
        <f t="shared" ca="1" si="81"/>
        <v/>
      </c>
      <c r="X361" s="460" t="str">
        <f t="shared" ca="1" si="81"/>
        <v/>
      </c>
      <c r="Y361" s="460" t="str">
        <f t="shared" ca="1" si="81"/>
        <v/>
      </c>
      <c r="Z361" s="460" t="str">
        <f t="shared" ca="1" si="81"/>
        <v/>
      </c>
      <c r="AA361" s="461" t="str">
        <f t="shared" ca="1" si="81"/>
        <v/>
      </c>
      <c r="AB361" s="474" t="str">
        <f t="shared" ca="1" si="81"/>
        <v/>
      </c>
      <c r="AC361" s="475" t="str">
        <f t="shared" ca="1" si="81"/>
        <v/>
      </c>
      <c r="AD361" s="477" t="str">
        <f t="shared" ca="1" si="74"/>
        <v/>
      </c>
      <c r="AE361" s="478">
        <f t="shared" ca="1" si="75"/>
        <v>0</v>
      </c>
      <c r="AF361" s="459" t="str">
        <f t="shared" ca="1" si="79"/>
        <v/>
      </c>
      <c r="AG361" s="460" t="str">
        <f t="shared" ca="1" si="79"/>
        <v/>
      </c>
      <c r="AH361" s="460" t="str">
        <f t="shared" ca="1" si="79"/>
        <v/>
      </c>
      <c r="AI361" s="460" t="str">
        <f t="shared" ca="1" si="79"/>
        <v/>
      </c>
      <c r="AJ361" s="460" t="str">
        <f t="shared" ca="1" si="79"/>
        <v/>
      </c>
      <c r="AK361" s="460" t="str">
        <f t="shared" ca="1" si="79"/>
        <v/>
      </c>
      <c r="AL361" s="460" t="str">
        <f t="shared" ca="1" si="79"/>
        <v/>
      </c>
      <c r="AM361" s="460" t="str">
        <f t="shared" ca="1" si="79"/>
        <v/>
      </c>
      <c r="AN361" s="461" t="str">
        <f t="shared" ca="1" si="79"/>
        <v/>
      </c>
      <c r="AO361" s="474" t="str">
        <f t="shared" ca="1" si="79"/>
        <v/>
      </c>
      <c r="AP361" s="475" t="str">
        <f t="shared" ca="1" si="79"/>
        <v/>
      </c>
      <c r="AQ361" s="479" t="str">
        <f t="array" aca="1" ref="AQ361" ca="1">IF(ROW()-5&lt;=COUNTIF(科目编号,$AR$2),SMALL(IF(科目编号=$AR$2,ROW(科目编号),""),ROW()-5),"")</f>
        <v/>
      </c>
      <c r="AR361" s="480" t="str">
        <f ca="1">IF($BG$2=0,"",IF(AR360="本月合计","本年累计",IF(OR(ROW()=$AU$3,ROW()=$AV$3,ROW()=$AW$3,ROW()=$AX$3,ROW()=$AY$3,ROW()=$AZ$3,ROW()=$BA$3,ROW()=$BB$3,ROW()=$BC$3,ROW()=$BD$3,ROW()=$BE$3,ROW()=$BF$3),"本月合计",IF(ROW()&lt;7,$AQ$6,OFFSET($AQ$6,COUNT($AR$6:AR360),0)))))</f>
        <v/>
      </c>
    </row>
    <row r="362" spans="1:44">
      <c r="A362" s="469" t="str">
        <f ca="1">IFERROR(INDEX(凭证录入!A:A,$AR362),"")</f>
        <v/>
      </c>
      <c r="B362" s="469" t="str">
        <f ca="1">IFERROR(INDEX(凭证录入!B:B,$AR362),"")</f>
        <v/>
      </c>
      <c r="C362" s="470" t="str">
        <f ca="1">IFERROR(INDEX(凭证录入!G:G,$AR362),"")</f>
        <v/>
      </c>
      <c r="D362" s="471" t="str">
        <f ca="1">IFERROR(INDEX(凭证录入!F:F,$AR362),"")</f>
        <v/>
      </c>
      <c r="E362" s="472" t="str">
        <f ca="1">IFERROR(INDEX(凭证录入!H:H,$AR362),$AR362)</f>
        <v/>
      </c>
      <c r="F362" s="473">
        <f ca="1">IF(OR($BG$2=0,$AR362=""),,IF($AR362="本月合计",IF(ROW()=$BG$3,SUM($F$6:$F361),SUM(INDIRECT("$F$"&amp;OFFSET($AU$3,,MATCH(ROW(),$AU$3:$BF$3,)-2)+2&amp;":$E"&amp;ROW()-1))),IF($AR362="本年累计",SUMIF($AR$6:$AR362,"本月合计",$F$6:$F361),INDEX(凭证录入!K:K,$AR362))))</f>
        <v>0</v>
      </c>
      <c r="G362" s="459" t="str">
        <f t="shared" ca="1" si="80"/>
        <v/>
      </c>
      <c r="H362" s="460" t="str">
        <f t="shared" ca="1" si="80"/>
        <v/>
      </c>
      <c r="I362" s="460" t="str">
        <f t="shared" ca="1" si="80"/>
        <v/>
      </c>
      <c r="J362" s="460" t="str">
        <f t="shared" ca="1" si="80"/>
        <v/>
      </c>
      <c r="K362" s="460" t="str">
        <f t="shared" ca="1" si="80"/>
        <v/>
      </c>
      <c r="L362" s="460" t="str">
        <f t="shared" ca="1" si="80"/>
        <v/>
      </c>
      <c r="M362" s="460" t="str">
        <f t="shared" ca="1" si="80"/>
        <v/>
      </c>
      <c r="N362" s="460" t="str">
        <f t="shared" ca="1" si="80"/>
        <v/>
      </c>
      <c r="O362" s="461" t="str">
        <f t="shared" ca="1" si="80"/>
        <v/>
      </c>
      <c r="P362" s="474" t="str">
        <f t="shared" ca="1" si="80"/>
        <v/>
      </c>
      <c r="Q362" s="475" t="str">
        <f t="shared" ca="1" si="80"/>
        <v/>
      </c>
      <c r="R362" s="476">
        <f ca="1">IF(OR($BG$2=0,$AR362=""),,IF($AR362="本月合计",IF(ROW()=$BG$3,SUM($R$6:$R361),SUM(INDIRECT("$R$"&amp;OFFSET($AU$3,,MATCH(ROW(),$AU$3:$BF$3,)-2)+2&amp;":$R"&amp;ROW()-1))),IF($AR362="本年累计",SUMIF($AR$6:$AR362,"本月合计",$R$6:$R361),INDEX(凭证录入!L:L,$AR362))))</f>
        <v>0</v>
      </c>
      <c r="S362" s="459" t="str">
        <f t="shared" ca="1" si="81"/>
        <v/>
      </c>
      <c r="T362" s="460" t="str">
        <f t="shared" ca="1" si="81"/>
        <v/>
      </c>
      <c r="U362" s="460" t="str">
        <f t="shared" ca="1" si="81"/>
        <v/>
      </c>
      <c r="V362" s="460" t="str">
        <f t="shared" ca="1" si="81"/>
        <v/>
      </c>
      <c r="W362" s="460" t="str">
        <f t="shared" ca="1" si="81"/>
        <v/>
      </c>
      <c r="X362" s="460" t="str">
        <f t="shared" ca="1" si="81"/>
        <v/>
      </c>
      <c r="Y362" s="460" t="str">
        <f t="shared" ca="1" si="81"/>
        <v/>
      </c>
      <c r="Z362" s="460" t="str">
        <f t="shared" ca="1" si="81"/>
        <v/>
      </c>
      <c r="AA362" s="461" t="str">
        <f t="shared" ca="1" si="81"/>
        <v/>
      </c>
      <c r="AB362" s="474" t="str">
        <f t="shared" ca="1" si="81"/>
        <v/>
      </c>
      <c r="AC362" s="475" t="str">
        <f t="shared" ca="1" si="81"/>
        <v/>
      </c>
      <c r="AD362" s="477" t="str">
        <f t="shared" ca="1" si="74"/>
        <v/>
      </c>
      <c r="AE362" s="478">
        <f t="shared" ca="1" si="75"/>
        <v>0</v>
      </c>
      <c r="AF362" s="459" t="str">
        <f t="shared" ca="1" si="79"/>
        <v/>
      </c>
      <c r="AG362" s="460" t="str">
        <f t="shared" ca="1" si="79"/>
        <v/>
      </c>
      <c r="AH362" s="460" t="str">
        <f t="shared" ca="1" si="79"/>
        <v/>
      </c>
      <c r="AI362" s="460" t="str">
        <f t="shared" ca="1" si="79"/>
        <v/>
      </c>
      <c r="AJ362" s="460" t="str">
        <f t="shared" ca="1" si="79"/>
        <v/>
      </c>
      <c r="AK362" s="460" t="str">
        <f t="shared" ca="1" si="79"/>
        <v/>
      </c>
      <c r="AL362" s="460" t="str">
        <f t="shared" ca="1" si="79"/>
        <v/>
      </c>
      <c r="AM362" s="460" t="str">
        <f t="shared" ca="1" si="79"/>
        <v/>
      </c>
      <c r="AN362" s="461" t="str">
        <f t="shared" ca="1" si="79"/>
        <v/>
      </c>
      <c r="AO362" s="474" t="str">
        <f t="shared" ca="1" si="79"/>
        <v/>
      </c>
      <c r="AP362" s="475" t="str">
        <f t="shared" ca="1" si="79"/>
        <v/>
      </c>
      <c r="AQ362" s="479" t="str">
        <f t="array" aca="1" ref="AQ362" ca="1">IF(ROW()-5&lt;=COUNTIF(科目编号,$AR$2),SMALL(IF(科目编号=$AR$2,ROW(科目编号),""),ROW()-5),"")</f>
        <v/>
      </c>
      <c r="AR362" s="480" t="str">
        <f ca="1">IF($BG$2=0,"",IF(AR361="本月合计","本年累计",IF(OR(ROW()=$AU$3,ROW()=$AV$3,ROW()=$AW$3,ROW()=$AX$3,ROW()=$AY$3,ROW()=$AZ$3,ROW()=$BA$3,ROW()=$BB$3,ROW()=$BC$3,ROW()=$BD$3,ROW()=$BE$3,ROW()=$BF$3),"本月合计",IF(ROW()&lt;7,$AQ$6,OFFSET($AQ$6,COUNT($AR$6:AR361),0)))))</f>
        <v/>
      </c>
    </row>
    <row r="363" spans="1:44">
      <c r="A363" s="469" t="str">
        <f ca="1">IFERROR(INDEX(凭证录入!A:A,$AR363),"")</f>
        <v/>
      </c>
      <c r="B363" s="469" t="str">
        <f ca="1">IFERROR(INDEX(凭证录入!B:B,$AR363),"")</f>
        <v/>
      </c>
      <c r="C363" s="470" t="str">
        <f ca="1">IFERROR(INDEX(凭证录入!G:G,$AR363),"")</f>
        <v/>
      </c>
      <c r="D363" s="471" t="str">
        <f ca="1">IFERROR(INDEX(凭证录入!F:F,$AR363),"")</f>
        <v/>
      </c>
      <c r="E363" s="472" t="str">
        <f ca="1">IFERROR(INDEX(凭证录入!H:H,$AR363),$AR363)</f>
        <v/>
      </c>
      <c r="F363" s="473">
        <f ca="1">IF(OR($BG$2=0,$AR363=""),,IF($AR363="本月合计",IF(ROW()=$BG$3,SUM($F$6:$F362),SUM(INDIRECT("$F$"&amp;OFFSET($AU$3,,MATCH(ROW(),$AU$3:$BF$3,)-2)+2&amp;":$E"&amp;ROW()-1))),IF($AR363="本年累计",SUMIF($AR$6:$AR363,"本月合计",$F$6:$F362),INDEX(凭证录入!K:K,$AR363))))</f>
        <v>0</v>
      </c>
      <c r="G363" s="459" t="str">
        <f t="shared" ca="1" si="80"/>
        <v/>
      </c>
      <c r="H363" s="460" t="str">
        <f t="shared" ca="1" si="80"/>
        <v/>
      </c>
      <c r="I363" s="460" t="str">
        <f t="shared" ca="1" si="80"/>
        <v/>
      </c>
      <c r="J363" s="460" t="str">
        <f t="shared" ca="1" si="80"/>
        <v/>
      </c>
      <c r="K363" s="460" t="str">
        <f t="shared" ca="1" si="80"/>
        <v/>
      </c>
      <c r="L363" s="460" t="str">
        <f t="shared" ca="1" si="80"/>
        <v/>
      </c>
      <c r="M363" s="460" t="str">
        <f t="shared" ca="1" si="80"/>
        <v/>
      </c>
      <c r="N363" s="460" t="str">
        <f t="shared" ca="1" si="80"/>
        <v/>
      </c>
      <c r="O363" s="461" t="str">
        <f t="shared" ca="1" si="80"/>
        <v/>
      </c>
      <c r="P363" s="474" t="str">
        <f t="shared" ca="1" si="80"/>
        <v/>
      </c>
      <c r="Q363" s="475" t="str">
        <f t="shared" ca="1" si="80"/>
        <v/>
      </c>
      <c r="R363" s="476">
        <f ca="1">IF(OR($BG$2=0,$AR363=""),,IF($AR363="本月合计",IF(ROW()=$BG$3,SUM($R$6:$R362),SUM(INDIRECT("$R$"&amp;OFFSET($AU$3,,MATCH(ROW(),$AU$3:$BF$3,)-2)+2&amp;":$R"&amp;ROW()-1))),IF($AR363="本年累计",SUMIF($AR$6:$AR363,"本月合计",$R$6:$R362),INDEX(凭证录入!L:L,$AR363))))</f>
        <v>0</v>
      </c>
      <c r="S363" s="459" t="str">
        <f t="shared" ca="1" si="81"/>
        <v/>
      </c>
      <c r="T363" s="460" t="str">
        <f t="shared" ca="1" si="81"/>
        <v/>
      </c>
      <c r="U363" s="460" t="str">
        <f t="shared" ca="1" si="81"/>
        <v/>
      </c>
      <c r="V363" s="460" t="str">
        <f t="shared" ca="1" si="81"/>
        <v/>
      </c>
      <c r="W363" s="460" t="str">
        <f t="shared" ca="1" si="81"/>
        <v/>
      </c>
      <c r="X363" s="460" t="str">
        <f t="shared" ca="1" si="81"/>
        <v/>
      </c>
      <c r="Y363" s="460" t="str">
        <f t="shared" ca="1" si="81"/>
        <v/>
      </c>
      <c r="Z363" s="460" t="str">
        <f t="shared" ca="1" si="81"/>
        <v/>
      </c>
      <c r="AA363" s="461" t="str">
        <f t="shared" ca="1" si="81"/>
        <v/>
      </c>
      <c r="AB363" s="474" t="str">
        <f t="shared" ca="1" si="81"/>
        <v/>
      </c>
      <c r="AC363" s="475" t="str">
        <f t="shared" ca="1" si="81"/>
        <v/>
      </c>
      <c r="AD363" s="477" t="str">
        <f t="shared" ca="1" si="74"/>
        <v/>
      </c>
      <c r="AE363" s="478">
        <f t="shared" ca="1" si="75"/>
        <v>0</v>
      </c>
      <c r="AF363" s="459" t="str">
        <f t="shared" ca="1" si="79"/>
        <v/>
      </c>
      <c r="AG363" s="460" t="str">
        <f t="shared" ca="1" si="79"/>
        <v/>
      </c>
      <c r="AH363" s="460" t="str">
        <f t="shared" ca="1" si="79"/>
        <v/>
      </c>
      <c r="AI363" s="460" t="str">
        <f t="shared" ca="1" si="79"/>
        <v/>
      </c>
      <c r="AJ363" s="460" t="str">
        <f t="shared" ca="1" si="79"/>
        <v/>
      </c>
      <c r="AK363" s="460" t="str">
        <f t="shared" ca="1" si="79"/>
        <v/>
      </c>
      <c r="AL363" s="460" t="str">
        <f t="shared" ca="1" si="79"/>
        <v/>
      </c>
      <c r="AM363" s="460" t="str">
        <f t="shared" ca="1" si="79"/>
        <v/>
      </c>
      <c r="AN363" s="461" t="str">
        <f t="shared" ca="1" si="79"/>
        <v/>
      </c>
      <c r="AO363" s="474" t="str">
        <f t="shared" ca="1" si="79"/>
        <v/>
      </c>
      <c r="AP363" s="475" t="str">
        <f t="shared" ca="1" si="79"/>
        <v/>
      </c>
      <c r="AQ363" s="479" t="str">
        <f t="array" aca="1" ref="AQ363" ca="1">IF(ROW()-5&lt;=COUNTIF(科目编号,$AR$2),SMALL(IF(科目编号=$AR$2,ROW(科目编号),""),ROW()-5),"")</f>
        <v/>
      </c>
      <c r="AR363" s="480" t="str">
        <f ca="1">IF($BG$2=0,"",IF(AR362="本月合计","本年累计",IF(OR(ROW()=$AU$3,ROW()=$AV$3,ROW()=$AW$3,ROW()=$AX$3,ROW()=$AY$3,ROW()=$AZ$3,ROW()=$BA$3,ROW()=$BB$3,ROW()=$BC$3,ROW()=$BD$3,ROW()=$BE$3,ROW()=$BF$3),"本月合计",IF(ROW()&lt;7,$AQ$6,OFFSET($AQ$6,COUNT($AR$6:AR362),0)))))</f>
        <v/>
      </c>
    </row>
    <row r="364" spans="1:44">
      <c r="A364" s="469" t="str">
        <f ca="1">IFERROR(INDEX(凭证录入!A:A,$AR364),"")</f>
        <v/>
      </c>
      <c r="B364" s="469" t="str">
        <f ca="1">IFERROR(INDEX(凭证录入!B:B,$AR364),"")</f>
        <v/>
      </c>
      <c r="C364" s="470" t="str">
        <f ca="1">IFERROR(INDEX(凭证录入!G:G,$AR364),"")</f>
        <v/>
      </c>
      <c r="D364" s="471" t="str">
        <f ca="1">IFERROR(INDEX(凭证录入!F:F,$AR364),"")</f>
        <v/>
      </c>
      <c r="E364" s="472" t="str">
        <f ca="1">IFERROR(INDEX(凭证录入!H:H,$AR364),$AR364)</f>
        <v/>
      </c>
      <c r="F364" s="473">
        <f ca="1">IF(OR($BG$2=0,$AR364=""),,IF($AR364="本月合计",IF(ROW()=$BG$3,SUM($F$6:$F363),SUM(INDIRECT("$F$"&amp;OFFSET($AU$3,,MATCH(ROW(),$AU$3:$BF$3,)-2)+2&amp;":$E"&amp;ROW()-1))),IF($AR364="本年累计",SUMIF($AR$6:$AR364,"本月合计",$F$6:$F363),INDEX(凭证录入!K:K,$AR364))))</f>
        <v>0</v>
      </c>
      <c r="G364" s="459" t="str">
        <f t="shared" ca="1" si="80"/>
        <v/>
      </c>
      <c r="H364" s="460" t="str">
        <f t="shared" ca="1" si="80"/>
        <v/>
      </c>
      <c r="I364" s="460" t="str">
        <f t="shared" ca="1" si="80"/>
        <v/>
      </c>
      <c r="J364" s="460" t="str">
        <f t="shared" ca="1" si="80"/>
        <v/>
      </c>
      <c r="K364" s="460" t="str">
        <f t="shared" ca="1" si="80"/>
        <v/>
      </c>
      <c r="L364" s="460" t="str">
        <f t="shared" ca="1" si="80"/>
        <v/>
      </c>
      <c r="M364" s="460" t="str">
        <f t="shared" ca="1" si="80"/>
        <v/>
      </c>
      <c r="N364" s="460" t="str">
        <f t="shared" ca="1" si="80"/>
        <v/>
      </c>
      <c r="O364" s="461" t="str">
        <f t="shared" ca="1" si="80"/>
        <v/>
      </c>
      <c r="P364" s="474" t="str">
        <f t="shared" ca="1" si="80"/>
        <v/>
      </c>
      <c r="Q364" s="475" t="str">
        <f t="shared" ca="1" si="80"/>
        <v/>
      </c>
      <c r="R364" s="476">
        <f ca="1">IF(OR($BG$2=0,$AR364=""),,IF($AR364="本月合计",IF(ROW()=$BG$3,SUM($R$6:$R363),SUM(INDIRECT("$R$"&amp;OFFSET($AU$3,,MATCH(ROW(),$AU$3:$BF$3,)-2)+2&amp;":$R"&amp;ROW()-1))),IF($AR364="本年累计",SUMIF($AR$6:$AR364,"本月合计",$R$6:$R363),INDEX(凭证录入!L:L,$AR364))))</f>
        <v>0</v>
      </c>
      <c r="S364" s="459" t="str">
        <f t="shared" ca="1" si="81"/>
        <v/>
      </c>
      <c r="T364" s="460" t="str">
        <f t="shared" ca="1" si="81"/>
        <v/>
      </c>
      <c r="U364" s="460" t="str">
        <f t="shared" ca="1" si="81"/>
        <v/>
      </c>
      <c r="V364" s="460" t="str">
        <f t="shared" ca="1" si="81"/>
        <v/>
      </c>
      <c r="W364" s="460" t="str">
        <f t="shared" ca="1" si="81"/>
        <v/>
      </c>
      <c r="X364" s="460" t="str">
        <f t="shared" ca="1" si="81"/>
        <v/>
      </c>
      <c r="Y364" s="460" t="str">
        <f t="shared" ca="1" si="81"/>
        <v/>
      </c>
      <c r="Z364" s="460" t="str">
        <f t="shared" ca="1" si="81"/>
        <v/>
      </c>
      <c r="AA364" s="461" t="str">
        <f t="shared" ca="1" si="81"/>
        <v/>
      </c>
      <c r="AB364" s="474" t="str">
        <f t="shared" ca="1" si="81"/>
        <v/>
      </c>
      <c r="AC364" s="475" t="str">
        <f t="shared" ca="1" si="81"/>
        <v/>
      </c>
      <c r="AD364" s="477" t="str">
        <f t="shared" ca="1" si="74"/>
        <v/>
      </c>
      <c r="AE364" s="478">
        <f t="shared" ca="1" si="75"/>
        <v>0</v>
      </c>
      <c r="AF364" s="459" t="str">
        <f t="shared" ca="1" si="79"/>
        <v/>
      </c>
      <c r="AG364" s="460" t="str">
        <f t="shared" ca="1" si="79"/>
        <v/>
      </c>
      <c r="AH364" s="460" t="str">
        <f t="shared" ca="1" si="79"/>
        <v/>
      </c>
      <c r="AI364" s="460" t="str">
        <f t="shared" ca="1" si="79"/>
        <v/>
      </c>
      <c r="AJ364" s="460" t="str">
        <f t="shared" ca="1" si="79"/>
        <v/>
      </c>
      <c r="AK364" s="460" t="str">
        <f t="shared" ca="1" si="79"/>
        <v/>
      </c>
      <c r="AL364" s="460" t="str">
        <f t="shared" ca="1" si="79"/>
        <v/>
      </c>
      <c r="AM364" s="460" t="str">
        <f t="shared" ca="1" si="79"/>
        <v/>
      </c>
      <c r="AN364" s="461" t="str">
        <f t="shared" ca="1" si="79"/>
        <v/>
      </c>
      <c r="AO364" s="474" t="str">
        <f t="shared" ca="1" si="79"/>
        <v/>
      </c>
      <c r="AP364" s="475" t="str">
        <f t="shared" ca="1" si="79"/>
        <v/>
      </c>
      <c r="AQ364" s="479" t="str">
        <f t="array" aca="1" ref="AQ364" ca="1">IF(ROW()-5&lt;=COUNTIF(科目编号,$AR$2),SMALL(IF(科目编号=$AR$2,ROW(科目编号),""),ROW()-5),"")</f>
        <v/>
      </c>
      <c r="AR364" s="480" t="str">
        <f ca="1">IF($BG$2=0,"",IF(AR363="本月合计","本年累计",IF(OR(ROW()=$AU$3,ROW()=$AV$3,ROW()=$AW$3,ROW()=$AX$3,ROW()=$AY$3,ROW()=$AZ$3,ROW()=$BA$3,ROW()=$BB$3,ROW()=$BC$3,ROW()=$BD$3,ROW()=$BE$3,ROW()=$BF$3),"本月合计",IF(ROW()&lt;7,$AQ$6,OFFSET($AQ$6,COUNT($AR$6:AR363),0)))))</f>
        <v/>
      </c>
    </row>
    <row r="365" spans="1:44">
      <c r="A365" s="469" t="str">
        <f ca="1">IFERROR(INDEX(凭证录入!A:A,$AR365),"")</f>
        <v/>
      </c>
      <c r="B365" s="469" t="str">
        <f ca="1">IFERROR(INDEX(凭证录入!B:B,$AR365),"")</f>
        <v/>
      </c>
      <c r="C365" s="470" t="str">
        <f ca="1">IFERROR(INDEX(凭证录入!G:G,$AR365),"")</f>
        <v/>
      </c>
      <c r="D365" s="471" t="str">
        <f ca="1">IFERROR(INDEX(凭证录入!F:F,$AR365),"")</f>
        <v/>
      </c>
      <c r="E365" s="472" t="str">
        <f ca="1">IFERROR(INDEX(凭证录入!H:H,$AR365),$AR365)</f>
        <v/>
      </c>
      <c r="F365" s="473">
        <f ca="1">IF(OR($BG$2=0,$AR365=""),,IF($AR365="本月合计",IF(ROW()=$BG$3,SUM($F$6:$F364),SUM(INDIRECT("$F$"&amp;OFFSET($AU$3,,MATCH(ROW(),$AU$3:$BF$3,)-2)+2&amp;":$E"&amp;ROW()-1))),IF($AR365="本年累计",SUMIF($AR$6:$AR365,"本月合计",$F$6:$F364),INDEX(凭证录入!K:K,$AR365))))</f>
        <v>0</v>
      </c>
      <c r="G365" s="459" t="str">
        <f t="shared" ca="1" si="80"/>
        <v/>
      </c>
      <c r="H365" s="460" t="str">
        <f t="shared" ca="1" si="80"/>
        <v/>
      </c>
      <c r="I365" s="460" t="str">
        <f t="shared" ca="1" si="80"/>
        <v/>
      </c>
      <c r="J365" s="460" t="str">
        <f t="shared" ca="1" si="80"/>
        <v/>
      </c>
      <c r="K365" s="460" t="str">
        <f t="shared" ca="1" si="80"/>
        <v/>
      </c>
      <c r="L365" s="460" t="str">
        <f t="shared" ca="1" si="80"/>
        <v/>
      </c>
      <c r="M365" s="460" t="str">
        <f t="shared" ca="1" si="80"/>
        <v/>
      </c>
      <c r="N365" s="460" t="str">
        <f t="shared" ca="1" si="80"/>
        <v/>
      </c>
      <c r="O365" s="461" t="str">
        <f t="shared" ca="1" si="80"/>
        <v/>
      </c>
      <c r="P365" s="474" t="str">
        <f t="shared" ca="1" si="80"/>
        <v/>
      </c>
      <c r="Q365" s="475" t="str">
        <f t="shared" ca="1" si="80"/>
        <v/>
      </c>
      <c r="R365" s="476">
        <f ca="1">IF(OR($BG$2=0,$AR365=""),,IF($AR365="本月合计",IF(ROW()=$BG$3,SUM($R$6:$R364),SUM(INDIRECT("$R$"&amp;OFFSET($AU$3,,MATCH(ROW(),$AU$3:$BF$3,)-2)+2&amp;":$R"&amp;ROW()-1))),IF($AR365="本年累计",SUMIF($AR$6:$AR365,"本月合计",$R$6:$R364),INDEX(凭证录入!L:L,$AR365))))</f>
        <v>0</v>
      </c>
      <c r="S365" s="459" t="str">
        <f t="shared" ca="1" si="81"/>
        <v/>
      </c>
      <c r="T365" s="460" t="str">
        <f t="shared" ca="1" si="81"/>
        <v/>
      </c>
      <c r="U365" s="460" t="str">
        <f t="shared" ca="1" si="81"/>
        <v/>
      </c>
      <c r="V365" s="460" t="str">
        <f t="shared" ca="1" si="81"/>
        <v/>
      </c>
      <c r="W365" s="460" t="str">
        <f t="shared" ca="1" si="81"/>
        <v/>
      </c>
      <c r="X365" s="460" t="str">
        <f t="shared" ca="1" si="81"/>
        <v/>
      </c>
      <c r="Y365" s="460" t="str">
        <f t="shared" ca="1" si="81"/>
        <v/>
      </c>
      <c r="Z365" s="460" t="str">
        <f t="shared" ca="1" si="81"/>
        <v/>
      </c>
      <c r="AA365" s="461" t="str">
        <f t="shared" ca="1" si="81"/>
        <v/>
      </c>
      <c r="AB365" s="474" t="str">
        <f t="shared" ca="1" si="81"/>
        <v/>
      </c>
      <c r="AC365" s="475" t="str">
        <f t="shared" ca="1" si="81"/>
        <v/>
      </c>
      <c r="AD365" s="477" t="str">
        <f t="shared" ca="1" si="74"/>
        <v/>
      </c>
      <c r="AE365" s="478">
        <f t="shared" ca="1" si="75"/>
        <v>0</v>
      </c>
      <c r="AF365" s="459" t="str">
        <f t="shared" ca="1" si="79"/>
        <v/>
      </c>
      <c r="AG365" s="460" t="str">
        <f t="shared" ca="1" si="79"/>
        <v/>
      </c>
      <c r="AH365" s="460" t="str">
        <f t="shared" ca="1" si="79"/>
        <v/>
      </c>
      <c r="AI365" s="460" t="str">
        <f t="shared" ca="1" si="79"/>
        <v/>
      </c>
      <c r="AJ365" s="460" t="str">
        <f t="shared" ca="1" si="79"/>
        <v/>
      </c>
      <c r="AK365" s="460" t="str">
        <f t="shared" ca="1" si="79"/>
        <v/>
      </c>
      <c r="AL365" s="460" t="str">
        <f t="shared" ca="1" si="79"/>
        <v/>
      </c>
      <c r="AM365" s="460" t="str">
        <f t="shared" ca="1" si="79"/>
        <v/>
      </c>
      <c r="AN365" s="461" t="str">
        <f t="shared" ca="1" si="79"/>
        <v/>
      </c>
      <c r="AO365" s="474" t="str">
        <f t="shared" ca="1" si="79"/>
        <v/>
      </c>
      <c r="AP365" s="475" t="str">
        <f t="shared" ca="1" si="79"/>
        <v/>
      </c>
      <c r="AQ365" s="479" t="str">
        <f t="array" aca="1" ref="AQ365" ca="1">IF(ROW()-5&lt;=COUNTIF(科目编号,$AR$2),SMALL(IF(科目编号=$AR$2,ROW(科目编号),""),ROW()-5),"")</f>
        <v/>
      </c>
      <c r="AR365" s="480" t="str">
        <f ca="1">IF($BG$2=0,"",IF(AR364="本月合计","本年累计",IF(OR(ROW()=$AU$3,ROW()=$AV$3,ROW()=$AW$3,ROW()=$AX$3,ROW()=$AY$3,ROW()=$AZ$3,ROW()=$BA$3,ROW()=$BB$3,ROW()=$BC$3,ROW()=$BD$3,ROW()=$BE$3,ROW()=$BF$3),"本月合计",IF(ROW()&lt;7,$AQ$6,OFFSET($AQ$6,COUNT($AR$6:AR364),0)))))</f>
        <v/>
      </c>
    </row>
    <row r="366" spans="1:44">
      <c r="A366" s="469" t="str">
        <f ca="1">IFERROR(INDEX(凭证录入!A:A,$AR366),"")</f>
        <v/>
      </c>
      <c r="B366" s="469" t="str">
        <f ca="1">IFERROR(INDEX(凭证录入!B:B,$AR366),"")</f>
        <v/>
      </c>
      <c r="C366" s="470" t="str">
        <f ca="1">IFERROR(INDEX(凭证录入!G:G,$AR366),"")</f>
        <v/>
      </c>
      <c r="D366" s="471" t="str">
        <f ca="1">IFERROR(INDEX(凭证录入!F:F,$AR366),"")</f>
        <v/>
      </c>
      <c r="E366" s="472" t="str">
        <f ca="1">IFERROR(INDEX(凭证录入!H:H,$AR366),$AR366)</f>
        <v/>
      </c>
      <c r="F366" s="473">
        <f ca="1">IF(OR($BG$2=0,$AR366=""),,IF($AR366="本月合计",IF(ROW()=$BG$3,SUM($F$6:$F365),SUM(INDIRECT("$F$"&amp;OFFSET($AU$3,,MATCH(ROW(),$AU$3:$BF$3,)-2)+2&amp;":$E"&amp;ROW()-1))),IF($AR366="本年累计",SUMIF($AR$6:$AR366,"本月合计",$F$6:$F365),INDEX(凭证录入!K:K,$AR366))))</f>
        <v>0</v>
      </c>
      <c r="G366" s="459" t="str">
        <f t="shared" ca="1" si="80"/>
        <v/>
      </c>
      <c r="H366" s="460" t="str">
        <f t="shared" ca="1" si="80"/>
        <v/>
      </c>
      <c r="I366" s="460" t="str">
        <f t="shared" ca="1" si="80"/>
        <v/>
      </c>
      <c r="J366" s="460" t="str">
        <f t="shared" ca="1" si="80"/>
        <v/>
      </c>
      <c r="K366" s="460" t="str">
        <f t="shared" ca="1" si="80"/>
        <v/>
      </c>
      <c r="L366" s="460" t="str">
        <f t="shared" ca="1" si="80"/>
        <v/>
      </c>
      <c r="M366" s="460" t="str">
        <f t="shared" ca="1" si="80"/>
        <v/>
      </c>
      <c r="N366" s="460" t="str">
        <f t="shared" ca="1" si="80"/>
        <v/>
      </c>
      <c r="O366" s="461" t="str">
        <f t="shared" ca="1" si="80"/>
        <v/>
      </c>
      <c r="P366" s="474" t="str">
        <f t="shared" ca="1" si="80"/>
        <v/>
      </c>
      <c r="Q366" s="475" t="str">
        <f t="shared" ca="1" si="80"/>
        <v/>
      </c>
      <c r="R366" s="476">
        <f ca="1">IF(OR($BG$2=0,$AR366=""),,IF($AR366="本月合计",IF(ROW()=$BG$3,SUM($R$6:$R365),SUM(INDIRECT("$R$"&amp;OFFSET($AU$3,,MATCH(ROW(),$AU$3:$BF$3,)-2)+2&amp;":$R"&amp;ROW()-1))),IF($AR366="本年累计",SUMIF($AR$6:$AR366,"本月合计",$R$6:$R365),INDEX(凭证录入!L:L,$AR366))))</f>
        <v>0</v>
      </c>
      <c r="S366" s="459" t="str">
        <f t="shared" ca="1" si="81"/>
        <v/>
      </c>
      <c r="T366" s="460" t="str">
        <f t="shared" ca="1" si="81"/>
        <v/>
      </c>
      <c r="U366" s="460" t="str">
        <f t="shared" ca="1" si="81"/>
        <v/>
      </c>
      <c r="V366" s="460" t="str">
        <f t="shared" ca="1" si="81"/>
        <v/>
      </c>
      <c r="W366" s="460" t="str">
        <f t="shared" ca="1" si="81"/>
        <v/>
      </c>
      <c r="X366" s="460" t="str">
        <f t="shared" ca="1" si="81"/>
        <v/>
      </c>
      <c r="Y366" s="460" t="str">
        <f t="shared" ca="1" si="81"/>
        <v/>
      </c>
      <c r="Z366" s="460" t="str">
        <f t="shared" ca="1" si="81"/>
        <v/>
      </c>
      <c r="AA366" s="461" t="str">
        <f t="shared" ca="1" si="81"/>
        <v/>
      </c>
      <c r="AB366" s="474" t="str">
        <f t="shared" ca="1" si="81"/>
        <v/>
      </c>
      <c r="AC366" s="475" t="str">
        <f t="shared" ca="1" si="81"/>
        <v/>
      </c>
      <c r="AD366" s="477" t="str">
        <f t="shared" ca="1" si="74"/>
        <v/>
      </c>
      <c r="AE366" s="478">
        <f t="shared" ca="1" si="75"/>
        <v>0</v>
      </c>
      <c r="AF366" s="459" t="str">
        <f t="shared" ca="1" si="79"/>
        <v/>
      </c>
      <c r="AG366" s="460" t="str">
        <f t="shared" ca="1" si="79"/>
        <v/>
      </c>
      <c r="AH366" s="460" t="str">
        <f t="shared" ca="1" si="79"/>
        <v/>
      </c>
      <c r="AI366" s="460" t="str">
        <f t="shared" ca="1" si="79"/>
        <v/>
      </c>
      <c r="AJ366" s="460" t="str">
        <f t="shared" ca="1" si="79"/>
        <v/>
      </c>
      <c r="AK366" s="460" t="str">
        <f t="shared" ca="1" si="79"/>
        <v/>
      </c>
      <c r="AL366" s="460" t="str">
        <f t="shared" ca="1" si="79"/>
        <v/>
      </c>
      <c r="AM366" s="460" t="str">
        <f t="shared" ca="1" si="79"/>
        <v/>
      </c>
      <c r="AN366" s="461" t="str">
        <f t="shared" ca="1" si="79"/>
        <v/>
      </c>
      <c r="AO366" s="474" t="str">
        <f t="shared" ca="1" si="79"/>
        <v/>
      </c>
      <c r="AP366" s="475" t="str">
        <f t="shared" ca="1" si="79"/>
        <v/>
      </c>
      <c r="AQ366" s="479" t="str">
        <f t="array" aca="1" ref="AQ366" ca="1">IF(ROW()-5&lt;=COUNTIF(科目编号,$AR$2),SMALL(IF(科目编号=$AR$2,ROW(科目编号),""),ROW()-5),"")</f>
        <v/>
      </c>
      <c r="AR366" s="480" t="str">
        <f ca="1">IF($BG$2=0,"",IF(AR365="本月合计","本年累计",IF(OR(ROW()=$AU$3,ROW()=$AV$3,ROW()=$AW$3,ROW()=$AX$3,ROW()=$AY$3,ROW()=$AZ$3,ROW()=$BA$3,ROW()=$BB$3,ROW()=$BC$3,ROW()=$BD$3,ROW()=$BE$3,ROW()=$BF$3),"本月合计",IF(ROW()&lt;7,$AQ$6,OFFSET($AQ$6,COUNT($AR$6:AR365),0)))))</f>
        <v/>
      </c>
    </row>
    <row r="367" spans="1:44">
      <c r="A367" s="469" t="str">
        <f ca="1">IFERROR(INDEX(凭证录入!A:A,$AR367),"")</f>
        <v/>
      </c>
      <c r="B367" s="469" t="str">
        <f ca="1">IFERROR(INDEX(凭证录入!B:B,$AR367),"")</f>
        <v/>
      </c>
      <c r="C367" s="470" t="str">
        <f ca="1">IFERROR(INDEX(凭证录入!G:G,$AR367),"")</f>
        <v/>
      </c>
      <c r="D367" s="471" t="str">
        <f ca="1">IFERROR(INDEX(凭证录入!F:F,$AR367),"")</f>
        <v/>
      </c>
      <c r="E367" s="472" t="str">
        <f ca="1">IFERROR(INDEX(凭证录入!H:H,$AR367),$AR367)</f>
        <v/>
      </c>
      <c r="F367" s="473">
        <f ca="1">IF(OR($BG$2=0,$AR367=""),,IF($AR367="本月合计",IF(ROW()=$BG$3,SUM($F$6:$F366),SUM(INDIRECT("$F$"&amp;OFFSET($AU$3,,MATCH(ROW(),$AU$3:$BF$3,)-2)+2&amp;":$E"&amp;ROW()-1))),IF($AR367="本年累计",SUMIF($AR$6:$AR367,"本月合计",$F$6:$F366),INDEX(凭证录入!K:K,$AR367))))</f>
        <v>0</v>
      </c>
      <c r="G367" s="459" t="str">
        <f t="shared" ca="1" si="80"/>
        <v/>
      </c>
      <c r="H367" s="460" t="str">
        <f t="shared" ca="1" si="80"/>
        <v/>
      </c>
      <c r="I367" s="460" t="str">
        <f t="shared" ca="1" si="80"/>
        <v/>
      </c>
      <c r="J367" s="460" t="str">
        <f t="shared" ca="1" si="80"/>
        <v/>
      </c>
      <c r="K367" s="460" t="str">
        <f t="shared" ca="1" si="80"/>
        <v/>
      </c>
      <c r="L367" s="460" t="str">
        <f t="shared" ca="1" si="80"/>
        <v/>
      </c>
      <c r="M367" s="460" t="str">
        <f t="shared" ca="1" si="80"/>
        <v/>
      </c>
      <c r="N367" s="460" t="str">
        <f t="shared" ca="1" si="80"/>
        <v/>
      </c>
      <c r="O367" s="461" t="str">
        <f t="shared" ca="1" si="80"/>
        <v/>
      </c>
      <c r="P367" s="474" t="str">
        <f t="shared" ca="1" si="80"/>
        <v/>
      </c>
      <c r="Q367" s="475" t="str">
        <f t="shared" ca="1" si="80"/>
        <v/>
      </c>
      <c r="R367" s="476">
        <f ca="1">IF(OR($BG$2=0,$AR367=""),,IF($AR367="本月合计",IF(ROW()=$BG$3,SUM($R$6:$R366),SUM(INDIRECT("$R$"&amp;OFFSET($AU$3,,MATCH(ROW(),$AU$3:$BF$3,)-2)+2&amp;":$R"&amp;ROW()-1))),IF($AR367="本年累计",SUMIF($AR$6:$AR367,"本月合计",$R$6:$R366),INDEX(凭证录入!L:L,$AR367))))</f>
        <v>0</v>
      </c>
      <c r="S367" s="459" t="str">
        <f t="shared" ca="1" si="81"/>
        <v/>
      </c>
      <c r="T367" s="460" t="str">
        <f t="shared" ca="1" si="81"/>
        <v/>
      </c>
      <c r="U367" s="460" t="str">
        <f t="shared" ca="1" si="81"/>
        <v/>
      </c>
      <c r="V367" s="460" t="str">
        <f t="shared" ca="1" si="81"/>
        <v/>
      </c>
      <c r="W367" s="460" t="str">
        <f t="shared" ca="1" si="81"/>
        <v/>
      </c>
      <c r="X367" s="460" t="str">
        <f t="shared" ca="1" si="81"/>
        <v/>
      </c>
      <c r="Y367" s="460" t="str">
        <f t="shared" ca="1" si="81"/>
        <v/>
      </c>
      <c r="Z367" s="460" t="str">
        <f t="shared" ca="1" si="81"/>
        <v/>
      </c>
      <c r="AA367" s="461" t="str">
        <f t="shared" ca="1" si="81"/>
        <v/>
      </c>
      <c r="AB367" s="474" t="str">
        <f t="shared" ca="1" si="81"/>
        <v/>
      </c>
      <c r="AC367" s="475" t="str">
        <f t="shared" ca="1" si="81"/>
        <v/>
      </c>
      <c r="AD367" s="477" t="str">
        <f t="shared" ca="1" si="74"/>
        <v/>
      </c>
      <c r="AE367" s="478">
        <f t="shared" ca="1" si="75"/>
        <v>0</v>
      </c>
      <c r="AF367" s="459" t="str">
        <f t="shared" ca="1" si="79"/>
        <v/>
      </c>
      <c r="AG367" s="460" t="str">
        <f t="shared" ca="1" si="79"/>
        <v/>
      </c>
      <c r="AH367" s="460" t="str">
        <f t="shared" ca="1" si="79"/>
        <v/>
      </c>
      <c r="AI367" s="460" t="str">
        <f t="shared" ca="1" si="79"/>
        <v/>
      </c>
      <c r="AJ367" s="460" t="str">
        <f t="shared" ca="1" si="79"/>
        <v/>
      </c>
      <c r="AK367" s="460" t="str">
        <f t="shared" ca="1" si="79"/>
        <v/>
      </c>
      <c r="AL367" s="460" t="str">
        <f t="shared" ca="1" si="79"/>
        <v/>
      </c>
      <c r="AM367" s="460" t="str">
        <f t="shared" ca="1" si="79"/>
        <v/>
      </c>
      <c r="AN367" s="461" t="str">
        <f t="shared" ca="1" si="79"/>
        <v/>
      </c>
      <c r="AO367" s="474" t="str">
        <f t="shared" ca="1" si="79"/>
        <v/>
      </c>
      <c r="AP367" s="475" t="str">
        <f t="shared" ca="1" si="79"/>
        <v/>
      </c>
      <c r="AQ367" s="479" t="str">
        <f t="array" aca="1" ref="AQ367" ca="1">IF(ROW()-5&lt;=COUNTIF(科目编号,$AR$2),SMALL(IF(科目编号=$AR$2,ROW(科目编号),""),ROW()-5),"")</f>
        <v/>
      </c>
      <c r="AR367" s="480" t="str">
        <f ca="1">IF($BG$2=0,"",IF(AR366="本月合计","本年累计",IF(OR(ROW()=$AU$3,ROW()=$AV$3,ROW()=$AW$3,ROW()=$AX$3,ROW()=$AY$3,ROW()=$AZ$3,ROW()=$BA$3,ROW()=$BB$3,ROW()=$BC$3,ROW()=$BD$3,ROW()=$BE$3,ROW()=$BF$3),"本月合计",IF(ROW()&lt;7,$AQ$6,OFFSET($AQ$6,COUNT($AR$6:AR366),0)))))</f>
        <v/>
      </c>
    </row>
    <row r="368" spans="1:44">
      <c r="A368" s="469" t="str">
        <f ca="1">IFERROR(INDEX(凭证录入!A:A,$AR368),"")</f>
        <v/>
      </c>
      <c r="B368" s="469" t="str">
        <f ca="1">IFERROR(INDEX(凭证录入!B:B,$AR368),"")</f>
        <v/>
      </c>
      <c r="C368" s="470" t="str">
        <f ca="1">IFERROR(INDEX(凭证录入!G:G,$AR368),"")</f>
        <v/>
      </c>
      <c r="D368" s="471" t="str">
        <f ca="1">IFERROR(INDEX(凭证录入!F:F,$AR368),"")</f>
        <v/>
      </c>
      <c r="E368" s="472" t="str">
        <f ca="1">IFERROR(INDEX(凭证录入!H:H,$AR368),$AR368)</f>
        <v/>
      </c>
      <c r="F368" s="473">
        <f ca="1">IF(OR($BG$2=0,$AR368=""),,IF($AR368="本月合计",IF(ROW()=$BG$3,SUM($F$6:$F367),SUM(INDIRECT("$F$"&amp;OFFSET($AU$3,,MATCH(ROW(),$AU$3:$BF$3,)-2)+2&amp;":$E"&amp;ROW()-1))),IF($AR368="本年累计",SUMIF($AR$6:$AR368,"本月合计",$F$6:$F367),INDEX(凭证录入!K:K,$AR368))))</f>
        <v>0</v>
      </c>
      <c r="G368" s="459" t="str">
        <f t="shared" ca="1" si="80"/>
        <v/>
      </c>
      <c r="H368" s="460" t="str">
        <f t="shared" ca="1" si="80"/>
        <v/>
      </c>
      <c r="I368" s="460" t="str">
        <f t="shared" ca="1" si="80"/>
        <v/>
      </c>
      <c r="J368" s="460" t="str">
        <f t="shared" ca="1" si="80"/>
        <v/>
      </c>
      <c r="K368" s="460" t="str">
        <f t="shared" ca="1" si="80"/>
        <v/>
      </c>
      <c r="L368" s="460" t="str">
        <f t="shared" ca="1" si="80"/>
        <v/>
      </c>
      <c r="M368" s="460" t="str">
        <f t="shared" ca="1" si="80"/>
        <v/>
      </c>
      <c r="N368" s="460" t="str">
        <f t="shared" ca="1" si="80"/>
        <v/>
      </c>
      <c r="O368" s="461" t="str">
        <f t="shared" ca="1" si="80"/>
        <v/>
      </c>
      <c r="P368" s="474" t="str">
        <f t="shared" ca="1" si="80"/>
        <v/>
      </c>
      <c r="Q368" s="475" t="str">
        <f t="shared" ca="1" si="80"/>
        <v/>
      </c>
      <c r="R368" s="476">
        <f ca="1">IF(OR($BG$2=0,$AR368=""),,IF($AR368="本月合计",IF(ROW()=$BG$3,SUM($R$6:$R367),SUM(INDIRECT("$R$"&amp;OFFSET($AU$3,,MATCH(ROW(),$AU$3:$BF$3,)-2)+2&amp;":$R"&amp;ROW()-1))),IF($AR368="本年累计",SUMIF($AR$6:$AR368,"本月合计",$R$6:$R367),INDEX(凭证录入!L:L,$AR368))))</f>
        <v>0</v>
      </c>
      <c r="S368" s="459" t="str">
        <f t="shared" ca="1" si="81"/>
        <v/>
      </c>
      <c r="T368" s="460" t="str">
        <f t="shared" ca="1" si="81"/>
        <v/>
      </c>
      <c r="U368" s="460" t="str">
        <f t="shared" ca="1" si="81"/>
        <v/>
      </c>
      <c r="V368" s="460" t="str">
        <f t="shared" ca="1" si="81"/>
        <v/>
      </c>
      <c r="W368" s="460" t="str">
        <f t="shared" ca="1" si="81"/>
        <v/>
      </c>
      <c r="X368" s="460" t="str">
        <f t="shared" ca="1" si="81"/>
        <v/>
      </c>
      <c r="Y368" s="460" t="str">
        <f t="shared" ca="1" si="81"/>
        <v/>
      </c>
      <c r="Z368" s="460" t="str">
        <f t="shared" ca="1" si="81"/>
        <v/>
      </c>
      <c r="AA368" s="461" t="str">
        <f t="shared" ca="1" si="81"/>
        <v/>
      </c>
      <c r="AB368" s="474" t="str">
        <f t="shared" ca="1" si="81"/>
        <v/>
      </c>
      <c r="AC368" s="475" t="str">
        <f t="shared" ca="1" si="81"/>
        <v/>
      </c>
      <c r="AD368" s="477" t="str">
        <f t="shared" ca="1" si="74"/>
        <v/>
      </c>
      <c r="AE368" s="478">
        <f t="shared" ca="1" si="75"/>
        <v>0</v>
      </c>
      <c r="AF368" s="459" t="str">
        <f t="shared" ca="1" si="79"/>
        <v/>
      </c>
      <c r="AG368" s="460" t="str">
        <f t="shared" ca="1" si="79"/>
        <v/>
      </c>
      <c r="AH368" s="460" t="str">
        <f t="shared" ca="1" si="79"/>
        <v/>
      </c>
      <c r="AI368" s="460" t="str">
        <f t="shared" ca="1" si="79"/>
        <v/>
      </c>
      <c r="AJ368" s="460" t="str">
        <f t="shared" ca="1" si="79"/>
        <v/>
      </c>
      <c r="AK368" s="460" t="str">
        <f t="shared" ca="1" si="79"/>
        <v/>
      </c>
      <c r="AL368" s="460" t="str">
        <f t="shared" ca="1" si="79"/>
        <v/>
      </c>
      <c r="AM368" s="460" t="str">
        <f t="shared" ca="1" si="79"/>
        <v/>
      </c>
      <c r="AN368" s="461" t="str">
        <f t="shared" ca="1" si="79"/>
        <v/>
      </c>
      <c r="AO368" s="474" t="str">
        <f t="shared" ca="1" si="79"/>
        <v/>
      </c>
      <c r="AP368" s="475" t="str">
        <f t="shared" ca="1" si="79"/>
        <v/>
      </c>
      <c r="AQ368" s="479" t="str">
        <f t="array" aca="1" ref="AQ368" ca="1">IF(ROW()-5&lt;=COUNTIF(科目编号,$AR$2),SMALL(IF(科目编号=$AR$2,ROW(科目编号),""),ROW()-5),"")</f>
        <v/>
      </c>
      <c r="AR368" s="480" t="str">
        <f ca="1">IF($BG$2=0,"",IF(AR367="本月合计","本年累计",IF(OR(ROW()=$AU$3,ROW()=$AV$3,ROW()=$AW$3,ROW()=$AX$3,ROW()=$AY$3,ROW()=$AZ$3,ROW()=$BA$3,ROW()=$BB$3,ROW()=$BC$3,ROW()=$BD$3,ROW()=$BE$3,ROW()=$BF$3),"本月合计",IF(ROW()&lt;7,$AQ$6,OFFSET($AQ$6,COUNT($AR$6:AR367),0)))))</f>
        <v/>
      </c>
    </row>
    <row r="369" spans="1:44">
      <c r="A369" s="469" t="str">
        <f ca="1">IFERROR(INDEX(凭证录入!A:A,$AR369),"")</f>
        <v/>
      </c>
      <c r="B369" s="469" t="str">
        <f ca="1">IFERROR(INDEX(凭证录入!B:B,$AR369),"")</f>
        <v/>
      </c>
      <c r="C369" s="470" t="str">
        <f ca="1">IFERROR(INDEX(凭证录入!G:G,$AR369),"")</f>
        <v/>
      </c>
      <c r="D369" s="471" t="str">
        <f ca="1">IFERROR(INDEX(凭证录入!F:F,$AR369),"")</f>
        <v/>
      </c>
      <c r="E369" s="472" t="str">
        <f ca="1">IFERROR(INDEX(凭证录入!H:H,$AR369),$AR369)</f>
        <v/>
      </c>
      <c r="F369" s="473">
        <f ca="1">IF(OR($BG$2=0,$AR369=""),,IF($AR369="本月合计",IF(ROW()=$BG$3,SUM($F$6:$F368),SUM(INDIRECT("$F$"&amp;OFFSET($AU$3,,MATCH(ROW(),$AU$3:$BF$3,)-2)+2&amp;":$E"&amp;ROW()-1))),IF($AR369="本年累计",SUMIF($AR$6:$AR369,"本月合计",$F$6:$F368),INDEX(凭证录入!K:K,$AR369))))</f>
        <v>0</v>
      </c>
      <c r="G369" s="459" t="str">
        <f t="shared" ca="1" si="80"/>
        <v/>
      </c>
      <c r="H369" s="460" t="str">
        <f t="shared" ca="1" si="80"/>
        <v/>
      </c>
      <c r="I369" s="460" t="str">
        <f t="shared" ca="1" si="80"/>
        <v/>
      </c>
      <c r="J369" s="460" t="str">
        <f t="shared" ca="1" si="80"/>
        <v/>
      </c>
      <c r="K369" s="460" t="str">
        <f t="shared" ca="1" si="80"/>
        <v/>
      </c>
      <c r="L369" s="460" t="str">
        <f t="shared" ca="1" si="80"/>
        <v/>
      </c>
      <c r="M369" s="460" t="str">
        <f t="shared" ca="1" si="80"/>
        <v/>
      </c>
      <c r="N369" s="460" t="str">
        <f t="shared" ca="1" si="80"/>
        <v/>
      </c>
      <c r="O369" s="461" t="str">
        <f t="shared" ca="1" si="80"/>
        <v/>
      </c>
      <c r="P369" s="474" t="str">
        <f t="shared" ca="1" si="80"/>
        <v/>
      </c>
      <c r="Q369" s="475" t="str">
        <f t="shared" ca="1" si="80"/>
        <v/>
      </c>
      <c r="R369" s="476">
        <f ca="1">IF(OR($BG$2=0,$AR369=""),,IF($AR369="本月合计",IF(ROW()=$BG$3,SUM($R$6:$R368),SUM(INDIRECT("$R$"&amp;OFFSET($AU$3,,MATCH(ROW(),$AU$3:$BF$3,)-2)+2&amp;":$R"&amp;ROW()-1))),IF($AR369="本年累计",SUMIF($AR$6:$AR369,"本月合计",$R$6:$R368),INDEX(凭证录入!L:L,$AR369))))</f>
        <v>0</v>
      </c>
      <c r="S369" s="459" t="str">
        <f t="shared" ca="1" si="81"/>
        <v/>
      </c>
      <c r="T369" s="460" t="str">
        <f t="shared" ca="1" si="81"/>
        <v/>
      </c>
      <c r="U369" s="460" t="str">
        <f t="shared" ca="1" si="81"/>
        <v/>
      </c>
      <c r="V369" s="460" t="str">
        <f t="shared" ca="1" si="81"/>
        <v/>
      </c>
      <c r="W369" s="460" t="str">
        <f t="shared" ca="1" si="81"/>
        <v/>
      </c>
      <c r="X369" s="460" t="str">
        <f t="shared" ca="1" si="81"/>
        <v/>
      </c>
      <c r="Y369" s="460" t="str">
        <f t="shared" ca="1" si="81"/>
        <v/>
      </c>
      <c r="Z369" s="460" t="str">
        <f t="shared" ca="1" si="81"/>
        <v/>
      </c>
      <c r="AA369" s="461" t="str">
        <f t="shared" ca="1" si="81"/>
        <v/>
      </c>
      <c r="AB369" s="474" t="str">
        <f t="shared" ca="1" si="81"/>
        <v/>
      </c>
      <c r="AC369" s="475" t="str">
        <f t="shared" ca="1" si="81"/>
        <v/>
      </c>
      <c r="AD369" s="477" t="str">
        <f t="shared" ca="1" si="74"/>
        <v/>
      </c>
      <c r="AE369" s="478">
        <f t="shared" ca="1" si="75"/>
        <v>0</v>
      </c>
      <c r="AF369" s="459" t="str">
        <f t="shared" ca="1" si="79"/>
        <v/>
      </c>
      <c r="AG369" s="460" t="str">
        <f t="shared" ca="1" si="79"/>
        <v/>
      </c>
      <c r="AH369" s="460" t="str">
        <f t="shared" ca="1" si="79"/>
        <v/>
      </c>
      <c r="AI369" s="460" t="str">
        <f t="shared" ca="1" si="79"/>
        <v/>
      </c>
      <c r="AJ369" s="460" t="str">
        <f t="shared" ca="1" si="79"/>
        <v/>
      </c>
      <c r="AK369" s="460" t="str">
        <f t="shared" ca="1" si="79"/>
        <v/>
      </c>
      <c r="AL369" s="460" t="str">
        <f t="shared" ca="1" si="79"/>
        <v/>
      </c>
      <c r="AM369" s="460" t="str">
        <f t="shared" ca="1" si="79"/>
        <v/>
      </c>
      <c r="AN369" s="461" t="str">
        <f t="shared" ca="1" si="79"/>
        <v/>
      </c>
      <c r="AO369" s="474" t="str">
        <f t="shared" ca="1" si="79"/>
        <v/>
      </c>
      <c r="AP369" s="475" t="str">
        <f t="shared" ca="1" si="79"/>
        <v/>
      </c>
      <c r="AQ369" s="479" t="str">
        <f t="array" aca="1" ref="AQ369" ca="1">IF(ROW()-5&lt;=COUNTIF(科目编号,$AR$2),SMALL(IF(科目编号=$AR$2,ROW(科目编号),""),ROW()-5),"")</f>
        <v/>
      </c>
      <c r="AR369" s="480" t="str">
        <f ca="1">IF($BG$2=0,"",IF(AR368="本月合计","本年累计",IF(OR(ROW()=$AU$3,ROW()=$AV$3,ROW()=$AW$3,ROW()=$AX$3,ROW()=$AY$3,ROW()=$AZ$3,ROW()=$BA$3,ROW()=$BB$3,ROW()=$BC$3,ROW()=$BD$3,ROW()=$BE$3,ROW()=$BF$3),"本月合计",IF(ROW()&lt;7,$AQ$6,OFFSET($AQ$6,COUNT($AR$6:AR368),0)))))</f>
        <v/>
      </c>
    </row>
    <row r="370" spans="1:44">
      <c r="A370" s="469" t="str">
        <f ca="1">IFERROR(INDEX(凭证录入!A:A,$AR370),"")</f>
        <v/>
      </c>
      <c r="B370" s="469" t="str">
        <f ca="1">IFERROR(INDEX(凭证录入!B:B,$AR370),"")</f>
        <v/>
      </c>
      <c r="C370" s="470" t="str">
        <f ca="1">IFERROR(INDEX(凭证录入!G:G,$AR370),"")</f>
        <v/>
      </c>
      <c r="D370" s="471" t="str">
        <f ca="1">IFERROR(INDEX(凭证录入!F:F,$AR370),"")</f>
        <v/>
      </c>
      <c r="E370" s="472" t="str">
        <f ca="1">IFERROR(INDEX(凭证录入!H:H,$AR370),$AR370)</f>
        <v/>
      </c>
      <c r="F370" s="473">
        <f ca="1">IF(OR($BG$2=0,$AR370=""),,IF($AR370="本月合计",IF(ROW()=$BG$3,SUM($F$6:$F369),SUM(INDIRECT("$F$"&amp;OFFSET($AU$3,,MATCH(ROW(),$AU$3:$BF$3,)-2)+2&amp;":$E"&amp;ROW()-1))),IF($AR370="本年累计",SUMIF($AR$6:$AR370,"本月合计",$F$6:$F369),INDEX(凭证录入!K:K,$AR370))))</f>
        <v>0</v>
      </c>
      <c r="G370" s="459" t="str">
        <f t="shared" ca="1" si="80"/>
        <v/>
      </c>
      <c r="H370" s="460" t="str">
        <f t="shared" ca="1" si="80"/>
        <v/>
      </c>
      <c r="I370" s="460" t="str">
        <f t="shared" ca="1" si="80"/>
        <v/>
      </c>
      <c r="J370" s="460" t="str">
        <f t="shared" ca="1" si="80"/>
        <v/>
      </c>
      <c r="K370" s="460" t="str">
        <f t="shared" ca="1" si="80"/>
        <v/>
      </c>
      <c r="L370" s="460" t="str">
        <f t="shared" ca="1" si="80"/>
        <v/>
      </c>
      <c r="M370" s="460" t="str">
        <f t="shared" ca="1" si="80"/>
        <v/>
      </c>
      <c r="N370" s="460" t="str">
        <f t="shared" ca="1" si="80"/>
        <v/>
      </c>
      <c r="O370" s="461" t="str">
        <f t="shared" ca="1" si="80"/>
        <v/>
      </c>
      <c r="P370" s="474" t="str">
        <f t="shared" ca="1" si="80"/>
        <v/>
      </c>
      <c r="Q370" s="475" t="str">
        <f t="shared" ca="1" si="80"/>
        <v/>
      </c>
      <c r="R370" s="476">
        <f ca="1">IF(OR($BG$2=0,$AR370=""),,IF($AR370="本月合计",IF(ROW()=$BG$3,SUM($R$6:$R369),SUM(INDIRECT("$R$"&amp;OFFSET($AU$3,,MATCH(ROW(),$AU$3:$BF$3,)-2)+2&amp;":$R"&amp;ROW()-1))),IF($AR370="本年累计",SUMIF($AR$6:$AR370,"本月合计",$R$6:$R369),INDEX(凭证录入!L:L,$AR370))))</f>
        <v>0</v>
      </c>
      <c r="S370" s="459" t="str">
        <f t="shared" ca="1" si="81"/>
        <v/>
      </c>
      <c r="T370" s="460" t="str">
        <f t="shared" ca="1" si="81"/>
        <v/>
      </c>
      <c r="U370" s="460" t="str">
        <f t="shared" ca="1" si="81"/>
        <v/>
      </c>
      <c r="V370" s="460" t="str">
        <f t="shared" ca="1" si="81"/>
        <v/>
      </c>
      <c r="W370" s="460" t="str">
        <f t="shared" ca="1" si="81"/>
        <v/>
      </c>
      <c r="X370" s="460" t="str">
        <f t="shared" ca="1" si="81"/>
        <v/>
      </c>
      <c r="Y370" s="460" t="str">
        <f t="shared" ca="1" si="81"/>
        <v/>
      </c>
      <c r="Z370" s="460" t="str">
        <f t="shared" ca="1" si="81"/>
        <v/>
      </c>
      <c r="AA370" s="461" t="str">
        <f t="shared" ca="1" si="81"/>
        <v/>
      </c>
      <c r="AB370" s="474" t="str">
        <f t="shared" ca="1" si="81"/>
        <v/>
      </c>
      <c r="AC370" s="475" t="str">
        <f t="shared" ca="1" si="81"/>
        <v/>
      </c>
      <c r="AD370" s="477" t="str">
        <f t="shared" ca="1" si="74"/>
        <v/>
      </c>
      <c r="AE370" s="478">
        <f t="shared" ca="1" si="75"/>
        <v>0</v>
      </c>
      <c r="AF370" s="459" t="str">
        <f t="shared" ca="1" si="79"/>
        <v/>
      </c>
      <c r="AG370" s="460" t="str">
        <f t="shared" ca="1" si="79"/>
        <v/>
      </c>
      <c r="AH370" s="460" t="str">
        <f t="shared" ca="1" si="79"/>
        <v/>
      </c>
      <c r="AI370" s="460" t="str">
        <f t="shared" ca="1" si="79"/>
        <v/>
      </c>
      <c r="AJ370" s="460" t="str">
        <f t="shared" ca="1" si="79"/>
        <v/>
      </c>
      <c r="AK370" s="460" t="str">
        <f t="shared" ca="1" si="79"/>
        <v/>
      </c>
      <c r="AL370" s="460" t="str">
        <f t="shared" ca="1" si="79"/>
        <v/>
      </c>
      <c r="AM370" s="460" t="str">
        <f t="shared" ca="1" si="79"/>
        <v/>
      </c>
      <c r="AN370" s="461" t="str">
        <f t="shared" ca="1" si="79"/>
        <v/>
      </c>
      <c r="AO370" s="474" t="str">
        <f t="shared" ca="1" si="79"/>
        <v/>
      </c>
      <c r="AP370" s="475" t="str">
        <f t="shared" ca="1" si="79"/>
        <v/>
      </c>
      <c r="AQ370" s="479" t="str">
        <f t="array" aca="1" ref="AQ370" ca="1">IF(ROW()-5&lt;=COUNTIF(科目编号,$AR$2),SMALL(IF(科目编号=$AR$2,ROW(科目编号),""),ROW()-5),"")</f>
        <v/>
      </c>
      <c r="AR370" s="480" t="str">
        <f ca="1">IF($BG$2=0,"",IF(AR369="本月合计","本年累计",IF(OR(ROW()=$AU$3,ROW()=$AV$3,ROW()=$AW$3,ROW()=$AX$3,ROW()=$AY$3,ROW()=$AZ$3,ROW()=$BA$3,ROW()=$BB$3,ROW()=$BC$3,ROW()=$BD$3,ROW()=$BE$3,ROW()=$BF$3),"本月合计",IF(ROW()&lt;7,$AQ$6,OFFSET($AQ$6,COUNT($AR$6:AR369),0)))))</f>
        <v/>
      </c>
    </row>
    <row r="371" spans="1:44">
      <c r="A371" s="469" t="str">
        <f ca="1">IFERROR(INDEX(凭证录入!A:A,$AR371),"")</f>
        <v/>
      </c>
      <c r="B371" s="469" t="str">
        <f ca="1">IFERROR(INDEX(凭证录入!B:B,$AR371),"")</f>
        <v/>
      </c>
      <c r="C371" s="470" t="str">
        <f ca="1">IFERROR(INDEX(凭证录入!G:G,$AR371),"")</f>
        <v/>
      </c>
      <c r="D371" s="471" t="str">
        <f ca="1">IFERROR(INDEX(凭证录入!F:F,$AR371),"")</f>
        <v/>
      </c>
      <c r="E371" s="472" t="str">
        <f ca="1">IFERROR(INDEX(凭证录入!H:H,$AR371),$AR371)</f>
        <v/>
      </c>
      <c r="F371" s="473">
        <f ca="1">IF(OR($BG$2=0,$AR371=""),,IF($AR371="本月合计",IF(ROW()=$BG$3,SUM($F$6:$F370),SUM(INDIRECT("$F$"&amp;OFFSET($AU$3,,MATCH(ROW(),$AU$3:$BF$3,)-2)+2&amp;":$E"&amp;ROW()-1))),IF($AR371="本年累计",SUMIF($AR$6:$AR371,"本月合计",$F$6:$F370),INDEX(凭证录入!K:K,$AR371))))</f>
        <v>0</v>
      </c>
      <c r="G371" s="459" t="str">
        <f t="shared" ca="1" si="80"/>
        <v/>
      </c>
      <c r="H371" s="460" t="str">
        <f t="shared" ca="1" si="80"/>
        <v/>
      </c>
      <c r="I371" s="460" t="str">
        <f t="shared" ca="1" si="80"/>
        <v/>
      </c>
      <c r="J371" s="460" t="str">
        <f t="shared" ca="1" si="80"/>
        <v/>
      </c>
      <c r="K371" s="460" t="str">
        <f t="shared" ca="1" si="80"/>
        <v/>
      </c>
      <c r="L371" s="460" t="str">
        <f t="shared" ca="1" si="80"/>
        <v/>
      </c>
      <c r="M371" s="460" t="str">
        <f t="shared" ca="1" si="80"/>
        <v/>
      </c>
      <c r="N371" s="460" t="str">
        <f t="shared" ca="1" si="80"/>
        <v/>
      </c>
      <c r="O371" s="461" t="str">
        <f t="shared" ca="1" si="80"/>
        <v/>
      </c>
      <c r="P371" s="474" t="str">
        <f t="shared" ca="1" si="80"/>
        <v/>
      </c>
      <c r="Q371" s="475" t="str">
        <f t="shared" ca="1" si="80"/>
        <v/>
      </c>
      <c r="R371" s="476">
        <f ca="1">IF(OR($BG$2=0,$AR371=""),,IF($AR371="本月合计",IF(ROW()=$BG$3,SUM($R$6:$R370),SUM(INDIRECT("$R$"&amp;OFFSET($AU$3,,MATCH(ROW(),$AU$3:$BF$3,)-2)+2&amp;":$R"&amp;ROW()-1))),IF($AR371="本年累计",SUMIF($AR$6:$AR371,"本月合计",$R$6:$R370),INDEX(凭证录入!L:L,$AR371))))</f>
        <v>0</v>
      </c>
      <c r="S371" s="459" t="str">
        <f t="shared" ca="1" si="81"/>
        <v/>
      </c>
      <c r="T371" s="460" t="str">
        <f t="shared" ca="1" si="81"/>
        <v/>
      </c>
      <c r="U371" s="460" t="str">
        <f t="shared" ca="1" si="81"/>
        <v/>
      </c>
      <c r="V371" s="460" t="str">
        <f t="shared" ca="1" si="81"/>
        <v/>
      </c>
      <c r="W371" s="460" t="str">
        <f t="shared" ca="1" si="81"/>
        <v/>
      </c>
      <c r="X371" s="460" t="str">
        <f t="shared" ca="1" si="81"/>
        <v/>
      </c>
      <c r="Y371" s="460" t="str">
        <f t="shared" ca="1" si="81"/>
        <v/>
      </c>
      <c r="Z371" s="460" t="str">
        <f t="shared" ca="1" si="81"/>
        <v/>
      </c>
      <c r="AA371" s="461" t="str">
        <f t="shared" ca="1" si="81"/>
        <v/>
      </c>
      <c r="AB371" s="474" t="str">
        <f t="shared" ca="1" si="81"/>
        <v/>
      </c>
      <c r="AC371" s="475" t="str">
        <f t="shared" ca="1" si="81"/>
        <v/>
      </c>
      <c r="AD371" s="477" t="str">
        <f t="shared" ca="1" si="74"/>
        <v/>
      </c>
      <c r="AE371" s="478">
        <f t="shared" ca="1" si="75"/>
        <v>0</v>
      </c>
      <c r="AF371" s="459" t="str">
        <f t="shared" ca="1" si="79"/>
        <v/>
      </c>
      <c r="AG371" s="460" t="str">
        <f t="shared" ca="1" si="79"/>
        <v/>
      </c>
      <c r="AH371" s="460" t="str">
        <f t="shared" ca="1" si="79"/>
        <v/>
      </c>
      <c r="AI371" s="460" t="str">
        <f t="shared" ca="1" si="79"/>
        <v/>
      </c>
      <c r="AJ371" s="460" t="str">
        <f t="shared" ca="1" si="79"/>
        <v/>
      </c>
      <c r="AK371" s="460" t="str">
        <f t="shared" ca="1" si="79"/>
        <v/>
      </c>
      <c r="AL371" s="460" t="str">
        <f t="shared" ca="1" si="79"/>
        <v/>
      </c>
      <c r="AM371" s="460" t="str">
        <f t="shared" ca="1" si="79"/>
        <v/>
      </c>
      <c r="AN371" s="461" t="str">
        <f t="shared" ca="1" si="79"/>
        <v/>
      </c>
      <c r="AO371" s="474" t="str">
        <f t="shared" ca="1" si="79"/>
        <v/>
      </c>
      <c r="AP371" s="475" t="str">
        <f t="shared" ca="1" si="79"/>
        <v/>
      </c>
      <c r="AQ371" s="479" t="str">
        <f t="array" aca="1" ref="AQ371" ca="1">IF(ROW()-5&lt;=COUNTIF(科目编号,$AR$2),SMALL(IF(科目编号=$AR$2,ROW(科目编号),""),ROW()-5),"")</f>
        <v/>
      </c>
      <c r="AR371" s="480" t="str">
        <f ca="1">IF($BG$2=0,"",IF(AR370="本月合计","本年累计",IF(OR(ROW()=$AU$3,ROW()=$AV$3,ROW()=$AW$3,ROW()=$AX$3,ROW()=$AY$3,ROW()=$AZ$3,ROW()=$BA$3,ROW()=$BB$3,ROW()=$BC$3,ROW()=$BD$3,ROW()=$BE$3,ROW()=$BF$3),"本月合计",IF(ROW()&lt;7,$AQ$6,OFFSET($AQ$6,COUNT($AR$6:AR370),0)))))</f>
        <v/>
      </c>
    </row>
    <row r="372" spans="1:44">
      <c r="A372" s="469" t="str">
        <f ca="1">IFERROR(INDEX(凭证录入!A:A,$AR372),"")</f>
        <v/>
      </c>
      <c r="B372" s="469" t="str">
        <f ca="1">IFERROR(INDEX(凭证录入!B:B,$AR372),"")</f>
        <v/>
      </c>
      <c r="C372" s="470" t="str">
        <f ca="1">IFERROR(INDEX(凭证录入!G:G,$AR372),"")</f>
        <v/>
      </c>
      <c r="D372" s="471" t="str">
        <f ca="1">IFERROR(INDEX(凭证录入!F:F,$AR372),"")</f>
        <v/>
      </c>
      <c r="E372" s="472" t="str">
        <f ca="1">IFERROR(INDEX(凭证录入!H:H,$AR372),$AR372)</f>
        <v/>
      </c>
      <c r="F372" s="473">
        <f ca="1">IF(OR($BG$2=0,$AR372=""),,IF($AR372="本月合计",IF(ROW()=$BG$3,SUM($F$6:$F371),SUM(INDIRECT("$F$"&amp;OFFSET($AU$3,,MATCH(ROW(),$AU$3:$BF$3,)-2)+2&amp;":$E"&amp;ROW()-1))),IF($AR372="本年累计",SUMIF($AR$6:$AR372,"本月合计",$F$6:$F371),INDEX(凭证录入!K:K,$AR372))))</f>
        <v>0</v>
      </c>
      <c r="G372" s="459" t="str">
        <f t="shared" ca="1" si="80"/>
        <v/>
      </c>
      <c r="H372" s="460" t="str">
        <f t="shared" ca="1" si="80"/>
        <v/>
      </c>
      <c r="I372" s="460" t="str">
        <f t="shared" ca="1" si="80"/>
        <v/>
      </c>
      <c r="J372" s="460" t="str">
        <f t="shared" ca="1" si="80"/>
        <v/>
      </c>
      <c r="K372" s="460" t="str">
        <f t="shared" ca="1" si="80"/>
        <v/>
      </c>
      <c r="L372" s="460" t="str">
        <f t="shared" ca="1" si="80"/>
        <v/>
      </c>
      <c r="M372" s="460" t="str">
        <f t="shared" ca="1" si="80"/>
        <v/>
      </c>
      <c r="N372" s="460" t="str">
        <f t="shared" ca="1" si="80"/>
        <v/>
      </c>
      <c r="O372" s="461" t="str">
        <f t="shared" ca="1" si="80"/>
        <v/>
      </c>
      <c r="P372" s="474" t="str">
        <f t="shared" ca="1" si="80"/>
        <v/>
      </c>
      <c r="Q372" s="475" t="str">
        <f t="shared" ca="1" si="80"/>
        <v/>
      </c>
      <c r="R372" s="476">
        <f ca="1">IF(OR($BG$2=0,$AR372=""),,IF($AR372="本月合计",IF(ROW()=$BG$3,SUM($R$6:$R371),SUM(INDIRECT("$R$"&amp;OFFSET($AU$3,,MATCH(ROW(),$AU$3:$BF$3,)-2)+2&amp;":$R"&amp;ROW()-1))),IF($AR372="本年累计",SUMIF($AR$6:$AR372,"本月合计",$R$6:$R371),INDEX(凭证录入!L:L,$AR372))))</f>
        <v>0</v>
      </c>
      <c r="S372" s="459" t="str">
        <f t="shared" ca="1" si="81"/>
        <v/>
      </c>
      <c r="T372" s="460" t="str">
        <f t="shared" ca="1" si="81"/>
        <v/>
      </c>
      <c r="U372" s="460" t="str">
        <f t="shared" ca="1" si="81"/>
        <v/>
      </c>
      <c r="V372" s="460" t="str">
        <f t="shared" ca="1" si="81"/>
        <v/>
      </c>
      <c r="W372" s="460" t="str">
        <f t="shared" ca="1" si="81"/>
        <v/>
      </c>
      <c r="X372" s="460" t="str">
        <f t="shared" ca="1" si="81"/>
        <v/>
      </c>
      <c r="Y372" s="460" t="str">
        <f t="shared" ca="1" si="81"/>
        <v/>
      </c>
      <c r="Z372" s="460" t="str">
        <f t="shared" ca="1" si="81"/>
        <v/>
      </c>
      <c r="AA372" s="461" t="str">
        <f t="shared" ca="1" si="81"/>
        <v/>
      </c>
      <c r="AB372" s="474" t="str">
        <f t="shared" ca="1" si="81"/>
        <v/>
      </c>
      <c r="AC372" s="475" t="str">
        <f t="shared" ca="1" si="81"/>
        <v/>
      </c>
      <c r="AD372" s="477" t="str">
        <f t="shared" ca="1" si="74"/>
        <v/>
      </c>
      <c r="AE372" s="478">
        <f t="shared" ca="1" si="75"/>
        <v>0</v>
      </c>
      <c r="AF372" s="459" t="str">
        <f t="shared" ca="1" si="79"/>
        <v/>
      </c>
      <c r="AG372" s="460" t="str">
        <f t="shared" ca="1" si="79"/>
        <v/>
      </c>
      <c r="AH372" s="460" t="str">
        <f t="shared" ca="1" si="79"/>
        <v/>
      </c>
      <c r="AI372" s="460" t="str">
        <f t="shared" ca="1" si="79"/>
        <v/>
      </c>
      <c r="AJ372" s="460" t="str">
        <f t="shared" ca="1" si="79"/>
        <v/>
      </c>
      <c r="AK372" s="460" t="str">
        <f t="shared" ca="1" si="79"/>
        <v/>
      </c>
      <c r="AL372" s="460" t="str">
        <f t="shared" ca="1" si="79"/>
        <v/>
      </c>
      <c r="AM372" s="460" t="str">
        <f t="shared" ca="1" si="79"/>
        <v/>
      </c>
      <c r="AN372" s="461" t="str">
        <f t="shared" ca="1" si="79"/>
        <v/>
      </c>
      <c r="AO372" s="474" t="str">
        <f t="shared" ca="1" si="79"/>
        <v/>
      </c>
      <c r="AP372" s="475" t="str">
        <f t="shared" ca="1" si="79"/>
        <v/>
      </c>
      <c r="AQ372" s="479" t="str">
        <f t="array" aca="1" ref="AQ372" ca="1">IF(ROW()-5&lt;=COUNTIF(科目编号,$AR$2),SMALL(IF(科目编号=$AR$2,ROW(科目编号),""),ROW()-5),"")</f>
        <v/>
      </c>
      <c r="AR372" s="480" t="str">
        <f ca="1">IF($BG$2=0,"",IF(AR371="本月合计","本年累计",IF(OR(ROW()=$AU$3,ROW()=$AV$3,ROW()=$AW$3,ROW()=$AX$3,ROW()=$AY$3,ROW()=$AZ$3,ROW()=$BA$3,ROW()=$BB$3,ROW()=$BC$3,ROW()=$BD$3,ROW()=$BE$3,ROW()=$BF$3),"本月合计",IF(ROW()&lt;7,$AQ$6,OFFSET($AQ$6,COUNT($AR$6:AR371),0)))))</f>
        <v/>
      </c>
    </row>
    <row r="373" spans="1:44">
      <c r="A373" s="469" t="str">
        <f ca="1">IFERROR(INDEX(凭证录入!A:A,$AR373),"")</f>
        <v/>
      </c>
      <c r="B373" s="469" t="str">
        <f ca="1">IFERROR(INDEX(凭证录入!B:B,$AR373),"")</f>
        <v/>
      </c>
      <c r="C373" s="470" t="str">
        <f ca="1">IFERROR(INDEX(凭证录入!G:G,$AR373),"")</f>
        <v/>
      </c>
      <c r="D373" s="471" t="str">
        <f ca="1">IFERROR(INDEX(凭证录入!F:F,$AR373),"")</f>
        <v/>
      </c>
      <c r="E373" s="472" t="str">
        <f ca="1">IFERROR(INDEX(凭证录入!H:H,$AR373),$AR373)</f>
        <v/>
      </c>
      <c r="F373" s="473">
        <f ca="1">IF(OR($BG$2=0,$AR373=""),,IF($AR373="本月合计",IF(ROW()=$BG$3,SUM($F$6:$F372),SUM(INDIRECT("$F$"&amp;OFFSET($AU$3,,MATCH(ROW(),$AU$3:$BF$3,)-2)+2&amp;":$E"&amp;ROW()-1))),IF($AR373="本年累计",SUMIF($AR$6:$AR373,"本月合计",$F$6:$F372),INDEX(凭证录入!K:K,$AR373))))</f>
        <v>0</v>
      </c>
      <c r="G373" s="459" t="str">
        <f t="shared" ca="1" si="80"/>
        <v/>
      </c>
      <c r="H373" s="460" t="str">
        <f t="shared" ca="1" si="80"/>
        <v/>
      </c>
      <c r="I373" s="460" t="str">
        <f t="shared" ca="1" si="80"/>
        <v/>
      </c>
      <c r="J373" s="460" t="str">
        <f t="shared" ca="1" si="80"/>
        <v/>
      </c>
      <c r="K373" s="460" t="str">
        <f t="shared" ca="1" si="80"/>
        <v/>
      </c>
      <c r="L373" s="460" t="str">
        <f t="shared" ca="1" si="80"/>
        <v/>
      </c>
      <c r="M373" s="460" t="str">
        <f t="shared" ca="1" si="80"/>
        <v/>
      </c>
      <c r="N373" s="460" t="str">
        <f t="shared" ca="1" si="80"/>
        <v/>
      </c>
      <c r="O373" s="461" t="str">
        <f t="shared" ca="1" si="80"/>
        <v/>
      </c>
      <c r="P373" s="474" t="str">
        <f t="shared" ca="1" si="80"/>
        <v/>
      </c>
      <c r="Q373" s="475" t="str">
        <f t="shared" ca="1" si="80"/>
        <v/>
      </c>
      <c r="R373" s="476">
        <f ca="1">IF(OR($BG$2=0,$AR373=""),,IF($AR373="本月合计",IF(ROW()=$BG$3,SUM($R$6:$R372),SUM(INDIRECT("$R$"&amp;OFFSET($AU$3,,MATCH(ROW(),$AU$3:$BF$3,)-2)+2&amp;":$R"&amp;ROW()-1))),IF($AR373="本年累计",SUMIF($AR$6:$AR373,"本月合计",$R$6:$R372),INDEX(凭证录入!L:L,$AR373))))</f>
        <v>0</v>
      </c>
      <c r="S373" s="459" t="str">
        <f t="shared" ca="1" si="81"/>
        <v/>
      </c>
      <c r="T373" s="460" t="str">
        <f t="shared" ca="1" si="81"/>
        <v/>
      </c>
      <c r="U373" s="460" t="str">
        <f t="shared" ca="1" si="81"/>
        <v/>
      </c>
      <c r="V373" s="460" t="str">
        <f t="shared" ca="1" si="81"/>
        <v/>
      </c>
      <c r="W373" s="460" t="str">
        <f t="shared" ca="1" si="81"/>
        <v/>
      </c>
      <c r="X373" s="460" t="str">
        <f t="shared" ca="1" si="81"/>
        <v/>
      </c>
      <c r="Y373" s="460" t="str">
        <f t="shared" ca="1" si="81"/>
        <v/>
      </c>
      <c r="Z373" s="460" t="str">
        <f t="shared" ca="1" si="81"/>
        <v/>
      </c>
      <c r="AA373" s="461" t="str">
        <f t="shared" ca="1" si="81"/>
        <v/>
      </c>
      <c r="AB373" s="474" t="str">
        <f t="shared" ca="1" si="81"/>
        <v/>
      </c>
      <c r="AC373" s="475" t="str">
        <f t="shared" ca="1" si="81"/>
        <v/>
      </c>
      <c r="AD373" s="477" t="str">
        <f t="shared" ca="1" si="74"/>
        <v/>
      </c>
      <c r="AE373" s="478">
        <f t="shared" ca="1" si="75"/>
        <v>0</v>
      </c>
      <c r="AF373" s="459" t="str">
        <f t="shared" ref="AF373:AP388" ca="1" si="82">LEFT(RIGHT(TEXT($AE373/1%," ￥0; ￥-0;"),43-COLUMN()))</f>
        <v/>
      </c>
      <c r="AG373" s="460" t="str">
        <f t="shared" ca="1" si="82"/>
        <v/>
      </c>
      <c r="AH373" s="460" t="str">
        <f t="shared" ca="1" si="82"/>
        <v/>
      </c>
      <c r="AI373" s="460" t="str">
        <f t="shared" ca="1" si="82"/>
        <v/>
      </c>
      <c r="AJ373" s="460" t="str">
        <f t="shared" ca="1" si="82"/>
        <v/>
      </c>
      <c r="AK373" s="460" t="str">
        <f t="shared" ca="1" si="82"/>
        <v/>
      </c>
      <c r="AL373" s="460" t="str">
        <f t="shared" ca="1" si="82"/>
        <v/>
      </c>
      <c r="AM373" s="460" t="str">
        <f t="shared" ca="1" si="82"/>
        <v/>
      </c>
      <c r="AN373" s="461" t="str">
        <f t="shared" ca="1" si="82"/>
        <v/>
      </c>
      <c r="AO373" s="474" t="str">
        <f t="shared" ca="1" si="82"/>
        <v/>
      </c>
      <c r="AP373" s="475" t="str">
        <f t="shared" ca="1" si="82"/>
        <v/>
      </c>
      <c r="AQ373" s="479" t="str">
        <f t="array" aca="1" ref="AQ373" ca="1">IF(ROW()-5&lt;=COUNTIF(科目编号,$AR$2),SMALL(IF(科目编号=$AR$2,ROW(科目编号),""),ROW()-5),"")</f>
        <v/>
      </c>
      <c r="AR373" s="480" t="str">
        <f ca="1">IF($BG$2=0,"",IF(AR372="本月合计","本年累计",IF(OR(ROW()=$AU$3,ROW()=$AV$3,ROW()=$AW$3,ROW()=$AX$3,ROW()=$AY$3,ROW()=$AZ$3,ROW()=$BA$3,ROW()=$BB$3,ROW()=$BC$3,ROW()=$BD$3,ROW()=$BE$3,ROW()=$BF$3),"本月合计",IF(ROW()&lt;7,$AQ$6,OFFSET($AQ$6,COUNT($AR$6:AR372),0)))))</f>
        <v/>
      </c>
    </row>
    <row r="374" spans="1:44">
      <c r="A374" s="469" t="str">
        <f ca="1">IFERROR(INDEX(凭证录入!A:A,$AR374),"")</f>
        <v/>
      </c>
      <c r="B374" s="469" t="str">
        <f ca="1">IFERROR(INDEX(凭证录入!B:B,$AR374),"")</f>
        <v/>
      </c>
      <c r="C374" s="470" t="str">
        <f ca="1">IFERROR(INDEX(凭证录入!G:G,$AR374),"")</f>
        <v/>
      </c>
      <c r="D374" s="471" t="str">
        <f ca="1">IFERROR(INDEX(凭证录入!F:F,$AR374),"")</f>
        <v/>
      </c>
      <c r="E374" s="472" t="str">
        <f ca="1">IFERROR(INDEX(凭证录入!H:H,$AR374),$AR374)</f>
        <v/>
      </c>
      <c r="F374" s="473">
        <f ca="1">IF(OR($BG$2=0,$AR374=""),,IF($AR374="本月合计",IF(ROW()=$BG$3,SUM($F$6:$F373),SUM(INDIRECT("$F$"&amp;OFFSET($AU$3,,MATCH(ROW(),$AU$3:$BF$3,)-2)+2&amp;":$E"&amp;ROW()-1))),IF($AR374="本年累计",SUMIF($AR$6:$AR374,"本月合计",$F$6:$F373),INDEX(凭证录入!K:K,$AR374))))</f>
        <v>0</v>
      </c>
      <c r="G374" s="459" t="str">
        <f t="shared" ref="G374:Q389" ca="1" si="83">LEFT(RIGHT(TEXT($F374/1%," ￥0; ￥-0;"),18-COLUMN()))</f>
        <v/>
      </c>
      <c r="H374" s="460" t="str">
        <f t="shared" ca="1" si="83"/>
        <v/>
      </c>
      <c r="I374" s="460" t="str">
        <f t="shared" ca="1" si="83"/>
        <v/>
      </c>
      <c r="J374" s="460" t="str">
        <f t="shared" ca="1" si="83"/>
        <v/>
      </c>
      <c r="K374" s="460" t="str">
        <f t="shared" ca="1" si="83"/>
        <v/>
      </c>
      <c r="L374" s="460" t="str">
        <f t="shared" ca="1" si="83"/>
        <v/>
      </c>
      <c r="M374" s="460" t="str">
        <f t="shared" ca="1" si="83"/>
        <v/>
      </c>
      <c r="N374" s="460" t="str">
        <f t="shared" ca="1" si="83"/>
        <v/>
      </c>
      <c r="O374" s="461" t="str">
        <f t="shared" ca="1" si="83"/>
        <v/>
      </c>
      <c r="P374" s="474" t="str">
        <f t="shared" ca="1" si="83"/>
        <v/>
      </c>
      <c r="Q374" s="475" t="str">
        <f t="shared" ca="1" si="83"/>
        <v/>
      </c>
      <c r="R374" s="476">
        <f ca="1">IF(OR($BG$2=0,$AR374=""),,IF($AR374="本月合计",IF(ROW()=$BG$3,SUM($R$6:$R373),SUM(INDIRECT("$R$"&amp;OFFSET($AU$3,,MATCH(ROW(),$AU$3:$BF$3,)-2)+2&amp;":$R"&amp;ROW()-1))),IF($AR374="本年累计",SUMIF($AR$6:$AR374,"本月合计",$R$6:$R373),INDEX(凭证录入!L:L,$AR374))))</f>
        <v>0</v>
      </c>
      <c r="S374" s="459" t="str">
        <f t="shared" ref="S374:AC389" ca="1" si="84">LEFT(RIGHT(TEXT($R374/1%," ￥0; ￥-0;"),30-COLUMN()))</f>
        <v/>
      </c>
      <c r="T374" s="460" t="str">
        <f t="shared" ca="1" si="84"/>
        <v/>
      </c>
      <c r="U374" s="460" t="str">
        <f t="shared" ca="1" si="84"/>
        <v/>
      </c>
      <c r="V374" s="460" t="str">
        <f t="shared" ca="1" si="84"/>
        <v/>
      </c>
      <c r="W374" s="460" t="str">
        <f t="shared" ca="1" si="84"/>
        <v/>
      </c>
      <c r="X374" s="460" t="str">
        <f t="shared" ca="1" si="84"/>
        <v/>
      </c>
      <c r="Y374" s="460" t="str">
        <f t="shared" ca="1" si="84"/>
        <v/>
      </c>
      <c r="Z374" s="460" t="str">
        <f t="shared" ca="1" si="84"/>
        <v/>
      </c>
      <c r="AA374" s="461" t="str">
        <f t="shared" ca="1" si="84"/>
        <v/>
      </c>
      <c r="AB374" s="474" t="str">
        <f t="shared" ca="1" si="84"/>
        <v/>
      </c>
      <c r="AC374" s="475" t="str">
        <f t="shared" ca="1" si="84"/>
        <v/>
      </c>
      <c r="AD374" s="477" t="str">
        <f t="shared" ca="1" si="74"/>
        <v/>
      </c>
      <c r="AE374" s="478">
        <f t="shared" ca="1" si="75"/>
        <v>0</v>
      </c>
      <c r="AF374" s="459" t="str">
        <f t="shared" ca="1" si="82"/>
        <v/>
      </c>
      <c r="AG374" s="460" t="str">
        <f t="shared" ca="1" si="82"/>
        <v/>
      </c>
      <c r="AH374" s="460" t="str">
        <f t="shared" ca="1" si="82"/>
        <v/>
      </c>
      <c r="AI374" s="460" t="str">
        <f t="shared" ca="1" si="82"/>
        <v/>
      </c>
      <c r="AJ374" s="460" t="str">
        <f t="shared" ca="1" si="82"/>
        <v/>
      </c>
      <c r="AK374" s="460" t="str">
        <f t="shared" ca="1" si="82"/>
        <v/>
      </c>
      <c r="AL374" s="460" t="str">
        <f t="shared" ca="1" si="82"/>
        <v/>
      </c>
      <c r="AM374" s="460" t="str">
        <f t="shared" ca="1" si="82"/>
        <v/>
      </c>
      <c r="AN374" s="461" t="str">
        <f t="shared" ca="1" si="82"/>
        <v/>
      </c>
      <c r="AO374" s="474" t="str">
        <f t="shared" ca="1" si="82"/>
        <v/>
      </c>
      <c r="AP374" s="475" t="str">
        <f t="shared" ca="1" si="82"/>
        <v/>
      </c>
      <c r="AQ374" s="479" t="str">
        <f t="array" aca="1" ref="AQ374" ca="1">IF(ROW()-5&lt;=COUNTIF(科目编号,$AR$2),SMALL(IF(科目编号=$AR$2,ROW(科目编号),""),ROW()-5),"")</f>
        <v/>
      </c>
      <c r="AR374" s="480" t="str">
        <f ca="1">IF($BG$2=0,"",IF(AR373="本月合计","本年累计",IF(OR(ROW()=$AU$3,ROW()=$AV$3,ROW()=$AW$3,ROW()=$AX$3,ROW()=$AY$3,ROW()=$AZ$3,ROW()=$BA$3,ROW()=$BB$3,ROW()=$BC$3,ROW()=$BD$3,ROW()=$BE$3,ROW()=$BF$3),"本月合计",IF(ROW()&lt;7,$AQ$6,OFFSET($AQ$6,COUNT($AR$6:AR373),0)))))</f>
        <v/>
      </c>
    </row>
    <row r="375" spans="1:44">
      <c r="A375" s="469" t="str">
        <f ca="1">IFERROR(INDEX(凭证录入!A:A,$AR375),"")</f>
        <v/>
      </c>
      <c r="B375" s="469" t="str">
        <f ca="1">IFERROR(INDEX(凭证录入!B:B,$AR375),"")</f>
        <v/>
      </c>
      <c r="C375" s="470" t="str">
        <f ca="1">IFERROR(INDEX(凭证录入!G:G,$AR375),"")</f>
        <v/>
      </c>
      <c r="D375" s="471" t="str">
        <f ca="1">IFERROR(INDEX(凭证录入!F:F,$AR375),"")</f>
        <v/>
      </c>
      <c r="E375" s="472" t="str">
        <f ca="1">IFERROR(INDEX(凭证录入!H:H,$AR375),$AR375)</f>
        <v/>
      </c>
      <c r="F375" s="473">
        <f ca="1">IF(OR($BG$2=0,$AR375=""),,IF($AR375="本月合计",IF(ROW()=$BG$3,SUM($F$6:$F374),SUM(INDIRECT("$F$"&amp;OFFSET($AU$3,,MATCH(ROW(),$AU$3:$BF$3,)-2)+2&amp;":$E"&amp;ROW()-1))),IF($AR375="本年累计",SUMIF($AR$6:$AR375,"本月合计",$F$6:$F374),INDEX(凭证录入!K:K,$AR375))))</f>
        <v>0</v>
      </c>
      <c r="G375" s="459" t="str">
        <f t="shared" ca="1" si="83"/>
        <v/>
      </c>
      <c r="H375" s="460" t="str">
        <f t="shared" ca="1" si="83"/>
        <v/>
      </c>
      <c r="I375" s="460" t="str">
        <f t="shared" ca="1" si="83"/>
        <v/>
      </c>
      <c r="J375" s="460" t="str">
        <f t="shared" ca="1" si="83"/>
        <v/>
      </c>
      <c r="K375" s="460" t="str">
        <f t="shared" ca="1" si="83"/>
        <v/>
      </c>
      <c r="L375" s="460" t="str">
        <f t="shared" ca="1" si="83"/>
        <v/>
      </c>
      <c r="M375" s="460" t="str">
        <f t="shared" ca="1" si="83"/>
        <v/>
      </c>
      <c r="N375" s="460" t="str">
        <f t="shared" ca="1" si="83"/>
        <v/>
      </c>
      <c r="O375" s="461" t="str">
        <f t="shared" ca="1" si="83"/>
        <v/>
      </c>
      <c r="P375" s="474" t="str">
        <f t="shared" ca="1" si="83"/>
        <v/>
      </c>
      <c r="Q375" s="475" t="str">
        <f t="shared" ca="1" si="83"/>
        <v/>
      </c>
      <c r="R375" s="476">
        <f ca="1">IF(OR($BG$2=0,$AR375=""),,IF($AR375="本月合计",IF(ROW()=$BG$3,SUM($R$6:$R374),SUM(INDIRECT("$R$"&amp;OFFSET($AU$3,,MATCH(ROW(),$AU$3:$BF$3,)-2)+2&amp;":$R"&amp;ROW()-1))),IF($AR375="本年累计",SUMIF($AR$6:$AR375,"本月合计",$R$6:$R374),INDEX(凭证录入!L:L,$AR375))))</f>
        <v>0</v>
      </c>
      <c r="S375" s="459" t="str">
        <f t="shared" ca="1" si="84"/>
        <v/>
      </c>
      <c r="T375" s="460" t="str">
        <f t="shared" ca="1" si="84"/>
        <v/>
      </c>
      <c r="U375" s="460" t="str">
        <f t="shared" ca="1" si="84"/>
        <v/>
      </c>
      <c r="V375" s="460" t="str">
        <f t="shared" ca="1" si="84"/>
        <v/>
      </c>
      <c r="W375" s="460" t="str">
        <f t="shared" ca="1" si="84"/>
        <v/>
      </c>
      <c r="X375" s="460" t="str">
        <f t="shared" ca="1" si="84"/>
        <v/>
      </c>
      <c r="Y375" s="460" t="str">
        <f t="shared" ca="1" si="84"/>
        <v/>
      </c>
      <c r="Z375" s="460" t="str">
        <f t="shared" ca="1" si="84"/>
        <v/>
      </c>
      <c r="AA375" s="461" t="str">
        <f t="shared" ca="1" si="84"/>
        <v/>
      </c>
      <c r="AB375" s="474" t="str">
        <f t="shared" ca="1" si="84"/>
        <v/>
      </c>
      <c r="AC375" s="475" t="str">
        <f t="shared" ca="1" si="84"/>
        <v/>
      </c>
      <c r="AD375" s="477" t="str">
        <f t="shared" ca="1" si="74"/>
        <v/>
      </c>
      <c r="AE375" s="478">
        <f t="shared" ca="1" si="75"/>
        <v>0</v>
      </c>
      <c r="AF375" s="459" t="str">
        <f t="shared" ca="1" si="82"/>
        <v/>
      </c>
      <c r="AG375" s="460" t="str">
        <f t="shared" ca="1" si="82"/>
        <v/>
      </c>
      <c r="AH375" s="460" t="str">
        <f t="shared" ca="1" si="82"/>
        <v/>
      </c>
      <c r="AI375" s="460" t="str">
        <f t="shared" ca="1" si="82"/>
        <v/>
      </c>
      <c r="AJ375" s="460" t="str">
        <f t="shared" ca="1" si="82"/>
        <v/>
      </c>
      <c r="AK375" s="460" t="str">
        <f t="shared" ca="1" si="82"/>
        <v/>
      </c>
      <c r="AL375" s="460" t="str">
        <f t="shared" ca="1" si="82"/>
        <v/>
      </c>
      <c r="AM375" s="460" t="str">
        <f t="shared" ca="1" si="82"/>
        <v/>
      </c>
      <c r="AN375" s="461" t="str">
        <f t="shared" ca="1" si="82"/>
        <v/>
      </c>
      <c r="AO375" s="474" t="str">
        <f t="shared" ca="1" si="82"/>
        <v/>
      </c>
      <c r="AP375" s="475" t="str">
        <f t="shared" ca="1" si="82"/>
        <v/>
      </c>
      <c r="AQ375" s="479" t="str">
        <f t="array" aca="1" ref="AQ375" ca="1">IF(ROW()-5&lt;=COUNTIF(科目编号,$AR$2),SMALL(IF(科目编号=$AR$2,ROW(科目编号),""),ROW()-5),"")</f>
        <v/>
      </c>
      <c r="AR375" s="480" t="str">
        <f ca="1">IF($BG$2=0,"",IF(AR374="本月合计","本年累计",IF(OR(ROW()=$AU$3,ROW()=$AV$3,ROW()=$AW$3,ROW()=$AX$3,ROW()=$AY$3,ROW()=$AZ$3,ROW()=$BA$3,ROW()=$BB$3,ROW()=$BC$3,ROW()=$BD$3,ROW()=$BE$3,ROW()=$BF$3),"本月合计",IF(ROW()&lt;7,$AQ$6,OFFSET($AQ$6,COUNT($AR$6:AR374),0)))))</f>
        <v/>
      </c>
    </row>
    <row r="376" spans="1:44">
      <c r="A376" s="469" t="str">
        <f ca="1">IFERROR(INDEX(凭证录入!A:A,$AR376),"")</f>
        <v/>
      </c>
      <c r="B376" s="469" t="str">
        <f ca="1">IFERROR(INDEX(凭证录入!B:B,$AR376),"")</f>
        <v/>
      </c>
      <c r="C376" s="470" t="str">
        <f ca="1">IFERROR(INDEX(凭证录入!G:G,$AR376),"")</f>
        <v/>
      </c>
      <c r="D376" s="471" t="str">
        <f ca="1">IFERROR(INDEX(凭证录入!F:F,$AR376),"")</f>
        <v/>
      </c>
      <c r="E376" s="472" t="str">
        <f ca="1">IFERROR(INDEX(凭证录入!H:H,$AR376),$AR376)</f>
        <v/>
      </c>
      <c r="F376" s="473">
        <f ca="1">IF(OR($BG$2=0,$AR376=""),,IF($AR376="本月合计",IF(ROW()=$BG$3,SUM($F$6:$F375),SUM(INDIRECT("$F$"&amp;OFFSET($AU$3,,MATCH(ROW(),$AU$3:$BF$3,)-2)+2&amp;":$E"&amp;ROW()-1))),IF($AR376="本年累计",SUMIF($AR$6:$AR376,"本月合计",$F$6:$F375),INDEX(凭证录入!K:K,$AR376))))</f>
        <v>0</v>
      </c>
      <c r="G376" s="459" t="str">
        <f t="shared" ca="1" si="83"/>
        <v/>
      </c>
      <c r="H376" s="460" t="str">
        <f t="shared" ca="1" si="83"/>
        <v/>
      </c>
      <c r="I376" s="460" t="str">
        <f t="shared" ca="1" si="83"/>
        <v/>
      </c>
      <c r="J376" s="460" t="str">
        <f t="shared" ca="1" si="83"/>
        <v/>
      </c>
      <c r="K376" s="460" t="str">
        <f t="shared" ca="1" si="83"/>
        <v/>
      </c>
      <c r="L376" s="460" t="str">
        <f t="shared" ca="1" si="83"/>
        <v/>
      </c>
      <c r="M376" s="460" t="str">
        <f t="shared" ca="1" si="83"/>
        <v/>
      </c>
      <c r="N376" s="460" t="str">
        <f t="shared" ca="1" si="83"/>
        <v/>
      </c>
      <c r="O376" s="461" t="str">
        <f t="shared" ca="1" si="83"/>
        <v/>
      </c>
      <c r="P376" s="474" t="str">
        <f t="shared" ca="1" si="83"/>
        <v/>
      </c>
      <c r="Q376" s="475" t="str">
        <f t="shared" ca="1" si="83"/>
        <v/>
      </c>
      <c r="R376" s="476">
        <f ca="1">IF(OR($BG$2=0,$AR376=""),,IF($AR376="本月合计",IF(ROW()=$BG$3,SUM($R$6:$R375),SUM(INDIRECT("$R$"&amp;OFFSET($AU$3,,MATCH(ROW(),$AU$3:$BF$3,)-2)+2&amp;":$R"&amp;ROW()-1))),IF($AR376="本年累计",SUMIF($AR$6:$AR376,"本月合计",$R$6:$R375),INDEX(凭证录入!L:L,$AR376))))</f>
        <v>0</v>
      </c>
      <c r="S376" s="459" t="str">
        <f t="shared" ca="1" si="84"/>
        <v/>
      </c>
      <c r="T376" s="460" t="str">
        <f t="shared" ca="1" si="84"/>
        <v/>
      </c>
      <c r="U376" s="460" t="str">
        <f t="shared" ca="1" si="84"/>
        <v/>
      </c>
      <c r="V376" s="460" t="str">
        <f t="shared" ca="1" si="84"/>
        <v/>
      </c>
      <c r="W376" s="460" t="str">
        <f t="shared" ca="1" si="84"/>
        <v/>
      </c>
      <c r="X376" s="460" t="str">
        <f t="shared" ca="1" si="84"/>
        <v/>
      </c>
      <c r="Y376" s="460" t="str">
        <f t="shared" ca="1" si="84"/>
        <v/>
      </c>
      <c r="Z376" s="460" t="str">
        <f t="shared" ca="1" si="84"/>
        <v/>
      </c>
      <c r="AA376" s="461" t="str">
        <f t="shared" ca="1" si="84"/>
        <v/>
      </c>
      <c r="AB376" s="474" t="str">
        <f t="shared" ca="1" si="84"/>
        <v/>
      </c>
      <c r="AC376" s="475" t="str">
        <f t="shared" ca="1" si="84"/>
        <v/>
      </c>
      <c r="AD376" s="477" t="str">
        <f t="shared" ca="1" si="74"/>
        <v/>
      </c>
      <c r="AE376" s="478">
        <f t="shared" ca="1" si="75"/>
        <v>0</v>
      </c>
      <c r="AF376" s="459" t="str">
        <f t="shared" ca="1" si="82"/>
        <v/>
      </c>
      <c r="AG376" s="460" t="str">
        <f t="shared" ca="1" si="82"/>
        <v/>
      </c>
      <c r="AH376" s="460" t="str">
        <f t="shared" ca="1" si="82"/>
        <v/>
      </c>
      <c r="AI376" s="460" t="str">
        <f t="shared" ca="1" si="82"/>
        <v/>
      </c>
      <c r="AJ376" s="460" t="str">
        <f t="shared" ca="1" si="82"/>
        <v/>
      </c>
      <c r="AK376" s="460" t="str">
        <f t="shared" ca="1" si="82"/>
        <v/>
      </c>
      <c r="AL376" s="460" t="str">
        <f t="shared" ca="1" si="82"/>
        <v/>
      </c>
      <c r="AM376" s="460" t="str">
        <f t="shared" ca="1" si="82"/>
        <v/>
      </c>
      <c r="AN376" s="461" t="str">
        <f t="shared" ca="1" si="82"/>
        <v/>
      </c>
      <c r="AO376" s="474" t="str">
        <f t="shared" ca="1" si="82"/>
        <v/>
      </c>
      <c r="AP376" s="475" t="str">
        <f t="shared" ca="1" si="82"/>
        <v/>
      </c>
      <c r="AQ376" s="479" t="str">
        <f t="array" aca="1" ref="AQ376" ca="1">IF(ROW()-5&lt;=COUNTIF(科目编号,$AR$2),SMALL(IF(科目编号=$AR$2,ROW(科目编号),""),ROW()-5),"")</f>
        <v/>
      </c>
      <c r="AR376" s="480" t="str">
        <f ca="1">IF($BG$2=0,"",IF(AR375="本月合计","本年累计",IF(OR(ROW()=$AU$3,ROW()=$AV$3,ROW()=$AW$3,ROW()=$AX$3,ROW()=$AY$3,ROW()=$AZ$3,ROW()=$BA$3,ROW()=$BB$3,ROW()=$BC$3,ROW()=$BD$3,ROW()=$BE$3,ROW()=$BF$3),"本月合计",IF(ROW()&lt;7,$AQ$6,OFFSET($AQ$6,COUNT($AR$6:AR375),0)))))</f>
        <v/>
      </c>
    </row>
    <row r="377" spans="1:44">
      <c r="A377" s="469" t="str">
        <f ca="1">IFERROR(INDEX(凭证录入!A:A,$AR377),"")</f>
        <v/>
      </c>
      <c r="B377" s="469" t="str">
        <f ca="1">IFERROR(INDEX(凭证录入!B:B,$AR377),"")</f>
        <v/>
      </c>
      <c r="C377" s="470" t="str">
        <f ca="1">IFERROR(INDEX(凭证录入!G:G,$AR377),"")</f>
        <v/>
      </c>
      <c r="D377" s="471" t="str">
        <f ca="1">IFERROR(INDEX(凭证录入!F:F,$AR377),"")</f>
        <v/>
      </c>
      <c r="E377" s="472" t="str">
        <f ca="1">IFERROR(INDEX(凭证录入!H:H,$AR377),$AR377)</f>
        <v/>
      </c>
      <c r="F377" s="473">
        <f ca="1">IF(OR($BG$2=0,$AR377=""),,IF($AR377="本月合计",IF(ROW()=$BG$3,SUM($F$6:$F376),SUM(INDIRECT("$F$"&amp;OFFSET($AU$3,,MATCH(ROW(),$AU$3:$BF$3,)-2)+2&amp;":$E"&amp;ROW()-1))),IF($AR377="本年累计",SUMIF($AR$6:$AR377,"本月合计",$F$6:$F376),INDEX(凭证录入!K:K,$AR377))))</f>
        <v>0</v>
      </c>
      <c r="G377" s="459" t="str">
        <f t="shared" ca="1" si="83"/>
        <v/>
      </c>
      <c r="H377" s="460" t="str">
        <f t="shared" ca="1" si="83"/>
        <v/>
      </c>
      <c r="I377" s="460" t="str">
        <f t="shared" ca="1" si="83"/>
        <v/>
      </c>
      <c r="J377" s="460" t="str">
        <f t="shared" ca="1" si="83"/>
        <v/>
      </c>
      <c r="K377" s="460" t="str">
        <f t="shared" ca="1" si="83"/>
        <v/>
      </c>
      <c r="L377" s="460" t="str">
        <f t="shared" ca="1" si="83"/>
        <v/>
      </c>
      <c r="M377" s="460" t="str">
        <f t="shared" ca="1" si="83"/>
        <v/>
      </c>
      <c r="N377" s="460" t="str">
        <f t="shared" ca="1" si="83"/>
        <v/>
      </c>
      <c r="O377" s="461" t="str">
        <f t="shared" ca="1" si="83"/>
        <v/>
      </c>
      <c r="P377" s="474" t="str">
        <f t="shared" ca="1" si="83"/>
        <v/>
      </c>
      <c r="Q377" s="475" t="str">
        <f t="shared" ca="1" si="83"/>
        <v/>
      </c>
      <c r="R377" s="476">
        <f ca="1">IF(OR($BG$2=0,$AR377=""),,IF($AR377="本月合计",IF(ROW()=$BG$3,SUM($R$6:$R376),SUM(INDIRECT("$R$"&amp;OFFSET($AU$3,,MATCH(ROW(),$AU$3:$BF$3,)-2)+2&amp;":$R"&amp;ROW()-1))),IF($AR377="本年累计",SUMIF($AR$6:$AR377,"本月合计",$R$6:$R376),INDEX(凭证录入!L:L,$AR377))))</f>
        <v>0</v>
      </c>
      <c r="S377" s="459" t="str">
        <f t="shared" ca="1" si="84"/>
        <v/>
      </c>
      <c r="T377" s="460" t="str">
        <f t="shared" ca="1" si="84"/>
        <v/>
      </c>
      <c r="U377" s="460" t="str">
        <f t="shared" ca="1" si="84"/>
        <v/>
      </c>
      <c r="V377" s="460" t="str">
        <f t="shared" ca="1" si="84"/>
        <v/>
      </c>
      <c r="W377" s="460" t="str">
        <f t="shared" ca="1" si="84"/>
        <v/>
      </c>
      <c r="X377" s="460" t="str">
        <f t="shared" ca="1" si="84"/>
        <v/>
      </c>
      <c r="Y377" s="460" t="str">
        <f t="shared" ca="1" si="84"/>
        <v/>
      </c>
      <c r="Z377" s="460" t="str">
        <f t="shared" ca="1" si="84"/>
        <v/>
      </c>
      <c r="AA377" s="461" t="str">
        <f t="shared" ca="1" si="84"/>
        <v/>
      </c>
      <c r="AB377" s="474" t="str">
        <f t="shared" ca="1" si="84"/>
        <v/>
      </c>
      <c r="AC377" s="475" t="str">
        <f t="shared" ca="1" si="84"/>
        <v/>
      </c>
      <c r="AD377" s="477" t="str">
        <f t="shared" ca="1" si="74"/>
        <v/>
      </c>
      <c r="AE377" s="478">
        <f t="shared" ca="1" si="75"/>
        <v>0</v>
      </c>
      <c r="AF377" s="459" t="str">
        <f t="shared" ca="1" si="82"/>
        <v/>
      </c>
      <c r="AG377" s="460" t="str">
        <f t="shared" ca="1" si="82"/>
        <v/>
      </c>
      <c r="AH377" s="460" t="str">
        <f t="shared" ca="1" si="82"/>
        <v/>
      </c>
      <c r="AI377" s="460" t="str">
        <f t="shared" ca="1" si="82"/>
        <v/>
      </c>
      <c r="AJ377" s="460" t="str">
        <f t="shared" ca="1" si="82"/>
        <v/>
      </c>
      <c r="AK377" s="460" t="str">
        <f t="shared" ca="1" si="82"/>
        <v/>
      </c>
      <c r="AL377" s="460" t="str">
        <f t="shared" ca="1" si="82"/>
        <v/>
      </c>
      <c r="AM377" s="460" t="str">
        <f t="shared" ca="1" si="82"/>
        <v/>
      </c>
      <c r="AN377" s="461" t="str">
        <f t="shared" ca="1" si="82"/>
        <v/>
      </c>
      <c r="AO377" s="474" t="str">
        <f t="shared" ca="1" si="82"/>
        <v/>
      </c>
      <c r="AP377" s="475" t="str">
        <f t="shared" ca="1" si="82"/>
        <v/>
      </c>
      <c r="AQ377" s="479" t="str">
        <f t="array" aca="1" ref="AQ377" ca="1">IF(ROW()-5&lt;=COUNTIF(科目编号,$AR$2),SMALL(IF(科目编号=$AR$2,ROW(科目编号),""),ROW()-5),"")</f>
        <v/>
      </c>
      <c r="AR377" s="480" t="str">
        <f ca="1">IF($BG$2=0,"",IF(AR376="本月合计","本年累计",IF(OR(ROW()=$AU$3,ROW()=$AV$3,ROW()=$AW$3,ROW()=$AX$3,ROW()=$AY$3,ROW()=$AZ$3,ROW()=$BA$3,ROW()=$BB$3,ROW()=$BC$3,ROW()=$BD$3,ROW()=$BE$3,ROW()=$BF$3),"本月合计",IF(ROW()&lt;7,$AQ$6,OFFSET($AQ$6,COUNT($AR$6:AR376),0)))))</f>
        <v/>
      </c>
    </row>
    <row r="378" spans="1:44">
      <c r="A378" s="469" t="str">
        <f ca="1">IFERROR(INDEX(凭证录入!A:A,$AR378),"")</f>
        <v/>
      </c>
      <c r="B378" s="469" t="str">
        <f ca="1">IFERROR(INDEX(凭证录入!B:B,$AR378),"")</f>
        <v/>
      </c>
      <c r="C378" s="470" t="str">
        <f ca="1">IFERROR(INDEX(凭证录入!G:G,$AR378),"")</f>
        <v/>
      </c>
      <c r="D378" s="471" t="str">
        <f ca="1">IFERROR(INDEX(凭证录入!F:F,$AR378),"")</f>
        <v/>
      </c>
      <c r="E378" s="472" t="str">
        <f ca="1">IFERROR(INDEX(凭证录入!H:H,$AR378),$AR378)</f>
        <v/>
      </c>
      <c r="F378" s="473">
        <f ca="1">IF(OR($BG$2=0,$AR378=""),,IF($AR378="本月合计",IF(ROW()=$BG$3,SUM($F$6:$F377),SUM(INDIRECT("$F$"&amp;OFFSET($AU$3,,MATCH(ROW(),$AU$3:$BF$3,)-2)+2&amp;":$E"&amp;ROW()-1))),IF($AR378="本年累计",SUMIF($AR$6:$AR378,"本月合计",$F$6:$F377),INDEX(凭证录入!K:K,$AR378))))</f>
        <v>0</v>
      </c>
      <c r="G378" s="459" t="str">
        <f t="shared" ca="1" si="83"/>
        <v/>
      </c>
      <c r="H378" s="460" t="str">
        <f t="shared" ca="1" si="83"/>
        <v/>
      </c>
      <c r="I378" s="460" t="str">
        <f t="shared" ca="1" si="83"/>
        <v/>
      </c>
      <c r="J378" s="460" t="str">
        <f t="shared" ca="1" si="83"/>
        <v/>
      </c>
      <c r="K378" s="460" t="str">
        <f t="shared" ca="1" si="83"/>
        <v/>
      </c>
      <c r="L378" s="460" t="str">
        <f t="shared" ca="1" si="83"/>
        <v/>
      </c>
      <c r="M378" s="460" t="str">
        <f t="shared" ca="1" si="83"/>
        <v/>
      </c>
      <c r="N378" s="460" t="str">
        <f t="shared" ca="1" si="83"/>
        <v/>
      </c>
      <c r="O378" s="461" t="str">
        <f t="shared" ca="1" si="83"/>
        <v/>
      </c>
      <c r="P378" s="474" t="str">
        <f t="shared" ca="1" si="83"/>
        <v/>
      </c>
      <c r="Q378" s="475" t="str">
        <f t="shared" ca="1" si="83"/>
        <v/>
      </c>
      <c r="R378" s="476">
        <f ca="1">IF(OR($BG$2=0,$AR378=""),,IF($AR378="本月合计",IF(ROW()=$BG$3,SUM($R$6:$R377),SUM(INDIRECT("$R$"&amp;OFFSET($AU$3,,MATCH(ROW(),$AU$3:$BF$3,)-2)+2&amp;":$R"&amp;ROW()-1))),IF($AR378="本年累计",SUMIF($AR$6:$AR378,"本月合计",$R$6:$R377),INDEX(凭证录入!L:L,$AR378))))</f>
        <v>0</v>
      </c>
      <c r="S378" s="459" t="str">
        <f t="shared" ca="1" si="84"/>
        <v/>
      </c>
      <c r="T378" s="460" t="str">
        <f t="shared" ca="1" si="84"/>
        <v/>
      </c>
      <c r="U378" s="460" t="str">
        <f t="shared" ca="1" si="84"/>
        <v/>
      </c>
      <c r="V378" s="460" t="str">
        <f t="shared" ca="1" si="84"/>
        <v/>
      </c>
      <c r="W378" s="460" t="str">
        <f t="shared" ca="1" si="84"/>
        <v/>
      </c>
      <c r="X378" s="460" t="str">
        <f t="shared" ca="1" si="84"/>
        <v/>
      </c>
      <c r="Y378" s="460" t="str">
        <f t="shared" ca="1" si="84"/>
        <v/>
      </c>
      <c r="Z378" s="460" t="str">
        <f t="shared" ca="1" si="84"/>
        <v/>
      </c>
      <c r="AA378" s="461" t="str">
        <f t="shared" ca="1" si="84"/>
        <v/>
      </c>
      <c r="AB378" s="474" t="str">
        <f t="shared" ca="1" si="84"/>
        <v/>
      </c>
      <c r="AC378" s="475" t="str">
        <f t="shared" ca="1" si="84"/>
        <v/>
      </c>
      <c r="AD378" s="477" t="str">
        <f t="shared" ca="1" si="74"/>
        <v/>
      </c>
      <c r="AE378" s="478">
        <f t="shared" ca="1" si="75"/>
        <v>0</v>
      </c>
      <c r="AF378" s="459" t="str">
        <f t="shared" ca="1" si="82"/>
        <v/>
      </c>
      <c r="AG378" s="460" t="str">
        <f t="shared" ca="1" si="82"/>
        <v/>
      </c>
      <c r="AH378" s="460" t="str">
        <f t="shared" ca="1" si="82"/>
        <v/>
      </c>
      <c r="AI378" s="460" t="str">
        <f t="shared" ca="1" si="82"/>
        <v/>
      </c>
      <c r="AJ378" s="460" t="str">
        <f t="shared" ca="1" si="82"/>
        <v/>
      </c>
      <c r="AK378" s="460" t="str">
        <f t="shared" ca="1" si="82"/>
        <v/>
      </c>
      <c r="AL378" s="460" t="str">
        <f t="shared" ca="1" si="82"/>
        <v/>
      </c>
      <c r="AM378" s="460" t="str">
        <f t="shared" ca="1" si="82"/>
        <v/>
      </c>
      <c r="AN378" s="461" t="str">
        <f t="shared" ca="1" si="82"/>
        <v/>
      </c>
      <c r="AO378" s="474" t="str">
        <f t="shared" ca="1" si="82"/>
        <v/>
      </c>
      <c r="AP378" s="475" t="str">
        <f t="shared" ca="1" si="82"/>
        <v/>
      </c>
      <c r="AQ378" s="479" t="str">
        <f t="array" aca="1" ref="AQ378" ca="1">IF(ROW()-5&lt;=COUNTIF(科目编号,$AR$2),SMALL(IF(科目编号=$AR$2,ROW(科目编号),""),ROW()-5),"")</f>
        <v/>
      </c>
      <c r="AR378" s="480" t="str">
        <f ca="1">IF($BG$2=0,"",IF(AR377="本月合计","本年累计",IF(OR(ROW()=$AU$3,ROW()=$AV$3,ROW()=$AW$3,ROW()=$AX$3,ROW()=$AY$3,ROW()=$AZ$3,ROW()=$BA$3,ROW()=$BB$3,ROW()=$BC$3,ROW()=$BD$3,ROW()=$BE$3,ROW()=$BF$3),"本月合计",IF(ROW()&lt;7,$AQ$6,OFFSET($AQ$6,COUNT($AR$6:AR377),0)))))</f>
        <v/>
      </c>
    </row>
    <row r="379" spans="1:44">
      <c r="A379" s="469" t="str">
        <f ca="1">IFERROR(INDEX(凭证录入!A:A,$AR379),"")</f>
        <v/>
      </c>
      <c r="B379" s="469" t="str">
        <f ca="1">IFERROR(INDEX(凭证录入!B:B,$AR379),"")</f>
        <v/>
      </c>
      <c r="C379" s="470" t="str">
        <f ca="1">IFERROR(INDEX(凭证录入!G:G,$AR379),"")</f>
        <v/>
      </c>
      <c r="D379" s="471" t="str">
        <f ca="1">IFERROR(INDEX(凭证录入!F:F,$AR379),"")</f>
        <v/>
      </c>
      <c r="E379" s="472" t="str">
        <f ca="1">IFERROR(INDEX(凭证录入!H:H,$AR379),$AR379)</f>
        <v/>
      </c>
      <c r="F379" s="473">
        <f ca="1">IF(OR($BG$2=0,$AR379=""),,IF($AR379="本月合计",IF(ROW()=$BG$3,SUM($F$6:$F378),SUM(INDIRECT("$F$"&amp;OFFSET($AU$3,,MATCH(ROW(),$AU$3:$BF$3,)-2)+2&amp;":$E"&amp;ROW()-1))),IF($AR379="本年累计",SUMIF($AR$6:$AR379,"本月合计",$F$6:$F378),INDEX(凭证录入!K:K,$AR379))))</f>
        <v>0</v>
      </c>
      <c r="G379" s="459" t="str">
        <f t="shared" ca="1" si="83"/>
        <v/>
      </c>
      <c r="H379" s="460" t="str">
        <f t="shared" ca="1" si="83"/>
        <v/>
      </c>
      <c r="I379" s="460" t="str">
        <f t="shared" ca="1" si="83"/>
        <v/>
      </c>
      <c r="J379" s="460" t="str">
        <f t="shared" ca="1" si="83"/>
        <v/>
      </c>
      <c r="K379" s="460" t="str">
        <f t="shared" ca="1" si="83"/>
        <v/>
      </c>
      <c r="L379" s="460" t="str">
        <f t="shared" ca="1" si="83"/>
        <v/>
      </c>
      <c r="M379" s="460" t="str">
        <f t="shared" ca="1" si="83"/>
        <v/>
      </c>
      <c r="N379" s="460" t="str">
        <f t="shared" ca="1" si="83"/>
        <v/>
      </c>
      <c r="O379" s="461" t="str">
        <f t="shared" ca="1" si="83"/>
        <v/>
      </c>
      <c r="P379" s="474" t="str">
        <f t="shared" ca="1" si="83"/>
        <v/>
      </c>
      <c r="Q379" s="475" t="str">
        <f t="shared" ca="1" si="83"/>
        <v/>
      </c>
      <c r="R379" s="476">
        <f ca="1">IF(OR($BG$2=0,$AR379=""),,IF($AR379="本月合计",IF(ROW()=$BG$3,SUM($R$6:$R378),SUM(INDIRECT("$R$"&amp;OFFSET($AU$3,,MATCH(ROW(),$AU$3:$BF$3,)-2)+2&amp;":$R"&amp;ROW()-1))),IF($AR379="本年累计",SUMIF($AR$6:$AR379,"本月合计",$R$6:$R378),INDEX(凭证录入!L:L,$AR379))))</f>
        <v>0</v>
      </c>
      <c r="S379" s="459" t="str">
        <f t="shared" ca="1" si="84"/>
        <v/>
      </c>
      <c r="T379" s="460" t="str">
        <f t="shared" ca="1" si="84"/>
        <v/>
      </c>
      <c r="U379" s="460" t="str">
        <f t="shared" ca="1" si="84"/>
        <v/>
      </c>
      <c r="V379" s="460" t="str">
        <f t="shared" ca="1" si="84"/>
        <v/>
      </c>
      <c r="W379" s="460" t="str">
        <f t="shared" ca="1" si="84"/>
        <v/>
      </c>
      <c r="X379" s="460" t="str">
        <f t="shared" ca="1" si="84"/>
        <v/>
      </c>
      <c r="Y379" s="460" t="str">
        <f t="shared" ca="1" si="84"/>
        <v/>
      </c>
      <c r="Z379" s="460" t="str">
        <f t="shared" ca="1" si="84"/>
        <v/>
      </c>
      <c r="AA379" s="461" t="str">
        <f t="shared" ca="1" si="84"/>
        <v/>
      </c>
      <c r="AB379" s="474" t="str">
        <f t="shared" ca="1" si="84"/>
        <v/>
      </c>
      <c r="AC379" s="475" t="str">
        <f t="shared" ca="1" si="84"/>
        <v/>
      </c>
      <c r="AD379" s="477" t="str">
        <f t="shared" ca="1" si="74"/>
        <v/>
      </c>
      <c r="AE379" s="478">
        <f t="shared" ca="1" si="75"/>
        <v>0</v>
      </c>
      <c r="AF379" s="459" t="str">
        <f t="shared" ca="1" si="82"/>
        <v/>
      </c>
      <c r="AG379" s="460" t="str">
        <f t="shared" ca="1" si="82"/>
        <v/>
      </c>
      <c r="AH379" s="460" t="str">
        <f t="shared" ca="1" si="82"/>
        <v/>
      </c>
      <c r="AI379" s="460" t="str">
        <f t="shared" ca="1" si="82"/>
        <v/>
      </c>
      <c r="AJ379" s="460" t="str">
        <f t="shared" ca="1" si="82"/>
        <v/>
      </c>
      <c r="AK379" s="460" t="str">
        <f t="shared" ca="1" si="82"/>
        <v/>
      </c>
      <c r="AL379" s="460" t="str">
        <f t="shared" ca="1" si="82"/>
        <v/>
      </c>
      <c r="AM379" s="460" t="str">
        <f t="shared" ca="1" si="82"/>
        <v/>
      </c>
      <c r="AN379" s="461" t="str">
        <f t="shared" ca="1" si="82"/>
        <v/>
      </c>
      <c r="AO379" s="474" t="str">
        <f t="shared" ca="1" si="82"/>
        <v/>
      </c>
      <c r="AP379" s="475" t="str">
        <f t="shared" ca="1" si="82"/>
        <v/>
      </c>
      <c r="AQ379" s="479" t="str">
        <f t="array" aca="1" ref="AQ379" ca="1">IF(ROW()-5&lt;=COUNTIF(科目编号,$AR$2),SMALL(IF(科目编号=$AR$2,ROW(科目编号),""),ROW()-5),"")</f>
        <v/>
      </c>
      <c r="AR379" s="480" t="str">
        <f ca="1">IF($BG$2=0,"",IF(AR378="本月合计","本年累计",IF(OR(ROW()=$AU$3,ROW()=$AV$3,ROW()=$AW$3,ROW()=$AX$3,ROW()=$AY$3,ROW()=$AZ$3,ROW()=$BA$3,ROW()=$BB$3,ROW()=$BC$3,ROW()=$BD$3,ROW()=$BE$3,ROW()=$BF$3),"本月合计",IF(ROW()&lt;7,$AQ$6,OFFSET($AQ$6,COUNT($AR$6:AR378),0)))))</f>
        <v/>
      </c>
    </row>
    <row r="380" spans="1:44">
      <c r="A380" s="469" t="str">
        <f ca="1">IFERROR(INDEX(凭证录入!A:A,$AR380),"")</f>
        <v/>
      </c>
      <c r="B380" s="469" t="str">
        <f ca="1">IFERROR(INDEX(凭证录入!B:B,$AR380),"")</f>
        <v/>
      </c>
      <c r="C380" s="470" t="str">
        <f ca="1">IFERROR(INDEX(凭证录入!G:G,$AR380),"")</f>
        <v/>
      </c>
      <c r="D380" s="471" t="str">
        <f ca="1">IFERROR(INDEX(凭证录入!F:F,$AR380),"")</f>
        <v/>
      </c>
      <c r="E380" s="472" t="str">
        <f ca="1">IFERROR(INDEX(凭证录入!H:H,$AR380),$AR380)</f>
        <v/>
      </c>
      <c r="F380" s="473">
        <f ca="1">IF(OR($BG$2=0,$AR380=""),,IF($AR380="本月合计",IF(ROW()=$BG$3,SUM($F$6:$F379),SUM(INDIRECT("$F$"&amp;OFFSET($AU$3,,MATCH(ROW(),$AU$3:$BF$3,)-2)+2&amp;":$E"&amp;ROW()-1))),IF($AR380="本年累计",SUMIF($AR$6:$AR380,"本月合计",$F$6:$F379),INDEX(凭证录入!K:K,$AR380))))</f>
        <v>0</v>
      </c>
      <c r="G380" s="459" t="str">
        <f t="shared" ca="1" si="83"/>
        <v/>
      </c>
      <c r="H380" s="460" t="str">
        <f t="shared" ca="1" si="83"/>
        <v/>
      </c>
      <c r="I380" s="460" t="str">
        <f t="shared" ca="1" si="83"/>
        <v/>
      </c>
      <c r="J380" s="460" t="str">
        <f t="shared" ca="1" si="83"/>
        <v/>
      </c>
      <c r="K380" s="460" t="str">
        <f t="shared" ca="1" si="83"/>
        <v/>
      </c>
      <c r="L380" s="460" t="str">
        <f t="shared" ca="1" si="83"/>
        <v/>
      </c>
      <c r="M380" s="460" t="str">
        <f t="shared" ca="1" si="83"/>
        <v/>
      </c>
      <c r="N380" s="460" t="str">
        <f t="shared" ca="1" si="83"/>
        <v/>
      </c>
      <c r="O380" s="461" t="str">
        <f t="shared" ca="1" si="83"/>
        <v/>
      </c>
      <c r="P380" s="474" t="str">
        <f t="shared" ca="1" si="83"/>
        <v/>
      </c>
      <c r="Q380" s="475" t="str">
        <f t="shared" ca="1" si="83"/>
        <v/>
      </c>
      <c r="R380" s="476">
        <f ca="1">IF(OR($BG$2=0,$AR380=""),,IF($AR380="本月合计",IF(ROW()=$BG$3,SUM($R$6:$R379),SUM(INDIRECT("$R$"&amp;OFFSET($AU$3,,MATCH(ROW(),$AU$3:$BF$3,)-2)+2&amp;":$R"&amp;ROW()-1))),IF($AR380="本年累计",SUMIF($AR$6:$AR380,"本月合计",$R$6:$R379),INDEX(凭证录入!L:L,$AR380))))</f>
        <v>0</v>
      </c>
      <c r="S380" s="459" t="str">
        <f t="shared" ca="1" si="84"/>
        <v/>
      </c>
      <c r="T380" s="460" t="str">
        <f t="shared" ca="1" si="84"/>
        <v/>
      </c>
      <c r="U380" s="460" t="str">
        <f t="shared" ca="1" si="84"/>
        <v/>
      </c>
      <c r="V380" s="460" t="str">
        <f t="shared" ca="1" si="84"/>
        <v/>
      </c>
      <c r="W380" s="460" t="str">
        <f t="shared" ca="1" si="84"/>
        <v/>
      </c>
      <c r="X380" s="460" t="str">
        <f t="shared" ca="1" si="84"/>
        <v/>
      </c>
      <c r="Y380" s="460" t="str">
        <f t="shared" ca="1" si="84"/>
        <v/>
      </c>
      <c r="Z380" s="460" t="str">
        <f t="shared" ca="1" si="84"/>
        <v/>
      </c>
      <c r="AA380" s="461" t="str">
        <f t="shared" ca="1" si="84"/>
        <v/>
      </c>
      <c r="AB380" s="474" t="str">
        <f t="shared" ca="1" si="84"/>
        <v/>
      </c>
      <c r="AC380" s="475" t="str">
        <f t="shared" ca="1" si="84"/>
        <v/>
      </c>
      <c r="AD380" s="477" t="str">
        <f t="shared" ca="1" si="74"/>
        <v/>
      </c>
      <c r="AE380" s="478">
        <f t="shared" ca="1" si="75"/>
        <v>0</v>
      </c>
      <c r="AF380" s="459" t="str">
        <f t="shared" ca="1" si="82"/>
        <v/>
      </c>
      <c r="AG380" s="460" t="str">
        <f t="shared" ca="1" si="82"/>
        <v/>
      </c>
      <c r="AH380" s="460" t="str">
        <f t="shared" ca="1" si="82"/>
        <v/>
      </c>
      <c r="AI380" s="460" t="str">
        <f t="shared" ca="1" si="82"/>
        <v/>
      </c>
      <c r="AJ380" s="460" t="str">
        <f t="shared" ca="1" si="82"/>
        <v/>
      </c>
      <c r="AK380" s="460" t="str">
        <f t="shared" ca="1" si="82"/>
        <v/>
      </c>
      <c r="AL380" s="460" t="str">
        <f t="shared" ca="1" si="82"/>
        <v/>
      </c>
      <c r="AM380" s="460" t="str">
        <f t="shared" ca="1" si="82"/>
        <v/>
      </c>
      <c r="AN380" s="461" t="str">
        <f t="shared" ca="1" si="82"/>
        <v/>
      </c>
      <c r="AO380" s="474" t="str">
        <f t="shared" ca="1" si="82"/>
        <v/>
      </c>
      <c r="AP380" s="475" t="str">
        <f t="shared" ca="1" si="82"/>
        <v/>
      </c>
      <c r="AQ380" s="479" t="str">
        <f t="array" aca="1" ref="AQ380" ca="1">IF(ROW()-5&lt;=COUNTIF(科目编号,$AR$2),SMALL(IF(科目编号=$AR$2,ROW(科目编号),""),ROW()-5),"")</f>
        <v/>
      </c>
      <c r="AR380" s="480" t="str">
        <f ca="1">IF($BG$2=0,"",IF(AR379="本月合计","本年累计",IF(OR(ROW()=$AU$3,ROW()=$AV$3,ROW()=$AW$3,ROW()=$AX$3,ROW()=$AY$3,ROW()=$AZ$3,ROW()=$BA$3,ROW()=$BB$3,ROW()=$BC$3,ROW()=$BD$3,ROW()=$BE$3,ROW()=$BF$3),"本月合计",IF(ROW()&lt;7,$AQ$6,OFFSET($AQ$6,COUNT($AR$6:AR379),0)))))</f>
        <v/>
      </c>
    </row>
    <row r="381" spans="1:44">
      <c r="A381" s="469" t="str">
        <f ca="1">IFERROR(INDEX(凭证录入!A:A,$AR381),"")</f>
        <v/>
      </c>
      <c r="B381" s="469" t="str">
        <f ca="1">IFERROR(INDEX(凭证录入!B:B,$AR381),"")</f>
        <v/>
      </c>
      <c r="C381" s="470" t="str">
        <f ca="1">IFERROR(INDEX(凭证录入!G:G,$AR381),"")</f>
        <v/>
      </c>
      <c r="D381" s="471" t="str">
        <f ca="1">IFERROR(INDEX(凭证录入!F:F,$AR381),"")</f>
        <v/>
      </c>
      <c r="E381" s="472" t="str">
        <f ca="1">IFERROR(INDEX(凭证录入!H:H,$AR381),$AR381)</f>
        <v/>
      </c>
      <c r="F381" s="473">
        <f ca="1">IF(OR($BG$2=0,$AR381=""),,IF($AR381="本月合计",IF(ROW()=$BG$3,SUM($F$6:$F380),SUM(INDIRECT("$F$"&amp;OFFSET($AU$3,,MATCH(ROW(),$AU$3:$BF$3,)-2)+2&amp;":$E"&amp;ROW()-1))),IF($AR381="本年累计",SUMIF($AR$6:$AR381,"本月合计",$F$6:$F380),INDEX(凭证录入!K:K,$AR381))))</f>
        <v>0</v>
      </c>
      <c r="G381" s="459" t="str">
        <f t="shared" ca="1" si="83"/>
        <v/>
      </c>
      <c r="H381" s="460" t="str">
        <f t="shared" ca="1" si="83"/>
        <v/>
      </c>
      <c r="I381" s="460" t="str">
        <f t="shared" ca="1" si="83"/>
        <v/>
      </c>
      <c r="J381" s="460" t="str">
        <f t="shared" ca="1" si="83"/>
        <v/>
      </c>
      <c r="K381" s="460" t="str">
        <f t="shared" ca="1" si="83"/>
        <v/>
      </c>
      <c r="L381" s="460" t="str">
        <f t="shared" ca="1" si="83"/>
        <v/>
      </c>
      <c r="M381" s="460" t="str">
        <f t="shared" ca="1" si="83"/>
        <v/>
      </c>
      <c r="N381" s="460" t="str">
        <f t="shared" ca="1" si="83"/>
        <v/>
      </c>
      <c r="O381" s="461" t="str">
        <f t="shared" ca="1" si="83"/>
        <v/>
      </c>
      <c r="P381" s="474" t="str">
        <f t="shared" ca="1" si="83"/>
        <v/>
      </c>
      <c r="Q381" s="475" t="str">
        <f t="shared" ca="1" si="83"/>
        <v/>
      </c>
      <c r="R381" s="476">
        <f ca="1">IF(OR($BG$2=0,$AR381=""),,IF($AR381="本月合计",IF(ROW()=$BG$3,SUM($R$6:$R380),SUM(INDIRECT("$R$"&amp;OFFSET($AU$3,,MATCH(ROW(),$AU$3:$BF$3,)-2)+2&amp;":$R"&amp;ROW()-1))),IF($AR381="本年累计",SUMIF($AR$6:$AR381,"本月合计",$R$6:$R380),INDEX(凭证录入!L:L,$AR381))))</f>
        <v>0</v>
      </c>
      <c r="S381" s="459" t="str">
        <f t="shared" ca="1" si="84"/>
        <v/>
      </c>
      <c r="T381" s="460" t="str">
        <f t="shared" ca="1" si="84"/>
        <v/>
      </c>
      <c r="U381" s="460" t="str">
        <f t="shared" ca="1" si="84"/>
        <v/>
      </c>
      <c r="V381" s="460" t="str">
        <f t="shared" ca="1" si="84"/>
        <v/>
      </c>
      <c r="W381" s="460" t="str">
        <f t="shared" ca="1" si="84"/>
        <v/>
      </c>
      <c r="X381" s="460" t="str">
        <f t="shared" ca="1" si="84"/>
        <v/>
      </c>
      <c r="Y381" s="460" t="str">
        <f t="shared" ca="1" si="84"/>
        <v/>
      </c>
      <c r="Z381" s="460" t="str">
        <f t="shared" ca="1" si="84"/>
        <v/>
      </c>
      <c r="AA381" s="461" t="str">
        <f t="shared" ca="1" si="84"/>
        <v/>
      </c>
      <c r="AB381" s="474" t="str">
        <f t="shared" ca="1" si="84"/>
        <v/>
      </c>
      <c r="AC381" s="475" t="str">
        <f t="shared" ca="1" si="84"/>
        <v/>
      </c>
      <c r="AD381" s="477" t="str">
        <f t="shared" ca="1" si="74"/>
        <v/>
      </c>
      <c r="AE381" s="478">
        <f t="shared" ca="1" si="75"/>
        <v>0</v>
      </c>
      <c r="AF381" s="459" t="str">
        <f t="shared" ca="1" si="82"/>
        <v/>
      </c>
      <c r="AG381" s="460" t="str">
        <f t="shared" ca="1" si="82"/>
        <v/>
      </c>
      <c r="AH381" s="460" t="str">
        <f t="shared" ca="1" si="82"/>
        <v/>
      </c>
      <c r="AI381" s="460" t="str">
        <f t="shared" ca="1" si="82"/>
        <v/>
      </c>
      <c r="AJ381" s="460" t="str">
        <f t="shared" ca="1" si="82"/>
        <v/>
      </c>
      <c r="AK381" s="460" t="str">
        <f t="shared" ca="1" si="82"/>
        <v/>
      </c>
      <c r="AL381" s="460" t="str">
        <f t="shared" ca="1" si="82"/>
        <v/>
      </c>
      <c r="AM381" s="460" t="str">
        <f t="shared" ca="1" si="82"/>
        <v/>
      </c>
      <c r="AN381" s="461" t="str">
        <f t="shared" ca="1" si="82"/>
        <v/>
      </c>
      <c r="AO381" s="474" t="str">
        <f t="shared" ca="1" si="82"/>
        <v/>
      </c>
      <c r="AP381" s="475" t="str">
        <f t="shared" ca="1" si="82"/>
        <v/>
      </c>
      <c r="AQ381" s="479" t="str">
        <f t="array" aca="1" ref="AQ381" ca="1">IF(ROW()-5&lt;=COUNTIF(科目编号,$AR$2),SMALL(IF(科目编号=$AR$2,ROW(科目编号),""),ROW()-5),"")</f>
        <v/>
      </c>
      <c r="AR381" s="480" t="str">
        <f ca="1">IF($BG$2=0,"",IF(AR380="本月合计","本年累计",IF(OR(ROW()=$AU$3,ROW()=$AV$3,ROW()=$AW$3,ROW()=$AX$3,ROW()=$AY$3,ROW()=$AZ$3,ROW()=$BA$3,ROW()=$BB$3,ROW()=$BC$3,ROW()=$BD$3,ROW()=$BE$3,ROW()=$BF$3),"本月合计",IF(ROW()&lt;7,$AQ$6,OFFSET($AQ$6,COUNT($AR$6:AR380),0)))))</f>
        <v/>
      </c>
    </row>
    <row r="382" spans="1:44">
      <c r="A382" s="469" t="str">
        <f ca="1">IFERROR(INDEX(凭证录入!A:A,$AR382),"")</f>
        <v/>
      </c>
      <c r="B382" s="469" t="str">
        <f ca="1">IFERROR(INDEX(凭证录入!B:B,$AR382),"")</f>
        <v/>
      </c>
      <c r="C382" s="470" t="str">
        <f ca="1">IFERROR(INDEX(凭证录入!G:G,$AR382),"")</f>
        <v/>
      </c>
      <c r="D382" s="471" t="str">
        <f ca="1">IFERROR(INDEX(凭证录入!F:F,$AR382),"")</f>
        <v/>
      </c>
      <c r="E382" s="472" t="str">
        <f ca="1">IFERROR(INDEX(凭证录入!H:H,$AR382),$AR382)</f>
        <v/>
      </c>
      <c r="F382" s="473">
        <f ca="1">IF(OR($BG$2=0,$AR382=""),,IF($AR382="本月合计",IF(ROW()=$BG$3,SUM($F$6:$F381),SUM(INDIRECT("$F$"&amp;OFFSET($AU$3,,MATCH(ROW(),$AU$3:$BF$3,)-2)+2&amp;":$E"&amp;ROW()-1))),IF($AR382="本年累计",SUMIF($AR$6:$AR382,"本月合计",$F$6:$F381),INDEX(凭证录入!K:K,$AR382))))</f>
        <v>0</v>
      </c>
      <c r="G382" s="459" t="str">
        <f t="shared" ca="1" si="83"/>
        <v/>
      </c>
      <c r="H382" s="460" t="str">
        <f t="shared" ca="1" si="83"/>
        <v/>
      </c>
      <c r="I382" s="460" t="str">
        <f t="shared" ca="1" si="83"/>
        <v/>
      </c>
      <c r="J382" s="460" t="str">
        <f t="shared" ca="1" si="83"/>
        <v/>
      </c>
      <c r="K382" s="460" t="str">
        <f t="shared" ca="1" si="83"/>
        <v/>
      </c>
      <c r="L382" s="460" t="str">
        <f t="shared" ca="1" si="83"/>
        <v/>
      </c>
      <c r="M382" s="460" t="str">
        <f t="shared" ca="1" si="83"/>
        <v/>
      </c>
      <c r="N382" s="460" t="str">
        <f t="shared" ca="1" si="83"/>
        <v/>
      </c>
      <c r="O382" s="461" t="str">
        <f t="shared" ca="1" si="83"/>
        <v/>
      </c>
      <c r="P382" s="474" t="str">
        <f t="shared" ca="1" si="83"/>
        <v/>
      </c>
      <c r="Q382" s="475" t="str">
        <f t="shared" ca="1" si="83"/>
        <v/>
      </c>
      <c r="R382" s="476">
        <f ca="1">IF(OR($BG$2=0,$AR382=""),,IF($AR382="本月合计",IF(ROW()=$BG$3,SUM($R$6:$R381),SUM(INDIRECT("$R$"&amp;OFFSET($AU$3,,MATCH(ROW(),$AU$3:$BF$3,)-2)+2&amp;":$R"&amp;ROW()-1))),IF($AR382="本年累计",SUMIF($AR$6:$AR382,"本月合计",$R$6:$R381),INDEX(凭证录入!L:L,$AR382))))</f>
        <v>0</v>
      </c>
      <c r="S382" s="459" t="str">
        <f t="shared" ca="1" si="84"/>
        <v/>
      </c>
      <c r="T382" s="460" t="str">
        <f t="shared" ca="1" si="84"/>
        <v/>
      </c>
      <c r="U382" s="460" t="str">
        <f t="shared" ca="1" si="84"/>
        <v/>
      </c>
      <c r="V382" s="460" t="str">
        <f t="shared" ca="1" si="84"/>
        <v/>
      </c>
      <c r="W382" s="460" t="str">
        <f t="shared" ca="1" si="84"/>
        <v/>
      </c>
      <c r="X382" s="460" t="str">
        <f t="shared" ca="1" si="84"/>
        <v/>
      </c>
      <c r="Y382" s="460" t="str">
        <f t="shared" ca="1" si="84"/>
        <v/>
      </c>
      <c r="Z382" s="460" t="str">
        <f t="shared" ca="1" si="84"/>
        <v/>
      </c>
      <c r="AA382" s="461" t="str">
        <f t="shared" ca="1" si="84"/>
        <v/>
      </c>
      <c r="AB382" s="474" t="str">
        <f t="shared" ca="1" si="84"/>
        <v/>
      </c>
      <c r="AC382" s="475" t="str">
        <f t="shared" ca="1" si="84"/>
        <v/>
      </c>
      <c r="AD382" s="477" t="str">
        <f t="shared" ca="1" si="74"/>
        <v/>
      </c>
      <c r="AE382" s="478">
        <f t="shared" ca="1" si="75"/>
        <v>0</v>
      </c>
      <c r="AF382" s="459" t="str">
        <f t="shared" ca="1" si="82"/>
        <v/>
      </c>
      <c r="AG382" s="460" t="str">
        <f t="shared" ca="1" si="82"/>
        <v/>
      </c>
      <c r="AH382" s="460" t="str">
        <f t="shared" ca="1" si="82"/>
        <v/>
      </c>
      <c r="AI382" s="460" t="str">
        <f t="shared" ca="1" si="82"/>
        <v/>
      </c>
      <c r="AJ382" s="460" t="str">
        <f t="shared" ca="1" si="82"/>
        <v/>
      </c>
      <c r="AK382" s="460" t="str">
        <f t="shared" ca="1" si="82"/>
        <v/>
      </c>
      <c r="AL382" s="460" t="str">
        <f t="shared" ca="1" si="82"/>
        <v/>
      </c>
      <c r="AM382" s="460" t="str">
        <f t="shared" ca="1" si="82"/>
        <v/>
      </c>
      <c r="AN382" s="461" t="str">
        <f t="shared" ca="1" si="82"/>
        <v/>
      </c>
      <c r="AO382" s="474" t="str">
        <f t="shared" ca="1" si="82"/>
        <v/>
      </c>
      <c r="AP382" s="475" t="str">
        <f t="shared" ca="1" si="82"/>
        <v/>
      </c>
      <c r="AQ382" s="479" t="str">
        <f t="array" aca="1" ref="AQ382" ca="1">IF(ROW()-5&lt;=COUNTIF(科目编号,$AR$2),SMALL(IF(科目编号=$AR$2,ROW(科目编号),""),ROW()-5),"")</f>
        <v/>
      </c>
      <c r="AR382" s="480" t="str">
        <f ca="1">IF($BG$2=0,"",IF(AR381="本月合计","本年累计",IF(OR(ROW()=$AU$3,ROW()=$AV$3,ROW()=$AW$3,ROW()=$AX$3,ROW()=$AY$3,ROW()=$AZ$3,ROW()=$BA$3,ROW()=$BB$3,ROW()=$BC$3,ROW()=$BD$3,ROW()=$BE$3,ROW()=$BF$3),"本月合计",IF(ROW()&lt;7,$AQ$6,OFFSET($AQ$6,COUNT($AR$6:AR381),0)))))</f>
        <v/>
      </c>
    </row>
    <row r="383" spans="1:44">
      <c r="A383" s="469" t="str">
        <f ca="1">IFERROR(INDEX(凭证录入!A:A,$AR383),"")</f>
        <v/>
      </c>
      <c r="B383" s="469" t="str">
        <f ca="1">IFERROR(INDEX(凭证录入!B:B,$AR383),"")</f>
        <v/>
      </c>
      <c r="C383" s="470" t="str">
        <f ca="1">IFERROR(INDEX(凭证录入!G:G,$AR383),"")</f>
        <v/>
      </c>
      <c r="D383" s="471" t="str">
        <f ca="1">IFERROR(INDEX(凭证录入!F:F,$AR383),"")</f>
        <v/>
      </c>
      <c r="E383" s="472" t="str">
        <f ca="1">IFERROR(INDEX(凭证录入!H:H,$AR383),$AR383)</f>
        <v/>
      </c>
      <c r="F383" s="473">
        <f ca="1">IF(OR($BG$2=0,$AR383=""),,IF($AR383="本月合计",IF(ROW()=$BG$3,SUM($F$6:$F382),SUM(INDIRECT("$F$"&amp;OFFSET($AU$3,,MATCH(ROW(),$AU$3:$BF$3,)-2)+2&amp;":$E"&amp;ROW()-1))),IF($AR383="本年累计",SUMIF($AR$6:$AR383,"本月合计",$F$6:$F382),INDEX(凭证录入!K:K,$AR383))))</f>
        <v>0</v>
      </c>
      <c r="G383" s="459" t="str">
        <f t="shared" ca="1" si="83"/>
        <v/>
      </c>
      <c r="H383" s="460" t="str">
        <f t="shared" ca="1" si="83"/>
        <v/>
      </c>
      <c r="I383" s="460" t="str">
        <f t="shared" ca="1" si="83"/>
        <v/>
      </c>
      <c r="J383" s="460" t="str">
        <f t="shared" ca="1" si="83"/>
        <v/>
      </c>
      <c r="K383" s="460" t="str">
        <f t="shared" ca="1" si="83"/>
        <v/>
      </c>
      <c r="L383" s="460" t="str">
        <f t="shared" ca="1" si="83"/>
        <v/>
      </c>
      <c r="M383" s="460" t="str">
        <f t="shared" ca="1" si="83"/>
        <v/>
      </c>
      <c r="N383" s="460" t="str">
        <f t="shared" ca="1" si="83"/>
        <v/>
      </c>
      <c r="O383" s="461" t="str">
        <f t="shared" ca="1" si="83"/>
        <v/>
      </c>
      <c r="P383" s="474" t="str">
        <f t="shared" ca="1" si="83"/>
        <v/>
      </c>
      <c r="Q383" s="475" t="str">
        <f t="shared" ca="1" si="83"/>
        <v/>
      </c>
      <c r="R383" s="476">
        <f ca="1">IF(OR($BG$2=0,$AR383=""),,IF($AR383="本月合计",IF(ROW()=$BG$3,SUM($R$6:$R382),SUM(INDIRECT("$R$"&amp;OFFSET($AU$3,,MATCH(ROW(),$AU$3:$BF$3,)-2)+2&amp;":$R"&amp;ROW()-1))),IF($AR383="本年累计",SUMIF($AR$6:$AR383,"本月合计",$R$6:$R382),INDEX(凭证录入!L:L,$AR383))))</f>
        <v>0</v>
      </c>
      <c r="S383" s="459" t="str">
        <f t="shared" ca="1" si="84"/>
        <v/>
      </c>
      <c r="T383" s="460" t="str">
        <f t="shared" ca="1" si="84"/>
        <v/>
      </c>
      <c r="U383" s="460" t="str">
        <f t="shared" ca="1" si="84"/>
        <v/>
      </c>
      <c r="V383" s="460" t="str">
        <f t="shared" ca="1" si="84"/>
        <v/>
      </c>
      <c r="W383" s="460" t="str">
        <f t="shared" ca="1" si="84"/>
        <v/>
      </c>
      <c r="X383" s="460" t="str">
        <f t="shared" ca="1" si="84"/>
        <v/>
      </c>
      <c r="Y383" s="460" t="str">
        <f t="shared" ca="1" si="84"/>
        <v/>
      </c>
      <c r="Z383" s="460" t="str">
        <f t="shared" ca="1" si="84"/>
        <v/>
      </c>
      <c r="AA383" s="461" t="str">
        <f t="shared" ca="1" si="84"/>
        <v/>
      </c>
      <c r="AB383" s="474" t="str">
        <f t="shared" ca="1" si="84"/>
        <v/>
      </c>
      <c r="AC383" s="475" t="str">
        <f t="shared" ca="1" si="84"/>
        <v/>
      </c>
      <c r="AD383" s="477" t="str">
        <f t="shared" ca="1" si="74"/>
        <v/>
      </c>
      <c r="AE383" s="478">
        <f t="shared" ca="1" si="75"/>
        <v>0</v>
      </c>
      <c r="AF383" s="459" t="str">
        <f t="shared" ca="1" si="82"/>
        <v/>
      </c>
      <c r="AG383" s="460" t="str">
        <f t="shared" ca="1" si="82"/>
        <v/>
      </c>
      <c r="AH383" s="460" t="str">
        <f t="shared" ca="1" si="82"/>
        <v/>
      </c>
      <c r="AI383" s="460" t="str">
        <f t="shared" ca="1" si="82"/>
        <v/>
      </c>
      <c r="AJ383" s="460" t="str">
        <f t="shared" ca="1" si="82"/>
        <v/>
      </c>
      <c r="AK383" s="460" t="str">
        <f t="shared" ca="1" si="82"/>
        <v/>
      </c>
      <c r="AL383" s="460" t="str">
        <f t="shared" ca="1" si="82"/>
        <v/>
      </c>
      <c r="AM383" s="460" t="str">
        <f t="shared" ca="1" si="82"/>
        <v/>
      </c>
      <c r="AN383" s="461" t="str">
        <f t="shared" ca="1" si="82"/>
        <v/>
      </c>
      <c r="AO383" s="474" t="str">
        <f t="shared" ca="1" si="82"/>
        <v/>
      </c>
      <c r="AP383" s="475" t="str">
        <f t="shared" ca="1" si="82"/>
        <v/>
      </c>
      <c r="AQ383" s="479" t="str">
        <f t="array" aca="1" ref="AQ383" ca="1">IF(ROW()-5&lt;=COUNTIF(科目编号,$AR$2),SMALL(IF(科目编号=$AR$2,ROW(科目编号),""),ROW()-5),"")</f>
        <v/>
      </c>
      <c r="AR383" s="480" t="str">
        <f ca="1">IF($BG$2=0,"",IF(AR382="本月合计","本年累计",IF(OR(ROW()=$AU$3,ROW()=$AV$3,ROW()=$AW$3,ROW()=$AX$3,ROW()=$AY$3,ROW()=$AZ$3,ROW()=$BA$3,ROW()=$BB$3,ROW()=$BC$3,ROW()=$BD$3,ROW()=$BE$3,ROW()=$BF$3),"本月合计",IF(ROW()&lt;7,$AQ$6,OFFSET($AQ$6,COUNT($AR$6:AR382),0)))))</f>
        <v/>
      </c>
    </row>
    <row r="384" spans="1:44">
      <c r="A384" s="469" t="str">
        <f ca="1">IFERROR(INDEX(凭证录入!A:A,$AR384),"")</f>
        <v/>
      </c>
      <c r="B384" s="469" t="str">
        <f ca="1">IFERROR(INDEX(凭证录入!B:B,$AR384),"")</f>
        <v/>
      </c>
      <c r="C384" s="470" t="str">
        <f ca="1">IFERROR(INDEX(凭证录入!G:G,$AR384),"")</f>
        <v/>
      </c>
      <c r="D384" s="471" t="str">
        <f ca="1">IFERROR(INDEX(凭证录入!F:F,$AR384),"")</f>
        <v/>
      </c>
      <c r="E384" s="472" t="str">
        <f ca="1">IFERROR(INDEX(凭证录入!H:H,$AR384),$AR384)</f>
        <v/>
      </c>
      <c r="F384" s="473">
        <f ca="1">IF(OR($BG$2=0,$AR384=""),,IF($AR384="本月合计",IF(ROW()=$BG$3,SUM($F$6:$F383),SUM(INDIRECT("$F$"&amp;OFFSET($AU$3,,MATCH(ROW(),$AU$3:$BF$3,)-2)+2&amp;":$E"&amp;ROW()-1))),IF($AR384="本年累计",SUMIF($AR$6:$AR384,"本月合计",$F$6:$F383),INDEX(凭证录入!K:K,$AR384))))</f>
        <v>0</v>
      </c>
      <c r="G384" s="459" t="str">
        <f t="shared" ca="1" si="83"/>
        <v/>
      </c>
      <c r="H384" s="460" t="str">
        <f t="shared" ca="1" si="83"/>
        <v/>
      </c>
      <c r="I384" s="460" t="str">
        <f t="shared" ca="1" si="83"/>
        <v/>
      </c>
      <c r="J384" s="460" t="str">
        <f t="shared" ca="1" si="83"/>
        <v/>
      </c>
      <c r="K384" s="460" t="str">
        <f t="shared" ca="1" si="83"/>
        <v/>
      </c>
      <c r="L384" s="460" t="str">
        <f t="shared" ca="1" si="83"/>
        <v/>
      </c>
      <c r="M384" s="460" t="str">
        <f t="shared" ca="1" si="83"/>
        <v/>
      </c>
      <c r="N384" s="460" t="str">
        <f t="shared" ca="1" si="83"/>
        <v/>
      </c>
      <c r="O384" s="461" t="str">
        <f t="shared" ca="1" si="83"/>
        <v/>
      </c>
      <c r="P384" s="474" t="str">
        <f t="shared" ca="1" si="83"/>
        <v/>
      </c>
      <c r="Q384" s="475" t="str">
        <f t="shared" ca="1" si="83"/>
        <v/>
      </c>
      <c r="R384" s="476">
        <f ca="1">IF(OR($BG$2=0,$AR384=""),,IF($AR384="本月合计",IF(ROW()=$BG$3,SUM($R$6:$R383),SUM(INDIRECT("$R$"&amp;OFFSET($AU$3,,MATCH(ROW(),$AU$3:$BF$3,)-2)+2&amp;":$R"&amp;ROW()-1))),IF($AR384="本年累计",SUMIF($AR$6:$AR384,"本月合计",$R$6:$R383),INDEX(凭证录入!L:L,$AR384))))</f>
        <v>0</v>
      </c>
      <c r="S384" s="459" t="str">
        <f t="shared" ca="1" si="84"/>
        <v/>
      </c>
      <c r="T384" s="460" t="str">
        <f t="shared" ca="1" si="84"/>
        <v/>
      </c>
      <c r="U384" s="460" t="str">
        <f t="shared" ca="1" si="84"/>
        <v/>
      </c>
      <c r="V384" s="460" t="str">
        <f t="shared" ca="1" si="84"/>
        <v/>
      </c>
      <c r="W384" s="460" t="str">
        <f t="shared" ca="1" si="84"/>
        <v/>
      </c>
      <c r="X384" s="460" t="str">
        <f t="shared" ca="1" si="84"/>
        <v/>
      </c>
      <c r="Y384" s="460" t="str">
        <f t="shared" ca="1" si="84"/>
        <v/>
      </c>
      <c r="Z384" s="460" t="str">
        <f t="shared" ca="1" si="84"/>
        <v/>
      </c>
      <c r="AA384" s="461" t="str">
        <f t="shared" ca="1" si="84"/>
        <v/>
      </c>
      <c r="AB384" s="474" t="str">
        <f t="shared" ca="1" si="84"/>
        <v/>
      </c>
      <c r="AC384" s="475" t="str">
        <f t="shared" ca="1" si="84"/>
        <v/>
      </c>
      <c r="AD384" s="477" t="str">
        <f t="shared" ca="1" si="74"/>
        <v/>
      </c>
      <c r="AE384" s="478">
        <f t="shared" ca="1" si="75"/>
        <v>0</v>
      </c>
      <c r="AF384" s="459" t="str">
        <f t="shared" ca="1" si="82"/>
        <v/>
      </c>
      <c r="AG384" s="460" t="str">
        <f t="shared" ca="1" si="82"/>
        <v/>
      </c>
      <c r="AH384" s="460" t="str">
        <f t="shared" ca="1" si="82"/>
        <v/>
      </c>
      <c r="AI384" s="460" t="str">
        <f t="shared" ca="1" si="82"/>
        <v/>
      </c>
      <c r="AJ384" s="460" t="str">
        <f t="shared" ca="1" si="82"/>
        <v/>
      </c>
      <c r="AK384" s="460" t="str">
        <f t="shared" ca="1" si="82"/>
        <v/>
      </c>
      <c r="AL384" s="460" t="str">
        <f t="shared" ca="1" si="82"/>
        <v/>
      </c>
      <c r="AM384" s="460" t="str">
        <f t="shared" ca="1" si="82"/>
        <v/>
      </c>
      <c r="AN384" s="461" t="str">
        <f t="shared" ca="1" si="82"/>
        <v/>
      </c>
      <c r="AO384" s="474" t="str">
        <f t="shared" ca="1" si="82"/>
        <v/>
      </c>
      <c r="AP384" s="475" t="str">
        <f t="shared" ca="1" si="82"/>
        <v/>
      </c>
      <c r="AQ384" s="479" t="str">
        <f t="array" aca="1" ref="AQ384" ca="1">IF(ROW()-5&lt;=COUNTIF(科目编号,$AR$2),SMALL(IF(科目编号=$AR$2,ROW(科目编号),""),ROW()-5),"")</f>
        <v/>
      </c>
      <c r="AR384" s="480" t="str">
        <f ca="1">IF($BG$2=0,"",IF(AR383="本月合计","本年累计",IF(OR(ROW()=$AU$3,ROW()=$AV$3,ROW()=$AW$3,ROW()=$AX$3,ROW()=$AY$3,ROW()=$AZ$3,ROW()=$BA$3,ROW()=$BB$3,ROW()=$BC$3,ROW()=$BD$3,ROW()=$BE$3,ROW()=$BF$3),"本月合计",IF(ROW()&lt;7,$AQ$6,OFFSET($AQ$6,COUNT($AR$6:AR383),0)))))</f>
        <v/>
      </c>
    </row>
    <row r="385" spans="1:44">
      <c r="A385" s="469" t="str">
        <f ca="1">IFERROR(INDEX(凭证录入!A:A,$AR385),"")</f>
        <v/>
      </c>
      <c r="B385" s="469" t="str">
        <f ca="1">IFERROR(INDEX(凭证录入!B:B,$AR385),"")</f>
        <v/>
      </c>
      <c r="C385" s="470" t="str">
        <f ca="1">IFERROR(INDEX(凭证录入!G:G,$AR385),"")</f>
        <v/>
      </c>
      <c r="D385" s="471" t="str">
        <f ca="1">IFERROR(INDEX(凭证录入!F:F,$AR385),"")</f>
        <v/>
      </c>
      <c r="E385" s="472" t="str">
        <f ca="1">IFERROR(INDEX(凭证录入!H:H,$AR385),$AR385)</f>
        <v/>
      </c>
      <c r="F385" s="473">
        <f ca="1">IF(OR($BG$2=0,$AR385=""),,IF($AR385="本月合计",IF(ROW()=$BG$3,SUM($F$6:$F384),SUM(INDIRECT("$F$"&amp;OFFSET($AU$3,,MATCH(ROW(),$AU$3:$BF$3,)-2)+2&amp;":$E"&amp;ROW()-1))),IF($AR385="本年累计",SUMIF($AR$6:$AR385,"本月合计",$F$6:$F384),INDEX(凭证录入!K:K,$AR385))))</f>
        <v>0</v>
      </c>
      <c r="G385" s="459" t="str">
        <f t="shared" ca="1" si="83"/>
        <v/>
      </c>
      <c r="H385" s="460" t="str">
        <f t="shared" ca="1" si="83"/>
        <v/>
      </c>
      <c r="I385" s="460" t="str">
        <f t="shared" ca="1" si="83"/>
        <v/>
      </c>
      <c r="J385" s="460" t="str">
        <f t="shared" ca="1" si="83"/>
        <v/>
      </c>
      <c r="K385" s="460" t="str">
        <f t="shared" ca="1" si="83"/>
        <v/>
      </c>
      <c r="L385" s="460" t="str">
        <f t="shared" ca="1" si="83"/>
        <v/>
      </c>
      <c r="M385" s="460" t="str">
        <f t="shared" ca="1" si="83"/>
        <v/>
      </c>
      <c r="N385" s="460" t="str">
        <f t="shared" ca="1" si="83"/>
        <v/>
      </c>
      <c r="O385" s="461" t="str">
        <f t="shared" ca="1" si="83"/>
        <v/>
      </c>
      <c r="P385" s="474" t="str">
        <f t="shared" ca="1" si="83"/>
        <v/>
      </c>
      <c r="Q385" s="475" t="str">
        <f t="shared" ca="1" si="83"/>
        <v/>
      </c>
      <c r="R385" s="476">
        <f ca="1">IF(OR($BG$2=0,$AR385=""),,IF($AR385="本月合计",IF(ROW()=$BG$3,SUM($R$6:$R384),SUM(INDIRECT("$R$"&amp;OFFSET($AU$3,,MATCH(ROW(),$AU$3:$BF$3,)-2)+2&amp;":$R"&amp;ROW()-1))),IF($AR385="本年累计",SUMIF($AR$6:$AR385,"本月合计",$R$6:$R384),INDEX(凭证录入!L:L,$AR385))))</f>
        <v>0</v>
      </c>
      <c r="S385" s="459" t="str">
        <f t="shared" ca="1" si="84"/>
        <v/>
      </c>
      <c r="T385" s="460" t="str">
        <f t="shared" ca="1" si="84"/>
        <v/>
      </c>
      <c r="U385" s="460" t="str">
        <f t="shared" ca="1" si="84"/>
        <v/>
      </c>
      <c r="V385" s="460" t="str">
        <f t="shared" ca="1" si="84"/>
        <v/>
      </c>
      <c r="W385" s="460" t="str">
        <f t="shared" ca="1" si="84"/>
        <v/>
      </c>
      <c r="X385" s="460" t="str">
        <f t="shared" ca="1" si="84"/>
        <v/>
      </c>
      <c r="Y385" s="460" t="str">
        <f t="shared" ca="1" si="84"/>
        <v/>
      </c>
      <c r="Z385" s="460" t="str">
        <f t="shared" ca="1" si="84"/>
        <v/>
      </c>
      <c r="AA385" s="461" t="str">
        <f t="shared" ca="1" si="84"/>
        <v/>
      </c>
      <c r="AB385" s="474" t="str">
        <f t="shared" ca="1" si="84"/>
        <v/>
      </c>
      <c r="AC385" s="475" t="str">
        <f t="shared" ca="1" si="84"/>
        <v/>
      </c>
      <c r="AD385" s="477" t="str">
        <f t="shared" ca="1" si="74"/>
        <v/>
      </c>
      <c r="AE385" s="478">
        <f t="shared" ca="1" si="75"/>
        <v>0</v>
      </c>
      <c r="AF385" s="459" t="str">
        <f t="shared" ca="1" si="82"/>
        <v/>
      </c>
      <c r="AG385" s="460" t="str">
        <f t="shared" ca="1" si="82"/>
        <v/>
      </c>
      <c r="AH385" s="460" t="str">
        <f t="shared" ca="1" si="82"/>
        <v/>
      </c>
      <c r="AI385" s="460" t="str">
        <f t="shared" ca="1" si="82"/>
        <v/>
      </c>
      <c r="AJ385" s="460" t="str">
        <f t="shared" ca="1" si="82"/>
        <v/>
      </c>
      <c r="AK385" s="460" t="str">
        <f t="shared" ca="1" si="82"/>
        <v/>
      </c>
      <c r="AL385" s="460" t="str">
        <f t="shared" ca="1" si="82"/>
        <v/>
      </c>
      <c r="AM385" s="460" t="str">
        <f t="shared" ca="1" si="82"/>
        <v/>
      </c>
      <c r="AN385" s="461" t="str">
        <f t="shared" ca="1" si="82"/>
        <v/>
      </c>
      <c r="AO385" s="474" t="str">
        <f t="shared" ca="1" si="82"/>
        <v/>
      </c>
      <c r="AP385" s="475" t="str">
        <f t="shared" ca="1" si="82"/>
        <v/>
      </c>
      <c r="AQ385" s="479" t="str">
        <f t="array" aca="1" ref="AQ385" ca="1">IF(ROW()-5&lt;=COUNTIF(科目编号,$AR$2),SMALL(IF(科目编号=$AR$2,ROW(科目编号),""),ROW()-5),"")</f>
        <v/>
      </c>
      <c r="AR385" s="480" t="str">
        <f ca="1">IF($BG$2=0,"",IF(AR384="本月合计","本年累计",IF(OR(ROW()=$AU$3,ROW()=$AV$3,ROW()=$AW$3,ROW()=$AX$3,ROW()=$AY$3,ROW()=$AZ$3,ROW()=$BA$3,ROW()=$BB$3,ROW()=$BC$3,ROW()=$BD$3,ROW()=$BE$3,ROW()=$BF$3),"本月合计",IF(ROW()&lt;7,$AQ$6,OFFSET($AQ$6,COUNT($AR$6:AR384),0)))))</f>
        <v/>
      </c>
    </row>
    <row r="386" spans="1:44">
      <c r="A386" s="469" t="str">
        <f ca="1">IFERROR(INDEX(凭证录入!A:A,$AR386),"")</f>
        <v/>
      </c>
      <c r="B386" s="469" t="str">
        <f ca="1">IFERROR(INDEX(凭证录入!B:B,$AR386),"")</f>
        <v/>
      </c>
      <c r="C386" s="470" t="str">
        <f ca="1">IFERROR(INDEX(凭证录入!G:G,$AR386),"")</f>
        <v/>
      </c>
      <c r="D386" s="471" t="str">
        <f ca="1">IFERROR(INDEX(凭证录入!F:F,$AR386),"")</f>
        <v/>
      </c>
      <c r="E386" s="472" t="str">
        <f ca="1">IFERROR(INDEX(凭证录入!H:H,$AR386),$AR386)</f>
        <v/>
      </c>
      <c r="F386" s="473">
        <f ca="1">IF(OR($BG$2=0,$AR386=""),,IF($AR386="本月合计",IF(ROW()=$BG$3,SUM($F$6:$F385),SUM(INDIRECT("$F$"&amp;OFFSET($AU$3,,MATCH(ROW(),$AU$3:$BF$3,)-2)+2&amp;":$E"&amp;ROW()-1))),IF($AR386="本年累计",SUMIF($AR$6:$AR386,"本月合计",$F$6:$F385),INDEX(凭证录入!K:K,$AR386))))</f>
        <v>0</v>
      </c>
      <c r="G386" s="459" t="str">
        <f t="shared" ca="1" si="83"/>
        <v/>
      </c>
      <c r="H386" s="460" t="str">
        <f t="shared" ca="1" si="83"/>
        <v/>
      </c>
      <c r="I386" s="460" t="str">
        <f t="shared" ca="1" si="83"/>
        <v/>
      </c>
      <c r="J386" s="460" t="str">
        <f t="shared" ca="1" si="83"/>
        <v/>
      </c>
      <c r="K386" s="460" t="str">
        <f t="shared" ca="1" si="83"/>
        <v/>
      </c>
      <c r="L386" s="460" t="str">
        <f t="shared" ca="1" si="83"/>
        <v/>
      </c>
      <c r="M386" s="460" t="str">
        <f t="shared" ca="1" si="83"/>
        <v/>
      </c>
      <c r="N386" s="460" t="str">
        <f t="shared" ca="1" si="83"/>
        <v/>
      </c>
      <c r="O386" s="461" t="str">
        <f t="shared" ca="1" si="83"/>
        <v/>
      </c>
      <c r="P386" s="474" t="str">
        <f t="shared" ca="1" si="83"/>
        <v/>
      </c>
      <c r="Q386" s="475" t="str">
        <f t="shared" ca="1" si="83"/>
        <v/>
      </c>
      <c r="R386" s="476">
        <f ca="1">IF(OR($BG$2=0,$AR386=""),,IF($AR386="本月合计",IF(ROW()=$BG$3,SUM($R$6:$R385),SUM(INDIRECT("$R$"&amp;OFFSET($AU$3,,MATCH(ROW(),$AU$3:$BF$3,)-2)+2&amp;":$R"&amp;ROW()-1))),IF($AR386="本年累计",SUMIF($AR$6:$AR386,"本月合计",$R$6:$R385),INDEX(凭证录入!L:L,$AR386))))</f>
        <v>0</v>
      </c>
      <c r="S386" s="459" t="str">
        <f t="shared" ca="1" si="84"/>
        <v/>
      </c>
      <c r="T386" s="460" t="str">
        <f t="shared" ca="1" si="84"/>
        <v/>
      </c>
      <c r="U386" s="460" t="str">
        <f t="shared" ca="1" si="84"/>
        <v/>
      </c>
      <c r="V386" s="460" t="str">
        <f t="shared" ca="1" si="84"/>
        <v/>
      </c>
      <c r="W386" s="460" t="str">
        <f t="shared" ca="1" si="84"/>
        <v/>
      </c>
      <c r="X386" s="460" t="str">
        <f t="shared" ca="1" si="84"/>
        <v/>
      </c>
      <c r="Y386" s="460" t="str">
        <f t="shared" ca="1" si="84"/>
        <v/>
      </c>
      <c r="Z386" s="460" t="str">
        <f t="shared" ca="1" si="84"/>
        <v/>
      </c>
      <c r="AA386" s="461" t="str">
        <f t="shared" ca="1" si="84"/>
        <v/>
      </c>
      <c r="AB386" s="474" t="str">
        <f t="shared" ca="1" si="84"/>
        <v/>
      </c>
      <c r="AC386" s="475" t="str">
        <f t="shared" ca="1" si="84"/>
        <v/>
      </c>
      <c r="AD386" s="477" t="str">
        <f t="shared" ca="1" si="74"/>
        <v/>
      </c>
      <c r="AE386" s="478">
        <f t="shared" ca="1" si="75"/>
        <v>0</v>
      </c>
      <c r="AF386" s="459" t="str">
        <f t="shared" ca="1" si="82"/>
        <v/>
      </c>
      <c r="AG386" s="460" t="str">
        <f t="shared" ca="1" si="82"/>
        <v/>
      </c>
      <c r="AH386" s="460" t="str">
        <f t="shared" ca="1" si="82"/>
        <v/>
      </c>
      <c r="AI386" s="460" t="str">
        <f t="shared" ca="1" si="82"/>
        <v/>
      </c>
      <c r="AJ386" s="460" t="str">
        <f t="shared" ca="1" si="82"/>
        <v/>
      </c>
      <c r="AK386" s="460" t="str">
        <f t="shared" ca="1" si="82"/>
        <v/>
      </c>
      <c r="AL386" s="460" t="str">
        <f t="shared" ca="1" si="82"/>
        <v/>
      </c>
      <c r="AM386" s="460" t="str">
        <f t="shared" ca="1" si="82"/>
        <v/>
      </c>
      <c r="AN386" s="461" t="str">
        <f t="shared" ca="1" si="82"/>
        <v/>
      </c>
      <c r="AO386" s="474" t="str">
        <f t="shared" ca="1" si="82"/>
        <v/>
      </c>
      <c r="AP386" s="475" t="str">
        <f t="shared" ca="1" si="82"/>
        <v/>
      </c>
      <c r="AQ386" s="479" t="str">
        <f t="array" aca="1" ref="AQ386" ca="1">IF(ROW()-5&lt;=COUNTIF(科目编号,$AR$2),SMALL(IF(科目编号=$AR$2,ROW(科目编号),""),ROW()-5),"")</f>
        <v/>
      </c>
      <c r="AR386" s="480" t="str">
        <f ca="1">IF($BG$2=0,"",IF(AR385="本月合计","本年累计",IF(OR(ROW()=$AU$3,ROW()=$AV$3,ROW()=$AW$3,ROW()=$AX$3,ROW()=$AY$3,ROW()=$AZ$3,ROW()=$BA$3,ROW()=$BB$3,ROW()=$BC$3,ROW()=$BD$3,ROW()=$BE$3,ROW()=$BF$3),"本月合计",IF(ROW()&lt;7,$AQ$6,OFFSET($AQ$6,COUNT($AR$6:AR385),0)))))</f>
        <v/>
      </c>
    </row>
    <row r="387" spans="1:44">
      <c r="A387" s="469" t="str">
        <f ca="1">IFERROR(INDEX(凭证录入!A:A,$AR387),"")</f>
        <v/>
      </c>
      <c r="B387" s="469" t="str">
        <f ca="1">IFERROR(INDEX(凭证录入!B:B,$AR387),"")</f>
        <v/>
      </c>
      <c r="C387" s="470" t="str">
        <f ca="1">IFERROR(INDEX(凭证录入!G:G,$AR387),"")</f>
        <v/>
      </c>
      <c r="D387" s="471" t="str">
        <f ca="1">IFERROR(INDEX(凭证录入!F:F,$AR387),"")</f>
        <v/>
      </c>
      <c r="E387" s="472" t="str">
        <f ca="1">IFERROR(INDEX(凭证录入!H:H,$AR387),$AR387)</f>
        <v/>
      </c>
      <c r="F387" s="473">
        <f ca="1">IF(OR($BG$2=0,$AR387=""),,IF($AR387="本月合计",IF(ROW()=$BG$3,SUM($F$6:$F386),SUM(INDIRECT("$F$"&amp;OFFSET($AU$3,,MATCH(ROW(),$AU$3:$BF$3,)-2)+2&amp;":$E"&amp;ROW()-1))),IF($AR387="本年累计",SUMIF($AR$6:$AR387,"本月合计",$F$6:$F386),INDEX(凭证录入!K:K,$AR387))))</f>
        <v>0</v>
      </c>
      <c r="G387" s="459" t="str">
        <f t="shared" ca="1" si="83"/>
        <v/>
      </c>
      <c r="H387" s="460" t="str">
        <f t="shared" ca="1" si="83"/>
        <v/>
      </c>
      <c r="I387" s="460" t="str">
        <f t="shared" ca="1" si="83"/>
        <v/>
      </c>
      <c r="J387" s="460" t="str">
        <f t="shared" ca="1" si="83"/>
        <v/>
      </c>
      <c r="K387" s="460" t="str">
        <f t="shared" ca="1" si="83"/>
        <v/>
      </c>
      <c r="L387" s="460" t="str">
        <f t="shared" ca="1" si="83"/>
        <v/>
      </c>
      <c r="M387" s="460" t="str">
        <f t="shared" ca="1" si="83"/>
        <v/>
      </c>
      <c r="N387" s="460" t="str">
        <f t="shared" ca="1" si="83"/>
        <v/>
      </c>
      <c r="O387" s="461" t="str">
        <f t="shared" ca="1" si="83"/>
        <v/>
      </c>
      <c r="P387" s="474" t="str">
        <f t="shared" ca="1" si="83"/>
        <v/>
      </c>
      <c r="Q387" s="475" t="str">
        <f t="shared" ca="1" si="83"/>
        <v/>
      </c>
      <c r="R387" s="476">
        <f ca="1">IF(OR($BG$2=0,$AR387=""),,IF($AR387="本月合计",IF(ROW()=$BG$3,SUM($R$6:$R386),SUM(INDIRECT("$R$"&amp;OFFSET($AU$3,,MATCH(ROW(),$AU$3:$BF$3,)-2)+2&amp;":$R"&amp;ROW()-1))),IF($AR387="本年累计",SUMIF($AR$6:$AR387,"本月合计",$R$6:$R386),INDEX(凭证录入!L:L,$AR387))))</f>
        <v>0</v>
      </c>
      <c r="S387" s="459" t="str">
        <f t="shared" ca="1" si="84"/>
        <v/>
      </c>
      <c r="T387" s="460" t="str">
        <f t="shared" ca="1" si="84"/>
        <v/>
      </c>
      <c r="U387" s="460" t="str">
        <f t="shared" ca="1" si="84"/>
        <v/>
      </c>
      <c r="V387" s="460" t="str">
        <f t="shared" ca="1" si="84"/>
        <v/>
      </c>
      <c r="W387" s="460" t="str">
        <f t="shared" ca="1" si="84"/>
        <v/>
      </c>
      <c r="X387" s="460" t="str">
        <f t="shared" ca="1" si="84"/>
        <v/>
      </c>
      <c r="Y387" s="460" t="str">
        <f t="shared" ca="1" si="84"/>
        <v/>
      </c>
      <c r="Z387" s="460" t="str">
        <f t="shared" ca="1" si="84"/>
        <v/>
      </c>
      <c r="AA387" s="461" t="str">
        <f t="shared" ca="1" si="84"/>
        <v/>
      </c>
      <c r="AB387" s="474" t="str">
        <f t="shared" ca="1" si="84"/>
        <v/>
      </c>
      <c r="AC387" s="475" t="str">
        <f t="shared" ca="1" si="84"/>
        <v/>
      </c>
      <c r="AD387" s="477" t="str">
        <f t="shared" ca="1" si="74"/>
        <v/>
      </c>
      <c r="AE387" s="478">
        <f t="shared" ca="1" si="75"/>
        <v>0</v>
      </c>
      <c r="AF387" s="459" t="str">
        <f t="shared" ca="1" si="82"/>
        <v/>
      </c>
      <c r="AG387" s="460" t="str">
        <f t="shared" ca="1" si="82"/>
        <v/>
      </c>
      <c r="AH387" s="460" t="str">
        <f t="shared" ca="1" si="82"/>
        <v/>
      </c>
      <c r="AI387" s="460" t="str">
        <f t="shared" ca="1" si="82"/>
        <v/>
      </c>
      <c r="AJ387" s="460" t="str">
        <f t="shared" ca="1" si="82"/>
        <v/>
      </c>
      <c r="AK387" s="460" t="str">
        <f t="shared" ca="1" si="82"/>
        <v/>
      </c>
      <c r="AL387" s="460" t="str">
        <f t="shared" ca="1" si="82"/>
        <v/>
      </c>
      <c r="AM387" s="460" t="str">
        <f t="shared" ca="1" si="82"/>
        <v/>
      </c>
      <c r="AN387" s="461" t="str">
        <f t="shared" ca="1" si="82"/>
        <v/>
      </c>
      <c r="AO387" s="474" t="str">
        <f t="shared" ca="1" si="82"/>
        <v/>
      </c>
      <c r="AP387" s="475" t="str">
        <f t="shared" ca="1" si="82"/>
        <v/>
      </c>
      <c r="AQ387" s="479" t="str">
        <f t="array" aca="1" ref="AQ387" ca="1">IF(ROW()-5&lt;=COUNTIF(科目编号,$AR$2),SMALL(IF(科目编号=$AR$2,ROW(科目编号),""),ROW()-5),"")</f>
        <v/>
      </c>
      <c r="AR387" s="480" t="str">
        <f ca="1">IF($BG$2=0,"",IF(AR386="本月合计","本年累计",IF(OR(ROW()=$AU$3,ROW()=$AV$3,ROW()=$AW$3,ROW()=$AX$3,ROW()=$AY$3,ROW()=$AZ$3,ROW()=$BA$3,ROW()=$BB$3,ROW()=$BC$3,ROW()=$BD$3,ROW()=$BE$3,ROW()=$BF$3),"本月合计",IF(ROW()&lt;7,$AQ$6,OFFSET($AQ$6,COUNT($AR$6:AR386),0)))))</f>
        <v/>
      </c>
    </row>
    <row r="388" spans="1:44">
      <c r="A388" s="469" t="str">
        <f ca="1">IFERROR(INDEX(凭证录入!A:A,$AR388),"")</f>
        <v/>
      </c>
      <c r="B388" s="469" t="str">
        <f ca="1">IFERROR(INDEX(凭证录入!B:B,$AR388),"")</f>
        <v/>
      </c>
      <c r="C388" s="470" t="str">
        <f ca="1">IFERROR(INDEX(凭证录入!G:G,$AR388),"")</f>
        <v/>
      </c>
      <c r="D388" s="471" t="str">
        <f ca="1">IFERROR(INDEX(凭证录入!F:F,$AR388),"")</f>
        <v/>
      </c>
      <c r="E388" s="472" t="str">
        <f ca="1">IFERROR(INDEX(凭证录入!H:H,$AR388),$AR388)</f>
        <v/>
      </c>
      <c r="F388" s="473">
        <f ca="1">IF(OR($BG$2=0,$AR388=""),,IF($AR388="本月合计",IF(ROW()=$BG$3,SUM($F$6:$F387),SUM(INDIRECT("$F$"&amp;OFFSET($AU$3,,MATCH(ROW(),$AU$3:$BF$3,)-2)+2&amp;":$E"&amp;ROW()-1))),IF($AR388="本年累计",SUMIF($AR$6:$AR388,"本月合计",$F$6:$F387),INDEX(凭证录入!K:K,$AR388))))</f>
        <v>0</v>
      </c>
      <c r="G388" s="459" t="str">
        <f t="shared" ca="1" si="83"/>
        <v/>
      </c>
      <c r="H388" s="460" t="str">
        <f t="shared" ca="1" si="83"/>
        <v/>
      </c>
      <c r="I388" s="460" t="str">
        <f t="shared" ca="1" si="83"/>
        <v/>
      </c>
      <c r="J388" s="460" t="str">
        <f t="shared" ca="1" si="83"/>
        <v/>
      </c>
      <c r="K388" s="460" t="str">
        <f t="shared" ca="1" si="83"/>
        <v/>
      </c>
      <c r="L388" s="460" t="str">
        <f t="shared" ca="1" si="83"/>
        <v/>
      </c>
      <c r="M388" s="460" t="str">
        <f t="shared" ca="1" si="83"/>
        <v/>
      </c>
      <c r="N388" s="460" t="str">
        <f t="shared" ca="1" si="83"/>
        <v/>
      </c>
      <c r="O388" s="461" t="str">
        <f t="shared" ca="1" si="83"/>
        <v/>
      </c>
      <c r="P388" s="474" t="str">
        <f t="shared" ca="1" si="83"/>
        <v/>
      </c>
      <c r="Q388" s="475" t="str">
        <f t="shared" ca="1" si="83"/>
        <v/>
      </c>
      <c r="R388" s="476">
        <f ca="1">IF(OR($BG$2=0,$AR388=""),,IF($AR388="本月合计",IF(ROW()=$BG$3,SUM($R$6:$R387),SUM(INDIRECT("$R$"&amp;OFFSET($AU$3,,MATCH(ROW(),$AU$3:$BF$3,)-2)+2&amp;":$R"&amp;ROW()-1))),IF($AR388="本年累计",SUMIF($AR$6:$AR388,"本月合计",$R$6:$R387),INDEX(凭证录入!L:L,$AR388))))</f>
        <v>0</v>
      </c>
      <c r="S388" s="459" t="str">
        <f t="shared" ca="1" si="84"/>
        <v/>
      </c>
      <c r="T388" s="460" t="str">
        <f t="shared" ca="1" si="84"/>
        <v/>
      </c>
      <c r="U388" s="460" t="str">
        <f t="shared" ca="1" si="84"/>
        <v/>
      </c>
      <c r="V388" s="460" t="str">
        <f t="shared" ca="1" si="84"/>
        <v/>
      </c>
      <c r="W388" s="460" t="str">
        <f t="shared" ca="1" si="84"/>
        <v/>
      </c>
      <c r="X388" s="460" t="str">
        <f t="shared" ca="1" si="84"/>
        <v/>
      </c>
      <c r="Y388" s="460" t="str">
        <f t="shared" ca="1" si="84"/>
        <v/>
      </c>
      <c r="Z388" s="460" t="str">
        <f t="shared" ca="1" si="84"/>
        <v/>
      </c>
      <c r="AA388" s="461" t="str">
        <f t="shared" ca="1" si="84"/>
        <v/>
      </c>
      <c r="AB388" s="474" t="str">
        <f t="shared" ca="1" si="84"/>
        <v/>
      </c>
      <c r="AC388" s="475" t="str">
        <f t="shared" ca="1" si="84"/>
        <v/>
      </c>
      <c r="AD388" s="477" t="str">
        <f t="shared" ca="1" si="74"/>
        <v/>
      </c>
      <c r="AE388" s="478">
        <f t="shared" ca="1" si="75"/>
        <v>0</v>
      </c>
      <c r="AF388" s="459" t="str">
        <f t="shared" ca="1" si="82"/>
        <v/>
      </c>
      <c r="AG388" s="460" t="str">
        <f t="shared" ca="1" si="82"/>
        <v/>
      </c>
      <c r="AH388" s="460" t="str">
        <f t="shared" ca="1" si="82"/>
        <v/>
      </c>
      <c r="AI388" s="460" t="str">
        <f t="shared" ca="1" si="82"/>
        <v/>
      </c>
      <c r="AJ388" s="460" t="str">
        <f t="shared" ca="1" si="82"/>
        <v/>
      </c>
      <c r="AK388" s="460" t="str">
        <f t="shared" ca="1" si="82"/>
        <v/>
      </c>
      <c r="AL388" s="460" t="str">
        <f t="shared" ca="1" si="82"/>
        <v/>
      </c>
      <c r="AM388" s="460" t="str">
        <f t="shared" ca="1" si="82"/>
        <v/>
      </c>
      <c r="AN388" s="461" t="str">
        <f t="shared" ca="1" si="82"/>
        <v/>
      </c>
      <c r="AO388" s="474" t="str">
        <f t="shared" ca="1" si="82"/>
        <v/>
      </c>
      <c r="AP388" s="475" t="str">
        <f t="shared" ca="1" si="82"/>
        <v/>
      </c>
      <c r="AQ388" s="479" t="str">
        <f t="array" aca="1" ref="AQ388" ca="1">IF(ROW()-5&lt;=COUNTIF(科目编号,$AR$2),SMALL(IF(科目编号=$AR$2,ROW(科目编号),""),ROW()-5),"")</f>
        <v/>
      </c>
      <c r="AR388" s="480" t="str">
        <f ca="1">IF($BG$2=0,"",IF(AR387="本月合计","本年累计",IF(OR(ROW()=$AU$3,ROW()=$AV$3,ROW()=$AW$3,ROW()=$AX$3,ROW()=$AY$3,ROW()=$AZ$3,ROW()=$BA$3,ROW()=$BB$3,ROW()=$BC$3,ROW()=$BD$3,ROW()=$BE$3,ROW()=$BF$3),"本月合计",IF(ROW()&lt;7,$AQ$6,OFFSET($AQ$6,COUNT($AR$6:AR387),0)))))</f>
        <v/>
      </c>
    </row>
    <row r="389" spans="1:44">
      <c r="A389" s="469" t="str">
        <f ca="1">IFERROR(INDEX(凭证录入!A:A,$AR389),"")</f>
        <v/>
      </c>
      <c r="B389" s="469" t="str">
        <f ca="1">IFERROR(INDEX(凭证录入!B:B,$AR389),"")</f>
        <v/>
      </c>
      <c r="C389" s="470" t="str">
        <f ca="1">IFERROR(INDEX(凭证录入!G:G,$AR389),"")</f>
        <v/>
      </c>
      <c r="D389" s="471" t="str">
        <f ca="1">IFERROR(INDEX(凭证录入!F:F,$AR389),"")</f>
        <v/>
      </c>
      <c r="E389" s="472" t="str">
        <f ca="1">IFERROR(INDEX(凭证录入!H:H,$AR389),$AR389)</f>
        <v/>
      </c>
      <c r="F389" s="473">
        <f ca="1">IF(OR($BG$2=0,$AR389=""),,IF($AR389="本月合计",IF(ROW()=$BG$3,SUM($F$6:$F388),SUM(INDIRECT("$F$"&amp;OFFSET($AU$3,,MATCH(ROW(),$AU$3:$BF$3,)-2)+2&amp;":$E"&amp;ROW()-1))),IF($AR389="本年累计",SUMIF($AR$6:$AR389,"本月合计",$F$6:$F388),INDEX(凭证录入!K:K,$AR389))))</f>
        <v>0</v>
      </c>
      <c r="G389" s="459" t="str">
        <f t="shared" ca="1" si="83"/>
        <v/>
      </c>
      <c r="H389" s="460" t="str">
        <f t="shared" ca="1" si="83"/>
        <v/>
      </c>
      <c r="I389" s="460" t="str">
        <f t="shared" ca="1" si="83"/>
        <v/>
      </c>
      <c r="J389" s="460" t="str">
        <f t="shared" ca="1" si="83"/>
        <v/>
      </c>
      <c r="K389" s="460" t="str">
        <f t="shared" ca="1" si="83"/>
        <v/>
      </c>
      <c r="L389" s="460" t="str">
        <f t="shared" ca="1" si="83"/>
        <v/>
      </c>
      <c r="M389" s="460" t="str">
        <f t="shared" ca="1" si="83"/>
        <v/>
      </c>
      <c r="N389" s="460" t="str">
        <f t="shared" ca="1" si="83"/>
        <v/>
      </c>
      <c r="O389" s="461" t="str">
        <f t="shared" ca="1" si="83"/>
        <v/>
      </c>
      <c r="P389" s="474" t="str">
        <f t="shared" ca="1" si="83"/>
        <v/>
      </c>
      <c r="Q389" s="475" t="str">
        <f t="shared" ca="1" si="83"/>
        <v/>
      </c>
      <c r="R389" s="476">
        <f ca="1">IF(OR($BG$2=0,$AR389=""),,IF($AR389="本月合计",IF(ROW()=$BG$3,SUM($R$6:$R388),SUM(INDIRECT("$R$"&amp;OFFSET($AU$3,,MATCH(ROW(),$AU$3:$BF$3,)-2)+2&amp;":$R"&amp;ROW()-1))),IF($AR389="本年累计",SUMIF($AR$6:$AR389,"本月合计",$R$6:$R388),INDEX(凭证录入!L:L,$AR389))))</f>
        <v>0</v>
      </c>
      <c r="S389" s="459" t="str">
        <f t="shared" ca="1" si="84"/>
        <v/>
      </c>
      <c r="T389" s="460" t="str">
        <f t="shared" ca="1" si="84"/>
        <v/>
      </c>
      <c r="U389" s="460" t="str">
        <f t="shared" ca="1" si="84"/>
        <v/>
      </c>
      <c r="V389" s="460" t="str">
        <f t="shared" ca="1" si="84"/>
        <v/>
      </c>
      <c r="W389" s="460" t="str">
        <f t="shared" ca="1" si="84"/>
        <v/>
      </c>
      <c r="X389" s="460" t="str">
        <f t="shared" ca="1" si="84"/>
        <v/>
      </c>
      <c r="Y389" s="460" t="str">
        <f t="shared" ca="1" si="84"/>
        <v/>
      </c>
      <c r="Z389" s="460" t="str">
        <f t="shared" ca="1" si="84"/>
        <v/>
      </c>
      <c r="AA389" s="461" t="str">
        <f t="shared" ca="1" si="84"/>
        <v/>
      </c>
      <c r="AB389" s="474" t="str">
        <f t="shared" ca="1" si="84"/>
        <v/>
      </c>
      <c r="AC389" s="475" t="str">
        <f t="shared" ca="1" si="84"/>
        <v/>
      </c>
      <c r="AD389" s="477" t="str">
        <f t="shared" ca="1" si="74"/>
        <v/>
      </c>
      <c r="AE389" s="478">
        <f t="shared" ca="1" si="75"/>
        <v>0</v>
      </c>
      <c r="AF389" s="459" t="str">
        <f t="shared" ref="AF389:AP404" ca="1" si="85">LEFT(RIGHT(TEXT($AE389/1%," ￥0; ￥-0;"),43-COLUMN()))</f>
        <v/>
      </c>
      <c r="AG389" s="460" t="str">
        <f t="shared" ca="1" si="85"/>
        <v/>
      </c>
      <c r="AH389" s="460" t="str">
        <f t="shared" ca="1" si="85"/>
        <v/>
      </c>
      <c r="AI389" s="460" t="str">
        <f t="shared" ca="1" si="85"/>
        <v/>
      </c>
      <c r="AJ389" s="460" t="str">
        <f t="shared" ca="1" si="85"/>
        <v/>
      </c>
      <c r="AK389" s="460" t="str">
        <f t="shared" ca="1" si="85"/>
        <v/>
      </c>
      <c r="AL389" s="460" t="str">
        <f t="shared" ca="1" si="85"/>
        <v/>
      </c>
      <c r="AM389" s="460" t="str">
        <f t="shared" ca="1" si="85"/>
        <v/>
      </c>
      <c r="AN389" s="461" t="str">
        <f t="shared" ca="1" si="85"/>
        <v/>
      </c>
      <c r="AO389" s="474" t="str">
        <f t="shared" ca="1" si="85"/>
        <v/>
      </c>
      <c r="AP389" s="475" t="str">
        <f t="shared" ca="1" si="85"/>
        <v/>
      </c>
      <c r="AQ389" s="479" t="str">
        <f t="array" aca="1" ref="AQ389" ca="1">IF(ROW()-5&lt;=COUNTIF(科目编号,$AR$2),SMALL(IF(科目编号=$AR$2,ROW(科目编号),""),ROW()-5),"")</f>
        <v/>
      </c>
      <c r="AR389" s="480" t="str">
        <f ca="1">IF($BG$2=0,"",IF(AR388="本月合计","本年累计",IF(OR(ROW()=$AU$3,ROW()=$AV$3,ROW()=$AW$3,ROW()=$AX$3,ROW()=$AY$3,ROW()=$AZ$3,ROW()=$BA$3,ROW()=$BB$3,ROW()=$BC$3,ROW()=$BD$3,ROW()=$BE$3,ROW()=$BF$3),"本月合计",IF(ROW()&lt;7,$AQ$6,OFFSET($AQ$6,COUNT($AR$6:AR388),0)))))</f>
        <v/>
      </c>
    </row>
    <row r="390" spans="1:44">
      <c r="A390" s="469" t="str">
        <f ca="1">IFERROR(INDEX(凭证录入!A:A,$AR390),"")</f>
        <v/>
      </c>
      <c r="B390" s="469" t="str">
        <f ca="1">IFERROR(INDEX(凭证录入!B:B,$AR390),"")</f>
        <v/>
      </c>
      <c r="C390" s="470" t="str">
        <f ca="1">IFERROR(INDEX(凭证录入!G:G,$AR390),"")</f>
        <v/>
      </c>
      <c r="D390" s="471" t="str">
        <f ca="1">IFERROR(INDEX(凭证录入!F:F,$AR390),"")</f>
        <v/>
      </c>
      <c r="E390" s="472" t="str">
        <f ca="1">IFERROR(INDEX(凭证录入!H:H,$AR390),$AR390)</f>
        <v/>
      </c>
      <c r="F390" s="473">
        <f ca="1">IF(OR($BG$2=0,$AR390=""),,IF($AR390="本月合计",IF(ROW()=$BG$3,SUM($F$6:$F389),SUM(INDIRECT("$F$"&amp;OFFSET($AU$3,,MATCH(ROW(),$AU$3:$BF$3,)-2)+2&amp;":$E"&amp;ROW()-1))),IF($AR390="本年累计",SUMIF($AR$6:$AR390,"本月合计",$F$6:$F389),INDEX(凭证录入!K:K,$AR390))))</f>
        <v>0</v>
      </c>
      <c r="G390" s="459" t="str">
        <f t="shared" ref="G390:Q405" ca="1" si="86">LEFT(RIGHT(TEXT($F390/1%," ￥0; ￥-0;"),18-COLUMN()))</f>
        <v/>
      </c>
      <c r="H390" s="460" t="str">
        <f t="shared" ca="1" si="86"/>
        <v/>
      </c>
      <c r="I390" s="460" t="str">
        <f t="shared" ca="1" si="86"/>
        <v/>
      </c>
      <c r="J390" s="460" t="str">
        <f t="shared" ca="1" si="86"/>
        <v/>
      </c>
      <c r="K390" s="460" t="str">
        <f t="shared" ca="1" si="86"/>
        <v/>
      </c>
      <c r="L390" s="460" t="str">
        <f t="shared" ca="1" si="86"/>
        <v/>
      </c>
      <c r="M390" s="460" t="str">
        <f t="shared" ca="1" si="86"/>
        <v/>
      </c>
      <c r="N390" s="460" t="str">
        <f t="shared" ca="1" si="86"/>
        <v/>
      </c>
      <c r="O390" s="461" t="str">
        <f t="shared" ca="1" si="86"/>
        <v/>
      </c>
      <c r="P390" s="474" t="str">
        <f t="shared" ca="1" si="86"/>
        <v/>
      </c>
      <c r="Q390" s="475" t="str">
        <f t="shared" ca="1" si="86"/>
        <v/>
      </c>
      <c r="R390" s="476">
        <f ca="1">IF(OR($BG$2=0,$AR390=""),,IF($AR390="本月合计",IF(ROW()=$BG$3,SUM($R$6:$R389),SUM(INDIRECT("$R$"&amp;OFFSET($AU$3,,MATCH(ROW(),$AU$3:$BF$3,)-2)+2&amp;":$R"&amp;ROW()-1))),IF($AR390="本年累计",SUMIF($AR$6:$AR390,"本月合计",$R$6:$R389),INDEX(凭证录入!L:L,$AR390))))</f>
        <v>0</v>
      </c>
      <c r="S390" s="459" t="str">
        <f t="shared" ref="S390:AC405" ca="1" si="87">LEFT(RIGHT(TEXT($R390/1%," ￥0; ￥-0;"),30-COLUMN()))</f>
        <v/>
      </c>
      <c r="T390" s="460" t="str">
        <f t="shared" ca="1" si="87"/>
        <v/>
      </c>
      <c r="U390" s="460" t="str">
        <f t="shared" ca="1" si="87"/>
        <v/>
      </c>
      <c r="V390" s="460" t="str">
        <f t="shared" ca="1" si="87"/>
        <v/>
      </c>
      <c r="W390" s="460" t="str">
        <f t="shared" ca="1" si="87"/>
        <v/>
      </c>
      <c r="X390" s="460" t="str">
        <f t="shared" ca="1" si="87"/>
        <v/>
      </c>
      <c r="Y390" s="460" t="str">
        <f t="shared" ca="1" si="87"/>
        <v/>
      </c>
      <c r="Z390" s="460" t="str">
        <f t="shared" ca="1" si="87"/>
        <v/>
      </c>
      <c r="AA390" s="461" t="str">
        <f t="shared" ca="1" si="87"/>
        <v/>
      </c>
      <c r="AB390" s="474" t="str">
        <f t="shared" ca="1" si="87"/>
        <v/>
      </c>
      <c r="AC390" s="475" t="str">
        <f t="shared" ca="1" si="87"/>
        <v/>
      </c>
      <c r="AD390" s="477" t="str">
        <f t="shared" ref="AD390:AD453" ca="1" si="88">IF(OR($BG$2=0,$AR390="",$AR390="本月合计",$AR390="本年累计"),"",IF(OR(AND($AD389="",$AE389="",$AD387&lt;&gt;"借",$AD387&lt;&gt;"贷",($F390-$R390)&gt;=0),AND($AD389="",$AE389&lt;&gt;"",$AD387="借",($AE388+$F390-$R390)&gt;=0),AND($AD389="",$AE389&lt;&gt;"",$AD387="贷",(-$AE388+$F390-$R390)&gt;=0),AND($AD389="借",($AE389+$F390-$R390)&gt;=0),AND($AD389="贷",(-$AE389+$F390-$R390)&gt;=0),),"借","贷"))</f>
        <v/>
      </c>
      <c r="AE390" s="478">
        <f t="shared" ref="AE390:AE453" ca="1" si="89">IF(OR($BG$2=0,$AR390=""),,IF(OR($AR390="本月合计",$AR390="本年累计"),$AE389,IF(OR(AD389="借",AND(AD389="",AD388="",AD387="借")),ABS(AE389+F390-R390),ABS(-AE389+F390-R390))))</f>
        <v>0</v>
      </c>
      <c r="AF390" s="459" t="str">
        <f t="shared" ca="1" si="85"/>
        <v/>
      </c>
      <c r="AG390" s="460" t="str">
        <f t="shared" ca="1" si="85"/>
        <v/>
      </c>
      <c r="AH390" s="460" t="str">
        <f t="shared" ca="1" si="85"/>
        <v/>
      </c>
      <c r="AI390" s="460" t="str">
        <f t="shared" ca="1" si="85"/>
        <v/>
      </c>
      <c r="AJ390" s="460" t="str">
        <f t="shared" ca="1" si="85"/>
        <v/>
      </c>
      <c r="AK390" s="460" t="str">
        <f t="shared" ca="1" si="85"/>
        <v/>
      </c>
      <c r="AL390" s="460" t="str">
        <f t="shared" ca="1" si="85"/>
        <v/>
      </c>
      <c r="AM390" s="460" t="str">
        <f t="shared" ca="1" si="85"/>
        <v/>
      </c>
      <c r="AN390" s="461" t="str">
        <f t="shared" ca="1" si="85"/>
        <v/>
      </c>
      <c r="AO390" s="474" t="str">
        <f t="shared" ca="1" si="85"/>
        <v/>
      </c>
      <c r="AP390" s="475" t="str">
        <f t="shared" ca="1" si="85"/>
        <v/>
      </c>
      <c r="AQ390" s="479" t="str">
        <f t="array" aca="1" ref="AQ390" ca="1">IF(ROW()-5&lt;=COUNTIF(科目编号,$AR$2),SMALL(IF(科目编号=$AR$2,ROW(科目编号),""),ROW()-5),"")</f>
        <v/>
      </c>
      <c r="AR390" s="480" t="str">
        <f ca="1">IF($BG$2=0,"",IF(AR389="本月合计","本年累计",IF(OR(ROW()=$AU$3,ROW()=$AV$3,ROW()=$AW$3,ROW()=$AX$3,ROW()=$AY$3,ROW()=$AZ$3,ROW()=$BA$3,ROW()=$BB$3,ROW()=$BC$3,ROW()=$BD$3,ROW()=$BE$3,ROW()=$BF$3),"本月合计",IF(ROW()&lt;7,$AQ$6,OFFSET($AQ$6,COUNT($AR$6:AR389),0)))))</f>
        <v/>
      </c>
    </row>
    <row r="391" spans="1:44">
      <c r="A391" s="469" t="str">
        <f ca="1">IFERROR(INDEX(凭证录入!A:A,$AR391),"")</f>
        <v/>
      </c>
      <c r="B391" s="469" t="str">
        <f ca="1">IFERROR(INDEX(凭证录入!B:B,$AR391),"")</f>
        <v/>
      </c>
      <c r="C391" s="470" t="str">
        <f ca="1">IFERROR(INDEX(凭证录入!G:G,$AR391),"")</f>
        <v/>
      </c>
      <c r="D391" s="471" t="str">
        <f ca="1">IFERROR(INDEX(凭证录入!F:F,$AR391),"")</f>
        <v/>
      </c>
      <c r="E391" s="472" t="str">
        <f ca="1">IFERROR(INDEX(凭证录入!H:H,$AR391),$AR391)</f>
        <v/>
      </c>
      <c r="F391" s="473">
        <f ca="1">IF(OR($BG$2=0,$AR391=""),,IF($AR391="本月合计",IF(ROW()=$BG$3,SUM($F$6:$F390),SUM(INDIRECT("$F$"&amp;OFFSET($AU$3,,MATCH(ROW(),$AU$3:$BF$3,)-2)+2&amp;":$E"&amp;ROW()-1))),IF($AR391="本年累计",SUMIF($AR$6:$AR391,"本月合计",$F$6:$F390),INDEX(凭证录入!K:K,$AR391))))</f>
        <v>0</v>
      </c>
      <c r="G391" s="459" t="str">
        <f t="shared" ca="1" si="86"/>
        <v/>
      </c>
      <c r="H391" s="460" t="str">
        <f t="shared" ca="1" si="86"/>
        <v/>
      </c>
      <c r="I391" s="460" t="str">
        <f t="shared" ca="1" si="86"/>
        <v/>
      </c>
      <c r="J391" s="460" t="str">
        <f t="shared" ca="1" si="86"/>
        <v/>
      </c>
      <c r="K391" s="460" t="str">
        <f t="shared" ca="1" si="86"/>
        <v/>
      </c>
      <c r="L391" s="460" t="str">
        <f t="shared" ca="1" si="86"/>
        <v/>
      </c>
      <c r="M391" s="460" t="str">
        <f t="shared" ca="1" si="86"/>
        <v/>
      </c>
      <c r="N391" s="460" t="str">
        <f t="shared" ca="1" si="86"/>
        <v/>
      </c>
      <c r="O391" s="461" t="str">
        <f t="shared" ca="1" si="86"/>
        <v/>
      </c>
      <c r="P391" s="474" t="str">
        <f t="shared" ca="1" si="86"/>
        <v/>
      </c>
      <c r="Q391" s="475" t="str">
        <f t="shared" ca="1" si="86"/>
        <v/>
      </c>
      <c r="R391" s="476">
        <f ca="1">IF(OR($BG$2=0,$AR391=""),,IF($AR391="本月合计",IF(ROW()=$BG$3,SUM($R$6:$R390),SUM(INDIRECT("$R$"&amp;OFFSET($AU$3,,MATCH(ROW(),$AU$3:$BF$3,)-2)+2&amp;":$R"&amp;ROW()-1))),IF($AR391="本年累计",SUMIF($AR$6:$AR391,"本月合计",$R$6:$R390),INDEX(凭证录入!L:L,$AR391))))</f>
        <v>0</v>
      </c>
      <c r="S391" s="459" t="str">
        <f t="shared" ca="1" si="87"/>
        <v/>
      </c>
      <c r="T391" s="460" t="str">
        <f t="shared" ca="1" si="87"/>
        <v/>
      </c>
      <c r="U391" s="460" t="str">
        <f t="shared" ca="1" si="87"/>
        <v/>
      </c>
      <c r="V391" s="460" t="str">
        <f t="shared" ca="1" si="87"/>
        <v/>
      </c>
      <c r="W391" s="460" t="str">
        <f t="shared" ca="1" si="87"/>
        <v/>
      </c>
      <c r="X391" s="460" t="str">
        <f t="shared" ca="1" si="87"/>
        <v/>
      </c>
      <c r="Y391" s="460" t="str">
        <f t="shared" ca="1" si="87"/>
        <v/>
      </c>
      <c r="Z391" s="460" t="str">
        <f t="shared" ca="1" si="87"/>
        <v/>
      </c>
      <c r="AA391" s="461" t="str">
        <f t="shared" ca="1" si="87"/>
        <v/>
      </c>
      <c r="AB391" s="474" t="str">
        <f t="shared" ca="1" si="87"/>
        <v/>
      </c>
      <c r="AC391" s="475" t="str">
        <f t="shared" ca="1" si="87"/>
        <v/>
      </c>
      <c r="AD391" s="477" t="str">
        <f t="shared" ca="1" si="88"/>
        <v/>
      </c>
      <c r="AE391" s="478">
        <f t="shared" ca="1" si="89"/>
        <v>0</v>
      </c>
      <c r="AF391" s="459" t="str">
        <f t="shared" ca="1" si="85"/>
        <v/>
      </c>
      <c r="AG391" s="460" t="str">
        <f t="shared" ca="1" si="85"/>
        <v/>
      </c>
      <c r="AH391" s="460" t="str">
        <f t="shared" ca="1" si="85"/>
        <v/>
      </c>
      <c r="AI391" s="460" t="str">
        <f t="shared" ca="1" si="85"/>
        <v/>
      </c>
      <c r="AJ391" s="460" t="str">
        <f t="shared" ca="1" si="85"/>
        <v/>
      </c>
      <c r="AK391" s="460" t="str">
        <f t="shared" ca="1" si="85"/>
        <v/>
      </c>
      <c r="AL391" s="460" t="str">
        <f t="shared" ca="1" si="85"/>
        <v/>
      </c>
      <c r="AM391" s="460" t="str">
        <f t="shared" ca="1" si="85"/>
        <v/>
      </c>
      <c r="AN391" s="461" t="str">
        <f t="shared" ca="1" si="85"/>
        <v/>
      </c>
      <c r="AO391" s="474" t="str">
        <f t="shared" ca="1" si="85"/>
        <v/>
      </c>
      <c r="AP391" s="475" t="str">
        <f t="shared" ca="1" si="85"/>
        <v/>
      </c>
      <c r="AQ391" s="479" t="str">
        <f t="array" aca="1" ref="AQ391" ca="1">IF(ROW()-5&lt;=COUNTIF(科目编号,$AR$2),SMALL(IF(科目编号=$AR$2,ROW(科目编号),""),ROW()-5),"")</f>
        <v/>
      </c>
      <c r="AR391" s="480" t="str">
        <f ca="1">IF($BG$2=0,"",IF(AR390="本月合计","本年累计",IF(OR(ROW()=$AU$3,ROW()=$AV$3,ROW()=$AW$3,ROW()=$AX$3,ROW()=$AY$3,ROW()=$AZ$3,ROW()=$BA$3,ROW()=$BB$3,ROW()=$BC$3,ROW()=$BD$3,ROW()=$BE$3,ROW()=$BF$3),"本月合计",IF(ROW()&lt;7,$AQ$6,OFFSET($AQ$6,COUNT($AR$6:AR390),0)))))</f>
        <v/>
      </c>
    </row>
    <row r="392" spans="1:44">
      <c r="A392" s="469" t="str">
        <f ca="1">IFERROR(INDEX(凭证录入!A:A,$AR392),"")</f>
        <v/>
      </c>
      <c r="B392" s="469" t="str">
        <f ca="1">IFERROR(INDEX(凭证录入!B:B,$AR392),"")</f>
        <v/>
      </c>
      <c r="C392" s="470" t="str">
        <f ca="1">IFERROR(INDEX(凭证录入!G:G,$AR392),"")</f>
        <v/>
      </c>
      <c r="D392" s="471" t="str">
        <f ca="1">IFERROR(INDEX(凭证录入!F:F,$AR392),"")</f>
        <v/>
      </c>
      <c r="E392" s="472" t="str">
        <f ca="1">IFERROR(INDEX(凭证录入!H:H,$AR392),$AR392)</f>
        <v/>
      </c>
      <c r="F392" s="473">
        <f ca="1">IF(OR($BG$2=0,$AR392=""),,IF($AR392="本月合计",IF(ROW()=$BG$3,SUM($F$6:$F391),SUM(INDIRECT("$F$"&amp;OFFSET($AU$3,,MATCH(ROW(),$AU$3:$BF$3,)-2)+2&amp;":$E"&amp;ROW()-1))),IF($AR392="本年累计",SUMIF($AR$6:$AR392,"本月合计",$F$6:$F391),INDEX(凭证录入!K:K,$AR392))))</f>
        <v>0</v>
      </c>
      <c r="G392" s="459" t="str">
        <f t="shared" ca="1" si="86"/>
        <v/>
      </c>
      <c r="H392" s="460" t="str">
        <f t="shared" ca="1" si="86"/>
        <v/>
      </c>
      <c r="I392" s="460" t="str">
        <f t="shared" ca="1" si="86"/>
        <v/>
      </c>
      <c r="J392" s="460" t="str">
        <f t="shared" ca="1" si="86"/>
        <v/>
      </c>
      <c r="K392" s="460" t="str">
        <f t="shared" ca="1" si="86"/>
        <v/>
      </c>
      <c r="L392" s="460" t="str">
        <f t="shared" ca="1" si="86"/>
        <v/>
      </c>
      <c r="M392" s="460" t="str">
        <f t="shared" ca="1" si="86"/>
        <v/>
      </c>
      <c r="N392" s="460" t="str">
        <f t="shared" ca="1" si="86"/>
        <v/>
      </c>
      <c r="O392" s="461" t="str">
        <f t="shared" ca="1" si="86"/>
        <v/>
      </c>
      <c r="P392" s="474" t="str">
        <f t="shared" ca="1" si="86"/>
        <v/>
      </c>
      <c r="Q392" s="475" t="str">
        <f t="shared" ca="1" si="86"/>
        <v/>
      </c>
      <c r="R392" s="476">
        <f ca="1">IF(OR($BG$2=0,$AR392=""),,IF($AR392="本月合计",IF(ROW()=$BG$3,SUM($R$6:$R391),SUM(INDIRECT("$R$"&amp;OFFSET($AU$3,,MATCH(ROW(),$AU$3:$BF$3,)-2)+2&amp;":$R"&amp;ROW()-1))),IF($AR392="本年累计",SUMIF($AR$6:$AR392,"本月合计",$R$6:$R391),INDEX(凭证录入!L:L,$AR392))))</f>
        <v>0</v>
      </c>
      <c r="S392" s="459" t="str">
        <f t="shared" ca="1" si="87"/>
        <v/>
      </c>
      <c r="T392" s="460" t="str">
        <f t="shared" ca="1" si="87"/>
        <v/>
      </c>
      <c r="U392" s="460" t="str">
        <f t="shared" ca="1" si="87"/>
        <v/>
      </c>
      <c r="V392" s="460" t="str">
        <f t="shared" ca="1" si="87"/>
        <v/>
      </c>
      <c r="W392" s="460" t="str">
        <f t="shared" ca="1" si="87"/>
        <v/>
      </c>
      <c r="X392" s="460" t="str">
        <f t="shared" ca="1" si="87"/>
        <v/>
      </c>
      <c r="Y392" s="460" t="str">
        <f t="shared" ca="1" si="87"/>
        <v/>
      </c>
      <c r="Z392" s="460" t="str">
        <f t="shared" ca="1" si="87"/>
        <v/>
      </c>
      <c r="AA392" s="461" t="str">
        <f t="shared" ca="1" si="87"/>
        <v/>
      </c>
      <c r="AB392" s="474" t="str">
        <f t="shared" ca="1" si="87"/>
        <v/>
      </c>
      <c r="AC392" s="475" t="str">
        <f t="shared" ca="1" si="87"/>
        <v/>
      </c>
      <c r="AD392" s="477" t="str">
        <f t="shared" ca="1" si="88"/>
        <v/>
      </c>
      <c r="AE392" s="478">
        <f t="shared" ca="1" si="89"/>
        <v>0</v>
      </c>
      <c r="AF392" s="459" t="str">
        <f t="shared" ca="1" si="85"/>
        <v/>
      </c>
      <c r="AG392" s="460" t="str">
        <f t="shared" ca="1" si="85"/>
        <v/>
      </c>
      <c r="AH392" s="460" t="str">
        <f t="shared" ca="1" si="85"/>
        <v/>
      </c>
      <c r="AI392" s="460" t="str">
        <f t="shared" ca="1" si="85"/>
        <v/>
      </c>
      <c r="AJ392" s="460" t="str">
        <f t="shared" ca="1" si="85"/>
        <v/>
      </c>
      <c r="AK392" s="460" t="str">
        <f t="shared" ca="1" si="85"/>
        <v/>
      </c>
      <c r="AL392" s="460" t="str">
        <f t="shared" ca="1" si="85"/>
        <v/>
      </c>
      <c r="AM392" s="460" t="str">
        <f t="shared" ca="1" si="85"/>
        <v/>
      </c>
      <c r="AN392" s="461" t="str">
        <f t="shared" ca="1" si="85"/>
        <v/>
      </c>
      <c r="AO392" s="474" t="str">
        <f t="shared" ca="1" si="85"/>
        <v/>
      </c>
      <c r="AP392" s="475" t="str">
        <f t="shared" ca="1" si="85"/>
        <v/>
      </c>
      <c r="AQ392" s="479" t="str">
        <f t="array" aca="1" ref="AQ392" ca="1">IF(ROW()-5&lt;=COUNTIF(科目编号,$AR$2),SMALL(IF(科目编号=$AR$2,ROW(科目编号),""),ROW()-5),"")</f>
        <v/>
      </c>
      <c r="AR392" s="480" t="str">
        <f ca="1">IF($BG$2=0,"",IF(AR391="本月合计","本年累计",IF(OR(ROW()=$AU$3,ROW()=$AV$3,ROW()=$AW$3,ROW()=$AX$3,ROW()=$AY$3,ROW()=$AZ$3,ROW()=$BA$3,ROW()=$BB$3,ROW()=$BC$3,ROW()=$BD$3,ROW()=$BE$3,ROW()=$BF$3),"本月合计",IF(ROW()&lt;7,$AQ$6,OFFSET($AQ$6,COUNT($AR$6:AR391),0)))))</f>
        <v/>
      </c>
    </row>
    <row r="393" spans="1:44">
      <c r="A393" s="469" t="str">
        <f ca="1">IFERROR(INDEX(凭证录入!A:A,$AR393),"")</f>
        <v/>
      </c>
      <c r="B393" s="469" t="str">
        <f ca="1">IFERROR(INDEX(凭证录入!B:B,$AR393),"")</f>
        <v/>
      </c>
      <c r="C393" s="470" t="str">
        <f ca="1">IFERROR(INDEX(凭证录入!G:G,$AR393),"")</f>
        <v/>
      </c>
      <c r="D393" s="471" t="str">
        <f ca="1">IFERROR(INDEX(凭证录入!F:F,$AR393),"")</f>
        <v/>
      </c>
      <c r="E393" s="472" t="str">
        <f ca="1">IFERROR(INDEX(凭证录入!H:H,$AR393),$AR393)</f>
        <v/>
      </c>
      <c r="F393" s="473">
        <f ca="1">IF(OR($BG$2=0,$AR393=""),,IF($AR393="本月合计",IF(ROW()=$BG$3,SUM($F$6:$F392),SUM(INDIRECT("$F$"&amp;OFFSET($AU$3,,MATCH(ROW(),$AU$3:$BF$3,)-2)+2&amp;":$E"&amp;ROW()-1))),IF($AR393="本年累计",SUMIF($AR$6:$AR393,"本月合计",$F$6:$F392),INDEX(凭证录入!K:K,$AR393))))</f>
        <v>0</v>
      </c>
      <c r="G393" s="459" t="str">
        <f t="shared" ca="1" si="86"/>
        <v/>
      </c>
      <c r="H393" s="460" t="str">
        <f t="shared" ca="1" si="86"/>
        <v/>
      </c>
      <c r="I393" s="460" t="str">
        <f t="shared" ca="1" si="86"/>
        <v/>
      </c>
      <c r="J393" s="460" t="str">
        <f t="shared" ca="1" si="86"/>
        <v/>
      </c>
      <c r="K393" s="460" t="str">
        <f t="shared" ca="1" si="86"/>
        <v/>
      </c>
      <c r="L393" s="460" t="str">
        <f t="shared" ca="1" si="86"/>
        <v/>
      </c>
      <c r="M393" s="460" t="str">
        <f t="shared" ca="1" si="86"/>
        <v/>
      </c>
      <c r="N393" s="460" t="str">
        <f t="shared" ca="1" si="86"/>
        <v/>
      </c>
      <c r="O393" s="461" t="str">
        <f t="shared" ca="1" si="86"/>
        <v/>
      </c>
      <c r="P393" s="474" t="str">
        <f t="shared" ca="1" si="86"/>
        <v/>
      </c>
      <c r="Q393" s="475" t="str">
        <f t="shared" ca="1" si="86"/>
        <v/>
      </c>
      <c r="R393" s="476">
        <f ca="1">IF(OR($BG$2=0,$AR393=""),,IF($AR393="本月合计",IF(ROW()=$BG$3,SUM($R$6:$R392),SUM(INDIRECT("$R$"&amp;OFFSET($AU$3,,MATCH(ROW(),$AU$3:$BF$3,)-2)+2&amp;":$R"&amp;ROW()-1))),IF($AR393="本年累计",SUMIF($AR$6:$AR393,"本月合计",$R$6:$R392),INDEX(凭证录入!L:L,$AR393))))</f>
        <v>0</v>
      </c>
      <c r="S393" s="459" t="str">
        <f t="shared" ca="1" si="87"/>
        <v/>
      </c>
      <c r="T393" s="460" t="str">
        <f t="shared" ca="1" si="87"/>
        <v/>
      </c>
      <c r="U393" s="460" t="str">
        <f t="shared" ca="1" si="87"/>
        <v/>
      </c>
      <c r="V393" s="460" t="str">
        <f t="shared" ca="1" si="87"/>
        <v/>
      </c>
      <c r="W393" s="460" t="str">
        <f t="shared" ca="1" si="87"/>
        <v/>
      </c>
      <c r="X393" s="460" t="str">
        <f t="shared" ca="1" si="87"/>
        <v/>
      </c>
      <c r="Y393" s="460" t="str">
        <f t="shared" ca="1" si="87"/>
        <v/>
      </c>
      <c r="Z393" s="460" t="str">
        <f t="shared" ca="1" si="87"/>
        <v/>
      </c>
      <c r="AA393" s="461" t="str">
        <f t="shared" ca="1" si="87"/>
        <v/>
      </c>
      <c r="AB393" s="474" t="str">
        <f t="shared" ca="1" si="87"/>
        <v/>
      </c>
      <c r="AC393" s="475" t="str">
        <f t="shared" ca="1" si="87"/>
        <v/>
      </c>
      <c r="AD393" s="477" t="str">
        <f t="shared" ca="1" si="88"/>
        <v/>
      </c>
      <c r="AE393" s="478">
        <f t="shared" ca="1" si="89"/>
        <v>0</v>
      </c>
      <c r="AF393" s="459" t="str">
        <f t="shared" ca="1" si="85"/>
        <v/>
      </c>
      <c r="AG393" s="460" t="str">
        <f t="shared" ca="1" si="85"/>
        <v/>
      </c>
      <c r="AH393" s="460" t="str">
        <f t="shared" ca="1" si="85"/>
        <v/>
      </c>
      <c r="AI393" s="460" t="str">
        <f t="shared" ca="1" si="85"/>
        <v/>
      </c>
      <c r="AJ393" s="460" t="str">
        <f t="shared" ca="1" si="85"/>
        <v/>
      </c>
      <c r="AK393" s="460" t="str">
        <f t="shared" ca="1" si="85"/>
        <v/>
      </c>
      <c r="AL393" s="460" t="str">
        <f t="shared" ca="1" si="85"/>
        <v/>
      </c>
      <c r="AM393" s="460" t="str">
        <f t="shared" ca="1" si="85"/>
        <v/>
      </c>
      <c r="AN393" s="461" t="str">
        <f t="shared" ca="1" si="85"/>
        <v/>
      </c>
      <c r="AO393" s="474" t="str">
        <f t="shared" ca="1" si="85"/>
        <v/>
      </c>
      <c r="AP393" s="475" t="str">
        <f t="shared" ca="1" si="85"/>
        <v/>
      </c>
      <c r="AQ393" s="479" t="str">
        <f t="array" aca="1" ref="AQ393" ca="1">IF(ROW()-5&lt;=COUNTIF(科目编号,$AR$2),SMALL(IF(科目编号=$AR$2,ROW(科目编号),""),ROW()-5),"")</f>
        <v/>
      </c>
      <c r="AR393" s="480" t="str">
        <f ca="1">IF($BG$2=0,"",IF(AR392="本月合计","本年累计",IF(OR(ROW()=$AU$3,ROW()=$AV$3,ROW()=$AW$3,ROW()=$AX$3,ROW()=$AY$3,ROW()=$AZ$3,ROW()=$BA$3,ROW()=$BB$3,ROW()=$BC$3,ROW()=$BD$3,ROW()=$BE$3,ROW()=$BF$3),"本月合计",IF(ROW()&lt;7,$AQ$6,OFFSET($AQ$6,COUNT($AR$6:AR392),0)))))</f>
        <v/>
      </c>
    </row>
    <row r="394" spans="1:44">
      <c r="A394" s="469" t="str">
        <f ca="1">IFERROR(INDEX(凭证录入!A:A,$AR394),"")</f>
        <v/>
      </c>
      <c r="B394" s="469" t="str">
        <f ca="1">IFERROR(INDEX(凭证录入!B:B,$AR394),"")</f>
        <v/>
      </c>
      <c r="C394" s="470" t="str">
        <f ca="1">IFERROR(INDEX(凭证录入!G:G,$AR394),"")</f>
        <v/>
      </c>
      <c r="D394" s="471" t="str">
        <f ca="1">IFERROR(INDEX(凭证录入!F:F,$AR394),"")</f>
        <v/>
      </c>
      <c r="E394" s="472" t="str">
        <f ca="1">IFERROR(INDEX(凭证录入!H:H,$AR394),$AR394)</f>
        <v/>
      </c>
      <c r="F394" s="473">
        <f ca="1">IF(OR($BG$2=0,$AR394=""),,IF($AR394="本月合计",IF(ROW()=$BG$3,SUM($F$6:$F393),SUM(INDIRECT("$F$"&amp;OFFSET($AU$3,,MATCH(ROW(),$AU$3:$BF$3,)-2)+2&amp;":$E"&amp;ROW()-1))),IF($AR394="本年累计",SUMIF($AR$6:$AR394,"本月合计",$F$6:$F393),INDEX(凭证录入!K:K,$AR394))))</f>
        <v>0</v>
      </c>
      <c r="G394" s="459" t="str">
        <f t="shared" ca="1" si="86"/>
        <v/>
      </c>
      <c r="H394" s="460" t="str">
        <f t="shared" ca="1" si="86"/>
        <v/>
      </c>
      <c r="I394" s="460" t="str">
        <f t="shared" ca="1" si="86"/>
        <v/>
      </c>
      <c r="J394" s="460" t="str">
        <f t="shared" ca="1" si="86"/>
        <v/>
      </c>
      <c r="K394" s="460" t="str">
        <f t="shared" ca="1" si="86"/>
        <v/>
      </c>
      <c r="L394" s="460" t="str">
        <f t="shared" ca="1" si="86"/>
        <v/>
      </c>
      <c r="M394" s="460" t="str">
        <f t="shared" ca="1" si="86"/>
        <v/>
      </c>
      <c r="N394" s="460" t="str">
        <f t="shared" ca="1" si="86"/>
        <v/>
      </c>
      <c r="O394" s="461" t="str">
        <f t="shared" ca="1" si="86"/>
        <v/>
      </c>
      <c r="P394" s="474" t="str">
        <f t="shared" ca="1" si="86"/>
        <v/>
      </c>
      <c r="Q394" s="475" t="str">
        <f t="shared" ca="1" si="86"/>
        <v/>
      </c>
      <c r="R394" s="476">
        <f ca="1">IF(OR($BG$2=0,$AR394=""),,IF($AR394="本月合计",IF(ROW()=$BG$3,SUM($R$6:$R393),SUM(INDIRECT("$R$"&amp;OFFSET($AU$3,,MATCH(ROW(),$AU$3:$BF$3,)-2)+2&amp;":$R"&amp;ROW()-1))),IF($AR394="本年累计",SUMIF($AR$6:$AR394,"本月合计",$R$6:$R393),INDEX(凭证录入!L:L,$AR394))))</f>
        <v>0</v>
      </c>
      <c r="S394" s="459" t="str">
        <f t="shared" ca="1" si="87"/>
        <v/>
      </c>
      <c r="T394" s="460" t="str">
        <f t="shared" ca="1" si="87"/>
        <v/>
      </c>
      <c r="U394" s="460" t="str">
        <f t="shared" ca="1" si="87"/>
        <v/>
      </c>
      <c r="V394" s="460" t="str">
        <f t="shared" ca="1" si="87"/>
        <v/>
      </c>
      <c r="W394" s="460" t="str">
        <f t="shared" ca="1" si="87"/>
        <v/>
      </c>
      <c r="X394" s="460" t="str">
        <f t="shared" ca="1" si="87"/>
        <v/>
      </c>
      <c r="Y394" s="460" t="str">
        <f t="shared" ca="1" si="87"/>
        <v/>
      </c>
      <c r="Z394" s="460" t="str">
        <f t="shared" ca="1" si="87"/>
        <v/>
      </c>
      <c r="AA394" s="461" t="str">
        <f t="shared" ca="1" si="87"/>
        <v/>
      </c>
      <c r="AB394" s="474" t="str">
        <f t="shared" ca="1" si="87"/>
        <v/>
      </c>
      <c r="AC394" s="475" t="str">
        <f t="shared" ca="1" si="87"/>
        <v/>
      </c>
      <c r="AD394" s="477" t="str">
        <f t="shared" ca="1" si="88"/>
        <v/>
      </c>
      <c r="AE394" s="478">
        <f t="shared" ca="1" si="89"/>
        <v>0</v>
      </c>
      <c r="AF394" s="459" t="str">
        <f t="shared" ca="1" si="85"/>
        <v/>
      </c>
      <c r="AG394" s="460" t="str">
        <f t="shared" ca="1" si="85"/>
        <v/>
      </c>
      <c r="AH394" s="460" t="str">
        <f t="shared" ca="1" si="85"/>
        <v/>
      </c>
      <c r="AI394" s="460" t="str">
        <f t="shared" ca="1" si="85"/>
        <v/>
      </c>
      <c r="AJ394" s="460" t="str">
        <f t="shared" ca="1" si="85"/>
        <v/>
      </c>
      <c r="AK394" s="460" t="str">
        <f t="shared" ca="1" si="85"/>
        <v/>
      </c>
      <c r="AL394" s="460" t="str">
        <f t="shared" ca="1" si="85"/>
        <v/>
      </c>
      <c r="AM394" s="460" t="str">
        <f t="shared" ca="1" si="85"/>
        <v/>
      </c>
      <c r="AN394" s="461" t="str">
        <f t="shared" ca="1" si="85"/>
        <v/>
      </c>
      <c r="AO394" s="474" t="str">
        <f t="shared" ca="1" si="85"/>
        <v/>
      </c>
      <c r="AP394" s="475" t="str">
        <f t="shared" ca="1" si="85"/>
        <v/>
      </c>
      <c r="AQ394" s="479" t="str">
        <f t="array" aca="1" ref="AQ394" ca="1">IF(ROW()-5&lt;=COUNTIF(科目编号,$AR$2),SMALL(IF(科目编号=$AR$2,ROW(科目编号),""),ROW()-5),"")</f>
        <v/>
      </c>
      <c r="AR394" s="480" t="str">
        <f ca="1">IF($BG$2=0,"",IF(AR393="本月合计","本年累计",IF(OR(ROW()=$AU$3,ROW()=$AV$3,ROW()=$AW$3,ROW()=$AX$3,ROW()=$AY$3,ROW()=$AZ$3,ROW()=$BA$3,ROW()=$BB$3,ROW()=$BC$3,ROW()=$BD$3,ROW()=$BE$3,ROW()=$BF$3),"本月合计",IF(ROW()&lt;7,$AQ$6,OFFSET($AQ$6,COUNT($AR$6:AR393),0)))))</f>
        <v/>
      </c>
    </row>
    <row r="395" spans="1:44">
      <c r="A395" s="469" t="str">
        <f ca="1">IFERROR(INDEX(凭证录入!A:A,$AR395),"")</f>
        <v/>
      </c>
      <c r="B395" s="469" t="str">
        <f ca="1">IFERROR(INDEX(凭证录入!B:B,$AR395),"")</f>
        <v/>
      </c>
      <c r="C395" s="470" t="str">
        <f ca="1">IFERROR(INDEX(凭证录入!G:G,$AR395),"")</f>
        <v/>
      </c>
      <c r="D395" s="471" t="str">
        <f ca="1">IFERROR(INDEX(凭证录入!F:F,$AR395),"")</f>
        <v/>
      </c>
      <c r="E395" s="472" t="str">
        <f ca="1">IFERROR(INDEX(凭证录入!H:H,$AR395),$AR395)</f>
        <v/>
      </c>
      <c r="F395" s="473">
        <f ca="1">IF(OR($BG$2=0,$AR395=""),,IF($AR395="本月合计",IF(ROW()=$BG$3,SUM($F$6:$F394),SUM(INDIRECT("$F$"&amp;OFFSET($AU$3,,MATCH(ROW(),$AU$3:$BF$3,)-2)+2&amp;":$E"&amp;ROW()-1))),IF($AR395="本年累计",SUMIF($AR$6:$AR395,"本月合计",$F$6:$F394),INDEX(凭证录入!K:K,$AR395))))</f>
        <v>0</v>
      </c>
      <c r="G395" s="459" t="str">
        <f t="shared" ca="1" si="86"/>
        <v/>
      </c>
      <c r="H395" s="460" t="str">
        <f t="shared" ca="1" si="86"/>
        <v/>
      </c>
      <c r="I395" s="460" t="str">
        <f t="shared" ca="1" si="86"/>
        <v/>
      </c>
      <c r="J395" s="460" t="str">
        <f t="shared" ca="1" si="86"/>
        <v/>
      </c>
      <c r="K395" s="460" t="str">
        <f t="shared" ca="1" si="86"/>
        <v/>
      </c>
      <c r="L395" s="460" t="str">
        <f t="shared" ca="1" si="86"/>
        <v/>
      </c>
      <c r="M395" s="460" t="str">
        <f t="shared" ca="1" si="86"/>
        <v/>
      </c>
      <c r="N395" s="460" t="str">
        <f t="shared" ca="1" si="86"/>
        <v/>
      </c>
      <c r="O395" s="461" t="str">
        <f t="shared" ca="1" si="86"/>
        <v/>
      </c>
      <c r="P395" s="474" t="str">
        <f t="shared" ca="1" si="86"/>
        <v/>
      </c>
      <c r="Q395" s="475" t="str">
        <f t="shared" ca="1" si="86"/>
        <v/>
      </c>
      <c r="R395" s="476">
        <f ca="1">IF(OR($BG$2=0,$AR395=""),,IF($AR395="本月合计",IF(ROW()=$BG$3,SUM($R$6:$R394),SUM(INDIRECT("$R$"&amp;OFFSET($AU$3,,MATCH(ROW(),$AU$3:$BF$3,)-2)+2&amp;":$R"&amp;ROW()-1))),IF($AR395="本年累计",SUMIF($AR$6:$AR395,"本月合计",$R$6:$R394),INDEX(凭证录入!L:L,$AR395))))</f>
        <v>0</v>
      </c>
      <c r="S395" s="459" t="str">
        <f t="shared" ca="1" si="87"/>
        <v/>
      </c>
      <c r="T395" s="460" t="str">
        <f t="shared" ca="1" si="87"/>
        <v/>
      </c>
      <c r="U395" s="460" t="str">
        <f t="shared" ca="1" si="87"/>
        <v/>
      </c>
      <c r="V395" s="460" t="str">
        <f t="shared" ca="1" si="87"/>
        <v/>
      </c>
      <c r="W395" s="460" t="str">
        <f t="shared" ca="1" si="87"/>
        <v/>
      </c>
      <c r="X395" s="460" t="str">
        <f t="shared" ca="1" si="87"/>
        <v/>
      </c>
      <c r="Y395" s="460" t="str">
        <f t="shared" ca="1" si="87"/>
        <v/>
      </c>
      <c r="Z395" s="460" t="str">
        <f t="shared" ca="1" si="87"/>
        <v/>
      </c>
      <c r="AA395" s="461" t="str">
        <f t="shared" ca="1" si="87"/>
        <v/>
      </c>
      <c r="AB395" s="474" t="str">
        <f t="shared" ca="1" si="87"/>
        <v/>
      </c>
      <c r="AC395" s="475" t="str">
        <f t="shared" ca="1" si="87"/>
        <v/>
      </c>
      <c r="AD395" s="477" t="str">
        <f t="shared" ca="1" si="88"/>
        <v/>
      </c>
      <c r="AE395" s="478">
        <f t="shared" ca="1" si="89"/>
        <v>0</v>
      </c>
      <c r="AF395" s="459" t="str">
        <f t="shared" ca="1" si="85"/>
        <v/>
      </c>
      <c r="AG395" s="460" t="str">
        <f t="shared" ca="1" si="85"/>
        <v/>
      </c>
      <c r="AH395" s="460" t="str">
        <f t="shared" ca="1" si="85"/>
        <v/>
      </c>
      <c r="AI395" s="460" t="str">
        <f t="shared" ca="1" si="85"/>
        <v/>
      </c>
      <c r="AJ395" s="460" t="str">
        <f t="shared" ca="1" si="85"/>
        <v/>
      </c>
      <c r="AK395" s="460" t="str">
        <f t="shared" ca="1" si="85"/>
        <v/>
      </c>
      <c r="AL395" s="460" t="str">
        <f t="shared" ca="1" si="85"/>
        <v/>
      </c>
      <c r="AM395" s="460" t="str">
        <f t="shared" ca="1" si="85"/>
        <v/>
      </c>
      <c r="AN395" s="461" t="str">
        <f t="shared" ca="1" si="85"/>
        <v/>
      </c>
      <c r="AO395" s="474" t="str">
        <f t="shared" ca="1" si="85"/>
        <v/>
      </c>
      <c r="AP395" s="475" t="str">
        <f t="shared" ca="1" si="85"/>
        <v/>
      </c>
      <c r="AQ395" s="479" t="str">
        <f t="array" aca="1" ref="AQ395" ca="1">IF(ROW()-5&lt;=COUNTIF(科目编号,$AR$2),SMALL(IF(科目编号=$AR$2,ROW(科目编号),""),ROW()-5),"")</f>
        <v/>
      </c>
      <c r="AR395" s="480" t="str">
        <f ca="1">IF($BG$2=0,"",IF(AR394="本月合计","本年累计",IF(OR(ROW()=$AU$3,ROW()=$AV$3,ROW()=$AW$3,ROW()=$AX$3,ROW()=$AY$3,ROW()=$AZ$3,ROW()=$BA$3,ROW()=$BB$3,ROW()=$BC$3,ROW()=$BD$3,ROW()=$BE$3,ROW()=$BF$3),"本月合计",IF(ROW()&lt;7,$AQ$6,OFFSET($AQ$6,COUNT($AR$6:AR394),0)))))</f>
        <v/>
      </c>
    </row>
    <row r="396" spans="1:44">
      <c r="A396" s="469" t="str">
        <f ca="1">IFERROR(INDEX(凭证录入!A:A,$AR396),"")</f>
        <v/>
      </c>
      <c r="B396" s="469" t="str">
        <f ca="1">IFERROR(INDEX(凭证录入!B:B,$AR396),"")</f>
        <v/>
      </c>
      <c r="C396" s="470" t="str">
        <f ca="1">IFERROR(INDEX(凭证录入!G:G,$AR396),"")</f>
        <v/>
      </c>
      <c r="D396" s="471" t="str">
        <f ca="1">IFERROR(INDEX(凭证录入!F:F,$AR396),"")</f>
        <v/>
      </c>
      <c r="E396" s="472" t="str">
        <f ca="1">IFERROR(INDEX(凭证录入!H:H,$AR396),$AR396)</f>
        <v/>
      </c>
      <c r="F396" s="473">
        <f ca="1">IF(OR($BG$2=0,$AR396=""),,IF($AR396="本月合计",IF(ROW()=$BG$3,SUM($F$6:$F395),SUM(INDIRECT("$F$"&amp;OFFSET($AU$3,,MATCH(ROW(),$AU$3:$BF$3,)-2)+2&amp;":$E"&amp;ROW()-1))),IF($AR396="本年累计",SUMIF($AR$6:$AR396,"本月合计",$F$6:$F395),INDEX(凭证录入!K:K,$AR396))))</f>
        <v>0</v>
      </c>
      <c r="G396" s="459" t="str">
        <f t="shared" ca="1" si="86"/>
        <v/>
      </c>
      <c r="H396" s="460" t="str">
        <f t="shared" ca="1" si="86"/>
        <v/>
      </c>
      <c r="I396" s="460" t="str">
        <f t="shared" ca="1" si="86"/>
        <v/>
      </c>
      <c r="J396" s="460" t="str">
        <f t="shared" ca="1" si="86"/>
        <v/>
      </c>
      <c r="K396" s="460" t="str">
        <f t="shared" ca="1" si="86"/>
        <v/>
      </c>
      <c r="L396" s="460" t="str">
        <f t="shared" ca="1" si="86"/>
        <v/>
      </c>
      <c r="M396" s="460" t="str">
        <f t="shared" ca="1" si="86"/>
        <v/>
      </c>
      <c r="N396" s="460" t="str">
        <f t="shared" ca="1" si="86"/>
        <v/>
      </c>
      <c r="O396" s="461" t="str">
        <f t="shared" ca="1" si="86"/>
        <v/>
      </c>
      <c r="P396" s="474" t="str">
        <f t="shared" ca="1" si="86"/>
        <v/>
      </c>
      <c r="Q396" s="475" t="str">
        <f t="shared" ca="1" si="86"/>
        <v/>
      </c>
      <c r="R396" s="476">
        <f ca="1">IF(OR($BG$2=0,$AR396=""),,IF($AR396="本月合计",IF(ROW()=$BG$3,SUM($R$6:$R395),SUM(INDIRECT("$R$"&amp;OFFSET($AU$3,,MATCH(ROW(),$AU$3:$BF$3,)-2)+2&amp;":$R"&amp;ROW()-1))),IF($AR396="本年累计",SUMIF($AR$6:$AR396,"本月合计",$R$6:$R395),INDEX(凭证录入!L:L,$AR396))))</f>
        <v>0</v>
      </c>
      <c r="S396" s="459" t="str">
        <f t="shared" ca="1" si="87"/>
        <v/>
      </c>
      <c r="T396" s="460" t="str">
        <f t="shared" ca="1" si="87"/>
        <v/>
      </c>
      <c r="U396" s="460" t="str">
        <f t="shared" ca="1" si="87"/>
        <v/>
      </c>
      <c r="V396" s="460" t="str">
        <f t="shared" ca="1" si="87"/>
        <v/>
      </c>
      <c r="W396" s="460" t="str">
        <f t="shared" ca="1" si="87"/>
        <v/>
      </c>
      <c r="X396" s="460" t="str">
        <f t="shared" ca="1" si="87"/>
        <v/>
      </c>
      <c r="Y396" s="460" t="str">
        <f t="shared" ca="1" si="87"/>
        <v/>
      </c>
      <c r="Z396" s="460" t="str">
        <f t="shared" ca="1" si="87"/>
        <v/>
      </c>
      <c r="AA396" s="461" t="str">
        <f t="shared" ca="1" si="87"/>
        <v/>
      </c>
      <c r="AB396" s="474" t="str">
        <f t="shared" ca="1" si="87"/>
        <v/>
      </c>
      <c r="AC396" s="475" t="str">
        <f t="shared" ca="1" si="87"/>
        <v/>
      </c>
      <c r="AD396" s="477" t="str">
        <f t="shared" ca="1" si="88"/>
        <v/>
      </c>
      <c r="AE396" s="478">
        <f t="shared" ca="1" si="89"/>
        <v>0</v>
      </c>
      <c r="AF396" s="459" t="str">
        <f t="shared" ca="1" si="85"/>
        <v/>
      </c>
      <c r="AG396" s="460" t="str">
        <f t="shared" ca="1" si="85"/>
        <v/>
      </c>
      <c r="AH396" s="460" t="str">
        <f t="shared" ca="1" si="85"/>
        <v/>
      </c>
      <c r="AI396" s="460" t="str">
        <f t="shared" ca="1" si="85"/>
        <v/>
      </c>
      <c r="AJ396" s="460" t="str">
        <f t="shared" ca="1" si="85"/>
        <v/>
      </c>
      <c r="AK396" s="460" t="str">
        <f t="shared" ca="1" si="85"/>
        <v/>
      </c>
      <c r="AL396" s="460" t="str">
        <f t="shared" ca="1" si="85"/>
        <v/>
      </c>
      <c r="AM396" s="460" t="str">
        <f t="shared" ca="1" si="85"/>
        <v/>
      </c>
      <c r="AN396" s="461" t="str">
        <f t="shared" ca="1" si="85"/>
        <v/>
      </c>
      <c r="AO396" s="474" t="str">
        <f t="shared" ca="1" si="85"/>
        <v/>
      </c>
      <c r="AP396" s="475" t="str">
        <f t="shared" ca="1" si="85"/>
        <v/>
      </c>
      <c r="AQ396" s="479" t="str">
        <f t="array" aca="1" ref="AQ396" ca="1">IF(ROW()-5&lt;=COUNTIF(科目编号,$AR$2),SMALL(IF(科目编号=$AR$2,ROW(科目编号),""),ROW()-5),"")</f>
        <v/>
      </c>
      <c r="AR396" s="480" t="str">
        <f ca="1">IF($BG$2=0,"",IF(AR395="本月合计","本年累计",IF(OR(ROW()=$AU$3,ROW()=$AV$3,ROW()=$AW$3,ROW()=$AX$3,ROW()=$AY$3,ROW()=$AZ$3,ROW()=$BA$3,ROW()=$BB$3,ROW()=$BC$3,ROW()=$BD$3,ROW()=$BE$3,ROW()=$BF$3),"本月合计",IF(ROW()&lt;7,$AQ$6,OFFSET($AQ$6,COUNT($AR$6:AR395),0)))))</f>
        <v/>
      </c>
    </row>
    <row r="397" spans="1:44">
      <c r="A397" s="469" t="str">
        <f ca="1">IFERROR(INDEX(凭证录入!A:A,$AR397),"")</f>
        <v/>
      </c>
      <c r="B397" s="469" t="str">
        <f ca="1">IFERROR(INDEX(凭证录入!B:B,$AR397),"")</f>
        <v/>
      </c>
      <c r="C397" s="470" t="str">
        <f ca="1">IFERROR(INDEX(凭证录入!G:G,$AR397),"")</f>
        <v/>
      </c>
      <c r="D397" s="471" t="str">
        <f ca="1">IFERROR(INDEX(凭证录入!F:F,$AR397),"")</f>
        <v/>
      </c>
      <c r="E397" s="472" t="str">
        <f ca="1">IFERROR(INDEX(凭证录入!H:H,$AR397),$AR397)</f>
        <v/>
      </c>
      <c r="F397" s="473">
        <f ca="1">IF(OR($BG$2=0,$AR397=""),,IF($AR397="本月合计",IF(ROW()=$BG$3,SUM($F$6:$F396),SUM(INDIRECT("$F$"&amp;OFFSET($AU$3,,MATCH(ROW(),$AU$3:$BF$3,)-2)+2&amp;":$E"&amp;ROW()-1))),IF($AR397="本年累计",SUMIF($AR$6:$AR397,"本月合计",$F$6:$F396),INDEX(凭证录入!K:K,$AR397))))</f>
        <v>0</v>
      </c>
      <c r="G397" s="459" t="str">
        <f t="shared" ca="1" si="86"/>
        <v/>
      </c>
      <c r="H397" s="460" t="str">
        <f t="shared" ca="1" si="86"/>
        <v/>
      </c>
      <c r="I397" s="460" t="str">
        <f t="shared" ca="1" si="86"/>
        <v/>
      </c>
      <c r="J397" s="460" t="str">
        <f t="shared" ca="1" si="86"/>
        <v/>
      </c>
      <c r="K397" s="460" t="str">
        <f t="shared" ca="1" si="86"/>
        <v/>
      </c>
      <c r="L397" s="460" t="str">
        <f t="shared" ca="1" si="86"/>
        <v/>
      </c>
      <c r="M397" s="460" t="str">
        <f t="shared" ca="1" si="86"/>
        <v/>
      </c>
      <c r="N397" s="460" t="str">
        <f t="shared" ca="1" si="86"/>
        <v/>
      </c>
      <c r="O397" s="461" t="str">
        <f t="shared" ca="1" si="86"/>
        <v/>
      </c>
      <c r="P397" s="474" t="str">
        <f t="shared" ca="1" si="86"/>
        <v/>
      </c>
      <c r="Q397" s="475" t="str">
        <f t="shared" ca="1" si="86"/>
        <v/>
      </c>
      <c r="R397" s="476">
        <f ca="1">IF(OR($BG$2=0,$AR397=""),,IF($AR397="本月合计",IF(ROW()=$BG$3,SUM($R$6:$R396),SUM(INDIRECT("$R$"&amp;OFFSET($AU$3,,MATCH(ROW(),$AU$3:$BF$3,)-2)+2&amp;":$R"&amp;ROW()-1))),IF($AR397="本年累计",SUMIF($AR$6:$AR397,"本月合计",$R$6:$R396),INDEX(凭证录入!L:L,$AR397))))</f>
        <v>0</v>
      </c>
      <c r="S397" s="459" t="str">
        <f t="shared" ca="1" si="87"/>
        <v/>
      </c>
      <c r="T397" s="460" t="str">
        <f t="shared" ca="1" si="87"/>
        <v/>
      </c>
      <c r="U397" s="460" t="str">
        <f t="shared" ca="1" si="87"/>
        <v/>
      </c>
      <c r="V397" s="460" t="str">
        <f t="shared" ca="1" si="87"/>
        <v/>
      </c>
      <c r="W397" s="460" t="str">
        <f t="shared" ca="1" si="87"/>
        <v/>
      </c>
      <c r="X397" s="460" t="str">
        <f t="shared" ca="1" si="87"/>
        <v/>
      </c>
      <c r="Y397" s="460" t="str">
        <f t="shared" ca="1" si="87"/>
        <v/>
      </c>
      <c r="Z397" s="460" t="str">
        <f t="shared" ca="1" si="87"/>
        <v/>
      </c>
      <c r="AA397" s="461" t="str">
        <f t="shared" ca="1" si="87"/>
        <v/>
      </c>
      <c r="AB397" s="474" t="str">
        <f t="shared" ca="1" si="87"/>
        <v/>
      </c>
      <c r="AC397" s="475" t="str">
        <f t="shared" ca="1" si="87"/>
        <v/>
      </c>
      <c r="AD397" s="477" t="str">
        <f t="shared" ca="1" si="88"/>
        <v/>
      </c>
      <c r="AE397" s="478">
        <f t="shared" ca="1" si="89"/>
        <v>0</v>
      </c>
      <c r="AF397" s="459" t="str">
        <f t="shared" ca="1" si="85"/>
        <v/>
      </c>
      <c r="AG397" s="460" t="str">
        <f t="shared" ca="1" si="85"/>
        <v/>
      </c>
      <c r="AH397" s="460" t="str">
        <f t="shared" ca="1" si="85"/>
        <v/>
      </c>
      <c r="AI397" s="460" t="str">
        <f t="shared" ca="1" si="85"/>
        <v/>
      </c>
      <c r="AJ397" s="460" t="str">
        <f t="shared" ca="1" si="85"/>
        <v/>
      </c>
      <c r="AK397" s="460" t="str">
        <f t="shared" ca="1" si="85"/>
        <v/>
      </c>
      <c r="AL397" s="460" t="str">
        <f t="shared" ca="1" si="85"/>
        <v/>
      </c>
      <c r="AM397" s="460" t="str">
        <f t="shared" ca="1" si="85"/>
        <v/>
      </c>
      <c r="AN397" s="461" t="str">
        <f t="shared" ca="1" si="85"/>
        <v/>
      </c>
      <c r="AO397" s="474" t="str">
        <f t="shared" ca="1" si="85"/>
        <v/>
      </c>
      <c r="AP397" s="475" t="str">
        <f t="shared" ca="1" si="85"/>
        <v/>
      </c>
      <c r="AQ397" s="479" t="str">
        <f t="array" aca="1" ref="AQ397" ca="1">IF(ROW()-5&lt;=COUNTIF(科目编号,$AR$2),SMALL(IF(科目编号=$AR$2,ROW(科目编号),""),ROW()-5),"")</f>
        <v/>
      </c>
      <c r="AR397" s="480" t="str">
        <f ca="1">IF($BG$2=0,"",IF(AR396="本月合计","本年累计",IF(OR(ROW()=$AU$3,ROW()=$AV$3,ROW()=$AW$3,ROW()=$AX$3,ROW()=$AY$3,ROW()=$AZ$3,ROW()=$BA$3,ROW()=$BB$3,ROW()=$BC$3,ROW()=$BD$3,ROW()=$BE$3,ROW()=$BF$3),"本月合计",IF(ROW()&lt;7,$AQ$6,OFFSET($AQ$6,COUNT($AR$6:AR396),0)))))</f>
        <v/>
      </c>
    </row>
    <row r="398" spans="1:44">
      <c r="A398" s="469" t="str">
        <f ca="1">IFERROR(INDEX(凭证录入!A:A,$AR398),"")</f>
        <v/>
      </c>
      <c r="B398" s="469" t="str">
        <f ca="1">IFERROR(INDEX(凭证录入!B:B,$AR398),"")</f>
        <v/>
      </c>
      <c r="C398" s="470" t="str">
        <f ca="1">IFERROR(INDEX(凭证录入!G:G,$AR398),"")</f>
        <v/>
      </c>
      <c r="D398" s="471" t="str">
        <f ca="1">IFERROR(INDEX(凭证录入!F:F,$AR398),"")</f>
        <v/>
      </c>
      <c r="E398" s="472" t="str">
        <f ca="1">IFERROR(INDEX(凭证录入!H:H,$AR398),$AR398)</f>
        <v/>
      </c>
      <c r="F398" s="473">
        <f ca="1">IF(OR($BG$2=0,$AR398=""),,IF($AR398="本月合计",IF(ROW()=$BG$3,SUM($F$6:$F397),SUM(INDIRECT("$F$"&amp;OFFSET($AU$3,,MATCH(ROW(),$AU$3:$BF$3,)-2)+2&amp;":$E"&amp;ROW()-1))),IF($AR398="本年累计",SUMIF($AR$6:$AR398,"本月合计",$F$6:$F397),INDEX(凭证录入!K:K,$AR398))))</f>
        <v>0</v>
      </c>
      <c r="G398" s="459" t="str">
        <f t="shared" ca="1" si="86"/>
        <v/>
      </c>
      <c r="H398" s="460" t="str">
        <f t="shared" ca="1" si="86"/>
        <v/>
      </c>
      <c r="I398" s="460" t="str">
        <f t="shared" ca="1" si="86"/>
        <v/>
      </c>
      <c r="J398" s="460" t="str">
        <f t="shared" ca="1" si="86"/>
        <v/>
      </c>
      <c r="K398" s="460" t="str">
        <f t="shared" ca="1" si="86"/>
        <v/>
      </c>
      <c r="L398" s="460" t="str">
        <f t="shared" ca="1" si="86"/>
        <v/>
      </c>
      <c r="M398" s="460" t="str">
        <f t="shared" ca="1" si="86"/>
        <v/>
      </c>
      <c r="N398" s="460" t="str">
        <f t="shared" ca="1" si="86"/>
        <v/>
      </c>
      <c r="O398" s="461" t="str">
        <f t="shared" ca="1" si="86"/>
        <v/>
      </c>
      <c r="P398" s="474" t="str">
        <f t="shared" ca="1" si="86"/>
        <v/>
      </c>
      <c r="Q398" s="475" t="str">
        <f t="shared" ca="1" si="86"/>
        <v/>
      </c>
      <c r="R398" s="476">
        <f ca="1">IF(OR($BG$2=0,$AR398=""),,IF($AR398="本月合计",IF(ROW()=$BG$3,SUM($R$6:$R397),SUM(INDIRECT("$R$"&amp;OFFSET($AU$3,,MATCH(ROW(),$AU$3:$BF$3,)-2)+2&amp;":$R"&amp;ROW()-1))),IF($AR398="本年累计",SUMIF($AR$6:$AR398,"本月合计",$R$6:$R397),INDEX(凭证录入!L:L,$AR398))))</f>
        <v>0</v>
      </c>
      <c r="S398" s="459" t="str">
        <f t="shared" ca="1" si="87"/>
        <v/>
      </c>
      <c r="T398" s="460" t="str">
        <f t="shared" ca="1" si="87"/>
        <v/>
      </c>
      <c r="U398" s="460" t="str">
        <f t="shared" ca="1" si="87"/>
        <v/>
      </c>
      <c r="V398" s="460" t="str">
        <f t="shared" ca="1" si="87"/>
        <v/>
      </c>
      <c r="W398" s="460" t="str">
        <f t="shared" ca="1" si="87"/>
        <v/>
      </c>
      <c r="X398" s="460" t="str">
        <f t="shared" ca="1" si="87"/>
        <v/>
      </c>
      <c r="Y398" s="460" t="str">
        <f t="shared" ca="1" si="87"/>
        <v/>
      </c>
      <c r="Z398" s="460" t="str">
        <f t="shared" ca="1" si="87"/>
        <v/>
      </c>
      <c r="AA398" s="461" t="str">
        <f t="shared" ca="1" si="87"/>
        <v/>
      </c>
      <c r="AB398" s="474" t="str">
        <f t="shared" ca="1" si="87"/>
        <v/>
      </c>
      <c r="AC398" s="475" t="str">
        <f t="shared" ca="1" si="87"/>
        <v/>
      </c>
      <c r="AD398" s="477" t="str">
        <f t="shared" ca="1" si="88"/>
        <v/>
      </c>
      <c r="AE398" s="478">
        <f t="shared" ca="1" si="89"/>
        <v>0</v>
      </c>
      <c r="AF398" s="459" t="str">
        <f t="shared" ca="1" si="85"/>
        <v/>
      </c>
      <c r="AG398" s="460" t="str">
        <f t="shared" ca="1" si="85"/>
        <v/>
      </c>
      <c r="AH398" s="460" t="str">
        <f t="shared" ca="1" si="85"/>
        <v/>
      </c>
      <c r="AI398" s="460" t="str">
        <f t="shared" ca="1" si="85"/>
        <v/>
      </c>
      <c r="AJ398" s="460" t="str">
        <f t="shared" ca="1" si="85"/>
        <v/>
      </c>
      <c r="AK398" s="460" t="str">
        <f t="shared" ca="1" si="85"/>
        <v/>
      </c>
      <c r="AL398" s="460" t="str">
        <f t="shared" ca="1" si="85"/>
        <v/>
      </c>
      <c r="AM398" s="460" t="str">
        <f t="shared" ca="1" si="85"/>
        <v/>
      </c>
      <c r="AN398" s="461" t="str">
        <f t="shared" ca="1" si="85"/>
        <v/>
      </c>
      <c r="AO398" s="474" t="str">
        <f t="shared" ca="1" si="85"/>
        <v/>
      </c>
      <c r="AP398" s="475" t="str">
        <f t="shared" ca="1" si="85"/>
        <v/>
      </c>
      <c r="AQ398" s="479" t="str">
        <f t="array" aca="1" ref="AQ398" ca="1">IF(ROW()-5&lt;=COUNTIF(科目编号,$AR$2),SMALL(IF(科目编号=$AR$2,ROW(科目编号),""),ROW()-5),"")</f>
        <v/>
      </c>
      <c r="AR398" s="480" t="str">
        <f ca="1">IF($BG$2=0,"",IF(AR397="本月合计","本年累计",IF(OR(ROW()=$AU$3,ROW()=$AV$3,ROW()=$AW$3,ROW()=$AX$3,ROW()=$AY$3,ROW()=$AZ$3,ROW()=$BA$3,ROW()=$BB$3,ROW()=$BC$3,ROW()=$BD$3,ROW()=$BE$3,ROW()=$BF$3),"本月合计",IF(ROW()&lt;7,$AQ$6,OFFSET($AQ$6,COUNT($AR$6:AR397),0)))))</f>
        <v/>
      </c>
    </row>
    <row r="399" spans="1:44">
      <c r="A399" s="469" t="str">
        <f ca="1">IFERROR(INDEX(凭证录入!A:A,$AR399),"")</f>
        <v/>
      </c>
      <c r="B399" s="469" t="str">
        <f ca="1">IFERROR(INDEX(凭证录入!B:B,$AR399),"")</f>
        <v/>
      </c>
      <c r="C399" s="470" t="str">
        <f ca="1">IFERROR(INDEX(凭证录入!G:G,$AR399),"")</f>
        <v/>
      </c>
      <c r="D399" s="471" t="str">
        <f ca="1">IFERROR(INDEX(凭证录入!F:F,$AR399),"")</f>
        <v/>
      </c>
      <c r="E399" s="472" t="str">
        <f ca="1">IFERROR(INDEX(凭证录入!H:H,$AR399),$AR399)</f>
        <v/>
      </c>
      <c r="F399" s="473">
        <f ca="1">IF(OR($BG$2=0,$AR399=""),,IF($AR399="本月合计",IF(ROW()=$BG$3,SUM($F$6:$F398),SUM(INDIRECT("$F$"&amp;OFFSET($AU$3,,MATCH(ROW(),$AU$3:$BF$3,)-2)+2&amp;":$E"&amp;ROW()-1))),IF($AR399="本年累计",SUMIF($AR$6:$AR399,"本月合计",$F$6:$F398),INDEX(凭证录入!K:K,$AR399))))</f>
        <v>0</v>
      </c>
      <c r="G399" s="459" t="str">
        <f t="shared" ca="1" si="86"/>
        <v/>
      </c>
      <c r="H399" s="460" t="str">
        <f t="shared" ca="1" si="86"/>
        <v/>
      </c>
      <c r="I399" s="460" t="str">
        <f t="shared" ca="1" si="86"/>
        <v/>
      </c>
      <c r="J399" s="460" t="str">
        <f t="shared" ca="1" si="86"/>
        <v/>
      </c>
      <c r="K399" s="460" t="str">
        <f t="shared" ca="1" si="86"/>
        <v/>
      </c>
      <c r="L399" s="460" t="str">
        <f t="shared" ca="1" si="86"/>
        <v/>
      </c>
      <c r="M399" s="460" t="str">
        <f t="shared" ca="1" si="86"/>
        <v/>
      </c>
      <c r="N399" s="460" t="str">
        <f t="shared" ca="1" si="86"/>
        <v/>
      </c>
      <c r="O399" s="461" t="str">
        <f t="shared" ca="1" si="86"/>
        <v/>
      </c>
      <c r="P399" s="474" t="str">
        <f t="shared" ca="1" si="86"/>
        <v/>
      </c>
      <c r="Q399" s="475" t="str">
        <f t="shared" ca="1" si="86"/>
        <v/>
      </c>
      <c r="R399" s="476">
        <f ca="1">IF(OR($BG$2=0,$AR399=""),,IF($AR399="本月合计",IF(ROW()=$BG$3,SUM($R$6:$R398),SUM(INDIRECT("$R$"&amp;OFFSET($AU$3,,MATCH(ROW(),$AU$3:$BF$3,)-2)+2&amp;":$R"&amp;ROW()-1))),IF($AR399="本年累计",SUMIF($AR$6:$AR399,"本月合计",$R$6:$R398),INDEX(凭证录入!L:L,$AR399))))</f>
        <v>0</v>
      </c>
      <c r="S399" s="459" t="str">
        <f t="shared" ca="1" si="87"/>
        <v/>
      </c>
      <c r="T399" s="460" t="str">
        <f t="shared" ca="1" si="87"/>
        <v/>
      </c>
      <c r="U399" s="460" t="str">
        <f t="shared" ca="1" si="87"/>
        <v/>
      </c>
      <c r="V399" s="460" t="str">
        <f t="shared" ca="1" si="87"/>
        <v/>
      </c>
      <c r="W399" s="460" t="str">
        <f t="shared" ca="1" si="87"/>
        <v/>
      </c>
      <c r="X399" s="460" t="str">
        <f t="shared" ca="1" si="87"/>
        <v/>
      </c>
      <c r="Y399" s="460" t="str">
        <f t="shared" ca="1" si="87"/>
        <v/>
      </c>
      <c r="Z399" s="460" t="str">
        <f t="shared" ca="1" si="87"/>
        <v/>
      </c>
      <c r="AA399" s="461" t="str">
        <f t="shared" ca="1" si="87"/>
        <v/>
      </c>
      <c r="AB399" s="474" t="str">
        <f t="shared" ca="1" si="87"/>
        <v/>
      </c>
      <c r="AC399" s="475" t="str">
        <f t="shared" ca="1" si="87"/>
        <v/>
      </c>
      <c r="AD399" s="477" t="str">
        <f t="shared" ca="1" si="88"/>
        <v/>
      </c>
      <c r="AE399" s="478">
        <f t="shared" ca="1" si="89"/>
        <v>0</v>
      </c>
      <c r="AF399" s="459" t="str">
        <f t="shared" ca="1" si="85"/>
        <v/>
      </c>
      <c r="AG399" s="460" t="str">
        <f t="shared" ca="1" si="85"/>
        <v/>
      </c>
      <c r="AH399" s="460" t="str">
        <f t="shared" ca="1" si="85"/>
        <v/>
      </c>
      <c r="AI399" s="460" t="str">
        <f t="shared" ca="1" si="85"/>
        <v/>
      </c>
      <c r="AJ399" s="460" t="str">
        <f t="shared" ca="1" si="85"/>
        <v/>
      </c>
      <c r="AK399" s="460" t="str">
        <f t="shared" ca="1" si="85"/>
        <v/>
      </c>
      <c r="AL399" s="460" t="str">
        <f t="shared" ca="1" si="85"/>
        <v/>
      </c>
      <c r="AM399" s="460" t="str">
        <f t="shared" ca="1" si="85"/>
        <v/>
      </c>
      <c r="AN399" s="461" t="str">
        <f t="shared" ca="1" si="85"/>
        <v/>
      </c>
      <c r="AO399" s="474" t="str">
        <f t="shared" ca="1" si="85"/>
        <v/>
      </c>
      <c r="AP399" s="475" t="str">
        <f t="shared" ca="1" si="85"/>
        <v/>
      </c>
      <c r="AQ399" s="479" t="str">
        <f t="array" aca="1" ref="AQ399" ca="1">IF(ROW()-5&lt;=COUNTIF(科目编号,$AR$2),SMALL(IF(科目编号=$AR$2,ROW(科目编号),""),ROW()-5),"")</f>
        <v/>
      </c>
      <c r="AR399" s="480" t="str">
        <f ca="1">IF($BG$2=0,"",IF(AR398="本月合计","本年累计",IF(OR(ROW()=$AU$3,ROW()=$AV$3,ROW()=$AW$3,ROW()=$AX$3,ROW()=$AY$3,ROW()=$AZ$3,ROW()=$BA$3,ROW()=$BB$3,ROW()=$BC$3,ROW()=$BD$3,ROW()=$BE$3,ROW()=$BF$3),"本月合计",IF(ROW()&lt;7,$AQ$6,OFFSET($AQ$6,COUNT($AR$6:AR398),0)))))</f>
        <v/>
      </c>
    </row>
    <row r="400" spans="1:44">
      <c r="A400" s="469" t="str">
        <f ca="1">IFERROR(INDEX(凭证录入!A:A,$AR400),"")</f>
        <v/>
      </c>
      <c r="B400" s="469" t="str">
        <f ca="1">IFERROR(INDEX(凭证录入!B:B,$AR400),"")</f>
        <v/>
      </c>
      <c r="C400" s="470" t="str">
        <f ca="1">IFERROR(INDEX(凭证录入!G:G,$AR400),"")</f>
        <v/>
      </c>
      <c r="D400" s="471" t="str">
        <f ca="1">IFERROR(INDEX(凭证录入!F:F,$AR400),"")</f>
        <v/>
      </c>
      <c r="E400" s="472" t="str">
        <f ca="1">IFERROR(INDEX(凭证录入!H:H,$AR400),$AR400)</f>
        <v/>
      </c>
      <c r="F400" s="473">
        <f ca="1">IF(OR($BG$2=0,$AR400=""),,IF($AR400="本月合计",IF(ROW()=$BG$3,SUM($F$6:$F399),SUM(INDIRECT("$F$"&amp;OFFSET($AU$3,,MATCH(ROW(),$AU$3:$BF$3,)-2)+2&amp;":$E"&amp;ROW()-1))),IF($AR400="本年累计",SUMIF($AR$6:$AR400,"本月合计",$F$6:$F399),INDEX(凭证录入!K:K,$AR400))))</f>
        <v>0</v>
      </c>
      <c r="G400" s="459" t="str">
        <f t="shared" ca="1" si="86"/>
        <v/>
      </c>
      <c r="H400" s="460" t="str">
        <f t="shared" ca="1" si="86"/>
        <v/>
      </c>
      <c r="I400" s="460" t="str">
        <f t="shared" ca="1" si="86"/>
        <v/>
      </c>
      <c r="J400" s="460" t="str">
        <f t="shared" ca="1" si="86"/>
        <v/>
      </c>
      <c r="K400" s="460" t="str">
        <f t="shared" ca="1" si="86"/>
        <v/>
      </c>
      <c r="L400" s="460" t="str">
        <f t="shared" ca="1" si="86"/>
        <v/>
      </c>
      <c r="M400" s="460" t="str">
        <f t="shared" ca="1" si="86"/>
        <v/>
      </c>
      <c r="N400" s="460" t="str">
        <f t="shared" ca="1" si="86"/>
        <v/>
      </c>
      <c r="O400" s="461" t="str">
        <f t="shared" ca="1" si="86"/>
        <v/>
      </c>
      <c r="P400" s="474" t="str">
        <f t="shared" ca="1" si="86"/>
        <v/>
      </c>
      <c r="Q400" s="475" t="str">
        <f t="shared" ca="1" si="86"/>
        <v/>
      </c>
      <c r="R400" s="476">
        <f ca="1">IF(OR($BG$2=0,$AR400=""),,IF($AR400="本月合计",IF(ROW()=$BG$3,SUM($R$6:$R399),SUM(INDIRECT("$R$"&amp;OFFSET($AU$3,,MATCH(ROW(),$AU$3:$BF$3,)-2)+2&amp;":$R"&amp;ROW()-1))),IF($AR400="本年累计",SUMIF($AR$6:$AR400,"本月合计",$R$6:$R399),INDEX(凭证录入!L:L,$AR400))))</f>
        <v>0</v>
      </c>
      <c r="S400" s="459" t="str">
        <f t="shared" ca="1" si="87"/>
        <v/>
      </c>
      <c r="T400" s="460" t="str">
        <f t="shared" ca="1" si="87"/>
        <v/>
      </c>
      <c r="U400" s="460" t="str">
        <f t="shared" ca="1" si="87"/>
        <v/>
      </c>
      <c r="V400" s="460" t="str">
        <f t="shared" ca="1" si="87"/>
        <v/>
      </c>
      <c r="W400" s="460" t="str">
        <f t="shared" ca="1" si="87"/>
        <v/>
      </c>
      <c r="X400" s="460" t="str">
        <f t="shared" ca="1" si="87"/>
        <v/>
      </c>
      <c r="Y400" s="460" t="str">
        <f t="shared" ca="1" si="87"/>
        <v/>
      </c>
      <c r="Z400" s="460" t="str">
        <f t="shared" ca="1" si="87"/>
        <v/>
      </c>
      <c r="AA400" s="461" t="str">
        <f t="shared" ca="1" si="87"/>
        <v/>
      </c>
      <c r="AB400" s="474" t="str">
        <f t="shared" ca="1" si="87"/>
        <v/>
      </c>
      <c r="AC400" s="475" t="str">
        <f t="shared" ca="1" si="87"/>
        <v/>
      </c>
      <c r="AD400" s="477" t="str">
        <f t="shared" ca="1" si="88"/>
        <v/>
      </c>
      <c r="AE400" s="478">
        <f t="shared" ca="1" si="89"/>
        <v>0</v>
      </c>
      <c r="AF400" s="459" t="str">
        <f t="shared" ca="1" si="85"/>
        <v/>
      </c>
      <c r="AG400" s="460" t="str">
        <f t="shared" ca="1" si="85"/>
        <v/>
      </c>
      <c r="AH400" s="460" t="str">
        <f t="shared" ca="1" si="85"/>
        <v/>
      </c>
      <c r="AI400" s="460" t="str">
        <f t="shared" ca="1" si="85"/>
        <v/>
      </c>
      <c r="AJ400" s="460" t="str">
        <f t="shared" ca="1" si="85"/>
        <v/>
      </c>
      <c r="AK400" s="460" t="str">
        <f t="shared" ca="1" si="85"/>
        <v/>
      </c>
      <c r="AL400" s="460" t="str">
        <f t="shared" ca="1" si="85"/>
        <v/>
      </c>
      <c r="AM400" s="460" t="str">
        <f t="shared" ca="1" si="85"/>
        <v/>
      </c>
      <c r="AN400" s="461" t="str">
        <f t="shared" ca="1" si="85"/>
        <v/>
      </c>
      <c r="AO400" s="474" t="str">
        <f t="shared" ca="1" si="85"/>
        <v/>
      </c>
      <c r="AP400" s="475" t="str">
        <f t="shared" ca="1" si="85"/>
        <v/>
      </c>
      <c r="AQ400" s="479" t="str">
        <f t="array" aca="1" ref="AQ400" ca="1">IF(ROW()-5&lt;=COUNTIF(科目编号,$AR$2),SMALL(IF(科目编号=$AR$2,ROW(科目编号),""),ROW()-5),"")</f>
        <v/>
      </c>
      <c r="AR400" s="480" t="str">
        <f ca="1">IF($BG$2=0,"",IF(AR399="本月合计","本年累计",IF(OR(ROW()=$AU$3,ROW()=$AV$3,ROW()=$AW$3,ROW()=$AX$3,ROW()=$AY$3,ROW()=$AZ$3,ROW()=$BA$3,ROW()=$BB$3,ROW()=$BC$3,ROW()=$BD$3,ROW()=$BE$3,ROW()=$BF$3),"本月合计",IF(ROW()&lt;7,$AQ$6,OFFSET($AQ$6,COUNT($AR$6:AR399),0)))))</f>
        <v/>
      </c>
    </row>
    <row r="401" spans="1:44">
      <c r="A401" s="469" t="str">
        <f ca="1">IFERROR(INDEX(凭证录入!A:A,$AR401),"")</f>
        <v/>
      </c>
      <c r="B401" s="469" t="str">
        <f ca="1">IFERROR(INDEX(凭证录入!B:B,$AR401),"")</f>
        <v/>
      </c>
      <c r="C401" s="470" t="str">
        <f ca="1">IFERROR(INDEX(凭证录入!G:G,$AR401),"")</f>
        <v/>
      </c>
      <c r="D401" s="471" t="str">
        <f ca="1">IFERROR(INDEX(凭证录入!F:F,$AR401),"")</f>
        <v/>
      </c>
      <c r="E401" s="472" t="str">
        <f ca="1">IFERROR(INDEX(凭证录入!H:H,$AR401),$AR401)</f>
        <v/>
      </c>
      <c r="F401" s="473">
        <f ca="1">IF(OR($BG$2=0,$AR401=""),,IF($AR401="本月合计",IF(ROW()=$BG$3,SUM($F$6:$F400),SUM(INDIRECT("$F$"&amp;OFFSET($AU$3,,MATCH(ROW(),$AU$3:$BF$3,)-2)+2&amp;":$E"&amp;ROW()-1))),IF($AR401="本年累计",SUMIF($AR$6:$AR401,"本月合计",$F$6:$F400),INDEX(凭证录入!K:K,$AR401))))</f>
        <v>0</v>
      </c>
      <c r="G401" s="459" t="str">
        <f t="shared" ca="1" si="86"/>
        <v/>
      </c>
      <c r="H401" s="460" t="str">
        <f t="shared" ca="1" si="86"/>
        <v/>
      </c>
      <c r="I401" s="460" t="str">
        <f t="shared" ca="1" si="86"/>
        <v/>
      </c>
      <c r="J401" s="460" t="str">
        <f t="shared" ca="1" si="86"/>
        <v/>
      </c>
      <c r="K401" s="460" t="str">
        <f t="shared" ca="1" si="86"/>
        <v/>
      </c>
      <c r="L401" s="460" t="str">
        <f t="shared" ca="1" si="86"/>
        <v/>
      </c>
      <c r="M401" s="460" t="str">
        <f t="shared" ca="1" si="86"/>
        <v/>
      </c>
      <c r="N401" s="460" t="str">
        <f t="shared" ca="1" si="86"/>
        <v/>
      </c>
      <c r="O401" s="461" t="str">
        <f t="shared" ca="1" si="86"/>
        <v/>
      </c>
      <c r="P401" s="474" t="str">
        <f t="shared" ca="1" si="86"/>
        <v/>
      </c>
      <c r="Q401" s="475" t="str">
        <f t="shared" ca="1" si="86"/>
        <v/>
      </c>
      <c r="R401" s="476">
        <f ca="1">IF(OR($BG$2=0,$AR401=""),,IF($AR401="本月合计",IF(ROW()=$BG$3,SUM($R$6:$R400),SUM(INDIRECT("$R$"&amp;OFFSET($AU$3,,MATCH(ROW(),$AU$3:$BF$3,)-2)+2&amp;":$R"&amp;ROW()-1))),IF($AR401="本年累计",SUMIF($AR$6:$AR401,"本月合计",$R$6:$R400),INDEX(凭证录入!L:L,$AR401))))</f>
        <v>0</v>
      </c>
      <c r="S401" s="459" t="str">
        <f t="shared" ca="1" si="87"/>
        <v/>
      </c>
      <c r="T401" s="460" t="str">
        <f t="shared" ca="1" si="87"/>
        <v/>
      </c>
      <c r="U401" s="460" t="str">
        <f t="shared" ca="1" si="87"/>
        <v/>
      </c>
      <c r="V401" s="460" t="str">
        <f t="shared" ca="1" si="87"/>
        <v/>
      </c>
      <c r="W401" s="460" t="str">
        <f t="shared" ca="1" si="87"/>
        <v/>
      </c>
      <c r="X401" s="460" t="str">
        <f t="shared" ca="1" si="87"/>
        <v/>
      </c>
      <c r="Y401" s="460" t="str">
        <f t="shared" ca="1" si="87"/>
        <v/>
      </c>
      <c r="Z401" s="460" t="str">
        <f t="shared" ca="1" si="87"/>
        <v/>
      </c>
      <c r="AA401" s="461" t="str">
        <f t="shared" ca="1" si="87"/>
        <v/>
      </c>
      <c r="AB401" s="474" t="str">
        <f t="shared" ca="1" si="87"/>
        <v/>
      </c>
      <c r="AC401" s="475" t="str">
        <f t="shared" ca="1" si="87"/>
        <v/>
      </c>
      <c r="AD401" s="477" t="str">
        <f t="shared" ca="1" si="88"/>
        <v/>
      </c>
      <c r="AE401" s="478">
        <f t="shared" ca="1" si="89"/>
        <v>0</v>
      </c>
      <c r="AF401" s="459" t="str">
        <f t="shared" ca="1" si="85"/>
        <v/>
      </c>
      <c r="AG401" s="460" t="str">
        <f t="shared" ca="1" si="85"/>
        <v/>
      </c>
      <c r="AH401" s="460" t="str">
        <f t="shared" ca="1" si="85"/>
        <v/>
      </c>
      <c r="AI401" s="460" t="str">
        <f t="shared" ca="1" si="85"/>
        <v/>
      </c>
      <c r="AJ401" s="460" t="str">
        <f t="shared" ca="1" si="85"/>
        <v/>
      </c>
      <c r="AK401" s="460" t="str">
        <f t="shared" ca="1" si="85"/>
        <v/>
      </c>
      <c r="AL401" s="460" t="str">
        <f t="shared" ca="1" si="85"/>
        <v/>
      </c>
      <c r="AM401" s="460" t="str">
        <f t="shared" ca="1" si="85"/>
        <v/>
      </c>
      <c r="AN401" s="461" t="str">
        <f t="shared" ca="1" si="85"/>
        <v/>
      </c>
      <c r="AO401" s="474" t="str">
        <f t="shared" ca="1" si="85"/>
        <v/>
      </c>
      <c r="AP401" s="475" t="str">
        <f t="shared" ca="1" si="85"/>
        <v/>
      </c>
      <c r="AQ401" s="479" t="str">
        <f t="array" aca="1" ref="AQ401" ca="1">IF(ROW()-5&lt;=COUNTIF(科目编号,$AR$2),SMALL(IF(科目编号=$AR$2,ROW(科目编号),""),ROW()-5),"")</f>
        <v/>
      </c>
      <c r="AR401" s="480" t="str">
        <f ca="1">IF($BG$2=0,"",IF(AR400="本月合计","本年累计",IF(OR(ROW()=$AU$3,ROW()=$AV$3,ROW()=$AW$3,ROW()=$AX$3,ROW()=$AY$3,ROW()=$AZ$3,ROW()=$BA$3,ROW()=$BB$3,ROW()=$BC$3,ROW()=$BD$3,ROW()=$BE$3,ROW()=$BF$3),"本月合计",IF(ROW()&lt;7,$AQ$6,OFFSET($AQ$6,COUNT($AR$6:AR400),0)))))</f>
        <v/>
      </c>
    </row>
    <row r="402" spans="1:44">
      <c r="A402" s="469" t="str">
        <f ca="1">IFERROR(INDEX(凭证录入!A:A,$AR402),"")</f>
        <v/>
      </c>
      <c r="B402" s="469" t="str">
        <f ca="1">IFERROR(INDEX(凭证录入!B:B,$AR402),"")</f>
        <v/>
      </c>
      <c r="C402" s="470" t="str">
        <f ca="1">IFERROR(INDEX(凭证录入!G:G,$AR402),"")</f>
        <v/>
      </c>
      <c r="D402" s="471" t="str">
        <f ca="1">IFERROR(INDEX(凭证录入!F:F,$AR402),"")</f>
        <v/>
      </c>
      <c r="E402" s="472" t="str">
        <f ca="1">IFERROR(INDEX(凭证录入!H:H,$AR402),$AR402)</f>
        <v/>
      </c>
      <c r="F402" s="473">
        <f ca="1">IF(OR($BG$2=0,$AR402=""),,IF($AR402="本月合计",IF(ROW()=$BG$3,SUM($F$6:$F401),SUM(INDIRECT("$F$"&amp;OFFSET($AU$3,,MATCH(ROW(),$AU$3:$BF$3,)-2)+2&amp;":$E"&amp;ROW()-1))),IF($AR402="本年累计",SUMIF($AR$6:$AR402,"本月合计",$F$6:$F401),INDEX(凭证录入!K:K,$AR402))))</f>
        <v>0</v>
      </c>
      <c r="G402" s="459" t="str">
        <f t="shared" ca="1" si="86"/>
        <v/>
      </c>
      <c r="H402" s="460" t="str">
        <f t="shared" ca="1" si="86"/>
        <v/>
      </c>
      <c r="I402" s="460" t="str">
        <f t="shared" ca="1" si="86"/>
        <v/>
      </c>
      <c r="J402" s="460" t="str">
        <f t="shared" ca="1" si="86"/>
        <v/>
      </c>
      <c r="K402" s="460" t="str">
        <f t="shared" ca="1" si="86"/>
        <v/>
      </c>
      <c r="L402" s="460" t="str">
        <f t="shared" ca="1" si="86"/>
        <v/>
      </c>
      <c r="M402" s="460" t="str">
        <f t="shared" ca="1" si="86"/>
        <v/>
      </c>
      <c r="N402" s="460" t="str">
        <f t="shared" ca="1" si="86"/>
        <v/>
      </c>
      <c r="O402" s="461" t="str">
        <f t="shared" ca="1" si="86"/>
        <v/>
      </c>
      <c r="P402" s="474" t="str">
        <f t="shared" ca="1" si="86"/>
        <v/>
      </c>
      <c r="Q402" s="475" t="str">
        <f t="shared" ca="1" si="86"/>
        <v/>
      </c>
      <c r="R402" s="476">
        <f ca="1">IF(OR($BG$2=0,$AR402=""),,IF($AR402="本月合计",IF(ROW()=$BG$3,SUM($R$6:$R401),SUM(INDIRECT("$R$"&amp;OFFSET($AU$3,,MATCH(ROW(),$AU$3:$BF$3,)-2)+2&amp;":$R"&amp;ROW()-1))),IF($AR402="本年累计",SUMIF($AR$6:$AR402,"本月合计",$R$6:$R401),INDEX(凭证录入!L:L,$AR402))))</f>
        <v>0</v>
      </c>
      <c r="S402" s="459" t="str">
        <f t="shared" ca="1" si="87"/>
        <v/>
      </c>
      <c r="T402" s="460" t="str">
        <f t="shared" ca="1" si="87"/>
        <v/>
      </c>
      <c r="U402" s="460" t="str">
        <f t="shared" ca="1" si="87"/>
        <v/>
      </c>
      <c r="V402" s="460" t="str">
        <f t="shared" ca="1" si="87"/>
        <v/>
      </c>
      <c r="W402" s="460" t="str">
        <f t="shared" ca="1" si="87"/>
        <v/>
      </c>
      <c r="X402" s="460" t="str">
        <f t="shared" ca="1" si="87"/>
        <v/>
      </c>
      <c r="Y402" s="460" t="str">
        <f t="shared" ca="1" si="87"/>
        <v/>
      </c>
      <c r="Z402" s="460" t="str">
        <f t="shared" ca="1" si="87"/>
        <v/>
      </c>
      <c r="AA402" s="461" t="str">
        <f t="shared" ca="1" si="87"/>
        <v/>
      </c>
      <c r="AB402" s="474" t="str">
        <f t="shared" ca="1" si="87"/>
        <v/>
      </c>
      <c r="AC402" s="475" t="str">
        <f t="shared" ca="1" si="87"/>
        <v/>
      </c>
      <c r="AD402" s="477" t="str">
        <f t="shared" ca="1" si="88"/>
        <v/>
      </c>
      <c r="AE402" s="478">
        <f t="shared" ca="1" si="89"/>
        <v>0</v>
      </c>
      <c r="AF402" s="459" t="str">
        <f t="shared" ca="1" si="85"/>
        <v/>
      </c>
      <c r="AG402" s="460" t="str">
        <f t="shared" ca="1" si="85"/>
        <v/>
      </c>
      <c r="AH402" s="460" t="str">
        <f t="shared" ca="1" si="85"/>
        <v/>
      </c>
      <c r="AI402" s="460" t="str">
        <f t="shared" ca="1" si="85"/>
        <v/>
      </c>
      <c r="AJ402" s="460" t="str">
        <f t="shared" ca="1" si="85"/>
        <v/>
      </c>
      <c r="AK402" s="460" t="str">
        <f t="shared" ca="1" si="85"/>
        <v/>
      </c>
      <c r="AL402" s="460" t="str">
        <f t="shared" ca="1" si="85"/>
        <v/>
      </c>
      <c r="AM402" s="460" t="str">
        <f t="shared" ca="1" si="85"/>
        <v/>
      </c>
      <c r="AN402" s="461" t="str">
        <f t="shared" ca="1" si="85"/>
        <v/>
      </c>
      <c r="AO402" s="474" t="str">
        <f t="shared" ca="1" si="85"/>
        <v/>
      </c>
      <c r="AP402" s="475" t="str">
        <f t="shared" ca="1" si="85"/>
        <v/>
      </c>
      <c r="AQ402" s="479" t="str">
        <f t="array" aca="1" ref="AQ402" ca="1">IF(ROW()-5&lt;=COUNTIF(科目编号,$AR$2),SMALL(IF(科目编号=$AR$2,ROW(科目编号),""),ROW()-5),"")</f>
        <v/>
      </c>
      <c r="AR402" s="480" t="str">
        <f ca="1">IF($BG$2=0,"",IF(AR401="本月合计","本年累计",IF(OR(ROW()=$AU$3,ROW()=$AV$3,ROW()=$AW$3,ROW()=$AX$3,ROW()=$AY$3,ROW()=$AZ$3,ROW()=$BA$3,ROW()=$BB$3,ROW()=$BC$3,ROW()=$BD$3,ROW()=$BE$3,ROW()=$BF$3),"本月合计",IF(ROW()&lt;7,$AQ$6,OFFSET($AQ$6,COUNT($AR$6:AR401),0)))))</f>
        <v/>
      </c>
    </row>
    <row r="403" spans="1:44">
      <c r="A403" s="469" t="str">
        <f ca="1">IFERROR(INDEX(凭证录入!A:A,$AR403),"")</f>
        <v/>
      </c>
      <c r="B403" s="469" t="str">
        <f ca="1">IFERROR(INDEX(凭证录入!B:B,$AR403),"")</f>
        <v/>
      </c>
      <c r="C403" s="470" t="str">
        <f ca="1">IFERROR(INDEX(凭证录入!G:G,$AR403),"")</f>
        <v/>
      </c>
      <c r="D403" s="471" t="str">
        <f ca="1">IFERROR(INDEX(凭证录入!F:F,$AR403),"")</f>
        <v/>
      </c>
      <c r="E403" s="472" t="str">
        <f ca="1">IFERROR(INDEX(凭证录入!H:H,$AR403),$AR403)</f>
        <v/>
      </c>
      <c r="F403" s="473">
        <f ca="1">IF(OR($BG$2=0,$AR403=""),,IF($AR403="本月合计",IF(ROW()=$BG$3,SUM($F$6:$F402),SUM(INDIRECT("$F$"&amp;OFFSET($AU$3,,MATCH(ROW(),$AU$3:$BF$3,)-2)+2&amp;":$E"&amp;ROW()-1))),IF($AR403="本年累计",SUMIF($AR$6:$AR403,"本月合计",$F$6:$F402),INDEX(凭证录入!K:K,$AR403))))</f>
        <v>0</v>
      </c>
      <c r="G403" s="459" t="str">
        <f t="shared" ca="1" si="86"/>
        <v/>
      </c>
      <c r="H403" s="460" t="str">
        <f t="shared" ca="1" si="86"/>
        <v/>
      </c>
      <c r="I403" s="460" t="str">
        <f t="shared" ca="1" si="86"/>
        <v/>
      </c>
      <c r="J403" s="460" t="str">
        <f t="shared" ca="1" si="86"/>
        <v/>
      </c>
      <c r="K403" s="460" t="str">
        <f t="shared" ca="1" si="86"/>
        <v/>
      </c>
      <c r="L403" s="460" t="str">
        <f t="shared" ca="1" si="86"/>
        <v/>
      </c>
      <c r="M403" s="460" t="str">
        <f t="shared" ca="1" si="86"/>
        <v/>
      </c>
      <c r="N403" s="460" t="str">
        <f t="shared" ca="1" si="86"/>
        <v/>
      </c>
      <c r="O403" s="461" t="str">
        <f t="shared" ca="1" si="86"/>
        <v/>
      </c>
      <c r="P403" s="474" t="str">
        <f t="shared" ca="1" si="86"/>
        <v/>
      </c>
      <c r="Q403" s="475" t="str">
        <f t="shared" ca="1" si="86"/>
        <v/>
      </c>
      <c r="R403" s="476">
        <f ca="1">IF(OR($BG$2=0,$AR403=""),,IF($AR403="本月合计",IF(ROW()=$BG$3,SUM($R$6:$R402),SUM(INDIRECT("$R$"&amp;OFFSET($AU$3,,MATCH(ROW(),$AU$3:$BF$3,)-2)+2&amp;":$R"&amp;ROW()-1))),IF($AR403="本年累计",SUMIF($AR$6:$AR403,"本月合计",$R$6:$R402),INDEX(凭证录入!L:L,$AR403))))</f>
        <v>0</v>
      </c>
      <c r="S403" s="459" t="str">
        <f t="shared" ca="1" si="87"/>
        <v/>
      </c>
      <c r="T403" s="460" t="str">
        <f t="shared" ca="1" si="87"/>
        <v/>
      </c>
      <c r="U403" s="460" t="str">
        <f t="shared" ca="1" si="87"/>
        <v/>
      </c>
      <c r="V403" s="460" t="str">
        <f t="shared" ca="1" si="87"/>
        <v/>
      </c>
      <c r="W403" s="460" t="str">
        <f t="shared" ca="1" si="87"/>
        <v/>
      </c>
      <c r="X403" s="460" t="str">
        <f t="shared" ca="1" si="87"/>
        <v/>
      </c>
      <c r="Y403" s="460" t="str">
        <f t="shared" ca="1" si="87"/>
        <v/>
      </c>
      <c r="Z403" s="460" t="str">
        <f t="shared" ca="1" si="87"/>
        <v/>
      </c>
      <c r="AA403" s="461" t="str">
        <f t="shared" ca="1" si="87"/>
        <v/>
      </c>
      <c r="AB403" s="474" t="str">
        <f t="shared" ca="1" si="87"/>
        <v/>
      </c>
      <c r="AC403" s="475" t="str">
        <f t="shared" ca="1" si="87"/>
        <v/>
      </c>
      <c r="AD403" s="477" t="str">
        <f t="shared" ca="1" si="88"/>
        <v/>
      </c>
      <c r="AE403" s="478">
        <f t="shared" ca="1" si="89"/>
        <v>0</v>
      </c>
      <c r="AF403" s="459" t="str">
        <f t="shared" ca="1" si="85"/>
        <v/>
      </c>
      <c r="AG403" s="460" t="str">
        <f t="shared" ca="1" si="85"/>
        <v/>
      </c>
      <c r="AH403" s="460" t="str">
        <f t="shared" ca="1" si="85"/>
        <v/>
      </c>
      <c r="AI403" s="460" t="str">
        <f t="shared" ca="1" si="85"/>
        <v/>
      </c>
      <c r="AJ403" s="460" t="str">
        <f t="shared" ca="1" si="85"/>
        <v/>
      </c>
      <c r="AK403" s="460" t="str">
        <f t="shared" ca="1" si="85"/>
        <v/>
      </c>
      <c r="AL403" s="460" t="str">
        <f t="shared" ca="1" si="85"/>
        <v/>
      </c>
      <c r="AM403" s="460" t="str">
        <f t="shared" ca="1" si="85"/>
        <v/>
      </c>
      <c r="AN403" s="461" t="str">
        <f t="shared" ca="1" si="85"/>
        <v/>
      </c>
      <c r="AO403" s="474" t="str">
        <f t="shared" ca="1" si="85"/>
        <v/>
      </c>
      <c r="AP403" s="475" t="str">
        <f t="shared" ca="1" si="85"/>
        <v/>
      </c>
      <c r="AQ403" s="479" t="str">
        <f t="array" aca="1" ref="AQ403" ca="1">IF(ROW()-5&lt;=COUNTIF(科目编号,$AR$2),SMALL(IF(科目编号=$AR$2,ROW(科目编号),""),ROW()-5),"")</f>
        <v/>
      </c>
      <c r="AR403" s="480" t="str">
        <f ca="1">IF($BG$2=0,"",IF(AR402="本月合计","本年累计",IF(OR(ROW()=$AU$3,ROW()=$AV$3,ROW()=$AW$3,ROW()=$AX$3,ROW()=$AY$3,ROW()=$AZ$3,ROW()=$BA$3,ROW()=$BB$3,ROW()=$BC$3,ROW()=$BD$3,ROW()=$BE$3,ROW()=$BF$3),"本月合计",IF(ROW()&lt;7,$AQ$6,OFFSET($AQ$6,COUNT($AR$6:AR402),0)))))</f>
        <v/>
      </c>
    </row>
    <row r="404" spans="1:44">
      <c r="A404" s="469" t="str">
        <f ca="1">IFERROR(INDEX(凭证录入!A:A,$AR404),"")</f>
        <v/>
      </c>
      <c r="B404" s="469" t="str">
        <f ca="1">IFERROR(INDEX(凭证录入!B:B,$AR404),"")</f>
        <v/>
      </c>
      <c r="C404" s="470" t="str">
        <f ca="1">IFERROR(INDEX(凭证录入!G:G,$AR404),"")</f>
        <v/>
      </c>
      <c r="D404" s="471" t="str">
        <f ca="1">IFERROR(INDEX(凭证录入!F:F,$AR404),"")</f>
        <v/>
      </c>
      <c r="E404" s="472" t="str">
        <f ca="1">IFERROR(INDEX(凭证录入!H:H,$AR404),$AR404)</f>
        <v/>
      </c>
      <c r="F404" s="473">
        <f ca="1">IF(OR($BG$2=0,$AR404=""),,IF($AR404="本月合计",IF(ROW()=$BG$3,SUM($F$6:$F403),SUM(INDIRECT("$F$"&amp;OFFSET($AU$3,,MATCH(ROW(),$AU$3:$BF$3,)-2)+2&amp;":$E"&amp;ROW()-1))),IF($AR404="本年累计",SUMIF($AR$6:$AR404,"本月合计",$F$6:$F403),INDEX(凭证录入!K:K,$AR404))))</f>
        <v>0</v>
      </c>
      <c r="G404" s="459" t="str">
        <f t="shared" ca="1" si="86"/>
        <v/>
      </c>
      <c r="H404" s="460" t="str">
        <f t="shared" ca="1" si="86"/>
        <v/>
      </c>
      <c r="I404" s="460" t="str">
        <f t="shared" ca="1" si="86"/>
        <v/>
      </c>
      <c r="J404" s="460" t="str">
        <f t="shared" ca="1" si="86"/>
        <v/>
      </c>
      <c r="K404" s="460" t="str">
        <f t="shared" ca="1" si="86"/>
        <v/>
      </c>
      <c r="L404" s="460" t="str">
        <f t="shared" ca="1" si="86"/>
        <v/>
      </c>
      <c r="M404" s="460" t="str">
        <f t="shared" ca="1" si="86"/>
        <v/>
      </c>
      <c r="N404" s="460" t="str">
        <f t="shared" ca="1" si="86"/>
        <v/>
      </c>
      <c r="O404" s="461" t="str">
        <f t="shared" ca="1" si="86"/>
        <v/>
      </c>
      <c r="P404" s="474" t="str">
        <f t="shared" ca="1" si="86"/>
        <v/>
      </c>
      <c r="Q404" s="475" t="str">
        <f t="shared" ca="1" si="86"/>
        <v/>
      </c>
      <c r="R404" s="476">
        <f ca="1">IF(OR($BG$2=0,$AR404=""),,IF($AR404="本月合计",IF(ROW()=$BG$3,SUM($R$6:$R403),SUM(INDIRECT("$R$"&amp;OFFSET($AU$3,,MATCH(ROW(),$AU$3:$BF$3,)-2)+2&amp;":$R"&amp;ROW()-1))),IF($AR404="本年累计",SUMIF($AR$6:$AR404,"本月合计",$R$6:$R403),INDEX(凭证录入!L:L,$AR404))))</f>
        <v>0</v>
      </c>
      <c r="S404" s="459" t="str">
        <f t="shared" ca="1" si="87"/>
        <v/>
      </c>
      <c r="T404" s="460" t="str">
        <f t="shared" ca="1" si="87"/>
        <v/>
      </c>
      <c r="U404" s="460" t="str">
        <f t="shared" ca="1" si="87"/>
        <v/>
      </c>
      <c r="V404" s="460" t="str">
        <f t="shared" ca="1" si="87"/>
        <v/>
      </c>
      <c r="W404" s="460" t="str">
        <f t="shared" ca="1" si="87"/>
        <v/>
      </c>
      <c r="X404" s="460" t="str">
        <f t="shared" ca="1" si="87"/>
        <v/>
      </c>
      <c r="Y404" s="460" t="str">
        <f t="shared" ca="1" si="87"/>
        <v/>
      </c>
      <c r="Z404" s="460" t="str">
        <f t="shared" ca="1" si="87"/>
        <v/>
      </c>
      <c r="AA404" s="461" t="str">
        <f t="shared" ca="1" si="87"/>
        <v/>
      </c>
      <c r="AB404" s="474" t="str">
        <f t="shared" ca="1" si="87"/>
        <v/>
      </c>
      <c r="AC404" s="475" t="str">
        <f t="shared" ca="1" si="87"/>
        <v/>
      </c>
      <c r="AD404" s="477" t="str">
        <f t="shared" ca="1" si="88"/>
        <v/>
      </c>
      <c r="AE404" s="478">
        <f t="shared" ca="1" si="89"/>
        <v>0</v>
      </c>
      <c r="AF404" s="459" t="str">
        <f t="shared" ca="1" si="85"/>
        <v/>
      </c>
      <c r="AG404" s="460" t="str">
        <f t="shared" ca="1" si="85"/>
        <v/>
      </c>
      <c r="AH404" s="460" t="str">
        <f t="shared" ca="1" si="85"/>
        <v/>
      </c>
      <c r="AI404" s="460" t="str">
        <f t="shared" ca="1" si="85"/>
        <v/>
      </c>
      <c r="AJ404" s="460" t="str">
        <f t="shared" ca="1" si="85"/>
        <v/>
      </c>
      <c r="AK404" s="460" t="str">
        <f t="shared" ca="1" si="85"/>
        <v/>
      </c>
      <c r="AL404" s="460" t="str">
        <f t="shared" ca="1" si="85"/>
        <v/>
      </c>
      <c r="AM404" s="460" t="str">
        <f t="shared" ca="1" si="85"/>
        <v/>
      </c>
      <c r="AN404" s="461" t="str">
        <f t="shared" ca="1" si="85"/>
        <v/>
      </c>
      <c r="AO404" s="474" t="str">
        <f t="shared" ca="1" si="85"/>
        <v/>
      </c>
      <c r="AP404" s="475" t="str">
        <f t="shared" ca="1" si="85"/>
        <v/>
      </c>
      <c r="AQ404" s="479" t="str">
        <f t="array" aca="1" ref="AQ404" ca="1">IF(ROW()-5&lt;=COUNTIF(科目编号,$AR$2),SMALL(IF(科目编号=$AR$2,ROW(科目编号),""),ROW()-5),"")</f>
        <v/>
      </c>
      <c r="AR404" s="480" t="str">
        <f ca="1">IF($BG$2=0,"",IF(AR403="本月合计","本年累计",IF(OR(ROW()=$AU$3,ROW()=$AV$3,ROW()=$AW$3,ROW()=$AX$3,ROW()=$AY$3,ROW()=$AZ$3,ROW()=$BA$3,ROW()=$BB$3,ROW()=$BC$3,ROW()=$BD$3,ROW()=$BE$3,ROW()=$BF$3),"本月合计",IF(ROW()&lt;7,$AQ$6,OFFSET($AQ$6,COUNT($AR$6:AR403),0)))))</f>
        <v/>
      </c>
    </row>
    <row r="405" spans="1:44">
      <c r="A405" s="469" t="str">
        <f ca="1">IFERROR(INDEX(凭证录入!A:A,$AR405),"")</f>
        <v/>
      </c>
      <c r="B405" s="469" t="str">
        <f ca="1">IFERROR(INDEX(凭证录入!B:B,$AR405),"")</f>
        <v/>
      </c>
      <c r="C405" s="470" t="str">
        <f ca="1">IFERROR(INDEX(凭证录入!G:G,$AR405),"")</f>
        <v/>
      </c>
      <c r="D405" s="471" t="str">
        <f ca="1">IFERROR(INDEX(凭证录入!F:F,$AR405),"")</f>
        <v/>
      </c>
      <c r="E405" s="472" t="str">
        <f ca="1">IFERROR(INDEX(凭证录入!H:H,$AR405),$AR405)</f>
        <v/>
      </c>
      <c r="F405" s="473">
        <f ca="1">IF(OR($BG$2=0,$AR405=""),,IF($AR405="本月合计",IF(ROW()=$BG$3,SUM($F$6:$F404),SUM(INDIRECT("$F$"&amp;OFFSET($AU$3,,MATCH(ROW(),$AU$3:$BF$3,)-2)+2&amp;":$E"&amp;ROW()-1))),IF($AR405="本年累计",SUMIF($AR$6:$AR405,"本月合计",$F$6:$F404),INDEX(凭证录入!K:K,$AR405))))</f>
        <v>0</v>
      </c>
      <c r="G405" s="459" t="str">
        <f t="shared" ca="1" si="86"/>
        <v/>
      </c>
      <c r="H405" s="460" t="str">
        <f t="shared" ca="1" si="86"/>
        <v/>
      </c>
      <c r="I405" s="460" t="str">
        <f t="shared" ca="1" si="86"/>
        <v/>
      </c>
      <c r="J405" s="460" t="str">
        <f t="shared" ca="1" si="86"/>
        <v/>
      </c>
      <c r="K405" s="460" t="str">
        <f t="shared" ca="1" si="86"/>
        <v/>
      </c>
      <c r="L405" s="460" t="str">
        <f t="shared" ca="1" si="86"/>
        <v/>
      </c>
      <c r="M405" s="460" t="str">
        <f t="shared" ca="1" si="86"/>
        <v/>
      </c>
      <c r="N405" s="460" t="str">
        <f t="shared" ca="1" si="86"/>
        <v/>
      </c>
      <c r="O405" s="461" t="str">
        <f t="shared" ca="1" si="86"/>
        <v/>
      </c>
      <c r="P405" s="474" t="str">
        <f t="shared" ca="1" si="86"/>
        <v/>
      </c>
      <c r="Q405" s="475" t="str">
        <f t="shared" ca="1" si="86"/>
        <v/>
      </c>
      <c r="R405" s="476">
        <f ca="1">IF(OR($BG$2=0,$AR405=""),,IF($AR405="本月合计",IF(ROW()=$BG$3,SUM($R$6:$R404),SUM(INDIRECT("$R$"&amp;OFFSET($AU$3,,MATCH(ROW(),$AU$3:$BF$3,)-2)+2&amp;":$R"&amp;ROW()-1))),IF($AR405="本年累计",SUMIF($AR$6:$AR405,"本月合计",$R$6:$R404),INDEX(凭证录入!L:L,$AR405))))</f>
        <v>0</v>
      </c>
      <c r="S405" s="459" t="str">
        <f t="shared" ca="1" si="87"/>
        <v/>
      </c>
      <c r="T405" s="460" t="str">
        <f t="shared" ca="1" si="87"/>
        <v/>
      </c>
      <c r="U405" s="460" t="str">
        <f t="shared" ca="1" si="87"/>
        <v/>
      </c>
      <c r="V405" s="460" t="str">
        <f t="shared" ca="1" si="87"/>
        <v/>
      </c>
      <c r="W405" s="460" t="str">
        <f t="shared" ca="1" si="87"/>
        <v/>
      </c>
      <c r="X405" s="460" t="str">
        <f t="shared" ca="1" si="87"/>
        <v/>
      </c>
      <c r="Y405" s="460" t="str">
        <f t="shared" ca="1" si="87"/>
        <v/>
      </c>
      <c r="Z405" s="460" t="str">
        <f t="shared" ca="1" si="87"/>
        <v/>
      </c>
      <c r="AA405" s="461" t="str">
        <f t="shared" ca="1" si="87"/>
        <v/>
      </c>
      <c r="AB405" s="474" t="str">
        <f t="shared" ca="1" si="87"/>
        <v/>
      </c>
      <c r="AC405" s="475" t="str">
        <f t="shared" ca="1" si="87"/>
        <v/>
      </c>
      <c r="AD405" s="477" t="str">
        <f t="shared" ca="1" si="88"/>
        <v/>
      </c>
      <c r="AE405" s="478">
        <f t="shared" ca="1" si="89"/>
        <v>0</v>
      </c>
      <c r="AF405" s="459" t="str">
        <f t="shared" ref="AF405:AP420" ca="1" si="90">LEFT(RIGHT(TEXT($AE405/1%," ￥0; ￥-0;"),43-COLUMN()))</f>
        <v/>
      </c>
      <c r="AG405" s="460" t="str">
        <f t="shared" ca="1" si="90"/>
        <v/>
      </c>
      <c r="AH405" s="460" t="str">
        <f t="shared" ca="1" si="90"/>
        <v/>
      </c>
      <c r="AI405" s="460" t="str">
        <f t="shared" ca="1" si="90"/>
        <v/>
      </c>
      <c r="AJ405" s="460" t="str">
        <f t="shared" ca="1" si="90"/>
        <v/>
      </c>
      <c r="AK405" s="460" t="str">
        <f t="shared" ca="1" si="90"/>
        <v/>
      </c>
      <c r="AL405" s="460" t="str">
        <f t="shared" ca="1" si="90"/>
        <v/>
      </c>
      <c r="AM405" s="460" t="str">
        <f t="shared" ca="1" si="90"/>
        <v/>
      </c>
      <c r="AN405" s="461" t="str">
        <f t="shared" ca="1" si="90"/>
        <v/>
      </c>
      <c r="AO405" s="474" t="str">
        <f t="shared" ca="1" si="90"/>
        <v/>
      </c>
      <c r="AP405" s="475" t="str">
        <f t="shared" ca="1" si="90"/>
        <v/>
      </c>
      <c r="AQ405" s="479" t="str">
        <f t="array" aca="1" ref="AQ405" ca="1">IF(ROW()-5&lt;=COUNTIF(科目编号,$AR$2),SMALL(IF(科目编号=$AR$2,ROW(科目编号),""),ROW()-5),"")</f>
        <v/>
      </c>
      <c r="AR405" s="480" t="str">
        <f ca="1">IF($BG$2=0,"",IF(AR404="本月合计","本年累计",IF(OR(ROW()=$AU$3,ROW()=$AV$3,ROW()=$AW$3,ROW()=$AX$3,ROW()=$AY$3,ROW()=$AZ$3,ROW()=$BA$3,ROW()=$BB$3,ROW()=$BC$3,ROW()=$BD$3,ROW()=$BE$3,ROW()=$BF$3),"本月合计",IF(ROW()&lt;7,$AQ$6,OFFSET($AQ$6,COUNT($AR$6:AR404),0)))))</f>
        <v/>
      </c>
    </row>
    <row r="406" spans="1:44">
      <c r="A406" s="469" t="str">
        <f ca="1">IFERROR(INDEX(凭证录入!A:A,$AR406),"")</f>
        <v/>
      </c>
      <c r="B406" s="469" t="str">
        <f ca="1">IFERROR(INDEX(凭证录入!B:B,$AR406),"")</f>
        <v/>
      </c>
      <c r="C406" s="470" t="str">
        <f ca="1">IFERROR(INDEX(凭证录入!G:G,$AR406),"")</f>
        <v/>
      </c>
      <c r="D406" s="471" t="str">
        <f ca="1">IFERROR(INDEX(凭证录入!F:F,$AR406),"")</f>
        <v/>
      </c>
      <c r="E406" s="472" t="str">
        <f ca="1">IFERROR(INDEX(凭证录入!H:H,$AR406),$AR406)</f>
        <v/>
      </c>
      <c r="F406" s="473">
        <f ca="1">IF(OR($BG$2=0,$AR406=""),,IF($AR406="本月合计",IF(ROW()=$BG$3,SUM($F$6:$F405),SUM(INDIRECT("$F$"&amp;OFFSET($AU$3,,MATCH(ROW(),$AU$3:$BF$3,)-2)+2&amp;":$E"&amp;ROW()-1))),IF($AR406="本年累计",SUMIF($AR$6:$AR406,"本月合计",$F$6:$F405),INDEX(凭证录入!K:K,$AR406))))</f>
        <v>0</v>
      </c>
      <c r="G406" s="459" t="str">
        <f t="shared" ref="G406:Q421" ca="1" si="91">LEFT(RIGHT(TEXT($F406/1%," ￥0; ￥-0;"),18-COLUMN()))</f>
        <v/>
      </c>
      <c r="H406" s="460" t="str">
        <f t="shared" ca="1" si="91"/>
        <v/>
      </c>
      <c r="I406" s="460" t="str">
        <f t="shared" ca="1" si="91"/>
        <v/>
      </c>
      <c r="J406" s="460" t="str">
        <f t="shared" ca="1" si="91"/>
        <v/>
      </c>
      <c r="K406" s="460" t="str">
        <f t="shared" ca="1" si="91"/>
        <v/>
      </c>
      <c r="L406" s="460" t="str">
        <f t="shared" ca="1" si="91"/>
        <v/>
      </c>
      <c r="M406" s="460" t="str">
        <f t="shared" ca="1" si="91"/>
        <v/>
      </c>
      <c r="N406" s="460" t="str">
        <f t="shared" ca="1" si="91"/>
        <v/>
      </c>
      <c r="O406" s="461" t="str">
        <f t="shared" ca="1" si="91"/>
        <v/>
      </c>
      <c r="P406" s="474" t="str">
        <f t="shared" ca="1" si="91"/>
        <v/>
      </c>
      <c r="Q406" s="475" t="str">
        <f t="shared" ca="1" si="91"/>
        <v/>
      </c>
      <c r="R406" s="476">
        <f ca="1">IF(OR($BG$2=0,$AR406=""),,IF($AR406="本月合计",IF(ROW()=$BG$3,SUM($R$6:$R405),SUM(INDIRECT("$R$"&amp;OFFSET($AU$3,,MATCH(ROW(),$AU$3:$BF$3,)-2)+2&amp;":$R"&amp;ROW()-1))),IF($AR406="本年累计",SUMIF($AR$6:$AR406,"本月合计",$R$6:$R405),INDEX(凭证录入!L:L,$AR406))))</f>
        <v>0</v>
      </c>
      <c r="S406" s="459" t="str">
        <f t="shared" ref="S406:AC421" ca="1" si="92">LEFT(RIGHT(TEXT($R406/1%," ￥0; ￥-0;"),30-COLUMN()))</f>
        <v/>
      </c>
      <c r="T406" s="460" t="str">
        <f t="shared" ca="1" si="92"/>
        <v/>
      </c>
      <c r="U406" s="460" t="str">
        <f t="shared" ca="1" si="92"/>
        <v/>
      </c>
      <c r="V406" s="460" t="str">
        <f t="shared" ca="1" si="92"/>
        <v/>
      </c>
      <c r="W406" s="460" t="str">
        <f t="shared" ca="1" si="92"/>
        <v/>
      </c>
      <c r="X406" s="460" t="str">
        <f t="shared" ca="1" si="92"/>
        <v/>
      </c>
      <c r="Y406" s="460" t="str">
        <f t="shared" ca="1" si="92"/>
        <v/>
      </c>
      <c r="Z406" s="460" t="str">
        <f t="shared" ca="1" si="92"/>
        <v/>
      </c>
      <c r="AA406" s="461" t="str">
        <f t="shared" ca="1" si="92"/>
        <v/>
      </c>
      <c r="AB406" s="474" t="str">
        <f t="shared" ca="1" si="92"/>
        <v/>
      </c>
      <c r="AC406" s="475" t="str">
        <f t="shared" ca="1" si="92"/>
        <v/>
      </c>
      <c r="AD406" s="477" t="str">
        <f t="shared" ca="1" si="88"/>
        <v/>
      </c>
      <c r="AE406" s="478">
        <f t="shared" ca="1" si="89"/>
        <v>0</v>
      </c>
      <c r="AF406" s="459" t="str">
        <f t="shared" ca="1" si="90"/>
        <v/>
      </c>
      <c r="AG406" s="460" t="str">
        <f t="shared" ca="1" si="90"/>
        <v/>
      </c>
      <c r="AH406" s="460" t="str">
        <f t="shared" ca="1" si="90"/>
        <v/>
      </c>
      <c r="AI406" s="460" t="str">
        <f t="shared" ca="1" si="90"/>
        <v/>
      </c>
      <c r="AJ406" s="460" t="str">
        <f t="shared" ca="1" si="90"/>
        <v/>
      </c>
      <c r="AK406" s="460" t="str">
        <f t="shared" ca="1" si="90"/>
        <v/>
      </c>
      <c r="AL406" s="460" t="str">
        <f t="shared" ca="1" si="90"/>
        <v/>
      </c>
      <c r="AM406" s="460" t="str">
        <f t="shared" ca="1" si="90"/>
        <v/>
      </c>
      <c r="AN406" s="461" t="str">
        <f t="shared" ca="1" si="90"/>
        <v/>
      </c>
      <c r="AO406" s="474" t="str">
        <f t="shared" ca="1" si="90"/>
        <v/>
      </c>
      <c r="AP406" s="475" t="str">
        <f t="shared" ca="1" si="90"/>
        <v/>
      </c>
      <c r="AQ406" s="479" t="str">
        <f t="array" aca="1" ref="AQ406" ca="1">IF(ROW()-5&lt;=COUNTIF(科目编号,$AR$2),SMALL(IF(科目编号=$AR$2,ROW(科目编号),""),ROW()-5),"")</f>
        <v/>
      </c>
      <c r="AR406" s="480" t="str">
        <f ca="1">IF($BG$2=0,"",IF(AR405="本月合计","本年累计",IF(OR(ROW()=$AU$3,ROW()=$AV$3,ROW()=$AW$3,ROW()=$AX$3,ROW()=$AY$3,ROW()=$AZ$3,ROW()=$BA$3,ROW()=$BB$3,ROW()=$BC$3,ROW()=$BD$3,ROW()=$BE$3,ROW()=$BF$3),"本月合计",IF(ROW()&lt;7,$AQ$6,OFFSET($AQ$6,COUNT($AR$6:AR405),0)))))</f>
        <v/>
      </c>
    </row>
    <row r="407" spans="1:44">
      <c r="A407" s="469" t="str">
        <f ca="1">IFERROR(INDEX(凭证录入!A:A,$AR407),"")</f>
        <v/>
      </c>
      <c r="B407" s="469" t="str">
        <f ca="1">IFERROR(INDEX(凭证录入!B:B,$AR407),"")</f>
        <v/>
      </c>
      <c r="C407" s="470" t="str">
        <f ca="1">IFERROR(INDEX(凭证录入!G:G,$AR407),"")</f>
        <v/>
      </c>
      <c r="D407" s="471" t="str">
        <f ca="1">IFERROR(INDEX(凭证录入!F:F,$AR407),"")</f>
        <v/>
      </c>
      <c r="E407" s="472" t="str">
        <f ca="1">IFERROR(INDEX(凭证录入!H:H,$AR407),$AR407)</f>
        <v/>
      </c>
      <c r="F407" s="473">
        <f ca="1">IF(OR($BG$2=0,$AR407=""),,IF($AR407="本月合计",IF(ROW()=$BG$3,SUM($F$6:$F406),SUM(INDIRECT("$F$"&amp;OFFSET($AU$3,,MATCH(ROW(),$AU$3:$BF$3,)-2)+2&amp;":$E"&amp;ROW()-1))),IF($AR407="本年累计",SUMIF($AR$6:$AR407,"本月合计",$F$6:$F406),INDEX(凭证录入!K:K,$AR407))))</f>
        <v>0</v>
      </c>
      <c r="G407" s="459" t="str">
        <f t="shared" ca="1" si="91"/>
        <v/>
      </c>
      <c r="H407" s="460" t="str">
        <f t="shared" ca="1" si="91"/>
        <v/>
      </c>
      <c r="I407" s="460" t="str">
        <f t="shared" ca="1" si="91"/>
        <v/>
      </c>
      <c r="J407" s="460" t="str">
        <f t="shared" ca="1" si="91"/>
        <v/>
      </c>
      <c r="K407" s="460" t="str">
        <f t="shared" ca="1" si="91"/>
        <v/>
      </c>
      <c r="L407" s="460" t="str">
        <f t="shared" ca="1" si="91"/>
        <v/>
      </c>
      <c r="M407" s="460" t="str">
        <f t="shared" ca="1" si="91"/>
        <v/>
      </c>
      <c r="N407" s="460" t="str">
        <f t="shared" ca="1" si="91"/>
        <v/>
      </c>
      <c r="O407" s="461" t="str">
        <f t="shared" ca="1" si="91"/>
        <v/>
      </c>
      <c r="P407" s="474" t="str">
        <f t="shared" ca="1" si="91"/>
        <v/>
      </c>
      <c r="Q407" s="475" t="str">
        <f t="shared" ca="1" si="91"/>
        <v/>
      </c>
      <c r="R407" s="476">
        <f ca="1">IF(OR($BG$2=0,$AR407=""),,IF($AR407="本月合计",IF(ROW()=$BG$3,SUM($R$6:$R406),SUM(INDIRECT("$R$"&amp;OFFSET($AU$3,,MATCH(ROW(),$AU$3:$BF$3,)-2)+2&amp;":$R"&amp;ROW()-1))),IF($AR407="本年累计",SUMIF($AR$6:$AR407,"本月合计",$R$6:$R406),INDEX(凭证录入!L:L,$AR407))))</f>
        <v>0</v>
      </c>
      <c r="S407" s="459" t="str">
        <f t="shared" ca="1" si="92"/>
        <v/>
      </c>
      <c r="T407" s="460" t="str">
        <f t="shared" ca="1" si="92"/>
        <v/>
      </c>
      <c r="U407" s="460" t="str">
        <f t="shared" ca="1" si="92"/>
        <v/>
      </c>
      <c r="V407" s="460" t="str">
        <f t="shared" ca="1" si="92"/>
        <v/>
      </c>
      <c r="W407" s="460" t="str">
        <f t="shared" ca="1" si="92"/>
        <v/>
      </c>
      <c r="X407" s="460" t="str">
        <f t="shared" ca="1" si="92"/>
        <v/>
      </c>
      <c r="Y407" s="460" t="str">
        <f t="shared" ca="1" si="92"/>
        <v/>
      </c>
      <c r="Z407" s="460" t="str">
        <f t="shared" ca="1" si="92"/>
        <v/>
      </c>
      <c r="AA407" s="461" t="str">
        <f t="shared" ca="1" si="92"/>
        <v/>
      </c>
      <c r="AB407" s="474" t="str">
        <f t="shared" ca="1" si="92"/>
        <v/>
      </c>
      <c r="AC407" s="475" t="str">
        <f t="shared" ca="1" si="92"/>
        <v/>
      </c>
      <c r="AD407" s="477" t="str">
        <f t="shared" ca="1" si="88"/>
        <v/>
      </c>
      <c r="AE407" s="478">
        <f t="shared" ca="1" si="89"/>
        <v>0</v>
      </c>
      <c r="AF407" s="459" t="str">
        <f t="shared" ca="1" si="90"/>
        <v/>
      </c>
      <c r="AG407" s="460" t="str">
        <f t="shared" ca="1" si="90"/>
        <v/>
      </c>
      <c r="AH407" s="460" t="str">
        <f t="shared" ca="1" si="90"/>
        <v/>
      </c>
      <c r="AI407" s="460" t="str">
        <f t="shared" ca="1" si="90"/>
        <v/>
      </c>
      <c r="AJ407" s="460" t="str">
        <f t="shared" ca="1" si="90"/>
        <v/>
      </c>
      <c r="AK407" s="460" t="str">
        <f t="shared" ca="1" si="90"/>
        <v/>
      </c>
      <c r="AL407" s="460" t="str">
        <f t="shared" ca="1" si="90"/>
        <v/>
      </c>
      <c r="AM407" s="460" t="str">
        <f t="shared" ca="1" si="90"/>
        <v/>
      </c>
      <c r="AN407" s="461" t="str">
        <f t="shared" ca="1" si="90"/>
        <v/>
      </c>
      <c r="AO407" s="474" t="str">
        <f t="shared" ca="1" si="90"/>
        <v/>
      </c>
      <c r="AP407" s="475" t="str">
        <f t="shared" ca="1" si="90"/>
        <v/>
      </c>
      <c r="AQ407" s="479" t="str">
        <f t="array" aca="1" ref="AQ407" ca="1">IF(ROW()-5&lt;=COUNTIF(科目编号,$AR$2),SMALL(IF(科目编号=$AR$2,ROW(科目编号),""),ROW()-5),"")</f>
        <v/>
      </c>
      <c r="AR407" s="480" t="str">
        <f ca="1">IF($BG$2=0,"",IF(AR406="本月合计","本年累计",IF(OR(ROW()=$AU$3,ROW()=$AV$3,ROW()=$AW$3,ROW()=$AX$3,ROW()=$AY$3,ROW()=$AZ$3,ROW()=$BA$3,ROW()=$BB$3,ROW()=$BC$3,ROW()=$BD$3,ROW()=$BE$3,ROW()=$BF$3),"本月合计",IF(ROW()&lt;7,$AQ$6,OFFSET($AQ$6,COUNT($AR$6:AR406),0)))))</f>
        <v/>
      </c>
    </row>
    <row r="408" spans="1:44">
      <c r="A408" s="469" t="str">
        <f ca="1">IFERROR(INDEX(凭证录入!A:A,$AR408),"")</f>
        <v/>
      </c>
      <c r="B408" s="469" t="str">
        <f ca="1">IFERROR(INDEX(凭证录入!B:B,$AR408),"")</f>
        <v/>
      </c>
      <c r="C408" s="470" t="str">
        <f ca="1">IFERROR(INDEX(凭证录入!G:G,$AR408),"")</f>
        <v/>
      </c>
      <c r="D408" s="471" t="str">
        <f ca="1">IFERROR(INDEX(凭证录入!F:F,$AR408),"")</f>
        <v/>
      </c>
      <c r="E408" s="472" t="str">
        <f ca="1">IFERROR(INDEX(凭证录入!H:H,$AR408),$AR408)</f>
        <v/>
      </c>
      <c r="F408" s="473">
        <f ca="1">IF(OR($BG$2=0,$AR408=""),,IF($AR408="本月合计",IF(ROW()=$BG$3,SUM($F$6:$F407),SUM(INDIRECT("$F$"&amp;OFFSET($AU$3,,MATCH(ROW(),$AU$3:$BF$3,)-2)+2&amp;":$E"&amp;ROW()-1))),IF($AR408="本年累计",SUMIF($AR$6:$AR408,"本月合计",$F$6:$F407),INDEX(凭证录入!K:K,$AR408))))</f>
        <v>0</v>
      </c>
      <c r="G408" s="459" t="str">
        <f t="shared" ca="1" si="91"/>
        <v/>
      </c>
      <c r="H408" s="460" t="str">
        <f t="shared" ca="1" si="91"/>
        <v/>
      </c>
      <c r="I408" s="460" t="str">
        <f t="shared" ca="1" si="91"/>
        <v/>
      </c>
      <c r="J408" s="460" t="str">
        <f t="shared" ca="1" si="91"/>
        <v/>
      </c>
      <c r="K408" s="460" t="str">
        <f t="shared" ca="1" si="91"/>
        <v/>
      </c>
      <c r="L408" s="460" t="str">
        <f t="shared" ca="1" si="91"/>
        <v/>
      </c>
      <c r="M408" s="460" t="str">
        <f t="shared" ca="1" si="91"/>
        <v/>
      </c>
      <c r="N408" s="460" t="str">
        <f t="shared" ca="1" si="91"/>
        <v/>
      </c>
      <c r="O408" s="461" t="str">
        <f t="shared" ca="1" si="91"/>
        <v/>
      </c>
      <c r="P408" s="474" t="str">
        <f t="shared" ca="1" si="91"/>
        <v/>
      </c>
      <c r="Q408" s="475" t="str">
        <f t="shared" ca="1" si="91"/>
        <v/>
      </c>
      <c r="R408" s="476">
        <f ca="1">IF(OR($BG$2=0,$AR408=""),,IF($AR408="本月合计",IF(ROW()=$BG$3,SUM($R$6:$R407),SUM(INDIRECT("$R$"&amp;OFFSET($AU$3,,MATCH(ROW(),$AU$3:$BF$3,)-2)+2&amp;":$R"&amp;ROW()-1))),IF($AR408="本年累计",SUMIF($AR$6:$AR408,"本月合计",$R$6:$R407),INDEX(凭证录入!L:L,$AR408))))</f>
        <v>0</v>
      </c>
      <c r="S408" s="459" t="str">
        <f t="shared" ca="1" si="92"/>
        <v/>
      </c>
      <c r="T408" s="460" t="str">
        <f t="shared" ca="1" si="92"/>
        <v/>
      </c>
      <c r="U408" s="460" t="str">
        <f t="shared" ca="1" si="92"/>
        <v/>
      </c>
      <c r="V408" s="460" t="str">
        <f t="shared" ca="1" si="92"/>
        <v/>
      </c>
      <c r="W408" s="460" t="str">
        <f t="shared" ca="1" si="92"/>
        <v/>
      </c>
      <c r="X408" s="460" t="str">
        <f t="shared" ca="1" si="92"/>
        <v/>
      </c>
      <c r="Y408" s="460" t="str">
        <f t="shared" ca="1" si="92"/>
        <v/>
      </c>
      <c r="Z408" s="460" t="str">
        <f t="shared" ca="1" si="92"/>
        <v/>
      </c>
      <c r="AA408" s="461" t="str">
        <f t="shared" ca="1" si="92"/>
        <v/>
      </c>
      <c r="AB408" s="474" t="str">
        <f t="shared" ca="1" si="92"/>
        <v/>
      </c>
      <c r="AC408" s="475" t="str">
        <f t="shared" ca="1" si="92"/>
        <v/>
      </c>
      <c r="AD408" s="477" t="str">
        <f t="shared" ca="1" si="88"/>
        <v/>
      </c>
      <c r="AE408" s="478">
        <f t="shared" ca="1" si="89"/>
        <v>0</v>
      </c>
      <c r="AF408" s="459" t="str">
        <f t="shared" ca="1" si="90"/>
        <v/>
      </c>
      <c r="AG408" s="460" t="str">
        <f t="shared" ca="1" si="90"/>
        <v/>
      </c>
      <c r="AH408" s="460" t="str">
        <f t="shared" ca="1" si="90"/>
        <v/>
      </c>
      <c r="AI408" s="460" t="str">
        <f t="shared" ca="1" si="90"/>
        <v/>
      </c>
      <c r="AJ408" s="460" t="str">
        <f t="shared" ca="1" si="90"/>
        <v/>
      </c>
      <c r="AK408" s="460" t="str">
        <f t="shared" ca="1" si="90"/>
        <v/>
      </c>
      <c r="AL408" s="460" t="str">
        <f t="shared" ca="1" si="90"/>
        <v/>
      </c>
      <c r="AM408" s="460" t="str">
        <f t="shared" ca="1" si="90"/>
        <v/>
      </c>
      <c r="AN408" s="461" t="str">
        <f t="shared" ca="1" si="90"/>
        <v/>
      </c>
      <c r="AO408" s="474" t="str">
        <f t="shared" ca="1" si="90"/>
        <v/>
      </c>
      <c r="AP408" s="475" t="str">
        <f t="shared" ca="1" si="90"/>
        <v/>
      </c>
      <c r="AQ408" s="479" t="str">
        <f t="array" aca="1" ref="AQ408" ca="1">IF(ROW()-5&lt;=COUNTIF(科目编号,$AR$2),SMALL(IF(科目编号=$AR$2,ROW(科目编号),""),ROW()-5),"")</f>
        <v/>
      </c>
      <c r="AR408" s="480" t="str">
        <f ca="1">IF($BG$2=0,"",IF(AR407="本月合计","本年累计",IF(OR(ROW()=$AU$3,ROW()=$AV$3,ROW()=$AW$3,ROW()=$AX$3,ROW()=$AY$3,ROW()=$AZ$3,ROW()=$BA$3,ROW()=$BB$3,ROW()=$BC$3,ROW()=$BD$3,ROW()=$BE$3,ROW()=$BF$3),"本月合计",IF(ROW()&lt;7,$AQ$6,OFFSET($AQ$6,COUNT($AR$6:AR407),0)))))</f>
        <v/>
      </c>
    </row>
    <row r="409" spans="1:44">
      <c r="A409" s="469" t="str">
        <f ca="1">IFERROR(INDEX(凭证录入!A:A,$AR409),"")</f>
        <v/>
      </c>
      <c r="B409" s="469" t="str">
        <f ca="1">IFERROR(INDEX(凭证录入!B:B,$AR409),"")</f>
        <v/>
      </c>
      <c r="C409" s="470" t="str">
        <f ca="1">IFERROR(INDEX(凭证录入!G:G,$AR409),"")</f>
        <v/>
      </c>
      <c r="D409" s="471" t="str">
        <f ca="1">IFERROR(INDEX(凭证录入!F:F,$AR409),"")</f>
        <v/>
      </c>
      <c r="E409" s="472" t="str">
        <f ca="1">IFERROR(INDEX(凭证录入!H:H,$AR409),$AR409)</f>
        <v/>
      </c>
      <c r="F409" s="473">
        <f ca="1">IF(OR($BG$2=0,$AR409=""),,IF($AR409="本月合计",IF(ROW()=$BG$3,SUM($F$6:$F408),SUM(INDIRECT("$F$"&amp;OFFSET($AU$3,,MATCH(ROW(),$AU$3:$BF$3,)-2)+2&amp;":$E"&amp;ROW()-1))),IF($AR409="本年累计",SUMIF($AR$6:$AR409,"本月合计",$F$6:$F408),INDEX(凭证录入!K:K,$AR409))))</f>
        <v>0</v>
      </c>
      <c r="G409" s="459" t="str">
        <f t="shared" ca="1" si="91"/>
        <v/>
      </c>
      <c r="H409" s="460" t="str">
        <f t="shared" ca="1" si="91"/>
        <v/>
      </c>
      <c r="I409" s="460" t="str">
        <f t="shared" ca="1" si="91"/>
        <v/>
      </c>
      <c r="J409" s="460" t="str">
        <f t="shared" ca="1" si="91"/>
        <v/>
      </c>
      <c r="K409" s="460" t="str">
        <f t="shared" ca="1" si="91"/>
        <v/>
      </c>
      <c r="L409" s="460" t="str">
        <f t="shared" ca="1" si="91"/>
        <v/>
      </c>
      <c r="M409" s="460" t="str">
        <f t="shared" ca="1" si="91"/>
        <v/>
      </c>
      <c r="N409" s="460" t="str">
        <f t="shared" ca="1" si="91"/>
        <v/>
      </c>
      <c r="O409" s="461" t="str">
        <f t="shared" ca="1" si="91"/>
        <v/>
      </c>
      <c r="P409" s="474" t="str">
        <f t="shared" ca="1" si="91"/>
        <v/>
      </c>
      <c r="Q409" s="475" t="str">
        <f t="shared" ca="1" si="91"/>
        <v/>
      </c>
      <c r="R409" s="476">
        <f ca="1">IF(OR($BG$2=0,$AR409=""),,IF($AR409="本月合计",IF(ROW()=$BG$3,SUM($R$6:$R408),SUM(INDIRECT("$R$"&amp;OFFSET($AU$3,,MATCH(ROW(),$AU$3:$BF$3,)-2)+2&amp;":$R"&amp;ROW()-1))),IF($AR409="本年累计",SUMIF($AR$6:$AR409,"本月合计",$R$6:$R408),INDEX(凭证录入!L:L,$AR409))))</f>
        <v>0</v>
      </c>
      <c r="S409" s="459" t="str">
        <f t="shared" ca="1" si="92"/>
        <v/>
      </c>
      <c r="T409" s="460" t="str">
        <f t="shared" ca="1" si="92"/>
        <v/>
      </c>
      <c r="U409" s="460" t="str">
        <f t="shared" ca="1" si="92"/>
        <v/>
      </c>
      <c r="V409" s="460" t="str">
        <f t="shared" ca="1" si="92"/>
        <v/>
      </c>
      <c r="W409" s="460" t="str">
        <f t="shared" ca="1" si="92"/>
        <v/>
      </c>
      <c r="X409" s="460" t="str">
        <f t="shared" ca="1" si="92"/>
        <v/>
      </c>
      <c r="Y409" s="460" t="str">
        <f t="shared" ca="1" si="92"/>
        <v/>
      </c>
      <c r="Z409" s="460" t="str">
        <f t="shared" ca="1" si="92"/>
        <v/>
      </c>
      <c r="AA409" s="461" t="str">
        <f t="shared" ca="1" si="92"/>
        <v/>
      </c>
      <c r="AB409" s="474" t="str">
        <f t="shared" ca="1" si="92"/>
        <v/>
      </c>
      <c r="AC409" s="475" t="str">
        <f t="shared" ca="1" si="92"/>
        <v/>
      </c>
      <c r="AD409" s="477" t="str">
        <f t="shared" ca="1" si="88"/>
        <v/>
      </c>
      <c r="AE409" s="478">
        <f t="shared" ca="1" si="89"/>
        <v>0</v>
      </c>
      <c r="AF409" s="459" t="str">
        <f t="shared" ca="1" si="90"/>
        <v/>
      </c>
      <c r="AG409" s="460" t="str">
        <f t="shared" ca="1" si="90"/>
        <v/>
      </c>
      <c r="AH409" s="460" t="str">
        <f t="shared" ca="1" si="90"/>
        <v/>
      </c>
      <c r="AI409" s="460" t="str">
        <f t="shared" ca="1" si="90"/>
        <v/>
      </c>
      <c r="AJ409" s="460" t="str">
        <f t="shared" ca="1" si="90"/>
        <v/>
      </c>
      <c r="AK409" s="460" t="str">
        <f t="shared" ca="1" si="90"/>
        <v/>
      </c>
      <c r="AL409" s="460" t="str">
        <f t="shared" ca="1" si="90"/>
        <v/>
      </c>
      <c r="AM409" s="460" t="str">
        <f t="shared" ca="1" si="90"/>
        <v/>
      </c>
      <c r="AN409" s="461" t="str">
        <f t="shared" ca="1" si="90"/>
        <v/>
      </c>
      <c r="AO409" s="474" t="str">
        <f t="shared" ca="1" si="90"/>
        <v/>
      </c>
      <c r="AP409" s="475" t="str">
        <f t="shared" ca="1" si="90"/>
        <v/>
      </c>
      <c r="AQ409" s="479" t="str">
        <f t="array" aca="1" ref="AQ409" ca="1">IF(ROW()-5&lt;=COUNTIF(科目编号,$AR$2),SMALL(IF(科目编号=$AR$2,ROW(科目编号),""),ROW()-5),"")</f>
        <v/>
      </c>
      <c r="AR409" s="480" t="str">
        <f ca="1">IF($BG$2=0,"",IF(AR408="本月合计","本年累计",IF(OR(ROW()=$AU$3,ROW()=$AV$3,ROW()=$AW$3,ROW()=$AX$3,ROW()=$AY$3,ROW()=$AZ$3,ROW()=$BA$3,ROW()=$BB$3,ROW()=$BC$3,ROW()=$BD$3,ROW()=$BE$3,ROW()=$BF$3),"本月合计",IF(ROW()&lt;7,$AQ$6,OFFSET($AQ$6,COUNT($AR$6:AR408),0)))))</f>
        <v/>
      </c>
    </row>
    <row r="410" spans="1:44">
      <c r="A410" s="469" t="str">
        <f ca="1">IFERROR(INDEX(凭证录入!A:A,$AR410),"")</f>
        <v/>
      </c>
      <c r="B410" s="469" t="str">
        <f ca="1">IFERROR(INDEX(凭证录入!B:B,$AR410),"")</f>
        <v/>
      </c>
      <c r="C410" s="470" t="str">
        <f ca="1">IFERROR(INDEX(凭证录入!G:G,$AR410),"")</f>
        <v/>
      </c>
      <c r="D410" s="471" t="str">
        <f ca="1">IFERROR(INDEX(凭证录入!F:F,$AR410),"")</f>
        <v/>
      </c>
      <c r="E410" s="472" t="str">
        <f ca="1">IFERROR(INDEX(凭证录入!H:H,$AR410),$AR410)</f>
        <v/>
      </c>
      <c r="F410" s="473">
        <f ca="1">IF(OR($BG$2=0,$AR410=""),,IF($AR410="本月合计",IF(ROW()=$BG$3,SUM($F$6:$F409),SUM(INDIRECT("$F$"&amp;OFFSET($AU$3,,MATCH(ROW(),$AU$3:$BF$3,)-2)+2&amp;":$E"&amp;ROW()-1))),IF($AR410="本年累计",SUMIF($AR$6:$AR410,"本月合计",$F$6:$F409),INDEX(凭证录入!K:K,$AR410))))</f>
        <v>0</v>
      </c>
      <c r="G410" s="459" t="str">
        <f t="shared" ca="1" si="91"/>
        <v/>
      </c>
      <c r="H410" s="460" t="str">
        <f t="shared" ca="1" si="91"/>
        <v/>
      </c>
      <c r="I410" s="460" t="str">
        <f t="shared" ca="1" si="91"/>
        <v/>
      </c>
      <c r="J410" s="460" t="str">
        <f t="shared" ca="1" si="91"/>
        <v/>
      </c>
      <c r="K410" s="460" t="str">
        <f t="shared" ca="1" si="91"/>
        <v/>
      </c>
      <c r="L410" s="460" t="str">
        <f t="shared" ca="1" si="91"/>
        <v/>
      </c>
      <c r="M410" s="460" t="str">
        <f t="shared" ca="1" si="91"/>
        <v/>
      </c>
      <c r="N410" s="460" t="str">
        <f t="shared" ca="1" si="91"/>
        <v/>
      </c>
      <c r="O410" s="461" t="str">
        <f t="shared" ca="1" si="91"/>
        <v/>
      </c>
      <c r="P410" s="474" t="str">
        <f t="shared" ca="1" si="91"/>
        <v/>
      </c>
      <c r="Q410" s="475" t="str">
        <f t="shared" ca="1" si="91"/>
        <v/>
      </c>
      <c r="R410" s="476">
        <f ca="1">IF(OR($BG$2=0,$AR410=""),,IF($AR410="本月合计",IF(ROW()=$BG$3,SUM($R$6:$R409),SUM(INDIRECT("$R$"&amp;OFFSET($AU$3,,MATCH(ROW(),$AU$3:$BF$3,)-2)+2&amp;":$R"&amp;ROW()-1))),IF($AR410="本年累计",SUMIF($AR$6:$AR410,"本月合计",$R$6:$R409),INDEX(凭证录入!L:L,$AR410))))</f>
        <v>0</v>
      </c>
      <c r="S410" s="459" t="str">
        <f t="shared" ca="1" si="92"/>
        <v/>
      </c>
      <c r="T410" s="460" t="str">
        <f t="shared" ca="1" si="92"/>
        <v/>
      </c>
      <c r="U410" s="460" t="str">
        <f t="shared" ca="1" si="92"/>
        <v/>
      </c>
      <c r="V410" s="460" t="str">
        <f t="shared" ca="1" si="92"/>
        <v/>
      </c>
      <c r="W410" s="460" t="str">
        <f t="shared" ca="1" si="92"/>
        <v/>
      </c>
      <c r="X410" s="460" t="str">
        <f t="shared" ca="1" si="92"/>
        <v/>
      </c>
      <c r="Y410" s="460" t="str">
        <f t="shared" ca="1" si="92"/>
        <v/>
      </c>
      <c r="Z410" s="460" t="str">
        <f t="shared" ca="1" si="92"/>
        <v/>
      </c>
      <c r="AA410" s="461" t="str">
        <f t="shared" ca="1" si="92"/>
        <v/>
      </c>
      <c r="AB410" s="474" t="str">
        <f t="shared" ca="1" si="92"/>
        <v/>
      </c>
      <c r="AC410" s="475" t="str">
        <f t="shared" ca="1" si="92"/>
        <v/>
      </c>
      <c r="AD410" s="477" t="str">
        <f t="shared" ca="1" si="88"/>
        <v/>
      </c>
      <c r="AE410" s="478">
        <f t="shared" ca="1" si="89"/>
        <v>0</v>
      </c>
      <c r="AF410" s="459" t="str">
        <f t="shared" ca="1" si="90"/>
        <v/>
      </c>
      <c r="AG410" s="460" t="str">
        <f t="shared" ca="1" si="90"/>
        <v/>
      </c>
      <c r="AH410" s="460" t="str">
        <f t="shared" ca="1" si="90"/>
        <v/>
      </c>
      <c r="AI410" s="460" t="str">
        <f t="shared" ca="1" si="90"/>
        <v/>
      </c>
      <c r="AJ410" s="460" t="str">
        <f t="shared" ca="1" si="90"/>
        <v/>
      </c>
      <c r="AK410" s="460" t="str">
        <f t="shared" ca="1" si="90"/>
        <v/>
      </c>
      <c r="AL410" s="460" t="str">
        <f t="shared" ca="1" si="90"/>
        <v/>
      </c>
      <c r="AM410" s="460" t="str">
        <f t="shared" ca="1" si="90"/>
        <v/>
      </c>
      <c r="AN410" s="461" t="str">
        <f t="shared" ca="1" si="90"/>
        <v/>
      </c>
      <c r="AO410" s="474" t="str">
        <f t="shared" ca="1" si="90"/>
        <v/>
      </c>
      <c r="AP410" s="475" t="str">
        <f t="shared" ca="1" si="90"/>
        <v/>
      </c>
      <c r="AQ410" s="479" t="str">
        <f t="array" aca="1" ref="AQ410" ca="1">IF(ROW()-5&lt;=COUNTIF(科目编号,$AR$2),SMALL(IF(科目编号=$AR$2,ROW(科目编号),""),ROW()-5),"")</f>
        <v/>
      </c>
      <c r="AR410" s="480" t="str">
        <f ca="1">IF($BG$2=0,"",IF(AR409="本月合计","本年累计",IF(OR(ROW()=$AU$3,ROW()=$AV$3,ROW()=$AW$3,ROW()=$AX$3,ROW()=$AY$3,ROW()=$AZ$3,ROW()=$BA$3,ROW()=$BB$3,ROW()=$BC$3,ROW()=$BD$3,ROW()=$BE$3,ROW()=$BF$3),"本月合计",IF(ROW()&lt;7,$AQ$6,OFFSET($AQ$6,COUNT($AR$6:AR409),0)))))</f>
        <v/>
      </c>
    </row>
    <row r="411" spans="1:44">
      <c r="A411" s="469" t="str">
        <f ca="1">IFERROR(INDEX(凭证录入!A:A,$AR411),"")</f>
        <v/>
      </c>
      <c r="B411" s="469" t="str">
        <f ca="1">IFERROR(INDEX(凭证录入!B:B,$AR411),"")</f>
        <v/>
      </c>
      <c r="C411" s="470" t="str">
        <f ca="1">IFERROR(INDEX(凭证录入!G:G,$AR411),"")</f>
        <v/>
      </c>
      <c r="D411" s="471" t="str">
        <f ca="1">IFERROR(INDEX(凭证录入!F:F,$AR411),"")</f>
        <v/>
      </c>
      <c r="E411" s="472" t="str">
        <f ca="1">IFERROR(INDEX(凭证录入!H:H,$AR411),$AR411)</f>
        <v/>
      </c>
      <c r="F411" s="473">
        <f ca="1">IF(OR($BG$2=0,$AR411=""),,IF($AR411="本月合计",IF(ROW()=$BG$3,SUM($F$6:$F410),SUM(INDIRECT("$F$"&amp;OFFSET($AU$3,,MATCH(ROW(),$AU$3:$BF$3,)-2)+2&amp;":$E"&amp;ROW()-1))),IF($AR411="本年累计",SUMIF($AR$6:$AR411,"本月合计",$F$6:$F410),INDEX(凭证录入!K:K,$AR411))))</f>
        <v>0</v>
      </c>
      <c r="G411" s="459" t="str">
        <f t="shared" ca="1" si="91"/>
        <v/>
      </c>
      <c r="H411" s="460" t="str">
        <f t="shared" ca="1" si="91"/>
        <v/>
      </c>
      <c r="I411" s="460" t="str">
        <f t="shared" ca="1" si="91"/>
        <v/>
      </c>
      <c r="J411" s="460" t="str">
        <f t="shared" ca="1" si="91"/>
        <v/>
      </c>
      <c r="K411" s="460" t="str">
        <f t="shared" ca="1" si="91"/>
        <v/>
      </c>
      <c r="L411" s="460" t="str">
        <f t="shared" ca="1" si="91"/>
        <v/>
      </c>
      <c r="M411" s="460" t="str">
        <f t="shared" ca="1" si="91"/>
        <v/>
      </c>
      <c r="N411" s="460" t="str">
        <f t="shared" ca="1" si="91"/>
        <v/>
      </c>
      <c r="O411" s="461" t="str">
        <f t="shared" ca="1" si="91"/>
        <v/>
      </c>
      <c r="P411" s="474" t="str">
        <f t="shared" ca="1" si="91"/>
        <v/>
      </c>
      <c r="Q411" s="475" t="str">
        <f t="shared" ca="1" si="91"/>
        <v/>
      </c>
      <c r="R411" s="476">
        <f ca="1">IF(OR($BG$2=0,$AR411=""),,IF($AR411="本月合计",IF(ROW()=$BG$3,SUM($R$6:$R410),SUM(INDIRECT("$R$"&amp;OFFSET($AU$3,,MATCH(ROW(),$AU$3:$BF$3,)-2)+2&amp;":$R"&amp;ROW()-1))),IF($AR411="本年累计",SUMIF($AR$6:$AR411,"本月合计",$R$6:$R410),INDEX(凭证录入!L:L,$AR411))))</f>
        <v>0</v>
      </c>
      <c r="S411" s="459" t="str">
        <f t="shared" ca="1" si="92"/>
        <v/>
      </c>
      <c r="T411" s="460" t="str">
        <f t="shared" ca="1" si="92"/>
        <v/>
      </c>
      <c r="U411" s="460" t="str">
        <f t="shared" ca="1" si="92"/>
        <v/>
      </c>
      <c r="V411" s="460" t="str">
        <f t="shared" ca="1" si="92"/>
        <v/>
      </c>
      <c r="W411" s="460" t="str">
        <f t="shared" ca="1" si="92"/>
        <v/>
      </c>
      <c r="X411" s="460" t="str">
        <f t="shared" ca="1" si="92"/>
        <v/>
      </c>
      <c r="Y411" s="460" t="str">
        <f t="shared" ca="1" si="92"/>
        <v/>
      </c>
      <c r="Z411" s="460" t="str">
        <f t="shared" ca="1" si="92"/>
        <v/>
      </c>
      <c r="AA411" s="461" t="str">
        <f t="shared" ca="1" si="92"/>
        <v/>
      </c>
      <c r="AB411" s="474" t="str">
        <f t="shared" ca="1" si="92"/>
        <v/>
      </c>
      <c r="AC411" s="475" t="str">
        <f t="shared" ca="1" si="92"/>
        <v/>
      </c>
      <c r="AD411" s="477" t="str">
        <f t="shared" ca="1" si="88"/>
        <v/>
      </c>
      <c r="AE411" s="478">
        <f t="shared" ca="1" si="89"/>
        <v>0</v>
      </c>
      <c r="AF411" s="459" t="str">
        <f t="shared" ca="1" si="90"/>
        <v/>
      </c>
      <c r="AG411" s="460" t="str">
        <f t="shared" ca="1" si="90"/>
        <v/>
      </c>
      <c r="AH411" s="460" t="str">
        <f t="shared" ca="1" si="90"/>
        <v/>
      </c>
      <c r="AI411" s="460" t="str">
        <f t="shared" ca="1" si="90"/>
        <v/>
      </c>
      <c r="AJ411" s="460" t="str">
        <f t="shared" ca="1" si="90"/>
        <v/>
      </c>
      <c r="AK411" s="460" t="str">
        <f t="shared" ca="1" si="90"/>
        <v/>
      </c>
      <c r="AL411" s="460" t="str">
        <f t="shared" ca="1" si="90"/>
        <v/>
      </c>
      <c r="AM411" s="460" t="str">
        <f t="shared" ca="1" si="90"/>
        <v/>
      </c>
      <c r="AN411" s="461" t="str">
        <f t="shared" ca="1" si="90"/>
        <v/>
      </c>
      <c r="AO411" s="474" t="str">
        <f t="shared" ca="1" si="90"/>
        <v/>
      </c>
      <c r="AP411" s="475" t="str">
        <f t="shared" ca="1" si="90"/>
        <v/>
      </c>
      <c r="AQ411" s="479" t="str">
        <f t="array" aca="1" ref="AQ411" ca="1">IF(ROW()-5&lt;=COUNTIF(科目编号,$AR$2),SMALL(IF(科目编号=$AR$2,ROW(科目编号),""),ROW()-5),"")</f>
        <v/>
      </c>
      <c r="AR411" s="480" t="str">
        <f ca="1">IF($BG$2=0,"",IF(AR410="本月合计","本年累计",IF(OR(ROW()=$AU$3,ROW()=$AV$3,ROW()=$AW$3,ROW()=$AX$3,ROW()=$AY$3,ROW()=$AZ$3,ROW()=$BA$3,ROW()=$BB$3,ROW()=$BC$3,ROW()=$BD$3,ROW()=$BE$3,ROW()=$BF$3),"本月合计",IF(ROW()&lt;7,$AQ$6,OFFSET($AQ$6,COUNT($AR$6:AR410),0)))))</f>
        <v/>
      </c>
    </row>
    <row r="412" spans="1:44">
      <c r="A412" s="469" t="str">
        <f ca="1">IFERROR(INDEX(凭证录入!A:A,$AR412),"")</f>
        <v/>
      </c>
      <c r="B412" s="469" t="str">
        <f ca="1">IFERROR(INDEX(凭证录入!B:B,$AR412),"")</f>
        <v/>
      </c>
      <c r="C412" s="470" t="str">
        <f ca="1">IFERROR(INDEX(凭证录入!G:G,$AR412),"")</f>
        <v/>
      </c>
      <c r="D412" s="471" t="str">
        <f ca="1">IFERROR(INDEX(凭证录入!F:F,$AR412),"")</f>
        <v/>
      </c>
      <c r="E412" s="472" t="str">
        <f ca="1">IFERROR(INDEX(凭证录入!H:H,$AR412),$AR412)</f>
        <v/>
      </c>
      <c r="F412" s="473">
        <f ca="1">IF(OR($BG$2=0,$AR412=""),,IF($AR412="本月合计",IF(ROW()=$BG$3,SUM($F$6:$F411),SUM(INDIRECT("$F$"&amp;OFFSET($AU$3,,MATCH(ROW(),$AU$3:$BF$3,)-2)+2&amp;":$E"&amp;ROW()-1))),IF($AR412="本年累计",SUMIF($AR$6:$AR412,"本月合计",$F$6:$F411),INDEX(凭证录入!K:K,$AR412))))</f>
        <v>0</v>
      </c>
      <c r="G412" s="459" t="str">
        <f t="shared" ca="1" si="91"/>
        <v/>
      </c>
      <c r="H412" s="460" t="str">
        <f t="shared" ca="1" si="91"/>
        <v/>
      </c>
      <c r="I412" s="460" t="str">
        <f t="shared" ca="1" si="91"/>
        <v/>
      </c>
      <c r="J412" s="460" t="str">
        <f t="shared" ca="1" si="91"/>
        <v/>
      </c>
      <c r="K412" s="460" t="str">
        <f t="shared" ca="1" si="91"/>
        <v/>
      </c>
      <c r="L412" s="460" t="str">
        <f t="shared" ca="1" si="91"/>
        <v/>
      </c>
      <c r="M412" s="460" t="str">
        <f t="shared" ca="1" si="91"/>
        <v/>
      </c>
      <c r="N412" s="460" t="str">
        <f t="shared" ca="1" si="91"/>
        <v/>
      </c>
      <c r="O412" s="461" t="str">
        <f t="shared" ca="1" si="91"/>
        <v/>
      </c>
      <c r="P412" s="474" t="str">
        <f t="shared" ca="1" si="91"/>
        <v/>
      </c>
      <c r="Q412" s="475" t="str">
        <f t="shared" ca="1" si="91"/>
        <v/>
      </c>
      <c r="R412" s="476">
        <f ca="1">IF(OR($BG$2=0,$AR412=""),,IF($AR412="本月合计",IF(ROW()=$BG$3,SUM($R$6:$R411),SUM(INDIRECT("$R$"&amp;OFFSET($AU$3,,MATCH(ROW(),$AU$3:$BF$3,)-2)+2&amp;":$R"&amp;ROW()-1))),IF($AR412="本年累计",SUMIF($AR$6:$AR412,"本月合计",$R$6:$R411),INDEX(凭证录入!L:L,$AR412))))</f>
        <v>0</v>
      </c>
      <c r="S412" s="459" t="str">
        <f t="shared" ca="1" si="92"/>
        <v/>
      </c>
      <c r="T412" s="460" t="str">
        <f t="shared" ca="1" si="92"/>
        <v/>
      </c>
      <c r="U412" s="460" t="str">
        <f t="shared" ca="1" si="92"/>
        <v/>
      </c>
      <c r="V412" s="460" t="str">
        <f t="shared" ca="1" si="92"/>
        <v/>
      </c>
      <c r="W412" s="460" t="str">
        <f t="shared" ca="1" si="92"/>
        <v/>
      </c>
      <c r="X412" s="460" t="str">
        <f t="shared" ca="1" si="92"/>
        <v/>
      </c>
      <c r="Y412" s="460" t="str">
        <f t="shared" ca="1" si="92"/>
        <v/>
      </c>
      <c r="Z412" s="460" t="str">
        <f t="shared" ca="1" si="92"/>
        <v/>
      </c>
      <c r="AA412" s="461" t="str">
        <f t="shared" ca="1" si="92"/>
        <v/>
      </c>
      <c r="AB412" s="474" t="str">
        <f t="shared" ca="1" si="92"/>
        <v/>
      </c>
      <c r="AC412" s="475" t="str">
        <f t="shared" ca="1" si="92"/>
        <v/>
      </c>
      <c r="AD412" s="477" t="str">
        <f t="shared" ca="1" si="88"/>
        <v/>
      </c>
      <c r="AE412" s="478">
        <f t="shared" ca="1" si="89"/>
        <v>0</v>
      </c>
      <c r="AF412" s="459" t="str">
        <f t="shared" ca="1" si="90"/>
        <v/>
      </c>
      <c r="AG412" s="460" t="str">
        <f t="shared" ca="1" si="90"/>
        <v/>
      </c>
      <c r="AH412" s="460" t="str">
        <f t="shared" ca="1" si="90"/>
        <v/>
      </c>
      <c r="AI412" s="460" t="str">
        <f t="shared" ca="1" si="90"/>
        <v/>
      </c>
      <c r="AJ412" s="460" t="str">
        <f t="shared" ca="1" si="90"/>
        <v/>
      </c>
      <c r="AK412" s="460" t="str">
        <f t="shared" ca="1" si="90"/>
        <v/>
      </c>
      <c r="AL412" s="460" t="str">
        <f t="shared" ca="1" si="90"/>
        <v/>
      </c>
      <c r="AM412" s="460" t="str">
        <f t="shared" ca="1" si="90"/>
        <v/>
      </c>
      <c r="AN412" s="461" t="str">
        <f t="shared" ca="1" si="90"/>
        <v/>
      </c>
      <c r="AO412" s="474" t="str">
        <f t="shared" ca="1" si="90"/>
        <v/>
      </c>
      <c r="AP412" s="475" t="str">
        <f t="shared" ca="1" si="90"/>
        <v/>
      </c>
      <c r="AQ412" s="479" t="str">
        <f t="array" aca="1" ref="AQ412" ca="1">IF(ROW()-5&lt;=COUNTIF(科目编号,$AR$2),SMALL(IF(科目编号=$AR$2,ROW(科目编号),""),ROW()-5),"")</f>
        <v/>
      </c>
      <c r="AR412" s="480" t="str">
        <f ca="1">IF($BG$2=0,"",IF(AR411="本月合计","本年累计",IF(OR(ROW()=$AU$3,ROW()=$AV$3,ROW()=$AW$3,ROW()=$AX$3,ROW()=$AY$3,ROW()=$AZ$3,ROW()=$BA$3,ROW()=$BB$3,ROW()=$BC$3,ROW()=$BD$3,ROW()=$BE$3,ROW()=$BF$3),"本月合计",IF(ROW()&lt;7,$AQ$6,OFFSET($AQ$6,COUNT($AR$6:AR411),0)))))</f>
        <v/>
      </c>
    </row>
    <row r="413" spans="1:44">
      <c r="A413" s="469" t="str">
        <f ca="1">IFERROR(INDEX(凭证录入!A:A,$AR413),"")</f>
        <v/>
      </c>
      <c r="B413" s="469" t="str">
        <f ca="1">IFERROR(INDEX(凭证录入!B:B,$AR413),"")</f>
        <v/>
      </c>
      <c r="C413" s="470" t="str">
        <f ca="1">IFERROR(INDEX(凭证录入!G:G,$AR413),"")</f>
        <v/>
      </c>
      <c r="D413" s="471" t="str">
        <f ca="1">IFERROR(INDEX(凭证录入!F:F,$AR413),"")</f>
        <v/>
      </c>
      <c r="E413" s="472" t="str">
        <f ca="1">IFERROR(INDEX(凭证录入!H:H,$AR413),$AR413)</f>
        <v/>
      </c>
      <c r="F413" s="473">
        <f ca="1">IF(OR($BG$2=0,$AR413=""),,IF($AR413="本月合计",IF(ROW()=$BG$3,SUM($F$6:$F412),SUM(INDIRECT("$F$"&amp;OFFSET($AU$3,,MATCH(ROW(),$AU$3:$BF$3,)-2)+2&amp;":$E"&amp;ROW()-1))),IF($AR413="本年累计",SUMIF($AR$6:$AR413,"本月合计",$F$6:$F412),INDEX(凭证录入!K:K,$AR413))))</f>
        <v>0</v>
      </c>
      <c r="G413" s="459" t="str">
        <f t="shared" ca="1" si="91"/>
        <v/>
      </c>
      <c r="H413" s="460" t="str">
        <f t="shared" ca="1" si="91"/>
        <v/>
      </c>
      <c r="I413" s="460" t="str">
        <f t="shared" ca="1" si="91"/>
        <v/>
      </c>
      <c r="J413" s="460" t="str">
        <f t="shared" ca="1" si="91"/>
        <v/>
      </c>
      <c r="K413" s="460" t="str">
        <f t="shared" ca="1" si="91"/>
        <v/>
      </c>
      <c r="L413" s="460" t="str">
        <f t="shared" ca="1" si="91"/>
        <v/>
      </c>
      <c r="M413" s="460" t="str">
        <f t="shared" ca="1" si="91"/>
        <v/>
      </c>
      <c r="N413" s="460" t="str">
        <f t="shared" ca="1" si="91"/>
        <v/>
      </c>
      <c r="O413" s="461" t="str">
        <f t="shared" ca="1" si="91"/>
        <v/>
      </c>
      <c r="P413" s="474" t="str">
        <f t="shared" ca="1" si="91"/>
        <v/>
      </c>
      <c r="Q413" s="475" t="str">
        <f t="shared" ca="1" si="91"/>
        <v/>
      </c>
      <c r="R413" s="476">
        <f ca="1">IF(OR($BG$2=0,$AR413=""),,IF($AR413="本月合计",IF(ROW()=$BG$3,SUM($R$6:$R412),SUM(INDIRECT("$R$"&amp;OFFSET($AU$3,,MATCH(ROW(),$AU$3:$BF$3,)-2)+2&amp;":$R"&amp;ROW()-1))),IF($AR413="本年累计",SUMIF($AR$6:$AR413,"本月合计",$R$6:$R412),INDEX(凭证录入!L:L,$AR413))))</f>
        <v>0</v>
      </c>
      <c r="S413" s="459" t="str">
        <f t="shared" ca="1" si="92"/>
        <v/>
      </c>
      <c r="T413" s="460" t="str">
        <f t="shared" ca="1" si="92"/>
        <v/>
      </c>
      <c r="U413" s="460" t="str">
        <f t="shared" ca="1" si="92"/>
        <v/>
      </c>
      <c r="V413" s="460" t="str">
        <f t="shared" ca="1" si="92"/>
        <v/>
      </c>
      <c r="W413" s="460" t="str">
        <f t="shared" ca="1" si="92"/>
        <v/>
      </c>
      <c r="X413" s="460" t="str">
        <f t="shared" ca="1" si="92"/>
        <v/>
      </c>
      <c r="Y413" s="460" t="str">
        <f t="shared" ca="1" si="92"/>
        <v/>
      </c>
      <c r="Z413" s="460" t="str">
        <f t="shared" ca="1" si="92"/>
        <v/>
      </c>
      <c r="AA413" s="461" t="str">
        <f t="shared" ca="1" si="92"/>
        <v/>
      </c>
      <c r="AB413" s="474" t="str">
        <f t="shared" ca="1" si="92"/>
        <v/>
      </c>
      <c r="AC413" s="475" t="str">
        <f t="shared" ca="1" si="92"/>
        <v/>
      </c>
      <c r="AD413" s="477" t="str">
        <f t="shared" ca="1" si="88"/>
        <v/>
      </c>
      <c r="AE413" s="478">
        <f t="shared" ca="1" si="89"/>
        <v>0</v>
      </c>
      <c r="AF413" s="459" t="str">
        <f t="shared" ca="1" si="90"/>
        <v/>
      </c>
      <c r="AG413" s="460" t="str">
        <f t="shared" ca="1" si="90"/>
        <v/>
      </c>
      <c r="AH413" s="460" t="str">
        <f t="shared" ca="1" si="90"/>
        <v/>
      </c>
      <c r="AI413" s="460" t="str">
        <f t="shared" ca="1" si="90"/>
        <v/>
      </c>
      <c r="AJ413" s="460" t="str">
        <f t="shared" ca="1" si="90"/>
        <v/>
      </c>
      <c r="AK413" s="460" t="str">
        <f t="shared" ca="1" si="90"/>
        <v/>
      </c>
      <c r="AL413" s="460" t="str">
        <f t="shared" ca="1" si="90"/>
        <v/>
      </c>
      <c r="AM413" s="460" t="str">
        <f t="shared" ca="1" si="90"/>
        <v/>
      </c>
      <c r="AN413" s="461" t="str">
        <f t="shared" ca="1" si="90"/>
        <v/>
      </c>
      <c r="AO413" s="474" t="str">
        <f t="shared" ca="1" si="90"/>
        <v/>
      </c>
      <c r="AP413" s="475" t="str">
        <f t="shared" ca="1" si="90"/>
        <v/>
      </c>
      <c r="AQ413" s="479" t="str">
        <f t="array" aca="1" ref="AQ413" ca="1">IF(ROW()-5&lt;=COUNTIF(科目编号,$AR$2),SMALL(IF(科目编号=$AR$2,ROW(科目编号),""),ROW()-5),"")</f>
        <v/>
      </c>
      <c r="AR413" s="480" t="str">
        <f ca="1">IF($BG$2=0,"",IF(AR412="本月合计","本年累计",IF(OR(ROW()=$AU$3,ROW()=$AV$3,ROW()=$AW$3,ROW()=$AX$3,ROW()=$AY$3,ROW()=$AZ$3,ROW()=$BA$3,ROW()=$BB$3,ROW()=$BC$3,ROW()=$BD$3,ROW()=$BE$3,ROW()=$BF$3),"本月合计",IF(ROW()&lt;7,$AQ$6,OFFSET($AQ$6,COUNT($AR$6:AR412),0)))))</f>
        <v/>
      </c>
    </row>
    <row r="414" spans="1:44">
      <c r="A414" s="469" t="str">
        <f ca="1">IFERROR(INDEX(凭证录入!A:A,$AR414),"")</f>
        <v/>
      </c>
      <c r="B414" s="469" t="str">
        <f ca="1">IFERROR(INDEX(凭证录入!B:B,$AR414),"")</f>
        <v/>
      </c>
      <c r="C414" s="470" t="str">
        <f ca="1">IFERROR(INDEX(凭证录入!G:G,$AR414),"")</f>
        <v/>
      </c>
      <c r="D414" s="471" t="str">
        <f ca="1">IFERROR(INDEX(凭证录入!F:F,$AR414),"")</f>
        <v/>
      </c>
      <c r="E414" s="472" t="str">
        <f ca="1">IFERROR(INDEX(凭证录入!H:H,$AR414),$AR414)</f>
        <v/>
      </c>
      <c r="F414" s="473">
        <f ca="1">IF(OR($BG$2=0,$AR414=""),,IF($AR414="本月合计",IF(ROW()=$BG$3,SUM($F$6:$F413),SUM(INDIRECT("$F$"&amp;OFFSET($AU$3,,MATCH(ROW(),$AU$3:$BF$3,)-2)+2&amp;":$E"&amp;ROW()-1))),IF($AR414="本年累计",SUMIF($AR$6:$AR414,"本月合计",$F$6:$F413),INDEX(凭证录入!K:K,$AR414))))</f>
        <v>0</v>
      </c>
      <c r="G414" s="459" t="str">
        <f t="shared" ca="1" si="91"/>
        <v/>
      </c>
      <c r="H414" s="460" t="str">
        <f t="shared" ca="1" si="91"/>
        <v/>
      </c>
      <c r="I414" s="460" t="str">
        <f t="shared" ca="1" si="91"/>
        <v/>
      </c>
      <c r="J414" s="460" t="str">
        <f t="shared" ca="1" si="91"/>
        <v/>
      </c>
      <c r="K414" s="460" t="str">
        <f t="shared" ca="1" si="91"/>
        <v/>
      </c>
      <c r="L414" s="460" t="str">
        <f t="shared" ca="1" si="91"/>
        <v/>
      </c>
      <c r="M414" s="460" t="str">
        <f t="shared" ca="1" si="91"/>
        <v/>
      </c>
      <c r="N414" s="460" t="str">
        <f t="shared" ca="1" si="91"/>
        <v/>
      </c>
      <c r="O414" s="461" t="str">
        <f t="shared" ca="1" si="91"/>
        <v/>
      </c>
      <c r="P414" s="474" t="str">
        <f t="shared" ca="1" si="91"/>
        <v/>
      </c>
      <c r="Q414" s="475" t="str">
        <f t="shared" ca="1" si="91"/>
        <v/>
      </c>
      <c r="R414" s="476">
        <f ca="1">IF(OR($BG$2=0,$AR414=""),,IF($AR414="本月合计",IF(ROW()=$BG$3,SUM($R$6:$R413),SUM(INDIRECT("$R$"&amp;OFFSET($AU$3,,MATCH(ROW(),$AU$3:$BF$3,)-2)+2&amp;":$R"&amp;ROW()-1))),IF($AR414="本年累计",SUMIF($AR$6:$AR414,"本月合计",$R$6:$R413),INDEX(凭证录入!L:L,$AR414))))</f>
        <v>0</v>
      </c>
      <c r="S414" s="459" t="str">
        <f t="shared" ca="1" si="92"/>
        <v/>
      </c>
      <c r="T414" s="460" t="str">
        <f t="shared" ca="1" si="92"/>
        <v/>
      </c>
      <c r="U414" s="460" t="str">
        <f t="shared" ca="1" si="92"/>
        <v/>
      </c>
      <c r="V414" s="460" t="str">
        <f t="shared" ca="1" si="92"/>
        <v/>
      </c>
      <c r="W414" s="460" t="str">
        <f t="shared" ca="1" si="92"/>
        <v/>
      </c>
      <c r="X414" s="460" t="str">
        <f t="shared" ca="1" si="92"/>
        <v/>
      </c>
      <c r="Y414" s="460" t="str">
        <f t="shared" ca="1" si="92"/>
        <v/>
      </c>
      <c r="Z414" s="460" t="str">
        <f t="shared" ca="1" si="92"/>
        <v/>
      </c>
      <c r="AA414" s="461" t="str">
        <f t="shared" ca="1" si="92"/>
        <v/>
      </c>
      <c r="AB414" s="474" t="str">
        <f t="shared" ca="1" si="92"/>
        <v/>
      </c>
      <c r="AC414" s="475" t="str">
        <f t="shared" ca="1" si="92"/>
        <v/>
      </c>
      <c r="AD414" s="477" t="str">
        <f t="shared" ca="1" si="88"/>
        <v/>
      </c>
      <c r="AE414" s="478">
        <f t="shared" ca="1" si="89"/>
        <v>0</v>
      </c>
      <c r="AF414" s="459" t="str">
        <f t="shared" ca="1" si="90"/>
        <v/>
      </c>
      <c r="AG414" s="460" t="str">
        <f t="shared" ca="1" si="90"/>
        <v/>
      </c>
      <c r="AH414" s="460" t="str">
        <f t="shared" ca="1" si="90"/>
        <v/>
      </c>
      <c r="AI414" s="460" t="str">
        <f t="shared" ca="1" si="90"/>
        <v/>
      </c>
      <c r="AJ414" s="460" t="str">
        <f t="shared" ca="1" si="90"/>
        <v/>
      </c>
      <c r="AK414" s="460" t="str">
        <f t="shared" ca="1" si="90"/>
        <v/>
      </c>
      <c r="AL414" s="460" t="str">
        <f t="shared" ca="1" si="90"/>
        <v/>
      </c>
      <c r="AM414" s="460" t="str">
        <f t="shared" ca="1" si="90"/>
        <v/>
      </c>
      <c r="AN414" s="461" t="str">
        <f t="shared" ca="1" si="90"/>
        <v/>
      </c>
      <c r="AO414" s="474" t="str">
        <f t="shared" ca="1" si="90"/>
        <v/>
      </c>
      <c r="AP414" s="475" t="str">
        <f t="shared" ca="1" si="90"/>
        <v/>
      </c>
      <c r="AQ414" s="479" t="str">
        <f t="array" aca="1" ref="AQ414" ca="1">IF(ROW()-5&lt;=COUNTIF(科目编号,$AR$2),SMALL(IF(科目编号=$AR$2,ROW(科目编号),""),ROW()-5),"")</f>
        <v/>
      </c>
      <c r="AR414" s="480" t="str">
        <f ca="1">IF($BG$2=0,"",IF(AR413="本月合计","本年累计",IF(OR(ROW()=$AU$3,ROW()=$AV$3,ROW()=$AW$3,ROW()=$AX$3,ROW()=$AY$3,ROW()=$AZ$3,ROW()=$BA$3,ROW()=$BB$3,ROW()=$BC$3,ROW()=$BD$3,ROW()=$BE$3,ROW()=$BF$3),"本月合计",IF(ROW()&lt;7,$AQ$6,OFFSET($AQ$6,COUNT($AR$6:AR413),0)))))</f>
        <v/>
      </c>
    </row>
    <row r="415" spans="1:44">
      <c r="A415" s="469" t="str">
        <f ca="1">IFERROR(INDEX(凭证录入!A:A,$AR415),"")</f>
        <v/>
      </c>
      <c r="B415" s="469" t="str">
        <f ca="1">IFERROR(INDEX(凭证录入!B:B,$AR415),"")</f>
        <v/>
      </c>
      <c r="C415" s="470" t="str">
        <f ca="1">IFERROR(INDEX(凭证录入!G:G,$AR415),"")</f>
        <v/>
      </c>
      <c r="D415" s="471" t="str">
        <f ca="1">IFERROR(INDEX(凭证录入!F:F,$AR415),"")</f>
        <v/>
      </c>
      <c r="E415" s="472" t="str">
        <f ca="1">IFERROR(INDEX(凭证录入!H:H,$AR415),$AR415)</f>
        <v/>
      </c>
      <c r="F415" s="473">
        <f ca="1">IF(OR($BG$2=0,$AR415=""),,IF($AR415="本月合计",IF(ROW()=$BG$3,SUM($F$6:$F414),SUM(INDIRECT("$F$"&amp;OFFSET($AU$3,,MATCH(ROW(),$AU$3:$BF$3,)-2)+2&amp;":$E"&amp;ROW()-1))),IF($AR415="本年累计",SUMIF($AR$6:$AR415,"本月合计",$F$6:$F414),INDEX(凭证录入!K:K,$AR415))))</f>
        <v>0</v>
      </c>
      <c r="G415" s="459" t="str">
        <f t="shared" ca="1" si="91"/>
        <v/>
      </c>
      <c r="H415" s="460" t="str">
        <f t="shared" ca="1" si="91"/>
        <v/>
      </c>
      <c r="I415" s="460" t="str">
        <f t="shared" ca="1" si="91"/>
        <v/>
      </c>
      <c r="J415" s="460" t="str">
        <f t="shared" ca="1" si="91"/>
        <v/>
      </c>
      <c r="K415" s="460" t="str">
        <f t="shared" ca="1" si="91"/>
        <v/>
      </c>
      <c r="L415" s="460" t="str">
        <f t="shared" ca="1" si="91"/>
        <v/>
      </c>
      <c r="M415" s="460" t="str">
        <f t="shared" ca="1" si="91"/>
        <v/>
      </c>
      <c r="N415" s="460" t="str">
        <f t="shared" ca="1" si="91"/>
        <v/>
      </c>
      <c r="O415" s="461" t="str">
        <f t="shared" ca="1" si="91"/>
        <v/>
      </c>
      <c r="P415" s="474" t="str">
        <f t="shared" ca="1" si="91"/>
        <v/>
      </c>
      <c r="Q415" s="475" t="str">
        <f t="shared" ca="1" si="91"/>
        <v/>
      </c>
      <c r="R415" s="476">
        <f ca="1">IF(OR($BG$2=0,$AR415=""),,IF($AR415="本月合计",IF(ROW()=$BG$3,SUM($R$6:$R414),SUM(INDIRECT("$R$"&amp;OFFSET($AU$3,,MATCH(ROW(),$AU$3:$BF$3,)-2)+2&amp;":$R"&amp;ROW()-1))),IF($AR415="本年累计",SUMIF($AR$6:$AR415,"本月合计",$R$6:$R414),INDEX(凭证录入!L:L,$AR415))))</f>
        <v>0</v>
      </c>
      <c r="S415" s="459" t="str">
        <f t="shared" ca="1" si="92"/>
        <v/>
      </c>
      <c r="T415" s="460" t="str">
        <f t="shared" ca="1" si="92"/>
        <v/>
      </c>
      <c r="U415" s="460" t="str">
        <f t="shared" ca="1" si="92"/>
        <v/>
      </c>
      <c r="V415" s="460" t="str">
        <f t="shared" ca="1" si="92"/>
        <v/>
      </c>
      <c r="W415" s="460" t="str">
        <f t="shared" ca="1" si="92"/>
        <v/>
      </c>
      <c r="X415" s="460" t="str">
        <f t="shared" ca="1" si="92"/>
        <v/>
      </c>
      <c r="Y415" s="460" t="str">
        <f t="shared" ca="1" si="92"/>
        <v/>
      </c>
      <c r="Z415" s="460" t="str">
        <f t="shared" ca="1" si="92"/>
        <v/>
      </c>
      <c r="AA415" s="461" t="str">
        <f t="shared" ca="1" si="92"/>
        <v/>
      </c>
      <c r="AB415" s="474" t="str">
        <f t="shared" ca="1" si="92"/>
        <v/>
      </c>
      <c r="AC415" s="475" t="str">
        <f t="shared" ca="1" si="92"/>
        <v/>
      </c>
      <c r="AD415" s="477" t="str">
        <f t="shared" ca="1" si="88"/>
        <v/>
      </c>
      <c r="AE415" s="478">
        <f t="shared" ca="1" si="89"/>
        <v>0</v>
      </c>
      <c r="AF415" s="459" t="str">
        <f t="shared" ca="1" si="90"/>
        <v/>
      </c>
      <c r="AG415" s="460" t="str">
        <f t="shared" ca="1" si="90"/>
        <v/>
      </c>
      <c r="AH415" s="460" t="str">
        <f t="shared" ca="1" si="90"/>
        <v/>
      </c>
      <c r="AI415" s="460" t="str">
        <f t="shared" ca="1" si="90"/>
        <v/>
      </c>
      <c r="AJ415" s="460" t="str">
        <f t="shared" ca="1" si="90"/>
        <v/>
      </c>
      <c r="AK415" s="460" t="str">
        <f t="shared" ca="1" si="90"/>
        <v/>
      </c>
      <c r="AL415" s="460" t="str">
        <f t="shared" ca="1" si="90"/>
        <v/>
      </c>
      <c r="AM415" s="460" t="str">
        <f t="shared" ca="1" si="90"/>
        <v/>
      </c>
      <c r="AN415" s="461" t="str">
        <f t="shared" ca="1" si="90"/>
        <v/>
      </c>
      <c r="AO415" s="474" t="str">
        <f t="shared" ca="1" si="90"/>
        <v/>
      </c>
      <c r="AP415" s="475" t="str">
        <f t="shared" ca="1" si="90"/>
        <v/>
      </c>
      <c r="AQ415" s="479" t="str">
        <f t="array" aca="1" ref="AQ415" ca="1">IF(ROW()-5&lt;=COUNTIF(科目编号,$AR$2),SMALL(IF(科目编号=$AR$2,ROW(科目编号),""),ROW()-5),"")</f>
        <v/>
      </c>
      <c r="AR415" s="480" t="str">
        <f ca="1">IF($BG$2=0,"",IF(AR414="本月合计","本年累计",IF(OR(ROW()=$AU$3,ROW()=$AV$3,ROW()=$AW$3,ROW()=$AX$3,ROW()=$AY$3,ROW()=$AZ$3,ROW()=$BA$3,ROW()=$BB$3,ROW()=$BC$3,ROW()=$BD$3,ROW()=$BE$3,ROW()=$BF$3),"本月合计",IF(ROW()&lt;7,$AQ$6,OFFSET($AQ$6,COUNT($AR$6:AR414),0)))))</f>
        <v/>
      </c>
    </row>
    <row r="416" spans="1:44">
      <c r="A416" s="469" t="str">
        <f ca="1">IFERROR(INDEX(凭证录入!A:A,$AR416),"")</f>
        <v/>
      </c>
      <c r="B416" s="469" t="str">
        <f ca="1">IFERROR(INDEX(凭证录入!B:B,$AR416),"")</f>
        <v/>
      </c>
      <c r="C416" s="470" t="str">
        <f ca="1">IFERROR(INDEX(凭证录入!G:G,$AR416),"")</f>
        <v/>
      </c>
      <c r="D416" s="471" t="str">
        <f ca="1">IFERROR(INDEX(凭证录入!F:F,$AR416),"")</f>
        <v/>
      </c>
      <c r="E416" s="472" t="str">
        <f ca="1">IFERROR(INDEX(凭证录入!H:H,$AR416),$AR416)</f>
        <v/>
      </c>
      <c r="F416" s="473">
        <f ca="1">IF(OR($BG$2=0,$AR416=""),,IF($AR416="本月合计",IF(ROW()=$BG$3,SUM($F$6:$F415),SUM(INDIRECT("$F$"&amp;OFFSET($AU$3,,MATCH(ROW(),$AU$3:$BF$3,)-2)+2&amp;":$E"&amp;ROW()-1))),IF($AR416="本年累计",SUMIF($AR$6:$AR416,"本月合计",$F$6:$F415),INDEX(凭证录入!K:K,$AR416))))</f>
        <v>0</v>
      </c>
      <c r="G416" s="459" t="str">
        <f t="shared" ca="1" si="91"/>
        <v/>
      </c>
      <c r="H416" s="460" t="str">
        <f t="shared" ca="1" si="91"/>
        <v/>
      </c>
      <c r="I416" s="460" t="str">
        <f t="shared" ca="1" si="91"/>
        <v/>
      </c>
      <c r="J416" s="460" t="str">
        <f t="shared" ca="1" si="91"/>
        <v/>
      </c>
      <c r="K416" s="460" t="str">
        <f t="shared" ca="1" si="91"/>
        <v/>
      </c>
      <c r="L416" s="460" t="str">
        <f t="shared" ca="1" si="91"/>
        <v/>
      </c>
      <c r="M416" s="460" t="str">
        <f t="shared" ca="1" si="91"/>
        <v/>
      </c>
      <c r="N416" s="460" t="str">
        <f t="shared" ca="1" si="91"/>
        <v/>
      </c>
      <c r="O416" s="461" t="str">
        <f t="shared" ca="1" si="91"/>
        <v/>
      </c>
      <c r="P416" s="474" t="str">
        <f t="shared" ca="1" si="91"/>
        <v/>
      </c>
      <c r="Q416" s="475" t="str">
        <f t="shared" ca="1" si="91"/>
        <v/>
      </c>
      <c r="R416" s="476">
        <f ca="1">IF(OR($BG$2=0,$AR416=""),,IF($AR416="本月合计",IF(ROW()=$BG$3,SUM($R$6:$R415),SUM(INDIRECT("$R$"&amp;OFFSET($AU$3,,MATCH(ROW(),$AU$3:$BF$3,)-2)+2&amp;":$R"&amp;ROW()-1))),IF($AR416="本年累计",SUMIF($AR$6:$AR416,"本月合计",$R$6:$R415),INDEX(凭证录入!L:L,$AR416))))</f>
        <v>0</v>
      </c>
      <c r="S416" s="459" t="str">
        <f t="shared" ca="1" si="92"/>
        <v/>
      </c>
      <c r="T416" s="460" t="str">
        <f t="shared" ca="1" si="92"/>
        <v/>
      </c>
      <c r="U416" s="460" t="str">
        <f t="shared" ca="1" si="92"/>
        <v/>
      </c>
      <c r="V416" s="460" t="str">
        <f t="shared" ca="1" si="92"/>
        <v/>
      </c>
      <c r="W416" s="460" t="str">
        <f t="shared" ca="1" si="92"/>
        <v/>
      </c>
      <c r="X416" s="460" t="str">
        <f t="shared" ca="1" si="92"/>
        <v/>
      </c>
      <c r="Y416" s="460" t="str">
        <f t="shared" ca="1" si="92"/>
        <v/>
      </c>
      <c r="Z416" s="460" t="str">
        <f t="shared" ca="1" si="92"/>
        <v/>
      </c>
      <c r="AA416" s="461" t="str">
        <f t="shared" ca="1" si="92"/>
        <v/>
      </c>
      <c r="AB416" s="474" t="str">
        <f t="shared" ca="1" si="92"/>
        <v/>
      </c>
      <c r="AC416" s="475" t="str">
        <f t="shared" ca="1" si="92"/>
        <v/>
      </c>
      <c r="AD416" s="477" t="str">
        <f t="shared" ca="1" si="88"/>
        <v/>
      </c>
      <c r="AE416" s="478">
        <f t="shared" ca="1" si="89"/>
        <v>0</v>
      </c>
      <c r="AF416" s="459" t="str">
        <f t="shared" ca="1" si="90"/>
        <v/>
      </c>
      <c r="AG416" s="460" t="str">
        <f t="shared" ca="1" si="90"/>
        <v/>
      </c>
      <c r="AH416" s="460" t="str">
        <f t="shared" ca="1" si="90"/>
        <v/>
      </c>
      <c r="AI416" s="460" t="str">
        <f t="shared" ca="1" si="90"/>
        <v/>
      </c>
      <c r="AJ416" s="460" t="str">
        <f t="shared" ca="1" si="90"/>
        <v/>
      </c>
      <c r="AK416" s="460" t="str">
        <f t="shared" ca="1" si="90"/>
        <v/>
      </c>
      <c r="AL416" s="460" t="str">
        <f t="shared" ca="1" si="90"/>
        <v/>
      </c>
      <c r="AM416" s="460" t="str">
        <f t="shared" ca="1" si="90"/>
        <v/>
      </c>
      <c r="AN416" s="461" t="str">
        <f t="shared" ca="1" si="90"/>
        <v/>
      </c>
      <c r="AO416" s="474" t="str">
        <f t="shared" ca="1" si="90"/>
        <v/>
      </c>
      <c r="AP416" s="475" t="str">
        <f t="shared" ca="1" si="90"/>
        <v/>
      </c>
      <c r="AQ416" s="479" t="str">
        <f t="array" aca="1" ref="AQ416" ca="1">IF(ROW()-5&lt;=COUNTIF(科目编号,$AR$2),SMALL(IF(科目编号=$AR$2,ROW(科目编号),""),ROW()-5),"")</f>
        <v/>
      </c>
      <c r="AR416" s="480" t="str">
        <f ca="1">IF($BG$2=0,"",IF(AR415="本月合计","本年累计",IF(OR(ROW()=$AU$3,ROW()=$AV$3,ROW()=$AW$3,ROW()=$AX$3,ROW()=$AY$3,ROW()=$AZ$3,ROW()=$BA$3,ROW()=$BB$3,ROW()=$BC$3,ROW()=$BD$3,ROW()=$BE$3,ROW()=$BF$3),"本月合计",IF(ROW()&lt;7,$AQ$6,OFFSET($AQ$6,COUNT($AR$6:AR415),0)))))</f>
        <v/>
      </c>
    </row>
    <row r="417" spans="1:44">
      <c r="A417" s="469" t="str">
        <f ca="1">IFERROR(INDEX(凭证录入!A:A,$AR417),"")</f>
        <v/>
      </c>
      <c r="B417" s="469" t="str">
        <f ca="1">IFERROR(INDEX(凭证录入!B:B,$AR417),"")</f>
        <v/>
      </c>
      <c r="C417" s="470" t="str">
        <f ca="1">IFERROR(INDEX(凭证录入!G:G,$AR417),"")</f>
        <v/>
      </c>
      <c r="D417" s="471" t="str">
        <f ca="1">IFERROR(INDEX(凭证录入!F:F,$AR417),"")</f>
        <v/>
      </c>
      <c r="E417" s="472" t="str">
        <f ca="1">IFERROR(INDEX(凭证录入!H:H,$AR417),$AR417)</f>
        <v/>
      </c>
      <c r="F417" s="473">
        <f ca="1">IF(OR($BG$2=0,$AR417=""),,IF($AR417="本月合计",IF(ROW()=$BG$3,SUM($F$6:$F416),SUM(INDIRECT("$F$"&amp;OFFSET($AU$3,,MATCH(ROW(),$AU$3:$BF$3,)-2)+2&amp;":$E"&amp;ROW()-1))),IF($AR417="本年累计",SUMIF($AR$6:$AR417,"本月合计",$F$6:$F416),INDEX(凭证录入!K:K,$AR417))))</f>
        <v>0</v>
      </c>
      <c r="G417" s="459" t="str">
        <f t="shared" ca="1" si="91"/>
        <v/>
      </c>
      <c r="H417" s="460" t="str">
        <f t="shared" ca="1" si="91"/>
        <v/>
      </c>
      <c r="I417" s="460" t="str">
        <f t="shared" ca="1" si="91"/>
        <v/>
      </c>
      <c r="J417" s="460" t="str">
        <f t="shared" ca="1" si="91"/>
        <v/>
      </c>
      <c r="K417" s="460" t="str">
        <f t="shared" ca="1" si="91"/>
        <v/>
      </c>
      <c r="L417" s="460" t="str">
        <f t="shared" ca="1" si="91"/>
        <v/>
      </c>
      <c r="M417" s="460" t="str">
        <f t="shared" ca="1" si="91"/>
        <v/>
      </c>
      <c r="N417" s="460" t="str">
        <f t="shared" ca="1" si="91"/>
        <v/>
      </c>
      <c r="O417" s="461" t="str">
        <f t="shared" ca="1" si="91"/>
        <v/>
      </c>
      <c r="P417" s="474" t="str">
        <f t="shared" ca="1" si="91"/>
        <v/>
      </c>
      <c r="Q417" s="475" t="str">
        <f t="shared" ca="1" si="91"/>
        <v/>
      </c>
      <c r="R417" s="476">
        <f ca="1">IF(OR($BG$2=0,$AR417=""),,IF($AR417="本月合计",IF(ROW()=$BG$3,SUM($R$6:$R416),SUM(INDIRECT("$R$"&amp;OFFSET($AU$3,,MATCH(ROW(),$AU$3:$BF$3,)-2)+2&amp;":$R"&amp;ROW()-1))),IF($AR417="本年累计",SUMIF($AR$6:$AR417,"本月合计",$R$6:$R416),INDEX(凭证录入!L:L,$AR417))))</f>
        <v>0</v>
      </c>
      <c r="S417" s="459" t="str">
        <f t="shared" ca="1" si="92"/>
        <v/>
      </c>
      <c r="T417" s="460" t="str">
        <f t="shared" ca="1" si="92"/>
        <v/>
      </c>
      <c r="U417" s="460" t="str">
        <f t="shared" ca="1" si="92"/>
        <v/>
      </c>
      <c r="V417" s="460" t="str">
        <f t="shared" ca="1" si="92"/>
        <v/>
      </c>
      <c r="W417" s="460" t="str">
        <f t="shared" ca="1" si="92"/>
        <v/>
      </c>
      <c r="X417" s="460" t="str">
        <f t="shared" ca="1" si="92"/>
        <v/>
      </c>
      <c r="Y417" s="460" t="str">
        <f t="shared" ca="1" si="92"/>
        <v/>
      </c>
      <c r="Z417" s="460" t="str">
        <f t="shared" ca="1" si="92"/>
        <v/>
      </c>
      <c r="AA417" s="461" t="str">
        <f t="shared" ca="1" si="92"/>
        <v/>
      </c>
      <c r="AB417" s="474" t="str">
        <f t="shared" ca="1" si="92"/>
        <v/>
      </c>
      <c r="AC417" s="475" t="str">
        <f t="shared" ca="1" si="92"/>
        <v/>
      </c>
      <c r="AD417" s="477" t="str">
        <f t="shared" ca="1" si="88"/>
        <v/>
      </c>
      <c r="AE417" s="478">
        <f t="shared" ca="1" si="89"/>
        <v>0</v>
      </c>
      <c r="AF417" s="459" t="str">
        <f t="shared" ca="1" si="90"/>
        <v/>
      </c>
      <c r="AG417" s="460" t="str">
        <f t="shared" ca="1" si="90"/>
        <v/>
      </c>
      <c r="AH417" s="460" t="str">
        <f t="shared" ca="1" si="90"/>
        <v/>
      </c>
      <c r="AI417" s="460" t="str">
        <f t="shared" ca="1" si="90"/>
        <v/>
      </c>
      <c r="AJ417" s="460" t="str">
        <f t="shared" ca="1" si="90"/>
        <v/>
      </c>
      <c r="AK417" s="460" t="str">
        <f t="shared" ca="1" si="90"/>
        <v/>
      </c>
      <c r="AL417" s="460" t="str">
        <f t="shared" ca="1" si="90"/>
        <v/>
      </c>
      <c r="AM417" s="460" t="str">
        <f t="shared" ca="1" si="90"/>
        <v/>
      </c>
      <c r="AN417" s="461" t="str">
        <f t="shared" ca="1" si="90"/>
        <v/>
      </c>
      <c r="AO417" s="474" t="str">
        <f t="shared" ca="1" si="90"/>
        <v/>
      </c>
      <c r="AP417" s="475" t="str">
        <f t="shared" ca="1" si="90"/>
        <v/>
      </c>
      <c r="AQ417" s="479" t="str">
        <f t="array" aca="1" ref="AQ417" ca="1">IF(ROW()-5&lt;=COUNTIF(科目编号,$AR$2),SMALL(IF(科目编号=$AR$2,ROW(科目编号),""),ROW()-5),"")</f>
        <v/>
      </c>
      <c r="AR417" s="480" t="str">
        <f ca="1">IF($BG$2=0,"",IF(AR416="本月合计","本年累计",IF(OR(ROW()=$AU$3,ROW()=$AV$3,ROW()=$AW$3,ROW()=$AX$3,ROW()=$AY$3,ROW()=$AZ$3,ROW()=$BA$3,ROW()=$BB$3,ROW()=$BC$3,ROW()=$BD$3,ROW()=$BE$3,ROW()=$BF$3),"本月合计",IF(ROW()&lt;7,$AQ$6,OFFSET($AQ$6,COUNT($AR$6:AR416),0)))))</f>
        <v/>
      </c>
    </row>
    <row r="418" spans="1:44">
      <c r="A418" s="469" t="str">
        <f ca="1">IFERROR(INDEX(凭证录入!A:A,$AR418),"")</f>
        <v/>
      </c>
      <c r="B418" s="469" t="str">
        <f ca="1">IFERROR(INDEX(凭证录入!B:B,$AR418),"")</f>
        <v/>
      </c>
      <c r="C418" s="470" t="str">
        <f ca="1">IFERROR(INDEX(凭证录入!G:G,$AR418),"")</f>
        <v/>
      </c>
      <c r="D418" s="471" t="str">
        <f ca="1">IFERROR(INDEX(凭证录入!F:F,$AR418),"")</f>
        <v/>
      </c>
      <c r="E418" s="472" t="str">
        <f ca="1">IFERROR(INDEX(凭证录入!H:H,$AR418),$AR418)</f>
        <v/>
      </c>
      <c r="F418" s="473">
        <f ca="1">IF(OR($BG$2=0,$AR418=""),,IF($AR418="本月合计",IF(ROW()=$BG$3,SUM($F$6:$F417),SUM(INDIRECT("$F$"&amp;OFFSET($AU$3,,MATCH(ROW(),$AU$3:$BF$3,)-2)+2&amp;":$E"&amp;ROW()-1))),IF($AR418="本年累计",SUMIF($AR$6:$AR418,"本月合计",$F$6:$F417),INDEX(凭证录入!K:K,$AR418))))</f>
        <v>0</v>
      </c>
      <c r="G418" s="459" t="str">
        <f t="shared" ca="1" si="91"/>
        <v/>
      </c>
      <c r="H418" s="460" t="str">
        <f t="shared" ca="1" si="91"/>
        <v/>
      </c>
      <c r="I418" s="460" t="str">
        <f t="shared" ca="1" si="91"/>
        <v/>
      </c>
      <c r="J418" s="460" t="str">
        <f t="shared" ca="1" si="91"/>
        <v/>
      </c>
      <c r="K418" s="460" t="str">
        <f t="shared" ca="1" si="91"/>
        <v/>
      </c>
      <c r="L418" s="460" t="str">
        <f t="shared" ca="1" si="91"/>
        <v/>
      </c>
      <c r="M418" s="460" t="str">
        <f t="shared" ca="1" si="91"/>
        <v/>
      </c>
      <c r="N418" s="460" t="str">
        <f t="shared" ca="1" si="91"/>
        <v/>
      </c>
      <c r="O418" s="461" t="str">
        <f t="shared" ca="1" si="91"/>
        <v/>
      </c>
      <c r="P418" s="474" t="str">
        <f t="shared" ca="1" si="91"/>
        <v/>
      </c>
      <c r="Q418" s="475" t="str">
        <f t="shared" ca="1" si="91"/>
        <v/>
      </c>
      <c r="R418" s="476">
        <f ca="1">IF(OR($BG$2=0,$AR418=""),,IF($AR418="本月合计",IF(ROW()=$BG$3,SUM($R$6:$R417),SUM(INDIRECT("$R$"&amp;OFFSET($AU$3,,MATCH(ROW(),$AU$3:$BF$3,)-2)+2&amp;":$R"&amp;ROW()-1))),IF($AR418="本年累计",SUMIF($AR$6:$AR418,"本月合计",$R$6:$R417),INDEX(凭证录入!L:L,$AR418))))</f>
        <v>0</v>
      </c>
      <c r="S418" s="459" t="str">
        <f t="shared" ca="1" si="92"/>
        <v/>
      </c>
      <c r="T418" s="460" t="str">
        <f t="shared" ca="1" si="92"/>
        <v/>
      </c>
      <c r="U418" s="460" t="str">
        <f t="shared" ca="1" si="92"/>
        <v/>
      </c>
      <c r="V418" s="460" t="str">
        <f t="shared" ca="1" si="92"/>
        <v/>
      </c>
      <c r="W418" s="460" t="str">
        <f t="shared" ca="1" si="92"/>
        <v/>
      </c>
      <c r="X418" s="460" t="str">
        <f t="shared" ca="1" si="92"/>
        <v/>
      </c>
      <c r="Y418" s="460" t="str">
        <f t="shared" ca="1" si="92"/>
        <v/>
      </c>
      <c r="Z418" s="460" t="str">
        <f t="shared" ca="1" si="92"/>
        <v/>
      </c>
      <c r="AA418" s="461" t="str">
        <f t="shared" ca="1" si="92"/>
        <v/>
      </c>
      <c r="AB418" s="474" t="str">
        <f t="shared" ca="1" si="92"/>
        <v/>
      </c>
      <c r="AC418" s="475" t="str">
        <f t="shared" ca="1" si="92"/>
        <v/>
      </c>
      <c r="AD418" s="477" t="str">
        <f t="shared" ca="1" si="88"/>
        <v/>
      </c>
      <c r="AE418" s="478">
        <f t="shared" ca="1" si="89"/>
        <v>0</v>
      </c>
      <c r="AF418" s="459" t="str">
        <f t="shared" ca="1" si="90"/>
        <v/>
      </c>
      <c r="AG418" s="460" t="str">
        <f t="shared" ca="1" si="90"/>
        <v/>
      </c>
      <c r="AH418" s="460" t="str">
        <f t="shared" ca="1" si="90"/>
        <v/>
      </c>
      <c r="AI418" s="460" t="str">
        <f t="shared" ca="1" si="90"/>
        <v/>
      </c>
      <c r="AJ418" s="460" t="str">
        <f t="shared" ca="1" si="90"/>
        <v/>
      </c>
      <c r="AK418" s="460" t="str">
        <f t="shared" ca="1" si="90"/>
        <v/>
      </c>
      <c r="AL418" s="460" t="str">
        <f t="shared" ca="1" si="90"/>
        <v/>
      </c>
      <c r="AM418" s="460" t="str">
        <f t="shared" ca="1" si="90"/>
        <v/>
      </c>
      <c r="AN418" s="461" t="str">
        <f t="shared" ca="1" si="90"/>
        <v/>
      </c>
      <c r="AO418" s="474" t="str">
        <f t="shared" ca="1" si="90"/>
        <v/>
      </c>
      <c r="AP418" s="475" t="str">
        <f t="shared" ca="1" si="90"/>
        <v/>
      </c>
      <c r="AQ418" s="479" t="str">
        <f t="array" aca="1" ref="AQ418" ca="1">IF(ROW()-5&lt;=COUNTIF(科目编号,$AR$2),SMALL(IF(科目编号=$AR$2,ROW(科目编号),""),ROW()-5),"")</f>
        <v/>
      </c>
      <c r="AR418" s="480" t="str">
        <f ca="1">IF($BG$2=0,"",IF(AR417="本月合计","本年累计",IF(OR(ROW()=$AU$3,ROW()=$AV$3,ROW()=$AW$3,ROW()=$AX$3,ROW()=$AY$3,ROW()=$AZ$3,ROW()=$BA$3,ROW()=$BB$3,ROW()=$BC$3,ROW()=$BD$3,ROW()=$BE$3,ROW()=$BF$3),"本月合计",IF(ROW()&lt;7,$AQ$6,OFFSET($AQ$6,COUNT($AR$6:AR417),0)))))</f>
        <v/>
      </c>
    </row>
    <row r="419" spans="1:44">
      <c r="A419" s="469" t="str">
        <f ca="1">IFERROR(INDEX(凭证录入!A:A,$AR419),"")</f>
        <v/>
      </c>
      <c r="B419" s="469" t="str">
        <f ca="1">IFERROR(INDEX(凭证录入!B:B,$AR419),"")</f>
        <v/>
      </c>
      <c r="C419" s="470" t="str">
        <f ca="1">IFERROR(INDEX(凭证录入!G:G,$AR419),"")</f>
        <v/>
      </c>
      <c r="D419" s="471" t="str">
        <f ca="1">IFERROR(INDEX(凭证录入!F:F,$AR419),"")</f>
        <v/>
      </c>
      <c r="E419" s="472" t="str">
        <f ca="1">IFERROR(INDEX(凭证录入!H:H,$AR419),$AR419)</f>
        <v/>
      </c>
      <c r="F419" s="473">
        <f ca="1">IF(OR($BG$2=0,$AR419=""),,IF($AR419="本月合计",IF(ROW()=$BG$3,SUM($F$6:$F418),SUM(INDIRECT("$F$"&amp;OFFSET($AU$3,,MATCH(ROW(),$AU$3:$BF$3,)-2)+2&amp;":$E"&amp;ROW()-1))),IF($AR419="本年累计",SUMIF($AR$6:$AR419,"本月合计",$F$6:$F418),INDEX(凭证录入!K:K,$AR419))))</f>
        <v>0</v>
      </c>
      <c r="G419" s="459" t="str">
        <f t="shared" ca="1" si="91"/>
        <v/>
      </c>
      <c r="H419" s="460" t="str">
        <f t="shared" ca="1" si="91"/>
        <v/>
      </c>
      <c r="I419" s="460" t="str">
        <f t="shared" ca="1" si="91"/>
        <v/>
      </c>
      <c r="J419" s="460" t="str">
        <f t="shared" ca="1" si="91"/>
        <v/>
      </c>
      <c r="K419" s="460" t="str">
        <f t="shared" ca="1" si="91"/>
        <v/>
      </c>
      <c r="L419" s="460" t="str">
        <f t="shared" ca="1" si="91"/>
        <v/>
      </c>
      <c r="M419" s="460" t="str">
        <f t="shared" ca="1" si="91"/>
        <v/>
      </c>
      <c r="N419" s="460" t="str">
        <f t="shared" ca="1" si="91"/>
        <v/>
      </c>
      <c r="O419" s="461" t="str">
        <f t="shared" ca="1" si="91"/>
        <v/>
      </c>
      <c r="P419" s="474" t="str">
        <f t="shared" ca="1" si="91"/>
        <v/>
      </c>
      <c r="Q419" s="475" t="str">
        <f t="shared" ca="1" si="91"/>
        <v/>
      </c>
      <c r="R419" s="476">
        <f ca="1">IF(OR($BG$2=0,$AR419=""),,IF($AR419="本月合计",IF(ROW()=$BG$3,SUM($R$6:$R418),SUM(INDIRECT("$R$"&amp;OFFSET($AU$3,,MATCH(ROW(),$AU$3:$BF$3,)-2)+2&amp;":$R"&amp;ROW()-1))),IF($AR419="本年累计",SUMIF($AR$6:$AR419,"本月合计",$R$6:$R418),INDEX(凭证录入!L:L,$AR419))))</f>
        <v>0</v>
      </c>
      <c r="S419" s="459" t="str">
        <f t="shared" ca="1" si="92"/>
        <v/>
      </c>
      <c r="T419" s="460" t="str">
        <f t="shared" ca="1" si="92"/>
        <v/>
      </c>
      <c r="U419" s="460" t="str">
        <f t="shared" ca="1" si="92"/>
        <v/>
      </c>
      <c r="V419" s="460" t="str">
        <f t="shared" ca="1" si="92"/>
        <v/>
      </c>
      <c r="W419" s="460" t="str">
        <f t="shared" ca="1" si="92"/>
        <v/>
      </c>
      <c r="X419" s="460" t="str">
        <f t="shared" ca="1" si="92"/>
        <v/>
      </c>
      <c r="Y419" s="460" t="str">
        <f t="shared" ca="1" si="92"/>
        <v/>
      </c>
      <c r="Z419" s="460" t="str">
        <f t="shared" ca="1" si="92"/>
        <v/>
      </c>
      <c r="AA419" s="461" t="str">
        <f t="shared" ca="1" si="92"/>
        <v/>
      </c>
      <c r="AB419" s="474" t="str">
        <f t="shared" ca="1" si="92"/>
        <v/>
      </c>
      <c r="AC419" s="475" t="str">
        <f t="shared" ca="1" si="92"/>
        <v/>
      </c>
      <c r="AD419" s="477" t="str">
        <f t="shared" ca="1" si="88"/>
        <v/>
      </c>
      <c r="AE419" s="478">
        <f t="shared" ca="1" si="89"/>
        <v>0</v>
      </c>
      <c r="AF419" s="459" t="str">
        <f t="shared" ca="1" si="90"/>
        <v/>
      </c>
      <c r="AG419" s="460" t="str">
        <f t="shared" ca="1" si="90"/>
        <v/>
      </c>
      <c r="AH419" s="460" t="str">
        <f t="shared" ca="1" si="90"/>
        <v/>
      </c>
      <c r="AI419" s="460" t="str">
        <f t="shared" ca="1" si="90"/>
        <v/>
      </c>
      <c r="AJ419" s="460" t="str">
        <f t="shared" ca="1" si="90"/>
        <v/>
      </c>
      <c r="AK419" s="460" t="str">
        <f t="shared" ca="1" si="90"/>
        <v/>
      </c>
      <c r="AL419" s="460" t="str">
        <f t="shared" ca="1" si="90"/>
        <v/>
      </c>
      <c r="AM419" s="460" t="str">
        <f t="shared" ca="1" si="90"/>
        <v/>
      </c>
      <c r="AN419" s="461" t="str">
        <f t="shared" ca="1" si="90"/>
        <v/>
      </c>
      <c r="AO419" s="474" t="str">
        <f t="shared" ca="1" si="90"/>
        <v/>
      </c>
      <c r="AP419" s="475" t="str">
        <f t="shared" ca="1" si="90"/>
        <v/>
      </c>
      <c r="AQ419" s="479" t="str">
        <f t="array" aca="1" ref="AQ419" ca="1">IF(ROW()-5&lt;=COUNTIF(科目编号,$AR$2),SMALL(IF(科目编号=$AR$2,ROW(科目编号),""),ROW()-5),"")</f>
        <v/>
      </c>
      <c r="AR419" s="480" t="str">
        <f ca="1">IF($BG$2=0,"",IF(AR418="本月合计","本年累计",IF(OR(ROW()=$AU$3,ROW()=$AV$3,ROW()=$AW$3,ROW()=$AX$3,ROW()=$AY$3,ROW()=$AZ$3,ROW()=$BA$3,ROW()=$BB$3,ROW()=$BC$3,ROW()=$BD$3,ROW()=$BE$3,ROW()=$BF$3),"本月合计",IF(ROW()&lt;7,$AQ$6,OFFSET($AQ$6,COUNT($AR$6:AR418),0)))))</f>
        <v/>
      </c>
    </row>
    <row r="420" spans="1:44">
      <c r="A420" s="469" t="str">
        <f ca="1">IFERROR(INDEX(凭证录入!A:A,$AR420),"")</f>
        <v/>
      </c>
      <c r="B420" s="469" t="str">
        <f ca="1">IFERROR(INDEX(凭证录入!B:B,$AR420),"")</f>
        <v/>
      </c>
      <c r="C420" s="470" t="str">
        <f ca="1">IFERROR(INDEX(凭证录入!G:G,$AR420),"")</f>
        <v/>
      </c>
      <c r="D420" s="471" t="str">
        <f ca="1">IFERROR(INDEX(凭证录入!F:F,$AR420),"")</f>
        <v/>
      </c>
      <c r="E420" s="472" t="str">
        <f ca="1">IFERROR(INDEX(凭证录入!H:H,$AR420),$AR420)</f>
        <v/>
      </c>
      <c r="F420" s="473">
        <f ca="1">IF(OR($BG$2=0,$AR420=""),,IF($AR420="本月合计",IF(ROW()=$BG$3,SUM($F$6:$F419),SUM(INDIRECT("$F$"&amp;OFFSET($AU$3,,MATCH(ROW(),$AU$3:$BF$3,)-2)+2&amp;":$E"&amp;ROW()-1))),IF($AR420="本年累计",SUMIF($AR$6:$AR420,"本月合计",$F$6:$F419),INDEX(凭证录入!K:K,$AR420))))</f>
        <v>0</v>
      </c>
      <c r="G420" s="459" t="str">
        <f t="shared" ca="1" si="91"/>
        <v/>
      </c>
      <c r="H420" s="460" t="str">
        <f t="shared" ca="1" si="91"/>
        <v/>
      </c>
      <c r="I420" s="460" t="str">
        <f t="shared" ca="1" si="91"/>
        <v/>
      </c>
      <c r="J420" s="460" t="str">
        <f t="shared" ca="1" si="91"/>
        <v/>
      </c>
      <c r="K420" s="460" t="str">
        <f t="shared" ca="1" si="91"/>
        <v/>
      </c>
      <c r="L420" s="460" t="str">
        <f t="shared" ca="1" si="91"/>
        <v/>
      </c>
      <c r="M420" s="460" t="str">
        <f t="shared" ca="1" si="91"/>
        <v/>
      </c>
      <c r="N420" s="460" t="str">
        <f t="shared" ca="1" si="91"/>
        <v/>
      </c>
      <c r="O420" s="461" t="str">
        <f t="shared" ca="1" si="91"/>
        <v/>
      </c>
      <c r="P420" s="474" t="str">
        <f t="shared" ca="1" si="91"/>
        <v/>
      </c>
      <c r="Q420" s="475" t="str">
        <f t="shared" ca="1" si="91"/>
        <v/>
      </c>
      <c r="R420" s="476">
        <f ca="1">IF(OR($BG$2=0,$AR420=""),,IF($AR420="本月合计",IF(ROW()=$BG$3,SUM($R$6:$R419),SUM(INDIRECT("$R$"&amp;OFFSET($AU$3,,MATCH(ROW(),$AU$3:$BF$3,)-2)+2&amp;":$R"&amp;ROW()-1))),IF($AR420="本年累计",SUMIF($AR$6:$AR420,"本月合计",$R$6:$R419),INDEX(凭证录入!L:L,$AR420))))</f>
        <v>0</v>
      </c>
      <c r="S420" s="459" t="str">
        <f t="shared" ca="1" si="92"/>
        <v/>
      </c>
      <c r="T420" s="460" t="str">
        <f t="shared" ca="1" si="92"/>
        <v/>
      </c>
      <c r="U420" s="460" t="str">
        <f t="shared" ca="1" si="92"/>
        <v/>
      </c>
      <c r="V420" s="460" t="str">
        <f t="shared" ca="1" si="92"/>
        <v/>
      </c>
      <c r="W420" s="460" t="str">
        <f t="shared" ca="1" si="92"/>
        <v/>
      </c>
      <c r="X420" s="460" t="str">
        <f t="shared" ca="1" si="92"/>
        <v/>
      </c>
      <c r="Y420" s="460" t="str">
        <f t="shared" ca="1" si="92"/>
        <v/>
      </c>
      <c r="Z420" s="460" t="str">
        <f t="shared" ca="1" si="92"/>
        <v/>
      </c>
      <c r="AA420" s="461" t="str">
        <f t="shared" ca="1" si="92"/>
        <v/>
      </c>
      <c r="AB420" s="474" t="str">
        <f t="shared" ca="1" si="92"/>
        <v/>
      </c>
      <c r="AC420" s="475" t="str">
        <f t="shared" ca="1" si="92"/>
        <v/>
      </c>
      <c r="AD420" s="477" t="str">
        <f t="shared" ca="1" si="88"/>
        <v/>
      </c>
      <c r="AE420" s="478">
        <f t="shared" ca="1" si="89"/>
        <v>0</v>
      </c>
      <c r="AF420" s="459" t="str">
        <f t="shared" ca="1" si="90"/>
        <v/>
      </c>
      <c r="AG420" s="460" t="str">
        <f t="shared" ca="1" si="90"/>
        <v/>
      </c>
      <c r="AH420" s="460" t="str">
        <f t="shared" ca="1" si="90"/>
        <v/>
      </c>
      <c r="AI420" s="460" t="str">
        <f t="shared" ca="1" si="90"/>
        <v/>
      </c>
      <c r="AJ420" s="460" t="str">
        <f t="shared" ca="1" si="90"/>
        <v/>
      </c>
      <c r="AK420" s="460" t="str">
        <f t="shared" ca="1" si="90"/>
        <v/>
      </c>
      <c r="AL420" s="460" t="str">
        <f t="shared" ca="1" si="90"/>
        <v/>
      </c>
      <c r="AM420" s="460" t="str">
        <f t="shared" ca="1" si="90"/>
        <v/>
      </c>
      <c r="AN420" s="461" t="str">
        <f t="shared" ca="1" si="90"/>
        <v/>
      </c>
      <c r="AO420" s="474" t="str">
        <f t="shared" ca="1" si="90"/>
        <v/>
      </c>
      <c r="AP420" s="475" t="str">
        <f t="shared" ca="1" si="90"/>
        <v/>
      </c>
      <c r="AQ420" s="479" t="str">
        <f t="array" aca="1" ref="AQ420" ca="1">IF(ROW()-5&lt;=COUNTIF(科目编号,$AR$2),SMALL(IF(科目编号=$AR$2,ROW(科目编号),""),ROW()-5),"")</f>
        <v/>
      </c>
      <c r="AR420" s="480" t="str">
        <f ca="1">IF($BG$2=0,"",IF(AR419="本月合计","本年累计",IF(OR(ROW()=$AU$3,ROW()=$AV$3,ROW()=$AW$3,ROW()=$AX$3,ROW()=$AY$3,ROW()=$AZ$3,ROW()=$BA$3,ROW()=$BB$3,ROW()=$BC$3,ROW()=$BD$3,ROW()=$BE$3,ROW()=$BF$3),"本月合计",IF(ROW()&lt;7,$AQ$6,OFFSET($AQ$6,COUNT($AR$6:AR419),0)))))</f>
        <v/>
      </c>
    </row>
    <row r="421" spans="1:44">
      <c r="A421" s="469" t="str">
        <f ca="1">IFERROR(INDEX(凭证录入!A:A,$AR421),"")</f>
        <v/>
      </c>
      <c r="B421" s="469" t="str">
        <f ca="1">IFERROR(INDEX(凭证录入!B:B,$AR421),"")</f>
        <v/>
      </c>
      <c r="C421" s="470" t="str">
        <f ca="1">IFERROR(INDEX(凭证录入!G:G,$AR421),"")</f>
        <v/>
      </c>
      <c r="D421" s="471" t="str">
        <f ca="1">IFERROR(INDEX(凭证录入!F:F,$AR421),"")</f>
        <v/>
      </c>
      <c r="E421" s="472" t="str">
        <f ca="1">IFERROR(INDEX(凭证录入!H:H,$AR421),$AR421)</f>
        <v/>
      </c>
      <c r="F421" s="473">
        <f ca="1">IF(OR($BG$2=0,$AR421=""),,IF($AR421="本月合计",IF(ROW()=$BG$3,SUM($F$6:$F420),SUM(INDIRECT("$F$"&amp;OFFSET($AU$3,,MATCH(ROW(),$AU$3:$BF$3,)-2)+2&amp;":$E"&amp;ROW()-1))),IF($AR421="本年累计",SUMIF($AR$6:$AR421,"本月合计",$F$6:$F420),INDEX(凭证录入!K:K,$AR421))))</f>
        <v>0</v>
      </c>
      <c r="G421" s="459" t="str">
        <f t="shared" ca="1" si="91"/>
        <v/>
      </c>
      <c r="H421" s="460" t="str">
        <f t="shared" ca="1" si="91"/>
        <v/>
      </c>
      <c r="I421" s="460" t="str">
        <f t="shared" ca="1" si="91"/>
        <v/>
      </c>
      <c r="J421" s="460" t="str">
        <f t="shared" ca="1" si="91"/>
        <v/>
      </c>
      <c r="K421" s="460" t="str">
        <f t="shared" ca="1" si="91"/>
        <v/>
      </c>
      <c r="L421" s="460" t="str">
        <f t="shared" ca="1" si="91"/>
        <v/>
      </c>
      <c r="M421" s="460" t="str">
        <f t="shared" ca="1" si="91"/>
        <v/>
      </c>
      <c r="N421" s="460" t="str">
        <f t="shared" ca="1" si="91"/>
        <v/>
      </c>
      <c r="O421" s="461" t="str">
        <f t="shared" ca="1" si="91"/>
        <v/>
      </c>
      <c r="P421" s="474" t="str">
        <f t="shared" ca="1" si="91"/>
        <v/>
      </c>
      <c r="Q421" s="475" t="str">
        <f t="shared" ca="1" si="91"/>
        <v/>
      </c>
      <c r="R421" s="476">
        <f ca="1">IF(OR($BG$2=0,$AR421=""),,IF($AR421="本月合计",IF(ROW()=$BG$3,SUM($R$6:$R420),SUM(INDIRECT("$R$"&amp;OFFSET($AU$3,,MATCH(ROW(),$AU$3:$BF$3,)-2)+2&amp;":$R"&amp;ROW()-1))),IF($AR421="本年累计",SUMIF($AR$6:$AR421,"本月合计",$R$6:$R420),INDEX(凭证录入!L:L,$AR421))))</f>
        <v>0</v>
      </c>
      <c r="S421" s="459" t="str">
        <f t="shared" ca="1" si="92"/>
        <v/>
      </c>
      <c r="T421" s="460" t="str">
        <f t="shared" ca="1" si="92"/>
        <v/>
      </c>
      <c r="U421" s="460" t="str">
        <f t="shared" ca="1" si="92"/>
        <v/>
      </c>
      <c r="V421" s="460" t="str">
        <f t="shared" ca="1" si="92"/>
        <v/>
      </c>
      <c r="W421" s="460" t="str">
        <f t="shared" ca="1" si="92"/>
        <v/>
      </c>
      <c r="X421" s="460" t="str">
        <f t="shared" ca="1" si="92"/>
        <v/>
      </c>
      <c r="Y421" s="460" t="str">
        <f t="shared" ca="1" si="92"/>
        <v/>
      </c>
      <c r="Z421" s="460" t="str">
        <f t="shared" ca="1" si="92"/>
        <v/>
      </c>
      <c r="AA421" s="461" t="str">
        <f t="shared" ca="1" si="92"/>
        <v/>
      </c>
      <c r="AB421" s="474" t="str">
        <f t="shared" ca="1" si="92"/>
        <v/>
      </c>
      <c r="AC421" s="475" t="str">
        <f t="shared" ca="1" si="92"/>
        <v/>
      </c>
      <c r="AD421" s="477" t="str">
        <f t="shared" ca="1" si="88"/>
        <v/>
      </c>
      <c r="AE421" s="478">
        <f t="shared" ca="1" si="89"/>
        <v>0</v>
      </c>
      <c r="AF421" s="459" t="str">
        <f t="shared" ref="AF421:AP436" ca="1" si="93">LEFT(RIGHT(TEXT($AE421/1%," ￥0; ￥-0;"),43-COLUMN()))</f>
        <v/>
      </c>
      <c r="AG421" s="460" t="str">
        <f t="shared" ca="1" si="93"/>
        <v/>
      </c>
      <c r="AH421" s="460" t="str">
        <f t="shared" ca="1" si="93"/>
        <v/>
      </c>
      <c r="AI421" s="460" t="str">
        <f t="shared" ca="1" si="93"/>
        <v/>
      </c>
      <c r="AJ421" s="460" t="str">
        <f t="shared" ca="1" si="93"/>
        <v/>
      </c>
      <c r="AK421" s="460" t="str">
        <f t="shared" ca="1" si="93"/>
        <v/>
      </c>
      <c r="AL421" s="460" t="str">
        <f t="shared" ca="1" si="93"/>
        <v/>
      </c>
      <c r="AM421" s="460" t="str">
        <f t="shared" ca="1" si="93"/>
        <v/>
      </c>
      <c r="AN421" s="461" t="str">
        <f t="shared" ca="1" si="93"/>
        <v/>
      </c>
      <c r="AO421" s="474" t="str">
        <f t="shared" ca="1" si="93"/>
        <v/>
      </c>
      <c r="AP421" s="475" t="str">
        <f t="shared" ca="1" si="93"/>
        <v/>
      </c>
      <c r="AQ421" s="479" t="str">
        <f t="array" aca="1" ref="AQ421" ca="1">IF(ROW()-5&lt;=COUNTIF(科目编号,$AR$2),SMALL(IF(科目编号=$AR$2,ROW(科目编号),""),ROW()-5),"")</f>
        <v/>
      </c>
      <c r="AR421" s="480" t="str">
        <f ca="1">IF($BG$2=0,"",IF(AR420="本月合计","本年累计",IF(OR(ROW()=$AU$3,ROW()=$AV$3,ROW()=$AW$3,ROW()=$AX$3,ROW()=$AY$3,ROW()=$AZ$3,ROW()=$BA$3,ROW()=$BB$3,ROW()=$BC$3,ROW()=$BD$3,ROW()=$BE$3,ROW()=$BF$3),"本月合计",IF(ROW()&lt;7,$AQ$6,OFFSET($AQ$6,COUNT($AR$6:AR420),0)))))</f>
        <v/>
      </c>
    </row>
    <row r="422" spans="1:44">
      <c r="A422" s="469" t="str">
        <f ca="1">IFERROR(INDEX(凭证录入!A:A,$AR422),"")</f>
        <v/>
      </c>
      <c r="B422" s="469" t="str">
        <f ca="1">IFERROR(INDEX(凭证录入!B:B,$AR422),"")</f>
        <v/>
      </c>
      <c r="C422" s="470" t="str">
        <f ca="1">IFERROR(INDEX(凭证录入!G:G,$AR422),"")</f>
        <v/>
      </c>
      <c r="D422" s="471" t="str">
        <f ca="1">IFERROR(INDEX(凭证录入!F:F,$AR422),"")</f>
        <v/>
      </c>
      <c r="E422" s="472" t="str">
        <f ca="1">IFERROR(INDEX(凭证录入!H:H,$AR422),$AR422)</f>
        <v/>
      </c>
      <c r="F422" s="473">
        <f ca="1">IF(OR($BG$2=0,$AR422=""),,IF($AR422="本月合计",IF(ROW()=$BG$3,SUM($F$6:$F421),SUM(INDIRECT("$F$"&amp;OFFSET($AU$3,,MATCH(ROW(),$AU$3:$BF$3,)-2)+2&amp;":$E"&amp;ROW()-1))),IF($AR422="本年累计",SUMIF($AR$6:$AR422,"本月合计",$F$6:$F421),INDEX(凭证录入!K:K,$AR422))))</f>
        <v>0</v>
      </c>
      <c r="G422" s="459" t="str">
        <f t="shared" ref="G422:Q437" ca="1" si="94">LEFT(RIGHT(TEXT($F422/1%," ￥0; ￥-0;"),18-COLUMN()))</f>
        <v/>
      </c>
      <c r="H422" s="460" t="str">
        <f t="shared" ca="1" si="94"/>
        <v/>
      </c>
      <c r="I422" s="460" t="str">
        <f t="shared" ca="1" si="94"/>
        <v/>
      </c>
      <c r="J422" s="460" t="str">
        <f t="shared" ca="1" si="94"/>
        <v/>
      </c>
      <c r="K422" s="460" t="str">
        <f t="shared" ca="1" si="94"/>
        <v/>
      </c>
      <c r="L422" s="460" t="str">
        <f t="shared" ca="1" si="94"/>
        <v/>
      </c>
      <c r="M422" s="460" t="str">
        <f t="shared" ca="1" si="94"/>
        <v/>
      </c>
      <c r="N422" s="460" t="str">
        <f t="shared" ca="1" si="94"/>
        <v/>
      </c>
      <c r="O422" s="461" t="str">
        <f t="shared" ca="1" si="94"/>
        <v/>
      </c>
      <c r="P422" s="474" t="str">
        <f t="shared" ca="1" si="94"/>
        <v/>
      </c>
      <c r="Q422" s="475" t="str">
        <f t="shared" ca="1" si="94"/>
        <v/>
      </c>
      <c r="R422" s="476">
        <f ca="1">IF(OR($BG$2=0,$AR422=""),,IF($AR422="本月合计",IF(ROW()=$BG$3,SUM($R$6:$R421),SUM(INDIRECT("$R$"&amp;OFFSET($AU$3,,MATCH(ROW(),$AU$3:$BF$3,)-2)+2&amp;":$R"&amp;ROW()-1))),IF($AR422="本年累计",SUMIF($AR$6:$AR422,"本月合计",$R$6:$R421),INDEX(凭证录入!L:L,$AR422))))</f>
        <v>0</v>
      </c>
      <c r="S422" s="459" t="str">
        <f t="shared" ref="S422:AC437" ca="1" si="95">LEFT(RIGHT(TEXT($R422/1%," ￥0; ￥-0;"),30-COLUMN()))</f>
        <v/>
      </c>
      <c r="T422" s="460" t="str">
        <f t="shared" ca="1" si="95"/>
        <v/>
      </c>
      <c r="U422" s="460" t="str">
        <f t="shared" ca="1" si="95"/>
        <v/>
      </c>
      <c r="V422" s="460" t="str">
        <f t="shared" ca="1" si="95"/>
        <v/>
      </c>
      <c r="W422" s="460" t="str">
        <f t="shared" ca="1" si="95"/>
        <v/>
      </c>
      <c r="X422" s="460" t="str">
        <f t="shared" ca="1" si="95"/>
        <v/>
      </c>
      <c r="Y422" s="460" t="str">
        <f t="shared" ca="1" si="95"/>
        <v/>
      </c>
      <c r="Z422" s="460" t="str">
        <f t="shared" ca="1" si="95"/>
        <v/>
      </c>
      <c r="AA422" s="461" t="str">
        <f t="shared" ca="1" si="95"/>
        <v/>
      </c>
      <c r="AB422" s="474" t="str">
        <f t="shared" ca="1" si="95"/>
        <v/>
      </c>
      <c r="AC422" s="475" t="str">
        <f t="shared" ca="1" si="95"/>
        <v/>
      </c>
      <c r="AD422" s="477" t="str">
        <f t="shared" ca="1" si="88"/>
        <v/>
      </c>
      <c r="AE422" s="478">
        <f t="shared" ca="1" si="89"/>
        <v>0</v>
      </c>
      <c r="AF422" s="459" t="str">
        <f t="shared" ca="1" si="93"/>
        <v/>
      </c>
      <c r="AG422" s="460" t="str">
        <f t="shared" ca="1" si="93"/>
        <v/>
      </c>
      <c r="AH422" s="460" t="str">
        <f t="shared" ca="1" si="93"/>
        <v/>
      </c>
      <c r="AI422" s="460" t="str">
        <f t="shared" ca="1" si="93"/>
        <v/>
      </c>
      <c r="AJ422" s="460" t="str">
        <f t="shared" ca="1" si="93"/>
        <v/>
      </c>
      <c r="AK422" s="460" t="str">
        <f t="shared" ca="1" si="93"/>
        <v/>
      </c>
      <c r="AL422" s="460" t="str">
        <f t="shared" ca="1" si="93"/>
        <v/>
      </c>
      <c r="AM422" s="460" t="str">
        <f t="shared" ca="1" si="93"/>
        <v/>
      </c>
      <c r="AN422" s="461" t="str">
        <f t="shared" ca="1" si="93"/>
        <v/>
      </c>
      <c r="AO422" s="474" t="str">
        <f t="shared" ca="1" si="93"/>
        <v/>
      </c>
      <c r="AP422" s="475" t="str">
        <f t="shared" ca="1" si="93"/>
        <v/>
      </c>
      <c r="AQ422" s="479" t="str">
        <f t="array" aca="1" ref="AQ422" ca="1">IF(ROW()-5&lt;=COUNTIF(科目编号,$AR$2),SMALL(IF(科目编号=$AR$2,ROW(科目编号),""),ROW()-5),"")</f>
        <v/>
      </c>
      <c r="AR422" s="480" t="str">
        <f ca="1">IF($BG$2=0,"",IF(AR421="本月合计","本年累计",IF(OR(ROW()=$AU$3,ROW()=$AV$3,ROW()=$AW$3,ROW()=$AX$3,ROW()=$AY$3,ROW()=$AZ$3,ROW()=$BA$3,ROW()=$BB$3,ROW()=$BC$3,ROW()=$BD$3,ROW()=$BE$3,ROW()=$BF$3),"本月合计",IF(ROW()&lt;7,$AQ$6,OFFSET($AQ$6,COUNT($AR$6:AR421),0)))))</f>
        <v/>
      </c>
    </row>
    <row r="423" spans="1:44">
      <c r="A423" s="469" t="str">
        <f ca="1">IFERROR(INDEX(凭证录入!A:A,$AR423),"")</f>
        <v/>
      </c>
      <c r="B423" s="469" t="str">
        <f ca="1">IFERROR(INDEX(凭证录入!B:B,$AR423),"")</f>
        <v/>
      </c>
      <c r="C423" s="470" t="str">
        <f ca="1">IFERROR(INDEX(凭证录入!G:G,$AR423),"")</f>
        <v/>
      </c>
      <c r="D423" s="471" t="str">
        <f ca="1">IFERROR(INDEX(凭证录入!F:F,$AR423),"")</f>
        <v/>
      </c>
      <c r="E423" s="472" t="str">
        <f ca="1">IFERROR(INDEX(凭证录入!H:H,$AR423),$AR423)</f>
        <v/>
      </c>
      <c r="F423" s="473">
        <f ca="1">IF(OR($BG$2=0,$AR423=""),,IF($AR423="本月合计",IF(ROW()=$BG$3,SUM($F$6:$F422),SUM(INDIRECT("$F$"&amp;OFFSET($AU$3,,MATCH(ROW(),$AU$3:$BF$3,)-2)+2&amp;":$E"&amp;ROW()-1))),IF($AR423="本年累计",SUMIF($AR$6:$AR423,"本月合计",$F$6:$F422),INDEX(凭证录入!K:K,$AR423))))</f>
        <v>0</v>
      </c>
      <c r="G423" s="459" t="str">
        <f t="shared" ca="1" si="94"/>
        <v/>
      </c>
      <c r="H423" s="460" t="str">
        <f t="shared" ca="1" si="94"/>
        <v/>
      </c>
      <c r="I423" s="460" t="str">
        <f t="shared" ca="1" si="94"/>
        <v/>
      </c>
      <c r="J423" s="460" t="str">
        <f t="shared" ca="1" si="94"/>
        <v/>
      </c>
      <c r="K423" s="460" t="str">
        <f t="shared" ca="1" si="94"/>
        <v/>
      </c>
      <c r="L423" s="460" t="str">
        <f t="shared" ca="1" si="94"/>
        <v/>
      </c>
      <c r="M423" s="460" t="str">
        <f t="shared" ca="1" si="94"/>
        <v/>
      </c>
      <c r="N423" s="460" t="str">
        <f t="shared" ca="1" si="94"/>
        <v/>
      </c>
      <c r="O423" s="461" t="str">
        <f t="shared" ca="1" si="94"/>
        <v/>
      </c>
      <c r="P423" s="474" t="str">
        <f t="shared" ca="1" si="94"/>
        <v/>
      </c>
      <c r="Q423" s="475" t="str">
        <f t="shared" ca="1" si="94"/>
        <v/>
      </c>
      <c r="R423" s="476">
        <f ca="1">IF(OR($BG$2=0,$AR423=""),,IF($AR423="本月合计",IF(ROW()=$BG$3,SUM($R$6:$R422),SUM(INDIRECT("$R$"&amp;OFFSET($AU$3,,MATCH(ROW(),$AU$3:$BF$3,)-2)+2&amp;":$R"&amp;ROW()-1))),IF($AR423="本年累计",SUMIF($AR$6:$AR423,"本月合计",$R$6:$R422),INDEX(凭证录入!L:L,$AR423))))</f>
        <v>0</v>
      </c>
      <c r="S423" s="459" t="str">
        <f t="shared" ca="1" si="95"/>
        <v/>
      </c>
      <c r="T423" s="460" t="str">
        <f t="shared" ca="1" si="95"/>
        <v/>
      </c>
      <c r="U423" s="460" t="str">
        <f t="shared" ca="1" si="95"/>
        <v/>
      </c>
      <c r="V423" s="460" t="str">
        <f t="shared" ca="1" si="95"/>
        <v/>
      </c>
      <c r="W423" s="460" t="str">
        <f t="shared" ca="1" si="95"/>
        <v/>
      </c>
      <c r="X423" s="460" t="str">
        <f t="shared" ca="1" si="95"/>
        <v/>
      </c>
      <c r="Y423" s="460" t="str">
        <f t="shared" ca="1" si="95"/>
        <v/>
      </c>
      <c r="Z423" s="460" t="str">
        <f t="shared" ca="1" si="95"/>
        <v/>
      </c>
      <c r="AA423" s="461" t="str">
        <f t="shared" ca="1" si="95"/>
        <v/>
      </c>
      <c r="AB423" s="474" t="str">
        <f t="shared" ca="1" si="95"/>
        <v/>
      </c>
      <c r="AC423" s="475" t="str">
        <f t="shared" ca="1" si="95"/>
        <v/>
      </c>
      <c r="AD423" s="477" t="str">
        <f t="shared" ca="1" si="88"/>
        <v/>
      </c>
      <c r="AE423" s="478">
        <f t="shared" ca="1" si="89"/>
        <v>0</v>
      </c>
      <c r="AF423" s="459" t="str">
        <f t="shared" ca="1" si="93"/>
        <v/>
      </c>
      <c r="AG423" s="460" t="str">
        <f t="shared" ca="1" si="93"/>
        <v/>
      </c>
      <c r="AH423" s="460" t="str">
        <f t="shared" ca="1" si="93"/>
        <v/>
      </c>
      <c r="AI423" s="460" t="str">
        <f t="shared" ca="1" si="93"/>
        <v/>
      </c>
      <c r="AJ423" s="460" t="str">
        <f t="shared" ca="1" si="93"/>
        <v/>
      </c>
      <c r="AK423" s="460" t="str">
        <f t="shared" ca="1" si="93"/>
        <v/>
      </c>
      <c r="AL423" s="460" t="str">
        <f t="shared" ca="1" si="93"/>
        <v/>
      </c>
      <c r="AM423" s="460" t="str">
        <f t="shared" ca="1" si="93"/>
        <v/>
      </c>
      <c r="AN423" s="461" t="str">
        <f t="shared" ca="1" si="93"/>
        <v/>
      </c>
      <c r="AO423" s="474" t="str">
        <f t="shared" ca="1" si="93"/>
        <v/>
      </c>
      <c r="AP423" s="475" t="str">
        <f t="shared" ca="1" si="93"/>
        <v/>
      </c>
      <c r="AQ423" s="479" t="str">
        <f t="array" aca="1" ref="AQ423" ca="1">IF(ROW()-5&lt;=COUNTIF(科目编号,$AR$2),SMALL(IF(科目编号=$AR$2,ROW(科目编号),""),ROW()-5),"")</f>
        <v/>
      </c>
      <c r="AR423" s="480" t="str">
        <f ca="1">IF($BG$2=0,"",IF(AR422="本月合计","本年累计",IF(OR(ROW()=$AU$3,ROW()=$AV$3,ROW()=$AW$3,ROW()=$AX$3,ROW()=$AY$3,ROW()=$AZ$3,ROW()=$BA$3,ROW()=$BB$3,ROW()=$BC$3,ROW()=$BD$3,ROW()=$BE$3,ROW()=$BF$3),"本月合计",IF(ROW()&lt;7,$AQ$6,OFFSET($AQ$6,COUNT($AR$6:AR422),0)))))</f>
        <v/>
      </c>
    </row>
    <row r="424" spans="1:44">
      <c r="A424" s="469" t="str">
        <f ca="1">IFERROR(INDEX(凭证录入!A:A,$AR424),"")</f>
        <v/>
      </c>
      <c r="B424" s="469" t="str">
        <f ca="1">IFERROR(INDEX(凭证录入!B:B,$AR424),"")</f>
        <v/>
      </c>
      <c r="C424" s="470" t="str">
        <f ca="1">IFERROR(INDEX(凭证录入!G:G,$AR424),"")</f>
        <v/>
      </c>
      <c r="D424" s="471" t="str">
        <f ca="1">IFERROR(INDEX(凭证录入!F:F,$AR424),"")</f>
        <v/>
      </c>
      <c r="E424" s="472" t="str">
        <f ca="1">IFERROR(INDEX(凭证录入!H:H,$AR424),$AR424)</f>
        <v/>
      </c>
      <c r="F424" s="473">
        <f ca="1">IF(OR($BG$2=0,$AR424=""),,IF($AR424="本月合计",IF(ROW()=$BG$3,SUM($F$6:$F423),SUM(INDIRECT("$F$"&amp;OFFSET($AU$3,,MATCH(ROW(),$AU$3:$BF$3,)-2)+2&amp;":$E"&amp;ROW()-1))),IF($AR424="本年累计",SUMIF($AR$6:$AR424,"本月合计",$F$6:$F423),INDEX(凭证录入!K:K,$AR424))))</f>
        <v>0</v>
      </c>
      <c r="G424" s="459" t="str">
        <f t="shared" ca="1" si="94"/>
        <v/>
      </c>
      <c r="H424" s="460" t="str">
        <f t="shared" ca="1" si="94"/>
        <v/>
      </c>
      <c r="I424" s="460" t="str">
        <f t="shared" ca="1" si="94"/>
        <v/>
      </c>
      <c r="J424" s="460" t="str">
        <f t="shared" ca="1" si="94"/>
        <v/>
      </c>
      <c r="K424" s="460" t="str">
        <f t="shared" ca="1" si="94"/>
        <v/>
      </c>
      <c r="L424" s="460" t="str">
        <f t="shared" ca="1" si="94"/>
        <v/>
      </c>
      <c r="M424" s="460" t="str">
        <f t="shared" ca="1" si="94"/>
        <v/>
      </c>
      <c r="N424" s="460" t="str">
        <f t="shared" ca="1" si="94"/>
        <v/>
      </c>
      <c r="O424" s="461" t="str">
        <f t="shared" ca="1" si="94"/>
        <v/>
      </c>
      <c r="P424" s="474" t="str">
        <f t="shared" ca="1" si="94"/>
        <v/>
      </c>
      <c r="Q424" s="475" t="str">
        <f t="shared" ca="1" si="94"/>
        <v/>
      </c>
      <c r="R424" s="476">
        <f ca="1">IF(OR($BG$2=0,$AR424=""),,IF($AR424="本月合计",IF(ROW()=$BG$3,SUM($R$6:$R423),SUM(INDIRECT("$R$"&amp;OFFSET($AU$3,,MATCH(ROW(),$AU$3:$BF$3,)-2)+2&amp;":$R"&amp;ROW()-1))),IF($AR424="本年累计",SUMIF($AR$6:$AR424,"本月合计",$R$6:$R423),INDEX(凭证录入!L:L,$AR424))))</f>
        <v>0</v>
      </c>
      <c r="S424" s="459" t="str">
        <f t="shared" ca="1" si="95"/>
        <v/>
      </c>
      <c r="T424" s="460" t="str">
        <f t="shared" ca="1" si="95"/>
        <v/>
      </c>
      <c r="U424" s="460" t="str">
        <f t="shared" ca="1" si="95"/>
        <v/>
      </c>
      <c r="V424" s="460" t="str">
        <f t="shared" ca="1" si="95"/>
        <v/>
      </c>
      <c r="W424" s="460" t="str">
        <f t="shared" ca="1" si="95"/>
        <v/>
      </c>
      <c r="X424" s="460" t="str">
        <f t="shared" ca="1" si="95"/>
        <v/>
      </c>
      <c r="Y424" s="460" t="str">
        <f t="shared" ca="1" si="95"/>
        <v/>
      </c>
      <c r="Z424" s="460" t="str">
        <f t="shared" ca="1" si="95"/>
        <v/>
      </c>
      <c r="AA424" s="461" t="str">
        <f t="shared" ca="1" si="95"/>
        <v/>
      </c>
      <c r="AB424" s="474" t="str">
        <f t="shared" ca="1" si="95"/>
        <v/>
      </c>
      <c r="AC424" s="475" t="str">
        <f t="shared" ca="1" si="95"/>
        <v/>
      </c>
      <c r="AD424" s="477" t="str">
        <f t="shared" ca="1" si="88"/>
        <v/>
      </c>
      <c r="AE424" s="478">
        <f t="shared" ca="1" si="89"/>
        <v>0</v>
      </c>
      <c r="AF424" s="459" t="str">
        <f t="shared" ca="1" si="93"/>
        <v/>
      </c>
      <c r="AG424" s="460" t="str">
        <f t="shared" ca="1" si="93"/>
        <v/>
      </c>
      <c r="AH424" s="460" t="str">
        <f t="shared" ca="1" si="93"/>
        <v/>
      </c>
      <c r="AI424" s="460" t="str">
        <f t="shared" ca="1" si="93"/>
        <v/>
      </c>
      <c r="AJ424" s="460" t="str">
        <f t="shared" ca="1" si="93"/>
        <v/>
      </c>
      <c r="AK424" s="460" t="str">
        <f t="shared" ca="1" si="93"/>
        <v/>
      </c>
      <c r="AL424" s="460" t="str">
        <f t="shared" ca="1" si="93"/>
        <v/>
      </c>
      <c r="AM424" s="460" t="str">
        <f t="shared" ca="1" si="93"/>
        <v/>
      </c>
      <c r="AN424" s="461" t="str">
        <f t="shared" ca="1" si="93"/>
        <v/>
      </c>
      <c r="AO424" s="474" t="str">
        <f t="shared" ca="1" si="93"/>
        <v/>
      </c>
      <c r="AP424" s="475" t="str">
        <f t="shared" ca="1" si="93"/>
        <v/>
      </c>
      <c r="AQ424" s="479" t="str">
        <f t="array" aca="1" ref="AQ424" ca="1">IF(ROW()-5&lt;=COUNTIF(科目编号,$AR$2),SMALL(IF(科目编号=$AR$2,ROW(科目编号),""),ROW()-5),"")</f>
        <v/>
      </c>
      <c r="AR424" s="480" t="str">
        <f ca="1">IF($BG$2=0,"",IF(AR423="本月合计","本年累计",IF(OR(ROW()=$AU$3,ROW()=$AV$3,ROW()=$AW$3,ROW()=$AX$3,ROW()=$AY$3,ROW()=$AZ$3,ROW()=$BA$3,ROW()=$BB$3,ROW()=$BC$3,ROW()=$BD$3,ROW()=$BE$3,ROW()=$BF$3),"本月合计",IF(ROW()&lt;7,$AQ$6,OFFSET($AQ$6,COUNT($AR$6:AR423),0)))))</f>
        <v/>
      </c>
    </row>
    <row r="425" spans="1:44">
      <c r="A425" s="469" t="str">
        <f ca="1">IFERROR(INDEX(凭证录入!A:A,$AR425),"")</f>
        <v/>
      </c>
      <c r="B425" s="469" t="str">
        <f ca="1">IFERROR(INDEX(凭证录入!B:B,$AR425),"")</f>
        <v/>
      </c>
      <c r="C425" s="470" t="str">
        <f ca="1">IFERROR(INDEX(凭证录入!G:G,$AR425),"")</f>
        <v/>
      </c>
      <c r="D425" s="471" t="str">
        <f ca="1">IFERROR(INDEX(凭证录入!F:F,$AR425),"")</f>
        <v/>
      </c>
      <c r="E425" s="472" t="str">
        <f ca="1">IFERROR(INDEX(凭证录入!H:H,$AR425),$AR425)</f>
        <v/>
      </c>
      <c r="F425" s="473">
        <f ca="1">IF(OR($BG$2=0,$AR425=""),,IF($AR425="本月合计",IF(ROW()=$BG$3,SUM($F$6:$F424),SUM(INDIRECT("$F$"&amp;OFFSET($AU$3,,MATCH(ROW(),$AU$3:$BF$3,)-2)+2&amp;":$E"&amp;ROW()-1))),IF($AR425="本年累计",SUMIF($AR$6:$AR425,"本月合计",$F$6:$F424),INDEX(凭证录入!K:K,$AR425))))</f>
        <v>0</v>
      </c>
      <c r="G425" s="459" t="str">
        <f t="shared" ca="1" si="94"/>
        <v/>
      </c>
      <c r="H425" s="460" t="str">
        <f t="shared" ca="1" si="94"/>
        <v/>
      </c>
      <c r="I425" s="460" t="str">
        <f t="shared" ca="1" si="94"/>
        <v/>
      </c>
      <c r="J425" s="460" t="str">
        <f t="shared" ca="1" si="94"/>
        <v/>
      </c>
      <c r="K425" s="460" t="str">
        <f t="shared" ca="1" si="94"/>
        <v/>
      </c>
      <c r="L425" s="460" t="str">
        <f t="shared" ca="1" si="94"/>
        <v/>
      </c>
      <c r="M425" s="460" t="str">
        <f t="shared" ca="1" si="94"/>
        <v/>
      </c>
      <c r="N425" s="460" t="str">
        <f t="shared" ca="1" si="94"/>
        <v/>
      </c>
      <c r="O425" s="461" t="str">
        <f t="shared" ca="1" si="94"/>
        <v/>
      </c>
      <c r="P425" s="474" t="str">
        <f t="shared" ca="1" si="94"/>
        <v/>
      </c>
      <c r="Q425" s="475" t="str">
        <f t="shared" ca="1" si="94"/>
        <v/>
      </c>
      <c r="R425" s="476">
        <f ca="1">IF(OR($BG$2=0,$AR425=""),,IF($AR425="本月合计",IF(ROW()=$BG$3,SUM($R$6:$R424),SUM(INDIRECT("$R$"&amp;OFFSET($AU$3,,MATCH(ROW(),$AU$3:$BF$3,)-2)+2&amp;":$R"&amp;ROW()-1))),IF($AR425="本年累计",SUMIF($AR$6:$AR425,"本月合计",$R$6:$R424),INDEX(凭证录入!L:L,$AR425))))</f>
        <v>0</v>
      </c>
      <c r="S425" s="459" t="str">
        <f t="shared" ca="1" si="95"/>
        <v/>
      </c>
      <c r="T425" s="460" t="str">
        <f t="shared" ca="1" si="95"/>
        <v/>
      </c>
      <c r="U425" s="460" t="str">
        <f t="shared" ca="1" si="95"/>
        <v/>
      </c>
      <c r="V425" s="460" t="str">
        <f t="shared" ca="1" si="95"/>
        <v/>
      </c>
      <c r="W425" s="460" t="str">
        <f t="shared" ca="1" si="95"/>
        <v/>
      </c>
      <c r="X425" s="460" t="str">
        <f t="shared" ca="1" si="95"/>
        <v/>
      </c>
      <c r="Y425" s="460" t="str">
        <f t="shared" ca="1" si="95"/>
        <v/>
      </c>
      <c r="Z425" s="460" t="str">
        <f t="shared" ca="1" si="95"/>
        <v/>
      </c>
      <c r="AA425" s="461" t="str">
        <f t="shared" ca="1" si="95"/>
        <v/>
      </c>
      <c r="AB425" s="474" t="str">
        <f t="shared" ca="1" si="95"/>
        <v/>
      </c>
      <c r="AC425" s="475" t="str">
        <f t="shared" ca="1" si="95"/>
        <v/>
      </c>
      <c r="AD425" s="477" t="str">
        <f t="shared" ca="1" si="88"/>
        <v/>
      </c>
      <c r="AE425" s="478">
        <f t="shared" ca="1" si="89"/>
        <v>0</v>
      </c>
      <c r="AF425" s="459" t="str">
        <f t="shared" ca="1" si="93"/>
        <v/>
      </c>
      <c r="AG425" s="460" t="str">
        <f t="shared" ca="1" si="93"/>
        <v/>
      </c>
      <c r="AH425" s="460" t="str">
        <f t="shared" ca="1" si="93"/>
        <v/>
      </c>
      <c r="AI425" s="460" t="str">
        <f t="shared" ca="1" si="93"/>
        <v/>
      </c>
      <c r="AJ425" s="460" t="str">
        <f t="shared" ca="1" si="93"/>
        <v/>
      </c>
      <c r="AK425" s="460" t="str">
        <f t="shared" ca="1" si="93"/>
        <v/>
      </c>
      <c r="AL425" s="460" t="str">
        <f t="shared" ca="1" si="93"/>
        <v/>
      </c>
      <c r="AM425" s="460" t="str">
        <f t="shared" ca="1" si="93"/>
        <v/>
      </c>
      <c r="AN425" s="461" t="str">
        <f t="shared" ca="1" si="93"/>
        <v/>
      </c>
      <c r="AO425" s="474" t="str">
        <f t="shared" ca="1" si="93"/>
        <v/>
      </c>
      <c r="AP425" s="475" t="str">
        <f t="shared" ca="1" si="93"/>
        <v/>
      </c>
      <c r="AQ425" s="479" t="str">
        <f t="array" aca="1" ref="AQ425" ca="1">IF(ROW()-5&lt;=COUNTIF(科目编号,$AR$2),SMALL(IF(科目编号=$AR$2,ROW(科目编号),""),ROW()-5),"")</f>
        <v/>
      </c>
      <c r="AR425" s="480" t="str">
        <f ca="1">IF($BG$2=0,"",IF(AR424="本月合计","本年累计",IF(OR(ROW()=$AU$3,ROW()=$AV$3,ROW()=$AW$3,ROW()=$AX$3,ROW()=$AY$3,ROW()=$AZ$3,ROW()=$BA$3,ROW()=$BB$3,ROW()=$BC$3,ROW()=$BD$3,ROW()=$BE$3,ROW()=$BF$3),"本月合计",IF(ROW()&lt;7,$AQ$6,OFFSET($AQ$6,COUNT($AR$6:AR424),0)))))</f>
        <v/>
      </c>
    </row>
    <row r="426" spans="1:44">
      <c r="A426" s="469" t="str">
        <f ca="1">IFERROR(INDEX(凭证录入!A:A,$AR426),"")</f>
        <v/>
      </c>
      <c r="B426" s="469" t="str">
        <f ca="1">IFERROR(INDEX(凭证录入!B:B,$AR426),"")</f>
        <v/>
      </c>
      <c r="C426" s="470" t="str">
        <f ca="1">IFERROR(INDEX(凭证录入!G:G,$AR426),"")</f>
        <v/>
      </c>
      <c r="D426" s="471" t="str">
        <f ca="1">IFERROR(INDEX(凭证录入!F:F,$AR426),"")</f>
        <v/>
      </c>
      <c r="E426" s="472" t="str">
        <f ca="1">IFERROR(INDEX(凭证录入!H:H,$AR426),$AR426)</f>
        <v/>
      </c>
      <c r="F426" s="473">
        <f ca="1">IF(OR($BG$2=0,$AR426=""),,IF($AR426="本月合计",IF(ROW()=$BG$3,SUM($F$6:$F425),SUM(INDIRECT("$F$"&amp;OFFSET($AU$3,,MATCH(ROW(),$AU$3:$BF$3,)-2)+2&amp;":$E"&amp;ROW()-1))),IF($AR426="本年累计",SUMIF($AR$6:$AR426,"本月合计",$F$6:$F425),INDEX(凭证录入!K:K,$AR426))))</f>
        <v>0</v>
      </c>
      <c r="G426" s="459" t="str">
        <f t="shared" ca="1" si="94"/>
        <v/>
      </c>
      <c r="H426" s="460" t="str">
        <f t="shared" ca="1" si="94"/>
        <v/>
      </c>
      <c r="I426" s="460" t="str">
        <f t="shared" ca="1" si="94"/>
        <v/>
      </c>
      <c r="J426" s="460" t="str">
        <f t="shared" ca="1" si="94"/>
        <v/>
      </c>
      <c r="K426" s="460" t="str">
        <f t="shared" ca="1" si="94"/>
        <v/>
      </c>
      <c r="L426" s="460" t="str">
        <f t="shared" ca="1" si="94"/>
        <v/>
      </c>
      <c r="M426" s="460" t="str">
        <f t="shared" ca="1" si="94"/>
        <v/>
      </c>
      <c r="N426" s="460" t="str">
        <f t="shared" ca="1" si="94"/>
        <v/>
      </c>
      <c r="O426" s="461" t="str">
        <f t="shared" ca="1" si="94"/>
        <v/>
      </c>
      <c r="P426" s="474" t="str">
        <f t="shared" ca="1" si="94"/>
        <v/>
      </c>
      <c r="Q426" s="475" t="str">
        <f t="shared" ca="1" si="94"/>
        <v/>
      </c>
      <c r="R426" s="476">
        <f ca="1">IF(OR($BG$2=0,$AR426=""),,IF($AR426="本月合计",IF(ROW()=$BG$3,SUM($R$6:$R425),SUM(INDIRECT("$R$"&amp;OFFSET($AU$3,,MATCH(ROW(),$AU$3:$BF$3,)-2)+2&amp;":$R"&amp;ROW()-1))),IF($AR426="本年累计",SUMIF($AR$6:$AR426,"本月合计",$R$6:$R425),INDEX(凭证录入!L:L,$AR426))))</f>
        <v>0</v>
      </c>
      <c r="S426" s="459" t="str">
        <f t="shared" ca="1" si="95"/>
        <v/>
      </c>
      <c r="T426" s="460" t="str">
        <f t="shared" ca="1" si="95"/>
        <v/>
      </c>
      <c r="U426" s="460" t="str">
        <f t="shared" ca="1" si="95"/>
        <v/>
      </c>
      <c r="V426" s="460" t="str">
        <f t="shared" ca="1" si="95"/>
        <v/>
      </c>
      <c r="W426" s="460" t="str">
        <f t="shared" ca="1" si="95"/>
        <v/>
      </c>
      <c r="X426" s="460" t="str">
        <f t="shared" ca="1" si="95"/>
        <v/>
      </c>
      <c r="Y426" s="460" t="str">
        <f t="shared" ca="1" si="95"/>
        <v/>
      </c>
      <c r="Z426" s="460" t="str">
        <f t="shared" ca="1" si="95"/>
        <v/>
      </c>
      <c r="AA426" s="461" t="str">
        <f t="shared" ca="1" si="95"/>
        <v/>
      </c>
      <c r="AB426" s="474" t="str">
        <f t="shared" ca="1" si="95"/>
        <v/>
      </c>
      <c r="AC426" s="475" t="str">
        <f t="shared" ca="1" si="95"/>
        <v/>
      </c>
      <c r="AD426" s="477" t="str">
        <f t="shared" ca="1" si="88"/>
        <v/>
      </c>
      <c r="AE426" s="478">
        <f t="shared" ca="1" si="89"/>
        <v>0</v>
      </c>
      <c r="AF426" s="459" t="str">
        <f t="shared" ca="1" si="93"/>
        <v/>
      </c>
      <c r="AG426" s="460" t="str">
        <f t="shared" ca="1" si="93"/>
        <v/>
      </c>
      <c r="AH426" s="460" t="str">
        <f t="shared" ca="1" si="93"/>
        <v/>
      </c>
      <c r="AI426" s="460" t="str">
        <f t="shared" ca="1" si="93"/>
        <v/>
      </c>
      <c r="AJ426" s="460" t="str">
        <f t="shared" ca="1" si="93"/>
        <v/>
      </c>
      <c r="AK426" s="460" t="str">
        <f t="shared" ca="1" si="93"/>
        <v/>
      </c>
      <c r="AL426" s="460" t="str">
        <f t="shared" ca="1" si="93"/>
        <v/>
      </c>
      <c r="AM426" s="460" t="str">
        <f t="shared" ca="1" si="93"/>
        <v/>
      </c>
      <c r="AN426" s="461" t="str">
        <f t="shared" ca="1" si="93"/>
        <v/>
      </c>
      <c r="AO426" s="474" t="str">
        <f t="shared" ca="1" si="93"/>
        <v/>
      </c>
      <c r="AP426" s="475" t="str">
        <f t="shared" ca="1" si="93"/>
        <v/>
      </c>
      <c r="AQ426" s="479" t="str">
        <f t="array" aca="1" ref="AQ426" ca="1">IF(ROW()-5&lt;=COUNTIF(科目编号,$AR$2),SMALL(IF(科目编号=$AR$2,ROW(科目编号),""),ROW()-5),"")</f>
        <v/>
      </c>
      <c r="AR426" s="480" t="str">
        <f ca="1">IF($BG$2=0,"",IF(AR425="本月合计","本年累计",IF(OR(ROW()=$AU$3,ROW()=$AV$3,ROW()=$AW$3,ROW()=$AX$3,ROW()=$AY$3,ROW()=$AZ$3,ROW()=$BA$3,ROW()=$BB$3,ROW()=$BC$3,ROW()=$BD$3,ROW()=$BE$3,ROW()=$BF$3),"本月合计",IF(ROW()&lt;7,$AQ$6,OFFSET($AQ$6,COUNT($AR$6:AR425),0)))))</f>
        <v/>
      </c>
    </row>
    <row r="427" spans="1:44">
      <c r="A427" s="469" t="str">
        <f ca="1">IFERROR(INDEX(凭证录入!A:A,$AR427),"")</f>
        <v/>
      </c>
      <c r="B427" s="469" t="str">
        <f ca="1">IFERROR(INDEX(凭证录入!B:B,$AR427),"")</f>
        <v/>
      </c>
      <c r="C427" s="470" t="str">
        <f ca="1">IFERROR(INDEX(凭证录入!G:G,$AR427),"")</f>
        <v/>
      </c>
      <c r="D427" s="471" t="str">
        <f ca="1">IFERROR(INDEX(凭证录入!F:F,$AR427),"")</f>
        <v/>
      </c>
      <c r="E427" s="472" t="str">
        <f ca="1">IFERROR(INDEX(凭证录入!H:H,$AR427),$AR427)</f>
        <v/>
      </c>
      <c r="F427" s="473">
        <f ca="1">IF(OR($BG$2=0,$AR427=""),,IF($AR427="本月合计",IF(ROW()=$BG$3,SUM($F$6:$F426),SUM(INDIRECT("$F$"&amp;OFFSET($AU$3,,MATCH(ROW(),$AU$3:$BF$3,)-2)+2&amp;":$E"&amp;ROW()-1))),IF($AR427="本年累计",SUMIF($AR$6:$AR427,"本月合计",$F$6:$F426),INDEX(凭证录入!K:K,$AR427))))</f>
        <v>0</v>
      </c>
      <c r="G427" s="459" t="str">
        <f t="shared" ca="1" si="94"/>
        <v/>
      </c>
      <c r="H427" s="460" t="str">
        <f t="shared" ca="1" si="94"/>
        <v/>
      </c>
      <c r="I427" s="460" t="str">
        <f t="shared" ca="1" si="94"/>
        <v/>
      </c>
      <c r="J427" s="460" t="str">
        <f t="shared" ca="1" si="94"/>
        <v/>
      </c>
      <c r="K427" s="460" t="str">
        <f t="shared" ca="1" si="94"/>
        <v/>
      </c>
      <c r="L427" s="460" t="str">
        <f t="shared" ca="1" si="94"/>
        <v/>
      </c>
      <c r="M427" s="460" t="str">
        <f t="shared" ca="1" si="94"/>
        <v/>
      </c>
      <c r="N427" s="460" t="str">
        <f t="shared" ca="1" si="94"/>
        <v/>
      </c>
      <c r="O427" s="461" t="str">
        <f t="shared" ca="1" si="94"/>
        <v/>
      </c>
      <c r="P427" s="474" t="str">
        <f t="shared" ca="1" si="94"/>
        <v/>
      </c>
      <c r="Q427" s="475" t="str">
        <f t="shared" ca="1" si="94"/>
        <v/>
      </c>
      <c r="R427" s="476">
        <f ca="1">IF(OR($BG$2=0,$AR427=""),,IF($AR427="本月合计",IF(ROW()=$BG$3,SUM($R$6:$R426),SUM(INDIRECT("$R$"&amp;OFFSET($AU$3,,MATCH(ROW(),$AU$3:$BF$3,)-2)+2&amp;":$R"&amp;ROW()-1))),IF($AR427="本年累计",SUMIF($AR$6:$AR427,"本月合计",$R$6:$R426),INDEX(凭证录入!L:L,$AR427))))</f>
        <v>0</v>
      </c>
      <c r="S427" s="459" t="str">
        <f t="shared" ca="1" si="95"/>
        <v/>
      </c>
      <c r="T427" s="460" t="str">
        <f t="shared" ca="1" si="95"/>
        <v/>
      </c>
      <c r="U427" s="460" t="str">
        <f t="shared" ca="1" si="95"/>
        <v/>
      </c>
      <c r="V427" s="460" t="str">
        <f t="shared" ca="1" si="95"/>
        <v/>
      </c>
      <c r="W427" s="460" t="str">
        <f t="shared" ca="1" si="95"/>
        <v/>
      </c>
      <c r="X427" s="460" t="str">
        <f t="shared" ca="1" si="95"/>
        <v/>
      </c>
      <c r="Y427" s="460" t="str">
        <f t="shared" ca="1" si="95"/>
        <v/>
      </c>
      <c r="Z427" s="460" t="str">
        <f t="shared" ca="1" si="95"/>
        <v/>
      </c>
      <c r="AA427" s="461" t="str">
        <f t="shared" ca="1" si="95"/>
        <v/>
      </c>
      <c r="AB427" s="474" t="str">
        <f t="shared" ca="1" si="95"/>
        <v/>
      </c>
      <c r="AC427" s="475" t="str">
        <f t="shared" ca="1" si="95"/>
        <v/>
      </c>
      <c r="AD427" s="477" t="str">
        <f t="shared" ca="1" si="88"/>
        <v/>
      </c>
      <c r="AE427" s="478">
        <f t="shared" ca="1" si="89"/>
        <v>0</v>
      </c>
      <c r="AF427" s="459" t="str">
        <f t="shared" ca="1" si="93"/>
        <v/>
      </c>
      <c r="AG427" s="460" t="str">
        <f t="shared" ca="1" si="93"/>
        <v/>
      </c>
      <c r="AH427" s="460" t="str">
        <f t="shared" ca="1" si="93"/>
        <v/>
      </c>
      <c r="AI427" s="460" t="str">
        <f t="shared" ca="1" si="93"/>
        <v/>
      </c>
      <c r="AJ427" s="460" t="str">
        <f t="shared" ca="1" si="93"/>
        <v/>
      </c>
      <c r="AK427" s="460" t="str">
        <f t="shared" ca="1" si="93"/>
        <v/>
      </c>
      <c r="AL427" s="460" t="str">
        <f t="shared" ca="1" si="93"/>
        <v/>
      </c>
      <c r="AM427" s="460" t="str">
        <f t="shared" ca="1" si="93"/>
        <v/>
      </c>
      <c r="AN427" s="461" t="str">
        <f t="shared" ca="1" si="93"/>
        <v/>
      </c>
      <c r="AO427" s="474" t="str">
        <f t="shared" ca="1" si="93"/>
        <v/>
      </c>
      <c r="AP427" s="475" t="str">
        <f t="shared" ca="1" si="93"/>
        <v/>
      </c>
      <c r="AQ427" s="479" t="str">
        <f t="array" aca="1" ref="AQ427" ca="1">IF(ROW()-5&lt;=COUNTIF(科目编号,$AR$2),SMALL(IF(科目编号=$AR$2,ROW(科目编号),""),ROW()-5),"")</f>
        <v/>
      </c>
      <c r="AR427" s="480" t="str">
        <f ca="1">IF($BG$2=0,"",IF(AR426="本月合计","本年累计",IF(OR(ROW()=$AU$3,ROW()=$AV$3,ROW()=$AW$3,ROW()=$AX$3,ROW()=$AY$3,ROW()=$AZ$3,ROW()=$BA$3,ROW()=$BB$3,ROW()=$BC$3,ROW()=$BD$3,ROW()=$BE$3,ROW()=$BF$3),"本月合计",IF(ROW()&lt;7,$AQ$6,OFFSET($AQ$6,COUNT($AR$6:AR426),0)))))</f>
        <v/>
      </c>
    </row>
    <row r="428" spans="1:44">
      <c r="A428" s="469" t="str">
        <f ca="1">IFERROR(INDEX(凭证录入!A:A,$AR428),"")</f>
        <v/>
      </c>
      <c r="B428" s="469" t="str">
        <f ca="1">IFERROR(INDEX(凭证录入!B:B,$AR428),"")</f>
        <v/>
      </c>
      <c r="C428" s="470" t="str">
        <f ca="1">IFERROR(INDEX(凭证录入!G:G,$AR428),"")</f>
        <v/>
      </c>
      <c r="D428" s="471" t="str">
        <f ca="1">IFERROR(INDEX(凭证录入!F:F,$AR428),"")</f>
        <v/>
      </c>
      <c r="E428" s="472" t="str">
        <f ca="1">IFERROR(INDEX(凭证录入!H:H,$AR428),$AR428)</f>
        <v/>
      </c>
      <c r="F428" s="473">
        <f ca="1">IF(OR($BG$2=0,$AR428=""),,IF($AR428="本月合计",IF(ROW()=$BG$3,SUM($F$6:$F427),SUM(INDIRECT("$F$"&amp;OFFSET($AU$3,,MATCH(ROW(),$AU$3:$BF$3,)-2)+2&amp;":$E"&amp;ROW()-1))),IF($AR428="本年累计",SUMIF($AR$6:$AR428,"本月合计",$F$6:$F427),INDEX(凭证录入!K:K,$AR428))))</f>
        <v>0</v>
      </c>
      <c r="G428" s="459" t="str">
        <f t="shared" ca="1" si="94"/>
        <v/>
      </c>
      <c r="H428" s="460" t="str">
        <f t="shared" ca="1" si="94"/>
        <v/>
      </c>
      <c r="I428" s="460" t="str">
        <f t="shared" ca="1" si="94"/>
        <v/>
      </c>
      <c r="J428" s="460" t="str">
        <f t="shared" ca="1" si="94"/>
        <v/>
      </c>
      <c r="K428" s="460" t="str">
        <f t="shared" ca="1" si="94"/>
        <v/>
      </c>
      <c r="L428" s="460" t="str">
        <f t="shared" ca="1" si="94"/>
        <v/>
      </c>
      <c r="M428" s="460" t="str">
        <f t="shared" ca="1" si="94"/>
        <v/>
      </c>
      <c r="N428" s="460" t="str">
        <f t="shared" ca="1" si="94"/>
        <v/>
      </c>
      <c r="O428" s="461" t="str">
        <f t="shared" ca="1" si="94"/>
        <v/>
      </c>
      <c r="P428" s="474" t="str">
        <f t="shared" ca="1" si="94"/>
        <v/>
      </c>
      <c r="Q428" s="475" t="str">
        <f t="shared" ca="1" si="94"/>
        <v/>
      </c>
      <c r="R428" s="476">
        <f ca="1">IF(OR($BG$2=0,$AR428=""),,IF($AR428="本月合计",IF(ROW()=$BG$3,SUM($R$6:$R427),SUM(INDIRECT("$R$"&amp;OFFSET($AU$3,,MATCH(ROW(),$AU$3:$BF$3,)-2)+2&amp;":$R"&amp;ROW()-1))),IF($AR428="本年累计",SUMIF($AR$6:$AR428,"本月合计",$R$6:$R427),INDEX(凭证录入!L:L,$AR428))))</f>
        <v>0</v>
      </c>
      <c r="S428" s="459" t="str">
        <f t="shared" ca="1" si="95"/>
        <v/>
      </c>
      <c r="T428" s="460" t="str">
        <f t="shared" ca="1" si="95"/>
        <v/>
      </c>
      <c r="U428" s="460" t="str">
        <f t="shared" ca="1" si="95"/>
        <v/>
      </c>
      <c r="V428" s="460" t="str">
        <f t="shared" ca="1" si="95"/>
        <v/>
      </c>
      <c r="W428" s="460" t="str">
        <f t="shared" ca="1" si="95"/>
        <v/>
      </c>
      <c r="X428" s="460" t="str">
        <f t="shared" ca="1" si="95"/>
        <v/>
      </c>
      <c r="Y428" s="460" t="str">
        <f t="shared" ca="1" si="95"/>
        <v/>
      </c>
      <c r="Z428" s="460" t="str">
        <f t="shared" ca="1" si="95"/>
        <v/>
      </c>
      <c r="AA428" s="461" t="str">
        <f t="shared" ca="1" si="95"/>
        <v/>
      </c>
      <c r="AB428" s="474" t="str">
        <f t="shared" ca="1" si="95"/>
        <v/>
      </c>
      <c r="AC428" s="475" t="str">
        <f t="shared" ca="1" si="95"/>
        <v/>
      </c>
      <c r="AD428" s="477" t="str">
        <f t="shared" ca="1" si="88"/>
        <v/>
      </c>
      <c r="AE428" s="478">
        <f t="shared" ca="1" si="89"/>
        <v>0</v>
      </c>
      <c r="AF428" s="459" t="str">
        <f t="shared" ca="1" si="93"/>
        <v/>
      </c>
      <c r="AG428" s="460" t="str">
        <f t="shared" ca="1" si="93"/>
        <v/>
      </c>
      <c r="AH428" s="460" t="str">
        <f t="shared" ca="1" si="93"/>
        <v/>
      </c>
      <c r="AI428" s="460" t="str">
        <f t="shared" ca="1" si="93"/>
        <v/>
      </c>
      <c r="AJ428" s="460" t="str">
        <f t="shared" ca="1" si="93"/>
        <v/>
      </c>
      <c r="AK428" s="460" t="str">
        <f t="shared" ca="1" si="93"/>
        <v/>
      </c>
      <c r="AL428" s="460" t="str">
        <f t="shared" ca="1" si="93"/>
        <v/>
      </c>
      <c r="AM428" s="460" t="str">
        <f t="shared" ca="1" si="93"/>
        <v/>
      </c>
      <c r="AN428" s="461" t="str">
        <f t="shared" ca="1" si="93"/>
        <v/>
      </c>
      <c r="AO428" s="474" t="str">
        <f t="shared" ca="1" si="93"/>
        <v/>
      </c>
      <c r="AP428" s="475" t="str">
        <f t="shared" ca="1" si="93"/>
        <v/>
      </c>
      <c r="AQ428" s="479" t="str">
        <f t="array" aca="1" ref="AQ428" ca="1">IF(ROW()-5&lt;=COUNTIF(科目编号,$AR$2),SMALL(IF(科目编号=$AR$2,ROW(科目编号),""),ROW()-5),"")</f>
        <v/>
      </c>
      <c r="AR428" s="480" t="str">
        <f ca="1">IF($BG$2=0,"",IF(AR427="本月合计","本年累计",IF(OR(ROW()=$AU$3,ROW()=$AV$3,ROW()=$AW$3,ROW()=$AX$3,ROW()=$AY$3,ROW()=$AZ$3,ROW()=$BA$3,ROW()=$BB$3,ROW()=$BC$3,ROW()=$BD$3,ROW()=$BE$3,ROW()=$BF$3),"本月合计",IF(ROW()&lt;7,$AQ$6,OFFSET($AQ$6,COUNT($AR$6:AR427),0)))))</f>
        <v/>
      </c>
    </row>
    <row r="429" spans="1:44">
      <c r="A429" s="469" t="str">
        <f ca="1">IFERROR(INDEX(凭证录入!A:A,$AR429),"")</f>
        <v/>
      </c>
      <c r="B429" s="469" t="str">
        <f ca="1">IFERROR(INDEX(凭证录入!B:B,$AR429),"")</f>
        <v/>
      </c>
      <c r="C429" s="470" t="str">
        <f ca="1">IFERROR(INDEX(凭证录入!G:G,$AR429),"")</f>
        <v/>
      </c>
      <c r="D429" s="471" t="str">
        <f ca="1">IFERROR(INDEX(凭证录入!F:F,$AR429),"")</f>
        <v/>
      </c>
      <c r="E429" s="472" t="str">
        <f ca="1">IFERROR(INDEX(凭证录入!H:H,$AR429),$AR429)</f>
        <v/>
      </c>
      <c r="F429" s="473">
        <f ca="1">IF(OR($BG$2=0,$AR429=""),,IF($AR429="本月合计",IF(ROW()=$BG$3,SUM($F$6:$F428),SUM(INDIRECT("$F$"&amp;OFFSET($AU$3,,MATCH(ROW(),$AU$3:$BF$3,)-2)+2&amp;":$E"&amp;ROW()-1))),IF($AR429="本年累计",SUMIF($AR$6:$AR429,"本月合计",$F$6:$F428),INDEX(凭证录入!K:K,$AR429))))</f>
        <v>0</v>
      </c>
      <c r="G429" s="459" t="str">
        <f t="shared" ca="1" si="94"/>
        <v/>
      </c>
      <c r="H429" s="460" t="str">
        <f t="shared" ca="1" si="94"/>
        <v/>
      </c>
      <c r="I429" s="460" t="str">
        <f t="shared" ca="1" si="94"/>
        <v/>
      </c>
      <c r="J429" s="460" t="str">
        <f t="shared" ca="1" si="94"/>
        <v/>
      </c>
      <c r="K429" s="460" t="str">
        <f t="shared" ca="1" si="94"/>
        <v/>
      </c>
      <c r="L429" s="460" t="str">
        <f t="shared" ca="1" si="94"/>
        <v/>
      </c>
      <c r="M429" s="460" t="str">
        <f t="shared" ca="1" si="94"/>
        <v/>
      </c>
      <c r="N429" s="460" t="str">
        <f t="shared" ca="1" si="94"/>
        <v/>
      </c>
      <c r="O429" s="461" t="str">
        <f t="shared" ca="1" si="94"/>
        <v/>
      </c>
      <c r="P429" s="474" t="str">
        <f t="shared" ca="1" si="94"/>
        <v/>
      </c>
      <c r="Q429" s="475" t="str">
        <f t="shared" ca="1" si="94"/>
        <v/>
      </c>
      <c r="R429" s="476">
        <f ca="1">IF(OR($BG$2=0,$AR429=""),,IF($AR429="本月合计",IF(ROW()=$BG$3,SUM($R$6:$R428),SUM(INDIRECT("$R$"&amp;OFFSET($AU$3,,MATCH(ROW(),$AU$3:$BF$3,)-2)+2&amp;":$R"&amp;ROW()-1))),IF($AR429="本年累计",SUMIF($AR$6:$AR429,"本月合计",$R$6:$R428),INDEX(凭证录入!L:L,$AR429))))</f>
        <v>0</v>
      </c>
      <c r="S429" s="459" t="str">
        <f t="shared" ca="1" si="95"/>
        <v/>
      </c>
      <c r="T429" s="460" t="str">
        <f t="shared" ca="1" si="95"/>
        <v/>
      </c>
      <c r="U429" s="460" t="str">
        <f t="shared" ca="1" si="95"/>
        <v/>
      </c>
      <c r="V429" s="460" t="str">
        <f t="shared" ca="1" si="95"/>
        <v/>
      </c>
      <c r="W429" s="460" t="str">
        <f t="shared" ca="1" si="95"/>
        <v/>
      </c>
      <c r="X429" s="460" t="str">
        <f t="shared" ca="1" si="95"/>
        <v/>
      </c>
      <c r="Y429" s="460" t="str">
        <f t="shared" ca="1" si="95"/>
        <v/>
      </c>
      <c r="Z429" s="460" t="str">
        <f t="shared" ca="1" si="95"/>
        <v/>
      </c>
      <c r="AA429" s="461" t="str">
        <f t="shared" ca="1" si="95"/>
        <v/>
      </c>
      <c r="AB429" s="474" t="str">
        <f t="shared" ca="1" si="95"/>
        <v/>
      </c>
      <c r="AC429" s="475" t="str">
        <f t="shared" ca="1" si="95"/>
        <v/>
      </c>
      <c r="AD429" s="477" t="str">
        <f t="shared" ca="1" si="88"/>
        <v/>
      </c>
      <c r="AE429" s="478">
        <f t="shared" ca="1" si="89"/>
        <v>0</v>
      </c>
      <c r="AF429" s="459" t="str">
        <f t="shared" ca="1" si="93"/>
        <v/>
      </c>
      <c r="AG429" s="460" t="str">
        <f t="shared" ca="1" si="93"/>
        <v/>
      </c>
      <c r="AH429" s="460" t="str">
        <f t="shared" ca="1" si="93"/>
        <v/>
      </c>
      <c r="AI429" s="460" t="str">
        <f t="shared" ca="1" si="93"/>
        <v/>
      </c>
      <c r="AJ429" s="460" t="str">
        <f t="shared" ca="1" si="93"/>
        <v/>
      </c>
      <c r="AK429" s="460" t="str">
        <f t="shared" ca="1" si="93"/>
        <v/>
      </c>
      <c r="AL429" s="460" t="str">
        <f t="shared" ca="1" si="93"/>
        <v/>
      </c>
      <c r="AM429" s="460" t="str">
        <f t="shared" ca="1" si="93"/>
        <v/>
      </c>
      <c r="AN429" s="461" t="str">
        <f t="shared" ca="1" si="93"/>
        <v/>
      </c>
      <c r="AO429" s="474" t="str">
        <f t="shared" ca="1" si="93"/>
        <v/>
      </c>
      <c r="AP429" s="475" t="str">
        <f t="shared" ca="1" si="93"/>
        <v/>
      </c>
      <c r="AQ429" s="479" t="str">
        <f t="array" aca="1" ref="AQ429" ca="1">IF(ROW()-5&lt;=COUNTIF(科目编号,$AR$2),SMALL(IF(科目编号=$AR$2,ROW(科目编号),""),ROW()-5),"")</f>
        <v/>
      </c>
      <c r="AR429" s="480" t="str">
        <f ca="1">IF($BG$2=0,"",IF(AR428="本月合计","本年累计",IF(OR(ROW()=$AU$3,ROW()=$AV$3,ROW()=$AW$3,ROW()=$AX$3,ROW()=$AY$3,ROW()=$AZ$3,ROW()=$BA$3,ROW()=$BB$3,ROW()=$BC$3,ROW()=$BD$3,ROW()=$BE$3,ROW()=$BF$3),"本月合计",IF(ROW()&lt;7,$AQ$6,OFFSET($AQ$6,COUNT($AR$6:AR428),0)))))</f>
        <v/>
      </c>
    </row>
    <row r="430" spans="1:44">
      <c r="A430" s="469" t="str">
        <f ca="1">IFERROR(INDEX(凭证录入!A:A,$AR430),"")</f>
        <v/>
      </c>
      <c r="B430" s="469" t="str">
        <f ca="1">IFERROR(INDEX(凭证录入!B:B,$AR430),"")</f>
        <v/>
      </c>
      <c r="C430" s="470" t="str">
        <f ca="1">IFERROR(INDEX(凭证录入!G:G,$AR430),"")</f>
        <v/>
      </c>
      <c r="D430" s="471" t="str">
        <f ca="1">IFERROR(INDEX(凭证录入!F:F,$AR430),"")</f>
        <v/>
      </c>
      <c r="E430" s="472" t="str">
        <f ca="1">IFERROR(INDEX(凭证录入!H:H,$AR430),$AR430)</f>
        <v/>
      </c>
      <c r="F430" s="473">
        <f ca="1">IF(OR($BG$2=0,$AR430=""),,IF($AR430="本月合计",IF(ROW()=$BG$3,SUM($F$6:$F429),SUM(INDIRECT("$F$"&amp;OFFSET($AU$3,,MATCH(ROW(),$AU$3:$BF$3,)-2)+2&amp;":$E"&amp;ROW()-1))),IF($AR430="本年累计",SUMIF($AR$6:$AR430,"本月合计",$F$6:$F429),INDEX(凭证录入!K:K,$AR430))))</f>
        <v>0</v>
      </c>
      <c r="G430" s="459" t="str">
        <f t="shared" ca="1" si="94"/>
        <v/>
      </c>
      <c r="H430" s="460" t="str">
        <f t="shared" ca="1" si="94"/>
        <v/>
      </c>
      <c r="I430" s="460" t="str">
        <f t="shared" ca="1" si="94"/>
        <v/>
      </c>
      <c r="J430" s="460" t="str">
        <f t="shared" ca="1" si="94"/>
        <v/>
      </c>
      <c r="K430" s="460" t="str">
        <f t="shared" ca="1" si="94"/>
        <v/>
      </c>
      <c r="L430" s="460" t="str">
        <f t="shared" ca="1" si="94"/>
        <v/>
      </c>
      <c r="M430" s="460" t="str">
        <f t="shared" ca="1" si="94"/>
        <v/>
      </c>
      <c r="N430" s="460" t="str">
        <f t="shared" ca="1" si="94"/>
        <v/>
      </c>
      <c r="O430" s="461" t="str">
        <f t="shared" ca="1" si="94"/>
        <v/>
      </c>
      <c r="P430" s="474" t="str">
        <f t="shared" ca="1" si="94"/>
        <v/>
      </c>
      <c r="Q430" s="475" t="str">
        <f t="shared" ca="1" si="94"/>
        <v/>
      </c>
      <c r="R430" s="476">
        <f ca="1">IF(OR($BG$2=0,$AR430=""),,IF($AR430="本月合计",IF(ROW()=$BG$3,SUM($R$6:$R429),SUM(INDIRECT("$R$"&amp;OFFSET($AU$3,,MATCH(ROW(),$AU$3:$BF$3,)-2)+2&amp;":$R"&amp;ROW()-1))),IF($AR430="本年累计",SUMIF($AR$6:$AR430,"本月合计",$R$6:$R429),INDEX(凭证录入!L:L,$AR430))))</f>
        <v>0</v>
      </c>
      <c r="S430" s="459" t="str">
        <f t="shared" ca="1" si="95"/>
        <v/>
      </c>
      <c r="T430" s="460" t="str">
        <f t="shared" ca="1" si="95"/>
        <v/>
      </c>
      <c r="U430" s="460" t="str">
        <f t="shared" ca="1" si="95"/>
        <v/>
      </c>
      <c r="V430" s="460" t="str">
        <f t="shared" ca="1" si="95"/>
        <v/>
      </c>
      <c r="W430" s="460" t="str">
        <f t="shared" ca="1" si="95"/>
        <v/>
      </c>
      <c r="X430" s="460" t="str">
        <f t="shared" ca="1" si="95"/>
        <v/>
      </c>
      <c r="Y430" s="460" t="str">
        <f t="shared" ca="1" si="95"/>
        <v/>
      </c>
      <c r="Z430" s="460" t="str">
        <f t="shared" ca="1" si="95"/>
        <v/>
      </c>
      <c r="AA430" s="461" t="str">
        <f t="shared" ca="1" si="95"/>
        <v/>
      </c>
      <c r="AB430" s="474" t="str">
        <f t="shared" ca="1" si="95"/>
        <v/>
      </c>
      <c r="AC430" s="475" t="str">
        <f t="shared" ca="1" si="95"/>
        <v/>
      </c>
      <c r="AD430" s="477" t="str">
        <f t="shared" ca="1" si="88"/>
        <v/>
      </c>
      <c r="AE430" s="478">
        <f t="shared" ca="1" si="89"/>
        <v>0</v>
      </c>
      <c r="AF430" s="459" t="str">
        <f t="shared" ca="1" si="93"/>
        <v/>
      </c>
      <c r="AG430" s="460" t="str">
        <f t="shared" ca="1" si="93"/>
        <v/>
      </c>
      <c r="AH430" s="460" t="str">
        <f t="shared" ca="1" si="93"/>
        <v/>
      </c>
      <c r="AI430" s="460" t="str">
        <f t="shared" ca="1" si="93"/>
        <v/>
      </c>
      <c r="AJ430" s="460" t="str">
        <f t="shared" ca="1" si="93"/>
        <v/>
      </c>
      <c r="AK430" s="460" t="str">
        <f t="shared" ca="1" si="93"/>
        <v/>
      </c>
      <c r="AL430" s="460" t="str">
        <f t="shared" ca="1" si="93"/>
        <v/>
      </c>
      <c r="AM430" s="460" t="str">
        <f t="shared" ca="1" si="93"/>
        <v/>
      </c>
      <c r="AN430" s="461" t="str">
        <f t="shared" ca="1" si="93"/>
        <v/>
      </c>
      <c r="AO430" s="474" t="str">
        <f t="shared" ca="1" si="93"/>
        <v/>
      </c>
      <c r="AP430" s="475" t="str">
        <f t="shared" ca="1" si="93"/>
        <v/>
      </c>
      <c r="AQ430" s="479" t="str">
        <f t="array" aca="1" ref="AQ430" ca="1">IF(ROW()-5&lt;=COUNTIF(科目编号,$AR$2),SMALL(IF(科目编号=$AR$2,ROW(科目编号),""),ROW()-5),"")</f>
        <v/>
      </c>
      <c r="AR430" s="480" t="str">
        <f ca="1">IF($BG$2=0,"",IF(AR429="本月合计","本年累计",IF(OR(ROW()=$AU$3,ROW()=$AV$3,ROW()=$AW$3,ROW()=$AX$3,ROW()=$AY$3,ROW()=$AZ$3,ROW()=$BA$3,ROW()=$BB$3,ROW()=$BC$3,ROW()=$BD$3,ROW()=$BE$3,ROW()=$BF$3),"本月合计",IF(ROW()&lt;7,$AQ$6,OFFSET($AQ$6,COUNT($AR$6:AR429),0)))))</f>
        <v/>
      </c>
    </row>
    <row r="431" spans="1:44">
      <c r="A431" s="469" t="str">
        <f ca="1">IFERROR(INDEX(凭证录入!A:A,$AR431),"")</f>
        <v/>
      </c>
      <c r="B431" s="469" t="str">
        <f ca="1">IFERROR(INDEX(凭证录入!B:B,$AR431),"")</f>
        <v/>
      </c>
      <c r="C431" s="470" t="str">
        <f ca="1">IFERROR(INDEX(凭证录入!G:G,$AR431),"")</f>
        <v/>
      </c>
      <c r="D431" s="471" t="str">
        <f ca="1">IFERROR(INDEX(凭证录入!F:F,$AR431),"")</f>
        <v/>
      </c>
      <c r="E431" s="472" t="str">
        <f ca="1">IFERROR(INDEX(凭证录入!H:H,$AR431),$AR431)</f>
        <v/>
      </c>
      <c r="F431" s="473">
        <f ca="1">IF(OR($BG$2=0,$AR431=""),,IF($AR431="本月合计",IF(ROW()=$BG$3,SUM($F$6:$F430),SUM(INDIRECT("$F$"&amp;OFFSET($AU$3,,MATCH(ROW(),$AU$3:$BF$3,)-2)+2&amp;":$E"&amp;ROW()-1))),IF($AR431="本年累计",SUMIF($AR$6:$AR431,"本月合计",$F$6:$F430),INDEX(凭证录入!K:K,$AR431))))</f>
        <v>0</v>
      </c>
      <c r="G431" s="459" t="str">
        <f t="shared" ca="1" si="94"/>
        <v/>
      </c>
      <c r="H431" s="460" t="str">
        <f t="shared" ca="1" si="94"/>
        <v/>
      </c>
      <c r="I431" s="460" t="str">
        <f t="shared" ca="1" si="94"/>
        <v/>
      </c>
      <c r="J431" s="460" t="str">
        <f t="shared" ca="1" si="94"/>
        <v/>
      </c>
      <c r="K431" s="460" t="str">
        <f t="shared" ca="1" si="94"/>
        <v/>
      </c>
      <c r="L431" s="460" t="str">
        <f t="shared" ca="1" si="94"/>
        <v/>
      </c>
      <c r="M431" s="460" t="str">
        <f t="shared" ca="1" si="94"/>
        <v/>
      </c>
      <c r="N431" s="460" t="str">
        <f t="shared" ca="1" si="94"/>
        <v/>
      </c>
      <c r="O431" s="461" t="str">
        <f t="shared" ca="1" si="94"/>
        <v/>
      </c>
      <c r="P431" s="474" t="str">
        <f t="shared" ca="1" si="94"/>
        <v/>
      </c>
      <c r="Q431" s="475" t="str">
        <f t="shared" ca="1" si="94"/>
        <v/>
      </c>
      <c r="R431" s="476">
        <f ca="1">IF(OR($BG$2=0,$AR431=""),,IF($AR431="本月合计",IF(ROW()=$BG$3,SUM($R$6:$R430),SUM(INDIRECT("$R$"&amp;OFFSET($AU$3,,MATCH(ROW(),$AU$3:$BF$3,)-2)+2&amp;":$R"&amp;ROW()-1))),IF($AR431="本年累计",SUMIF($AR$6:$AR431,"本月合计",$R$6:$R430),INDEX(凭证录入!L:L,$AR431))))</f>
        <v>0</v>
      </c>
      <c r="S431" s="459" t="str">
        <f t="shared" ca="1" si="95"/>
        <v/>
      </c>
      <c r="T431" s="460" t="str">
        <f t="shared" ca="1" si="95"/>
        <v/>
      </c>
      <c r="U431" s="460" t="str">
        <f t="shared" ca="1" si="95"/>
        <v/>
      </c>
      <c r="V431" s="460" t="str">
        <f t="shared" ca="1" si="95"/>
        <v/>
      </c>
      <c r="W431" s="460" t="str">
        <f t="shared" ca="1" si="95"/>
        <v/>
      </c>
      <c r="X431" s="460" t="str">
        <f t="shared" ca="1" si="95"/>
        <v/>
      </c>
      <c r="Y431" s="460" t="str">
        <f t="shared" ca="1" si="95"/>
        <v/>
      </c>
      <c r="Z431" s="460" t="str">
        <f t="shared" ca="1" si="95"/>
        <v/>
      </c>
      <c r="AA431" s="461" t="str">
        <f t="shared" ca="1" si="95"/>
        <v/>
      </c>
      <c r="AB431" s="474" t="str">
        <f t="shared" ca="1" si="95"/>
        <v/>
      </c>
      <c r="AC431" s="475" t="str">
        <f t="shared" ca="1" si="95"/>
        <v/>
      </c>
      <c r="AD431" s="477" t="str">
        <f t="shared" ca="1" si="88"/>
        <v/>
      </c>
      <c r="AE431" s="478">
        <f t="shared" ca="1" si="89"/>
        <v>0</v>
      </c>
      <c r="AF431" s="459" t="str">
        <f t="shared" ca="1" si="93"/>
        <v/>
      </c>
      <c r="AG431" s="460" t="str">
        <f t="shared" ca="1" si="93"/>
        <v/>
      </c>
      <c r="AH431" s="460" t="str">
        <f t="shared" ca="1" si="93"/>
        <v/>
      </c>
      <c r="AI431" s="460" t="str">
        <f t="shared" ca="1" si="93"/>
        <v/>
      </c>
      <c r="AJ431" s="460" t="str">
        <f t="shared" ca="1" si="93"/>
        <v/>
      </c>
      <c r="AK431" s="460" t="str">
        <f t="shared" ca="1" si="93"/>
        <v/>
      </c>
      <c r="AL431" s="460" t="str">
        <f t="shared" ca="1" si="93"/>
        <v/>
      </c>
      <c r="AM431" s="460" t="str">
        <f t="shared" ca="1" si="93"/>
        <v/>
      </c>
      <c r="AN431" s="461" t="str">
        <f t="shared" ca="1" si="93"/>
        <v/>
      </c>
      <c r="AO431" s="474" t="str">
        <f t="shared" ca="1" si="93"/>
        <v/>
      </c>
      <c r="AP431" s="475" t="str">
        <f t="shared" ca="1" si="93"/>
        <v/>
      </c>
      <c r="AQ431" s="479" t="str">
        <f t="array" aca="1" ref="AQ431" ca="1">IF(ROW()-5&lt;=COUNTIF(科目编号,$AR$2),SMALL(IF(科目编号=$AR$2,ROW(科目编号),""),ROW()-5),"")</f>
        <v/>
      </c>
      <c r="AR431" s="480" t="str">
        <f ca="1">IF($BG$2=0,"",IF(AR430="本月合计","本年累计",IF(OR(ROW()=$AU$3,ROW()=$AV$3,ROW()=$AW$3,ROW()=$AX$3,ROW()=$AY$3,ROW()=$AZ$3,ROW()=$BA$3,ROW()=$BB$3,ROW()=$BC$3,ROW()=$BD$3,ROW()=$BE$3,ROW()=$BF$3),"本月合计",IF(ROW()&lt;7,$AQ$6,OFFSET($AQ$6,COUNT($AR$6:AR430),0)))))</f>
        <v/>
      </c>
    </row>
    <row r="432" spans="1:44">
      <c r="A432" s="469" t="str">
        <f ca="1">IFERROR(INDEX(凭证录入!A:A,$AR432),"")</f>
        <v/>
      </c>
      <c r="B432" s="469" t="str">
        <f ca="1">IFERROR(INDEX(凭证录入!B:B,$AR432),"")</f>
        <v/>
      </c>
      <c r="C432" s="470" t="str">
        <f ca="1">IFERROR(INDEX(凭证录入!G:G,$AR432),"")</f>
        <v/>
      </c>
      <c r="D432" s="471" t="str">
        <f ca="1">IFERROR(INDEX(凭证录入!F:F,$AR432),"")</f>
        <v/>
      </c>
      <c r="E432" s="472" t="str">
        <f ca="1">IFERROR(INDEX(凭证录入!H:H,$AR432),$AR432)</f>
        <v/>
      </c>
      <c r="F432" s="473">
        <f ca="1">IF(OR($BG$2=0,$AR432=""),,IF($AR432="本月合计",IF(ROW()=$BG$3,SUM($F$6:$F431),SUM(INDIRECT("$F$"&amp;OFFSET($AU$3,,MATCH(ROW(),$AU$3:$BF$3,)-2)+2&amp;":$E"&amp;ROW()-1))),IF($AR432="本年累计",SUMIF($AR$6:$AR432,"本月合计",$F$6:$F431),INDEX(凭证录入!K:K,$AR432))))</f>
        <v>0</v>
      </c>
      <c r="G432" s="459" t="str">
        <f t="shared" ca="1" si="94"/>
        <v/>
      </c>
      <c r="H432" s="460" t="str">
        <f t="shared" ca="1" si="94"/>
        <v/>
      </c>
      <c r="I432" s="460" t="str">
        <f t="shared" ca="1" si="94"/>
        <v/>
      </c>
      <c r="J432" s="460" t="str">
        <f t="shared" ca="1" si="94"/>
        <v/>
      </c>
      <c r="K432" s="460" t="str">
        <f t="shared" ca="1" si="94"/>
        <v/>
      </c>
      <c r="L432" s="460" t="str">
        <f t="shared" ca="1" si="94"/>
        <v/>
      </c>
      <c r="M432" s="460" t="str">
        <f t="shared" ca="1" si="94"/>
        <v/>
      </c>
      <c r="N432" s="460" t="str">
        <f t="shared" ca="1" si="94"/>
        <v/>
      </c>
      <c r="O432" s="461" t="str">
        <f t="shared" ca="1" si="94"/>
        <v/>
      </c>
      <c r="P432" s="474" t="str">
        <f t="shared" ca="1" si="94"/>
        <v/>
      </c>
      <c r="Q432" s="475" t="str">
        <f t="shared" ca="1" si="94"/>
        <v/>
      </c>
      <c r="R432" s="476">
        <f ca="1">IF(OR($BG$2=0,$AR432=""),,IF($AR432="本月合计",IF(ROW()=$BG$3,SUM($R$6:$R431),SUM(INDIRECT("$R$"&amp;OFFSET($AU$3,,MATCH(ROW(),$AU$3:$BF$3,)-2)+2&amp;":$R"&amp;ROW()-1))),IF($AR432="本年累计",SUMIF($AR$6:$AR432,"本月合计",$R$6:$R431),INDEX(凭证录入!L:L,$AR432))))</f>
        <v>0</v>
      </c>
      <c r="S432" s="459" t="str">
        <f t="shared" ca="1" si="95"/>
        <v/>
      </c>
      <c r="T432" s="460" t="str">
        <f t="shared" ca="1" si="95"/>
        <v/>
      </c>
      <c r="U432" s="460" t="str">
        <f t="shared" ca="1" si="95"/>
        <v/>
      </c>
      <c r="V432" s="460" t="str">
        <f t="shared" ca="1" si="95"/>
        <v/>
      </c>
      <c r="W432" s="460" t="str">
        <f t="shared" ca="1" si="95"/>
        <v/>
      </c>
      <c r="X432" s="460" t="str">
        <f t="shared" ca="1" si="95"/>
        <v/>
      </c>
      <c r="Y432" s="460" t="str">
        <f t="shared" ca="1" si="95"/>
        <v/>
      </c>
      <c r="Z432" s="460" t="str">
        <f t="shared" ca="1" si="95"/>
        <v/>
      </c>
      <c r="AA432" s="461" t="str">
        <f t="shared" ca="1" si="95"/>
        <v/>
      </c>
      <c r="AB432" s="474" t="str">
        <f t="shared" ca="1" si="95"/>
        <v/>
      </c>
      <c r="AC432" s="475" t="str">
        <f t="shared" ca="1" si="95"/>
        <v/>
      </c>
      <c r="AD432" s="477" t="str">
        <f t="shared" ca="1" si="88"/>
        <v/>
      </c>
      <c r="AE432" s="478">
        <f t="shared" ca="1" si="89"/>
        <v>0</v>
      </c>
      <c r="AF432" s="459" t="str">
        <f t="shared" ca="1" si="93"/>
        <v/>
      </c>
      <c r="AG432" s="460" t="str">
        <f t="shared" ca="1" si="93"/>
        <v/>
      </c>
      <c r="AH432" s="460" t="str">
        <f t="shared" ca="1" si="93"/>
        <v/>
      </c>
      <c r="AI432" s="460" t="str">
        <f t="shared" ca="1" si="93"/>
        <v/>
      </c>
      <c r="AJ432" s="460" t="str">
        <f t="shared" ca="1" si="93"/>
        <v/>
      </c>
      <c r="AK432" s="460" t="str">
        <f t="shared" ca="1" si="93"/>
        <v/>
      </c>
      <c r="AL432" s="460" t="str">
        <f t="shared" ca="1" si="93"/>
        <v/>
      </c>
      <c r="AM432" s="460" t="str">
        <f t="shared" ca="1" si="93"/>
        <v/>
      </c>
      <c r="AN432" s="461" t="str">
        <f t="shared" ca="1" si="93"/>
        <v/>
      </c>
      <c r="AO432" s="474" t="str">
        <f t="shared" ca="1" si="93"/>
        <v/>
      </c>
      <c r="AP432" s="475" t="str">
        <f t="shared" ca="1" si="93"/>
        <v/>
      </c>
      <c r="AQ432" s="479" t="str">
        <f t="array" aca="1" ref="AQ432" ca="1">IF(ROW()-5&lt;=COUNTIF(科目编号,$AR$2),SMALL(IF(科目编号=$AR$2,ROW(科目编号),""),ROW()-5),"")</f>
        <v/>
      </c>
      <c r="AR432" s="480" t="str">
        <f ca="1">IF($BG$2=0,"",IF(AR431="本月合计","本年累计",IF(OR(ROW()=$AU$3,ROW()=$AV$3,ROW()=$AW$3,ROW()=$AX$3,ROW()=$AY$3,ROW()=$AZ$3,ROW()=$BA$3,ROW()=$BB$3,ROW()=$BC$3,ROW()=$BD$3,ROW()=$BE$3,ROW()=$BF$3),"本月合计",IF(ROW()&lt;7,$AQ$6,OFFSET($AQ$6,COUNT($AR$6:AR431),0)))))</f>
        <v/>
      </c>
    </row>
    <row r="433" spans="1:44">
      <c r="A433" s="469" t="str">
        <f ca="1">IFERROR(INDEX(凭证录入!A:A,$AR433),"")</f>
        <v/>
      </c>
      <c r="B433" s="469" t="str">
        <f ca="1">IFERROR(INDEX(凭证录入!B:B,$AR433),"")</f>
        <v/>
      </c>
      <c r="C433" s="470" t="str">
        <f ca="1">IFERROR(INDEX(凭证录入!G:G,$AR433),"")</f>
        <v/>
      </c>
      <c r="D433" s="471" t="str">
        <f ca="1">IFERROR(INDEX(凭证录入!F:F,$AR433),"")</f>
        <v/>
      </c>
      <c r="E433" s="472" t="str">
        <f ca="1">IFERROR(INDEX(凭证录入!H:H,$AR433),$AR433)</f>
        <v/>
      </c>
      <c r="F433" s="473">
        <f ca="1">IF(OR($BG$2=0,$AR433=""),,IF($AR433="本月合计",IF(ROW()=$BG$3,SUM($F$6:$F432),SUM(INDIRECT("$F$"&amp;OFFSET($AU$3,,MATCH(ROW(),$AU$3:$BF$3,)-2)+2&amp;":$E"&amp;ROW()-1))),IF($AR433="本年累计",SUMIF($AR$6:$AR433,"本月合计",$F$6:$F432),INDEX(凭证录入!K:K,$AR433))))</f>
        <v>0</v>
      </c>
      <c r="G433" s="459" t="str">
        <f t="shared" ca="1" si="94"/>
        <v/>
      </c>
      <c r="H433" s="460" t="str">
        <f t="shared" ca="1" si="94"/>
        <v/>
      </c>
      <c r="I433" s="460" t="str">
        <f t="shared" ca="1" si="94"/>
        <v/>
      </c>
      <c r="J433" s="460" t="str">
        <f t="shared" ca="1" si="94"/>
        <v/>
      </c>
      <c r="K433" s="460" t="str">
        <f t="shared" ca="1" si="94"/>
        <v/>
      </c>
      <c r="L433" s="460" t="str">
        <f t="shared" ca="1" si="94"/>
        <v/>
      </c>
      <c r="M433" s="460" t="str">
        <f t="shared" ca="1" si="94"/>
        <v/>
      </c>
      <c r="N433" s="460" t="str">
        <f t="shared" ca="1" si="94"/>
        <v/>
      </c>
      <c r="O433" s="461" t="str">
        <f t="shared" ca="1" si="94"/>
        <v/>
      </c>
      <c r="P433" s="474" t="str">
        <f t="shared" ca="1" si="94"/>
        <v/>
      </c>
      <c r="Q433" s="475" t="str">
        <f t="shared" ca="1" si="94"/>
        <v/>
      </c>
      <c r="R433" s="476">
        <f ca="1">IF(OR($BG$2=0,$AR433=""),,IF($AR433="本月合计",IF(ROW()=$BG$3,SUM($R$6:$R432),SUM(INDIRECT("$R$"&amp;OFFSET($AU$3,,MATCH(ROW(),$AU$3:$BF$3,)-2)+2&amp;":$R"&amp;ROW()-1))),IF($AR433="本年累计",SUMIF($AR$6:$AR433,"本月合计",$R$6:$R432),INDEX(凭证录入!L:L,$AR433))))</f>
        <v>0</v>
      </c>
      <c r="S433" s="459" t="str">
        <f t="shared" ca="1" si="95"/>
        <v/>
      </c>
      <c r="T433" s="460" t="str">
        <f t="shared" ca="1" si="95"/>
        <v/>
      </c>
      <c r="U433" s="460" t="str">
        <f t="shared" ca="1" si="95"/>
        <v/>
      </c>
      <c r="V433" s="460" t="str">
        <f t="shared" ca="1" si="95"/>
        <v/>
      </c>
      <c r="W433" s="460" t="str">
        <f t="shared" ca="1" si="95"/>
        <v/>
      </c>
      <c r="X433" s="460" t="str">
        <f t="shared" ca="1" si="95"/>
        <v/>
      </c>
      <c r="Y433" s="460" t="str">
        <f t="shared" ca="1" si="95"/>
        <v/>
      </c>
      <c r="Z433" s="460" t="str">
        <f t="shared" ca="1" si="95"/>
        <v/>
      </c>
      <c r="AA433" s="461" t="str">
        <f t="shared" ca="1" si="95"/>
        <v/>
      </c>
      <c r="AB433" s="474" t="str">
        <f t="shared" ca="1" si="95"/>
        <v/>
      </c>
      <c r="AC433" s="475" t="str">
        <f t="shared" ca="1" si="95"/>
        <v/>
      </c>
      <c r="AD433" s="477" t="str">
        <f t="shared" ca="1" si="88"/>
        <v/>
      </c>
      <c r="AE433" s="478">
        <f t="shared" ca="1" si="89"/>
        <v>0</v>
      </c>
      <c r="AF433" s="459" t="str">
        <f t="shared" ca="1" si="93"/>
        <v/>
      </c>
      <c r="AG433" s="460" t="str">
        <f t="shared" ca="1" si="93"/>
        <v/>
      </c>
      <c r="AH433" s="460" t="str">
        <f t="shared" ca="1" si="93"/>
        <v/>
      </c>
      <c r="AI433" s="460" t="str">
        <f t="shared" ca="1" si="93"/>
        <v/>
      </c>
      <c r="AJ433" s="460" t="str">
        <f t="shared" ca="1" si="93"/>
        <v/>
      </c>
      <c r="AK433" s="460" t="str">
        <f t="shared" ca="1" si="93"/>
        <v/>
      </c>
      <c r="AL433" s="460" t="str">
        <f t="shared" ca="1" si="93"/>
        <v/>
      </c>
      <c r="AM433" s="460" t="str">
        <f t="shared" ca="1" si="93"/>
        <v/>
      </c>
      <c r="AN433" s="461" t="str">
        <f t="shared" ca="1" si="93"/>
        <v/>
      </c>
      <c r="AO433" s="474" t="str">
        <f t="shared" ca="1" si="93"/>
        <v/>
      </c>
      <c r="AP433" s="475" t="str">
        <f t="shared" ca="1" si="93"/>
        <v/>
      </c>
      <c r="AQ433" s="479" t="str">
        <f t="array" aca="1" ref="AQ433" ca="1">IF(ROW()-5&lt;=COUNTIF(科目编号,$AR$2),SMALL(IF(科目编号=$AR$2,ROW(科目编号),""),ROW()-5),"")</f>
        <v/>
      </c>
      <c r="AR433" s="480" t="str">
        <f ca="1">IF($BG$2=0,"",IF(AR432="本月合计","本年累计",IF(OR(ROW()=$AU$3,ROW()=$AV$3,ROW()=$AW$3,ROW()=$AX$3,ROW()=$AY$3,ROW()=$AZ$3,ROW()=$BA$3,ROW()=$BB$3,ROW()=$BC$3,ROW()=$BD$3,ROW()=$BE$3,ROW()=$BF$3),"本月合计",IF(ROW()&lt;7,$AQ$6,OFFSET($AQ$6,COUNT($AR$6:AR432),0)))))</f>
        <v/>
      </c>
    </row>
    <row r="434" spans="1:44">
      <c r="A434" s="469" t="str">
        <f ca="1">IFERROR(INDEX(凭证录入!A:A,$AR434),"")</f>
        <v/>
      </c>
      <c r="B434" s="469" t="str">
        <f ca="1">IFERROR(INDEX(凭证录入!B:B,$AR434),"")</f>
        <v/>
      </c>
      <c r="C434" s="470" t="str">
        <f ca="1">IFERROR(INDEX(凭证录入!G:G,$AR434),"")</f>
        <v/>
      </c>
      <c r="D434" s="471" t="str">
        <f ca="1">IFERROR(INDEX(凭证录入!F:F,$AR434),"")</f>
        <v/>
      </c>
      <c r="E434" s="472" t="str">
        <f ca="1">IFERROR(INDEX(凭证录入!H:H,$AR434),$AR434)</f>
        <v/>
      </c>
      <c r="F434" s="473">
        <f ca="1">IF(OR($BG$2=0,$AR434=""),,IF($AR434="本月合计",IF(ROW()=$BG$3,SUM($F$6:$F433),SUM(INDIRECT("$F$"&amp;OFFSET($AU$3,,MATCH(ROW(),$AU$3:$BF$3,)-2)+2&amp;":$E"&amp;ROW()-1))),IF($AR434="本年累计",SUMIF($AR$6:$AR434,"本月合计",$F$6:$F433),INDEX(凭证录入!K:K,$AR434))))</f>
        <v>0</v>
      </c>
      <c r="G434" s="459" t="str">
        <f t="shared" ca="1" si="94"/>
        <v/>
      </c>
      <c r="H434" s="460" t="str">
        <f t="shared" ca="1" si="94"/>
        <v/>
      </c>
      <c r="I434" s="460" t="str">
        <f t="shared" ca="1" si="94"/>
        <v/>
      </c>
      <c r="J434" s="460" t="str">
        <f t="shared" ca="1" si="94"/>
        <v/>
      </c>
      <c r="K434" s="460" t="str">
        <f t="shared" ca="1" si="94"/>
        <v/>
      </c>
      <c r="L434" s="460" t="str">
        <f t="shared" ca="1" si="94"/>
        <v/>
      </c>
      <c r="M434" s="460" t="str">
        <f t="shared" ca="1" si="94"/>
        <v/>
      </c>
      <c r="N434" s="460" t="str">
        <f t="shared" ca="1" si="94"/>
        <v/>
      </c>
      <c r="O434" s="461" t="str">
        <f t="shared" ca="1" si="94"/>
        <v/>
      </c>
      <c r="P434" s="474" t="str">
        <f t="shared" ca="1" si="94"/>
        <v/>
      </c>
      <c r="Q434" s="475" t="str">
        <f t="shared" ca="1" si="94"/>
        <v/>
      </c>
      <c r="R434" s="476">
        <f ca="1">IF(OR($BG$2=0,$AR434=""),,IF($AR434="本月合计",IF(ROW()=$BG$3,SUM($R$6:$R433),SUM(INDIRECT("$R$"&amp;OFFSET($AU$3,,MATCH(ROW(),$AU$3:$BF$3,)-2)+2&amp;":$R"&amp;ROW()-1))),IF($AR434="本年累计",SUMIF($AR$6:$AR434,"本月合计",$R$6:$R433),INDEX(凭证录入!L:L,$AR434))))</f>
        <v>0</v>
      </c>
      <c r="S434" s="459" t="str">
        <f t="shared" ca="1" si="95"/>
        <v/>
      </c>
      <c r="T434" s="460" t="str">
        <f t="shared" ca="1" si="95"/>
        <v/>
      </c>
      <c r="U434" s="460" t="str">
        <f t="shared" ca="1" si="95"/>
        <v/>
      </c>
      <c r="V434" s="460" t="str">
        <f t="shared" ca="1" si="95"/>
        <v/>
      </c>
      <c r="W434" s="460" t="str">
        <f t="shared" ca="1" si="95"/>
        <v/>
      </c>
      <c r="X434" s="460" t="str">
        <f t="shared" ca="1" si="95"/>
        <v/>
      </c>
      <c r="Y434" s="460" t="str">
        <f t="shared" ca="1" si="95"/>
        <v/>
      </c>
      <c r="Z434" s="460" t="str">
        <f t="shared" ca="1" si="95"/>
        <v/>
      </c>
      <c r="AA434" s="461" t="str">
        <f t="shared" ca="1" si="95"/>
        <v/>
      </c>
      <c r="AB434" s="474" t="str">
        <f t="shared" ca="1" si="95"/>
        <v/>
      </c>
      <c r="AC434" s="475" t="str">
        <f t="shared" ca="1" si="95"/>
        <v/>
      </c>
      <c r="AD434" s="477" t="str">
        <f t="shared" ca="1" si="88"/>
        <v/>
      </c>
      <c r="AE434" s="478">
        <f t="shared" ca="1" si="89"/>
        <v>0</v>
      </c>
      <c r="AF434" s="459" t="str">
        <f t="shared" ca="1" si="93"/>
        <v/>
      </c>
      <c r="AG434" s="460" t="str">
        <f t="shared" ca="1" si="93"/>
        <v/>
      </c>
      <c r="AH434" s="460" t="str">
        <f t="shared" ca="1" si="93"/>
        <v/>
      </c>
      <c r="AI434" s="460" t="str">
        <f t="shared" ca="1" si="93"/>
        <v/>
      </c>
      <c r="AJ434" s="460" t="str">
        <f t="shared" ca="1" si="93"/>
        <v/>
      </c>
      <c r="AK434" s="460" t="str">
        <f t="shared" ca="1" si="93"/>
        <v/>
      </c>
      <c r="AL434" s="460" t="str">
        <f t="shared" ca="1" si="93"/>
        <v/>
      </c>
      <c r="AM434" s="460" t="str">
        <f t="shared" ca="1" si="93"/>
        <v/>
      </c>
      <c r="AN434" s="461" t="str">
        <f t="shared" ca="1" si="93"/>
        <v/>
      </c>
      <c r="AO434" s="474" t="str">
        <f t="shared" ca="1" si="93"/>
        <v/>
      </c>
      <c r="AP434" s="475" t="str">
        <f t="shared" ca="1" si="93"/>
        <v/>
      </c>
      <c r="AQ434" s="479" t="str">
        <f t="array" aca="1" ref="AQ434" ca="1">IF(ROW()-5&lt;=COUNTIF(科目编号,$AR$2),SMALL(IF(科目编号=$AR$2,ROW(科目编号),""),ROW()-5),"")</f>
        <v/>
      </c>
      <c r="AR434" s="480" t="str">
        <f ca="1">IF($BG$2=0,"",IF(AR433="本月合计","本年累计",IF(OR(ROW()=$AU$3,ROW()=$AV$3,ROW()=$AW$3,ROW()=$AX$3,ROW()=$AY$3,ROW()=$AZ$3,ROW()=$BA$3,ROW()=$BB$3,ROW()=$BC$3,ROW()=$BD$3,ROW()=$BE$3,ROW()=$BF$3),"本月合计",IF(ROW()&lt;7,$AQ$6,OFFSET($AQ$6,COUNT($AR$6:AR433),0)))))</f>
        <v/>
      </c>
    </row>
    <row r="435" spans="1:44">
      <c r="A435" s="469" t="str">
        <f ca="1">IFERROR(INDEX(凭证录入!A:A,$AR435),"")</f>
        <v/>
      </c>
      <c r="B435" s="469" t="str">
        <f ca="1">IFERROR(INDEX(凭证录入!B:B,$AR435),"")</f>
        <v/>
      </c>
      <c r="C435" s="470" t="str">
        <f ca="1">IFERROR(INDEX(凭证录入!G:G,$AR435),"")</f>
        <v/>
      </c>
      <c r="D435" s="471" t="str">
        <f ca="1">IFERROR(INDEX(凭证录入!F:F,$AR435),"")</f>
        <v/>
      </c>
      <c r="E435" s="472" t="str">
        <f ca="1">IFERROR(INDEX(凭证录入!H:H,$AR435),$AR435)</f>
        <v/>
      </c>
      <c r="F435" s="473">
        <f ca="1">IF(OR($BG$2=0,$AR435=""),,IF($AR435="本月合计",IF(ROW()=$BG$3,SUM($F$6:$F434),SUM(INDIRECT("$F$"&amp;OFFSET($AU$3,,MATCH(ROW(),$AU$3:$BF$3,)-2)+2&amp;":$E"&amp;ROW()-1))),IF($AR435="本年累计",SUMIF($AR$6:$AR435,"本月合计",$F$6:$F434),INDEX(凭证录入!K:K,$AR435))))</f>
        <v>0</v>
      </c>
      <c r="G435" s="459" t="str">
        <f t="shared" ca="1" si="94"/>
        <v/>
      </c>
      <c r="H435" s="460" t="str">
        <f t="shared" ca="1" si="94"/>
        <v/>
      </c>
      <c r="I435" s="460" t="str">
        <f t="shared" ca="1" si="94"/>
        <v/>
      </c>
      <c r="J435" s="460" t="str">
        <f t="shared" ca="1" si="94"/>
        <v/>
      </c>
      <c r="K435" s="460" t="str">
        <f t="shared" ca="1" si="94"/>
        <v/>
      </c>
      <c r="L435" s="460" t="str">
        <f t="shared" ca="1" si="94"/>
        <v/>
      </c>
      <c r="M435" s="460" t="str">
        <f t="shared" ca="1" si="94"/>
        <v/>
      </c>
      <c r="N435" s="460" t="str">
        <f t="shared" ca="1" si="94"/>
        <v/>
      </c>
      <c r="O435" s="461" t="str">
        <f t="shared" ca="1" si="94"/>
        <v/>
      </c>
      <c r="P435" s="474" t="str">
        <f t="shared" ca="1" si="94"/>
        <v/>
      </c>
      <c r="Q435" s="475" t="str">
        <f t="shared" ca="1" si="94"/>
        <v/>
      </c>
      <c r="R435" s="476">
        <f ca="1">IF(OR($BG$2=0,$AR435=""),,IF($AR435="本月合计",IF(ROW()=$BG$3,SUM($R$6:$R434),SUM(INDIRECT("$R$"&amp;OFFSET($AU$3,,MATCH(ROW(),$AU$3:$BF$3,)-2)+2&amp;":$R"&amp;ROW()-1))),IF($AR435="本年累计",SUMIF($AR$6:$AR435,"本月合计",$R$6:$R434),INDEX(凭证录入!L:L,$AR435))))</f>
        <v>0</v>
      </c>
      <c r="S435" s="459" t="str">
        <f t="shared" ca="1" si="95"/>
        <v/>
      </c>
      <c r="T435" s="460" t="str">
        <f t="shared" ca="1" si="95"/>
        <v/>
      </c>
      <c r="U435" s="460" t="str">
        <f t="shared" ca="1" si="95"/>
        <v/>
      </c>
      <c r="V435" s="460" t="str">
        <f t="shared" ca="1" si="95"/>
        <v/>
      </c>
      <c r="W435" s="460" t="str">
        <f t="shared" ca="1" si="95"/>
        <v/>
      </c>
      <c r="X435" s="460" t="str">
        <f t="shared" ca="1" si="95"/>
        <v/>
      </c>
      <c r="Y435" s="460" t="str">
        <f t="shared" ca="1" si="95"/>
        <v/>
      </c>
      <c r="Z435" s="460" t="str">
        <f t="shared" ca="1" si="95"/>
        <v/>
      </c>
      <c r="AA435" s="461" t="str">
        <f t="shared" ca="1" si="95"/>
        <v/>
      </c>
      <c r="AB435" s="474" t="str">
        <f t="shared" ca="1" si="95"/>
        <v/>
      </c>
      <c r="AC435" s="475" t="str">
        <f t="shared" ca="1" si="95"/>
        <v/>
      </c>
      <c r="AD435" s="477" t="str">
        <f t="shared" ca="1" si="88"/>
        <v/>
      </c>
      <c r="AE435" s="478">
        <f t="shared" ca="1" si="89"/>
        <v>0</v>
      </c>
      <c r="AF435" s="459" t="str">
        <f t="shared" ca="1" si="93"/>
        <v/>
      </c>
      <c r="AG435" s="460" t="str">
        <f t="shared" ca="1" si="93"/>
        <v/>
      </c>
      <c r="AH435" s="460" t="str">
        <f t="shared" ca="1" si="93"/>
        <v/>
      </c>
      <c r="AI435" s="460" t="str">
        <f t="shared" ca="1" si="93"/>
        <v/>
      </c>
      <c r="AJ435" s="460" t="str">
        <f t="shared" ca="1" si="93"/>
        <v/>
      </c>
      <c r="AK435" s="460" t="str">
        <f t="shared" ca="1" si="93"/>
        <v/>
      </c>
      <c r="AL435" s="460" t="str">
        <f t="shared" ca="1" si="93"/>
        <v/>
      </c>
      <c r="AM435" s="460" t="str">
        <f t="shared" ca="1" si="93"/>
        <v/>
      </c>
      <c r="AN435" s="461" t="str">
        <f t="shared" ca="1" si="93"/>
        <v/>
      </c>
      <c r="AO435" s="474" t="str">
        <f t="shared" ca="1" si="93"/>
        <v/>
      </c>
      <c r="AP435" s="475" t="str">
        <f t="shared" ca="1" si="93"/>
        <v/>
      </c>
      <c r="AQ435" s="479" t="str">
        <f t="array" aca="1" ref="AQ435" ca="1">IF(ROW()-5&lt;=COUNTIF(科目编号,$AR$2),SMALL(IF(科目编号=$AR$2,ROW(科目编号),""),ROW()-5),"")</f>
        <v/>
      </c>
      <c r="AR435" s="480" t="str">
        <f ca="1">IF($BG$2=0,"",IF(AR434="本月合计","本年累计",IF(OR(ROW()=$AU$3,ROW()=$AV$3,ROW()=$AW$3,ROW()=$AX$3,ROW()=$AY$3,ROW()=$AZ$3,ROW()=$BA$3,ROW()=$BB$3,ROW()=$BC$3,ROW()=$BD$3,ROW()=$BE$3,ROW()=$BF$3),"本月合计",IF(ROW()&lt;7,$AQ$6,OFFSET($AQ$6,COUNT($AR$6:AR434),0)))))</f>
        <v/>
      </c>
    </row>
    <row r="436" spans="1:44">
      <c r="A436" s="469" t="str">
        <f ca="1">IFERROR(INDEX(凭证录入!A:A,$AR436),"")</f>
        <v/>
      </c>
      <c r="B436" s="469" t="str">
        <f ca="1">IFERROR(INDEX(凭证录入!B:B,$AR436),"")</f>
        <v/>
      </c>
      <c r="C436" s="470" t="str">
        <f ca="1">IFERROR(INDEX(凭证录入!G:G,$AR436),"")</f>
        <v/>
      </c>
      <c r="D436" s="471" t="str">
        <f ca="1">IFERROR(INDEX(凭证录入!F:F,$AR436),"")</f>
        <v/>
      </c>
      <c r="E436" s="472" t="str">
        <f ca="1">IFERROR(INDEX(凭证录入!H:H,$AR436),$AR436)</f>
        <v/>
      </c>
      <c r="F436" s="473">
        <f ca="1">IF(OR($BG$2=0,$AR436=""),,IF($AR436="本月合计",IF(ROW()=$BG$3,SUM($F$6:$F435),SUM(INDIRECT("$F$"&amp;OFFSET($AU$3,,MATCH(ROW(),$AU$3:$BF$3,)-2)+2&amp;":$E"&amp;ROW()-1))),IF($AR436="本年累计",SUMIF($AR$6:$AR436,"本月合计",$F$6:$F435),INDEX(凭证录入!K:K,$AR436))))</f>
        <v>0</v>
      </c>
      <c r="G436" s="459" t="str">
        <f t="shared" ca="1" si="94"/>
        <v/>
      </c>
      <c r="H436" s="460" t="str">
        <f t="shared" ca="1" si="94"/>
        <v/>
      </c>
      <c r="I436" s="460" t="str">
        <f t="shared" ca="1" si="94"/>
        <v/>
      </c>
      <c r="J436" s="460" t="str">
        <f t="shared" ca="1" si="94"/>
        <v/>
      </c>
      <c r="K436" s="460" t="str">
        <f t="shared" ca="1" si="94"/>
        <v/>
      </c>
      <c r="L436" s="460" t="str">
        <f t="shared" ca="1" si="94"/>
        <v/>
      </c>
      <c r="M436" s="460" t="str">
        <f t="shared" ca="1" si="94"/>
        <v/>
      </c>
      <c r="N436" s="460" t="str">
        <f t="shared" ca="1" si="94"/>
        <v/>
      </c>
      <c r="O436" s="461" t="str">
        <f t="shared" ca="1" si="94"/>
        <v/>
      </c>
      <c r="P436" s="474" t="str">
        <f t="shared" ca="1" si="94"/>
        <v/>
      </c>
      <c r="Q436" s="475" t="str">
        <f t="shared" ca="1" si="94"/>
        <v/>
      </c>
      <c r="R436" s="476">
        <f ca="1">IF(OR($BG$2=0,$AR436=""),,IF($AR436="本月合计",IF(ROW()=$BG$3,SUM($R$6:$R435),SUM(INDIRECT("$R$"&amp;OFFSET($AU$3,,MATCH(ROW(),$AU$3:$BF$3,)-2)+2&amp;":$R"&amp;ROW()-1))),IF($AR436="本年累计",SUMIF($AR$6:$AR436,"本月合计",$R$6:$R435),INDEX(凭证录入!L:L,$AR436))))</f>
        <v>0</v>
      </c>
      <c r="S436" s="459" t="str">
        <f t="shared" ca="1" si="95"/>
        <v/>
      </c>
      <c r="T436" s="460" t="str">
        <f t="shared" ca="1" si="95"/>
        <v/>
      </c>
      <c r="U436" s="460" t="str">
        <f t="shared" ca="1" si="95"/>
        <v/>
      </c>
      <c r="V436" s="460" t="str">
        <f t="shared" ca="1" si="95"/>
        <v/>
      </c>
      <c r="W436" s="460" t="str">
        <f t="shared" ca="1" si="95"/>
        <v/>
      </c>
      <c r="X436" s="460" t="str">
        <f t="shared" ca="1" si="95"/>
        <v/>
      </c>
      <c r="Y436" s="460" t="str">
        <f t="shared" ca="1" si="95"/>
        <v/>
      </c>
      <c r="Z436" s="460" t="str">
        <f t="shared" ca="1" si="95"/>
        <v/>
      </c>
      <c r="AA436" s="461" t="str">
        <f t="shared" ca="1" si="95"/>
        <v/>
      </c>
      <c r="AB436" s="474" t="str">
        <f t="shared" ca="1" si="95"/>
        <v/>
      </c>
      <c r="AC436" s="475" t="str">
        <f t="shared" ca="1" si="95"/>
        <v/>
      </c>
      <c r="AD436" s="477" t="str">
        <f t="shared" ca="1" si="88"/>
        <v/>
      </c>
      <c r="AE436" s="478">
        <f t="shared" ca="1" si="89"/>
        <v>0</v>
      </c>
      <c r="AF436" s="459" t="str">
        <f t="shared" ca="1" si="93"/>
        <v/>
      </c>
      <c r="AG436" s="460" t="str">
        <f t="shared" ca="1" si="93"/>
        <v/>
      </c>
      <c r="AH436" s="460" t="str">
        <f t="shared" ca="1" si="93"/>
        <v/>
      </c>
      <c r="AI436" s="460" t="str">
        <f t="shared" ca="1" si="93"/>
        <v/>
      </c>
      <c r="AJ436" s="460" t="str">
        <f t="shared" ca="1" si="93"/>
        <v/>
      </c>
      <c r="AK436" s="460" t="str">
        <f t="shared" ca="1" si="93"/>
        <v/>
      </c>
      <c r="AL436" s="460" t="str">
        <f t="shared" ca="1" si="93"/>
        <v/>
      </c>
      <c r="AM436" s="460" t="str">
        <f t="shared" ca="1" si="93"/>
        <v/>
      </c>
      <c r="AN436" s="461" t="str">
        <f t="shared" ca="1" si="93"/>
        <v/>
      </c>
      <c r="AO436" s="474" t="str">
        <f t="shared" ca="1" si="93"/>
        <v/>
      </c>
      <c r="AP436" s="475" t="str">
        <f t="shared" ca="1" si="93"/>
        <v/>
      </c>
      <c r="AQ436" s="479" t="str">
        <f t="array" aca="1" ref="AQ436" ca="1">IF(ROW()-5&lt;=COUNTIF(科目编号,$AR$2),SMALL(IF(科目编号=$AR$2,ROW(科目编号),""),ROW()-5),"")</f>
        <v/>
      </c>
      <c r="AR436" s="480" t="str">
        <f ca="1">IF($BG$2=0,"",IF(AR435="本月合计","本年累计",IF(OR(ROW()=$AU$3,ROW()=$AV$3,ROW()=$AW$3,ROW()=$AX$3,ROW()=$AY$3,ROW()=$AZ$3,ROW()=$BA$3,ROW()=$BB$3,ROW()=$BC$3,ROW()=$BD$3,ROW()=$BE$3,ROW()=$BF$3),"本月合计",IF(ROW()&lt;7,$AQ$6,OFFSET($AQ$6,COUNT($AR$6:AR435),0)))))</f>
        <v/>
      </c>
    </row>
    <row r="437" spans="1:44">
      <c r="A437" s="469" t="str">
        <f ca="1">IFERROR(INDEX(凭证录入!A:A,$AR437),"")</f>
        <v/>
      </c>
      <c r="B437" s="469" t="str">
        <f ca="1">IFERROR(INDEX(凭证录入!B:B,$AR437),"")</f>
        <v/>
      </c>
      <c r="C437" s="470" t="str">
        <f ca="1">IFERROR(INDEX(凭证录入!G:G,$AR437),"")</f>
        <v/>
      </c>
      <c r="D437" s="471" t="str">
        <f ca="1">IFERROR(INDEX(凭证录入!F:F,$AR437),"")</f>
        <v/>
      </c>
      <c r="E437" s="472" t="str">
        <f ca="1">IFERROR(INDEX(凭证录入!H:H,$AR437),$AR437)</f>
        <v/>
      </c>
      <c r="F437" s="473">
        <f ca="1">IF(OR($BG$2=0,$AR437=""),,IF($AR437="本月合计",IF(ROW()=$BG$3,SUM($F$6:$F436),SUM(INDIRECT("$F$"&amp;OFFSET($AU$3,,MATCH(ROW(),$AU$3:$BF$3,)-2)+2&amp;":$E"&amp;ROW()-1))),IF($AR437="本年累计",SUMIF($AR$6:$AR437,"本月合计",$F$6:$F436),INDEX(凭证录入!K:K,$AR437))))</f>
        <v>0</v>
      </c>
      <c r="G437" s="459" t="str">
        <f t="shared" ca="1" si="94"/>
        <v/>
      </c>
      <c r="H437" s="460" t="str">
        <f t="shared" ca="1" si="94"/>
        <v/>
      </c>
      <c r="I437" s="460" t="str">
        <f t="shared" ca="1" si="94"/>
        <v/>
      </c>
      <c r="J437" s="460" t="str">
        <f t="shared" ca="1" si="94"/>
        <v/>
      </c>
      <c r="K437" s="460" t="str">
        <f t="shared" ca="1" si="94"/>
        <v/>
      </c>
      <c r="L437" s="460" t="str">
        <f t="shared" ca="1" si="94"/>
        <v/>
      </c>
      <c r="M437" s="460" t="str">
        <f t="shared" ca="1" si="94"/>
        <v/>
      </c>
      <c r="N437" s="460" t="str">
        <f t="shared" ca="1" si="94"/>
        <v/>
      </c>
      <c r="O437" s="461" t="str">
        <f t="shared" ca="1" si="94"/>
        <v/>
      </c>
      <c r="P437" s="474" t="str">
        <f t="shared" ca="1" si="94"/>
        <v/>
      </c>
      <c r="Q437" s="475" t="str">
        <f t="shared" ca="1" si="94"/>
        <v/>
      </c>
      <c r="R437" s="476">
        <f ca="1">IF(OR($BG$2=0,$AR437=""),,IF($AR437="本月合计",IF(ROW()=$BG$3,SUM($R$6:$R436),SUM(INDIRECT("$R$"&amp;OFFSET($AU$3,,MATCH(ROW(),$AU$3:$BF$3,)-2)+2&amp;":$R"&amp;ROW()-1))),IF($AR437="本年累计",SUMIF($AR$6:$AR437,"本月合计",$R$6:$R436),INDEX(凭证录入!L:L,$AR437))))</f>
        <v>0</v>
      </c>
      <c r="S437" s="459" t="str">
        <f t="shared" ca="1" si="95"/>
        <v/>
      </c>
      <c r="T437" s="460" t="str">
        <f t="shared" ca="1" si="95"/>
        <v/>
      </c>
      <c r="U437" s="460" t="str">
        <f t="shared" ca="1" si="95"/>
        <v/>
      </c>
      <c r="V437" s="460" t="str">
        <f t="shared" ca="1" si="95"/>
        <v/>
      </c>
      <c r="W437" s="460" t="str">
        <f t="shared" ca="1" si="95"/>
        <v/>
      </c>
      <c r="X437" s="460" t="str">
        <f t="shared" ca="1" si="95"/>
        <v/>
      </c>
      <c r="Y437" s="460" t="str">
        <f t="shared" ca="1" si="95"/>
        <v/>
      </c>
      <c r="Z437" s="460" t="str">
        <f t="shared" ca="1" si="95"/>
        <v/>
      </c>
      <c r="AA437" s="461" t="str">
        <f t="shared" ca="1" si="95"/>
        <v/>
      </c>
      <c r="AB437" s="474" t="str">
        <f t="shared" ca="1" si="95"/>
        <v/>
      </c>
      <c r="AC437" s="475" t="str">
        <f t="shared" ca="1" si="95"/>
        <v/>
      </c>
      <c r="AD437" s="477" t="str">
        <f t="shared" ca="1" si="88"/>
        <v/>
      </c>
      <c r="AE437" s="478">
        <f t="shared" ca="1" si="89"/>
        <v>0</v>
      </c>
      <c r="AF437" s="459" t="str">
        <f t="shared" ref="AF437:AP452" ca="1" si="96">LEFT(RIGHT(TEXT($AE437/1%," ￥0; ￥-0;"),43-COLUMN()))</f>
        <v/>
      </c>
      <c r="AG437" s="460" t="str">
        <f t="shared" ca="1" si="96"/>
        <v/>
      </c>
      <c r="AH437" s="460" t="str">
        <f t="shared" ca="1" si="96"/>
        <v/>
      </c>
      <c r="AI437" s="460" t="str">
        <f t="shared" ca="1" si="96"/>
        <v/>
      </c>
      <c r="AJ437" s="460" t="str">
        <f t="shared" ca="1" si="96"/>
        <v/>
      </c>
      <c r="AK437" s="460" t="str">
        <f t="shared" ca="1" si="96"/>
        <v/>
      </c>
      <c r="AL437" s="460" t="str">
        <f t="shared" ca="1" si="96"/>
        <v/>
      </c>
      <c r="AM437" s="460" t="str">
        <f t="shared" ca="1" si="96"/>
        <v/>
      </c>
      <c r="AN437" s="461" t="str">
        <f t="shared" ca="1" si="96"/>
        <v/>
      </c>
      <c r="AO437" s="474" t="str">
        <f t="shared" ca="1" si="96"/>
        <v/>
      </c>
      <c r="AP437" s="475" t="str">
        <f t="shared" ca="1" si="96"/>
        <v/>
      </c>
      <c r="AQ437" s="479" t="str">
        <f t="array" aca="1" ref="AQ437" ca="1">IF(ROW()-5&lt;=COUNTIF(科目编号,$AR$2),SMALL(IF(科目编号=$AR$2,ROW(科目编号),""),ROW()-5),"")</f>
        <v/>
      </c>
      <c r="AR437" s="480" t="str">
        <f ca="1">IF($BG$2=0,"",IF(AR436="本月合计","本年累计",IF(OR(ROW()=$AU$3,ROW()=$AV$3,ROW()=$AW$3,ROW()=$AX$3,ROW()=$AY$3,ROW()=$AZ$3,ROW()=$BA$3,ROW()=$BB$3,ROW()=$BC$3,ROW()=$BD$3,ROW()=$BE$3,ROW()=$BF$3),"本月合计",IF(ROW()&lt;7,$AQ$6,OFFSET($AQ$6,COUNT($AR$6:AR436),0)))))</f>
        <v/>
      </c>
    </row>
    <row r="438" spans="1:44">
      <c r="A438" s="469" t="str">
        <f ca="1">IFERROR(INDEX(凭证录入!A:A,$AR438),"")</f>
        <v/>
      </c>
      <c r="B438" s="469" t="str">
        <f ca="1">IFERROR(INDEX(凭证录入!B:B,$AR438),"")</f>
        <v/>
      </c>
      <c r="C438" s="470" t="str">
        <f ca="1">IFERROR(INDEX(凭证录入!G:G,$AR438),"")</f>
        <v/>
      </c>
      <c r="D438" s="471" t="str">
        <f ca="1">IFERROR(INDEX(凭证录入!F:F,$AR438),"")</f>
        <v/>
      </c>
      <c r="E438" s="472" t="str">
        <f ca="1">IFERROR(INDEX(凭证录入!H:H,$AR438),$AR438)</f>
        <v/>
      </c>
      <c r="F438" s="473">
        <f ca="1">IF(OR($BG$2=0,$AR438=""),,IF($AR438="本月合计",IF(ROW()=$BG$3,SUM($F$6:$F437),SUM(INDIRECT("$F$"&amp;OFFSET($AU$3,,MATCH(ROW(),$AU$3:$BF$3,)-2)+2&amp;":$E"&amp;ROW()-1))),IF($AR438="本年累计",SUMIF($AR$6:$AR438,"本月合计",$F$6:$F437),INDEX(凭证录入!K:K,$AR438))))</f>
        <v>0</v>
      </c>
      <c r="G438" s="459" t="str">
        <f t="shared" ref="G438:Q453" ca="1" si="97">LEFT(RIGHT(TEXT($F438/1%," ￥0; ￥-0;"),18-COLUMN()))</f>
        <v/>
      </c>
      <c r="H438" s="460" t="str">
        <f t="shared" ca="1" si="97"/>
        <v/>
      </c>
      <c r="I438" s="460" t="str">
        <f t="shared" ca="1" si="97"/>
        <v/>
      </c>
      <c r="J438" s="460" t="str">
        <f t="shared" ca="1" si="97"/>
        <v/>
      </c>
      <c r="K438" s="460" t="str">
        <f t="shared" ca="1" si="97"/>
        <v/>
      </c>
      <c r="L438" s="460" t="str">
        <f t="shared" ca="1" si="97"/>
        <v/>
      </c>
      <c r="M438" s="460" t="str">
        <f t="shared" ca="1" si="97"/>
        <v/>
      </c>
      <c r="N438" s="460" t="str">
        <f t="shared" ca="1" si="97"/>
        <v/>
      </c>
      <c r="O438" s="461" t="str">
        <f t="shared" ca="1" si="97"/>
        <v/>
      </c>
      <c r="P438" s="474" t="str">
        <f t="shared" ca="1" si="97"/>
        <v/>
      </c>
      <c r="Q438" s="475" t="str">
        <f t="shared" ca="1" si="97"/>
        <v/>
      </c>
      <c r="R438" s="476">
        <f ca="1">IF(OR($BG$2=0,$AR438=""),,IF($AR438="本月合计",IF(ROW()=$BG$3,SUM($R$6:$R437),SUM(INDIRECT("$R$"&amp;OFFSET($AU$3,,MATCH(ROW(),$AU$3:$BF$3,)-2)+2&amp;":$R"&amp;ROW()-1))),IF($AR438="本年累计",SUMIF($AR$6:$AR438,"本月合计",$R$6:$R437),INDEX(凭证录入!L:L,$AR438))))</f>
        <v>0</v>
      </c>
      <c r="S438" s="459" t="str">
        <f t="shared" ref="S438:AC453" ca="1" si="98">LEFT(RIGHT(TEXT($R438/1%," ￥0; ￥-0;"),30-COLUMN()))</f>
        <v/>
      </c>
      <c r="T438" s="460" t="str">
        <f t="shared" ca="1" si="98"/>
        <v/>
      </c>
      <c r="U438" s="460" t="str">
        <f t="shared" ca="1" si="98"/>
        <v/>
      </c>
      <c r="V438" s="460" t="str">
        <f t="shared" ca="1" si="98"/>
        <v/>
      </c>
      <c r="W438" s="460" t="str">
        <f t="shared" ca="1" si="98"/>
        <v/>
      </c>
      <c r="X438" s="460" t="str">
        <f t="shared" ca="1" si="98"/>
        <v/>
      </c>
      <c r="Y438" s="460" t="str">
        <f t="shared" ca="1" si="98"/>
        <v/>
      </c>
      <c r="Z438" s="460" t="str">
        <f t="shared" ca="1" si="98"/>
        <v/>
      </c>
      <c r="AA438" s="461" t="str">
        <f t="shared" ca="1" si="98"/>
        <v/>
      </c>
      <c r="AB438" s="474" t="str">
        <f t="shared" ca="1" si="98"/>
        <v/>
      </c>
      <c r="AC438" s="475" t="str">
        <f t="shared" ca="1" si="98"/>
        <v/>
      </c>
      <c r="AD438" s="477" t="str">
        <f t="shared" ca="1" si="88"/>
        <v/>
      </c>
      <c r="AE438" s="478">
        <f t="shared" ca="1" si="89"/>
        <v>0</v>
      </c>
      <c r="AF438" s="459" t="str">
        <f t="shared" ca="1" si="96"/>
        <v/>
      </c>
      <c r="AG438" s="460" t="str">
        <f t="shared" ca="1" si="96"/>
        <v/>
      </c>
      <c r="AH438" s="460" t="str">
        <f t="shared" ca="1" si="96"/>
        <v/>
      </c>
      <c r="AI438" s="460" t="str">
        <f t="shared" ca="1" si="96"/>
        <v/>
      </c>
      <c r="AJ438" s="460" t="str">
        <f t="shared" ca="1" si="96"/>
        <v/>
      </c>
      <c r="AK438" s="460" t="str">
        <f t="shared" ca="1" si="96"/>
        <v/>
      </c>
      <c r="AL438" s="460" t="str">
        <f t="shared" ca="1" si="96"/>
        <v/>
      </c>
      <c r="AM438" s="460" t="str">
        <f t="shared" ca="1" si="96"/>
        <v/>
      </c>
      <c r="AN438" s="461" t="str">
        <f t="shared" ca="1" si="96"/>
        <v/>
      </c>
      <c r="AO438" s="474" t="str">
        <f t="shared" ca="1" si="96"/>
        <v/>
      </c>
      <c r="AP438" s="475" t="str">
        <f t="shared" ca="1" si="96"/>
        <v/>
      </c>
      <c r="AQ438" s="479" t="str">
        <f t="array" aca="1" ref="AQ438" ca="1">IF(ROW()-5&lt;=COUNTIF(科目编号,$AR$2),SMALL(IF(科目编号=$AR$2,ROW(科目编号),""),ROW()-5),"")</f>
        <v/>
      </c>
      <c r="AR438" s="480" t="str">
        <f ca="1">IF($BG$2=0,"",IF(AR437="本月合计","本年累计",IF(OR(ROW()=$AU$3,ROW()=$AV$3,ROW()=$AW$3,ROW()=$AX$3,ROW()=$AY$3,ROW()=$AZ$3,ROW()=$BA$3,ROW()=$BB$3,ROW()=$BC$3,ROW()=$BD$3,ROW()=$BE$3,ROW()=$BF$3),"本月合计",IF(ROW()&lt;7,$AQ$6,OFFSET($AQ$6,COUNT($AR$6:AR437),0)))))</f>
        <v/>
      </c>
    </row>
    <row r="439" spans="1:44">
      <c r="A439" s="469" t="str">
        <f ca="1">IFERROR(INDEX(凭证录入!A:A,$AR439),"")</f>
        <v/>
      </c>
      <c r="B439" s="469" t="str">
        <f ca="1">IFERROR(INDEX(凭证录入!B:B,$AR439),"")</f>
        <v/>
      </c>
      <c r="C439" s="470" t="str">
        <f ca="1">IFERROR(INDEX(凭证录入!G:G,$AR439),"")</f>
        <v/>
      </c>
      <c r="D439" s="471" t="str">
        <f ca="1">IFERROR(INDEX(凭证录入!F:F,$AR439),"")</f>
        <v/>
      </c>
      <c r="E439" s="472" t="str">
        <f ca="1">IFERROR(INDEX(凭证录入!H:H,$AR439),$AR439)</f>
        <v/>
      </c>
      <c r="F439" s="473">
        <f ca="1">IF(OR($BG$2=0,$AR439=""),,IF($AR439="本月合计",IF(ROW()=$BG$3,SUM($F$6:$F438),SUM(INDIRECT("$F$"&amp;OFFSET($AU$3,,MATCH(ROW(),$AU$3:$BF$3,)-2)+2&amp;":$E"&amp;ROW()-1))),IF($AR439="本年累计",SUMIF($AR$6:$AR439,"本月合计",$F$6:$F438),INDEX(凭证录入!K:K,$AR439))))</f>
        <v>0</v>
      </c>
      <c r="G439" s="459" t="str">
        <f t="shared" ca="1" si="97"/>
        <v/>
      </c>
      <c r="H439" s="460" t="str">
        <f t="shared" ca="1" si="97"/>
        <v/>
      </c>
      <c r="I439" s="460" t="str">
        <f t="shared" ca="1" si="97"/>
        <v/>
      </c>
      <c r="J439" s="460" t="str">
        <f t="shared" ca="1" si="97"/>
        <v/>
      </c>
      <c r="K439" s="460" t="str">
        <f t="shared" ca="1" si="97"/>
        <v/>
      </c>
      <c r="L439" s="460" t="str">
        <f t="shared" ca="1" si="97"/>
        <v/>
      </c>
      <c r="M439" s="460" t="str">
        <f t="shared" ca="1" si="97"/>
        <v/>
      </c>
      <c r="N439" s="460" t="str">
        <f t="shared" ca="1" si="97"/>
        <v/>
      </c>
      <c r="O439" s="461" t="str">
        <f t="shared" ca="1" si="97"/>
        <v/>
      </c>
      <c r="P439" s="474" t="str">
        <f t="shared" ca="1" si="97"/>
        <v/>
      </c>
      <c r="Q439" s="475" t="str">
        <f t="shared" ca="1" si="97"/>
        <v/>
      </c>
      <c r="R439" s="476">
        <f ca="1">IF(OR($BG$2=0,$AR439=""),,IF($AR439="本月合计",IF(ROW()=$BG$3,SUM($R$6:$R438),SUM(INDIRECT("$R$"&amp;OFFSET($AU$3,,MATCH(ROW(),$AU$3:$BF$3,)-2)+2&amp;":$R"&amp;ROW()-1))),IF($AR439="本年累计",SUMIF($AR$6:$AR439,"本月合计",$R$6:$R438),INDEX(凭证录入!L:L,$AR439))))</f>
        <v>0</v>
      </c>
      <c r="S439" s="459" t="str">
        <f t="shared" ca="1" si="98"/>
        <v/>
      </c>
      <c r="T439" s="460" t="str">
        <f t="shared" ca="1" si="98"/>
        <v/>
      </c>
      <c r="U439" s="460" t="str">
        <f t="shared" ca="1" si="98"/>
        <v/>
      </c>
      <c r="V439" s="460" t="str">
        <f t="shared" ca="1" si="98"/>
        <v/>
      </c>
      <c r="W439" s="460" t="str">
        <f t="shared" ca="1" si="98"/>
        <v/>
      </c>
      <c r="X439" s="460" t="str">
        <f t="shared" ca="1" si="98"/>
        <v/>
      </c>
      <c r="Y439" s="460" t="str">
        <f t="shared" ca="1" si="98"/>
        <v/>
      </c>
      <c r="Z439" s="460" t="str">
        <f t="shared" ca="1" si="98"/>
        <v/>
      </c>
      <c r="AA439" s="461" t="str">
        <f t="shared" ca="1" si="98"/>
        <v/>
      </c>
      <c r="AB439" s="474" t="str">
        <f t="shared" ca="1" si="98"/>
        <v/>
      </c>
      <c r="AC439" s="475" t="str">
        <f t="shared" ca="1" si="98"/>
        <v/>
      </c>
      <c r="AD439" s="477" t="str">
        <f t="shared" ca="1" si="88"/>
        <v/>
      </c>
      <c r="AE439" s="478">
        <f t="shared" ca="1" si="89"/>
        <v>0</v>
      </c>
      <c r="AF439" s="459" t="str">
        <f t="shared" ca="1" si="96"/>
        <v/>
      </c>
      <c r="AG439" s="460" t="str">
        <f t="shared" ca="1" si="96"/>
        <v/>
      </c>
      <c r="AH439" s="460" t="str">
        <f t="shared" ca="1" si="96"/>
        <v/>
      </c>
      <c r="AI439" s="460" t="str">
        <f t="shared" ca="1" si="96"/>
        <v/>
      </c>
      <c r="AJ439" s="460" t="str">
        <f t="shared" ca="1" si="96"/>
        <v/>
      </c>
      <c r="AK439" s="460" t="str">
        <f t="shared" ca="1" si="96"/>
        <v/>
      </c>
      <c r="AL439" s="460" t="str">
        <f t="shared" ca="1" si="96"/>
        <v/>
      </c>
      <c r="AM439" s="460" t="str">
        <f t="shared" ca="1" si="96"/>
        <v/>
      </c>
      <c r="AN439" s="461" t="str">
        <f t="shared" ca="1" si="96"/>
        <v/>
      </c>
      <c r="AO439" s="474" t="str">
        <f t="shared" ca="1" si="96"/>
        <v/>
      </c>
      <c r="AP439" s="475" t="str">
        <f t="shared" ca="1" si="96"/>
        <v/>
      </c>
      <c r="AQ439" s="479" t="str">
        <f t="array" aca="1" ref="AQ439" ca="1">IF(ROW()-5&lt;=COUNTIF(科目编号,$AR$2),SMALL(IF(科目编号=$AR$2,ROW(科目编号),""),ROW()-5),"")</f>
        <v/>
      </c>
      <c r="AR439" s="480" t="str">
        <f ca="1">IF($BG$2=0,"",IF(AR438="本月合计","本年累计",IF(OR(ROW()=$AU$3,ROW()=$AV$3,ROW()=$AW$3,ROW()=$AX$3,ROW()=$AY$3,ROW()=$AZ$3,ROW()=$BA$3,ROW()=$BB$3,ROW()=$BC$3,ROW()=$BD$3,ROW()=$BE$3,ROW()=$BF$3),"本月合计",IF(ROW()&lt;7,$AQ$6,OFFSET($AQ$6,COUNT($AR$6:AR438),0)))))</f>
        <v/>
      </c>
    </row>
    <row r="440" spans="1:44">
      <c r="A440" s="469" t="str">
        <f ca="1">IFERROR(INDEX(凭证录入!A:A,$AR440),"")</f>
        <v/>
      </c>
      <c r="B440" s="469" t="str">
        <f ca="1">IFERROR(INDEX(凭证录入!B:B,$AR440),"")</f>
        <v/>
      </c>
      <c r="C440" s="470" t="str">
        <f ca="1">IFERROR(INDEX(凭证录入!G:G,$AR440),"")</f>
        <v/>
      </c>
      <c r="D440" s="471" t="str">
        <f ca="1">IFERROR(INDEX(凭证录入!F:F,$AR440),"")</f>
        <v/>
      </c>
      <c r="E440" s="472" t="str">
        <f ca="1">IFERROR(INDEX(凭证录入!H:H,$AR440),$AR440)</f>
        <v/>
      </c>
      <c r="F440" s="473">
        <f ca="1">IF(OR($BG$2=0,$AR440=""),,IF($AR440="本月合计",IF(ROW()=$BG$3,SUM($F$6:$F439),SUM(INDIRECT("$F$"&amp;OFFSET($AU$3,,MATCH(ROW(),$AU$3:$BF$3,)-2)+2&amp;":$E"&amp;ROW()-1))),IF($AR440="本年累计",SUMIF($AR$6:$AR440,"本月合计",$F$6:$F439),INDEX(凭证录入!K:K,$AR440))))</f>
        <v>0</v>
      </c>
      <c r="G440" s="459" t="str">
        <f t="shared" ca="1" si="97"/>
        <v/>
      </c>
      <c r="H440" s="460" t="str">
        <f t="shared" ca="1" si="97"/>
        <v/>
      </c>
      <c r="I440" s="460" t="str">
        <f t="shared" ca="1" si="97"/>
        <v/>
      </c>
      <c r="J440" s="460" t="str">
        <f t="shared" ca="1" si="97"/>
        <v/>
      </c>
      <c r="K440" s="460" t="str">
        <f t="shared" ca="1" si="97"/>
        <v/>
      </c>
      <c r="L440" s="460" t="str">
        <f t="shared" ca="1" si="97"/>
        <v/>
      </c>
      <c r="M440" s="460" t="str">
        <f t="shared" ca="1" si="97"/>
        <v/>
      </c>
      <c r="N440" s="460" t="str">
        <f t="shared" ca="1" si="97"/>
        <v/>
      </c>
      <c r="O440" s="461" t="str">
        <f t="shared" ca="1" si="97"/>
        <v/>
      </c>
      <c r="P440" s="474" t="str">
        <f t="shared" ca="1" si="97"/>
        <v/>
      </c>
      <c r="Q440" s="475" t="str">
        <f t="shared" ca="1" si="97"/>
        <v/>
      </c>
      <c r="R440" s="476">
        <f ca="1">IF(OR($BG$2=0,$AR440=""),,IF($AR440="本月合计",IF(ROW()=$BG$3,SUM($R$6:$R439),SUM(INDIRECT("$R$"&amp;OFFSET($AU$3,,MATCH(ROW(),$AU$3:$BF$3,)-2)+2&amp;":$R"&amp;ROW()-1))),IF($AR440="本年累计",SUMIF($AR$6:$AR440,"本月合计",$R$6:$R439),INDEX(凭证录入!L:L,$AR440))))</f>
        <v>0</v>
      </c>
      <c r="S440" s="459" t="str">
        <f t="shared" ca="1" si="98"/>
        <v/>
      </c>
      <c r="T440" s="460" t="str">
        <f t="shared" ca="1" si="98"/>
        <v/>
      </c>
      <c r="U440" s="460" t="str">
        <f t="shared" ca="1" si="98"/>
        <v/>
      </c>
      <c r="V440" s="460" t="str">
        <f t="shared" ca="1" si="98"/>
        <v/>
      </c>
      <c r="W440" s="460" t="str">
        <f t="shared" ca="1" si="98"/>
        <v/>
      </c>
      <c r="X440" s="460" t="str">
        <f t="shared" ca="1" si="98"/>
        <v/>
      </c>
      <c r="Y440" s="460" t="str">
        <f t="shared" ca="1" si="98"/>
        <v/>
      </c>
      <c r="Z440" s="460" t="str">
        <f t="shared" ca="1" si="98"/>
        <v/>
      </c>
      <c r="AA440" s="461" t="str">
        <f t="shared" ca="1" si="98"/>
        <v/>
      </c>
      <c r="AB440" s="474" t="str">
        <f t="shared" ca="1" si="98"/>
        <v/>
      </c>
      <c r="AC440" s="475" t="str">
        <f t="shared" ca="1" si="98"/>
        <v/>
      </c>
      <c r="AD440" s="477" t="str">
        <f t="shared" ca="1" si="88"/>
        <v/>
      </c>
      <c r="AE440" s="478">
        <f t="shared" ca="1" si="89"/>
        <v>0</v>
      </c>
      <c r="AF440" s="459" t="str">
        <f t="shared" ca="1" si="96"/>
        <v/>
      </c>
      <c r="AG440" s="460" t="str">
        <f t="shared" ca="1" si="96"/>
        <v/>
      </c>
      <c r="AH440" s="460" t="str">
        <f t="shared" ca="1" si="96"/>
        <v/>
      </c>
      <c r="AI440" s="460" t="str">
        <f t="shared" ca="1" si="96"/>
        <v/>
      </c>
      <c r="AJ440" s="460" t="str">
        <f t="shared" ca="1" si="96"/>
        <v/>
      </c>
      <c r="AK440" s="460" t="str">
        <f t="shared" ca="1" si="96"/>
        <v/>
      </c>
      <c r="AL440" s="460" t="str">
        <f t="shared" ca="1" si="96"/>
        <v/>
      </c>
      <c r="AM440" s="460" t="str">
        <f t="shared" ca="1" si="96"/>
        <v/>
      </c>
      <c r="AN440" s="461" t="str">
        <f t="shared" ca="1" si="96"/>
        <v/>
      </c>
      <c r="AO440" s="474" t="str">
        <f t="shared" ca="1" si="96"/>
        <v/>
      </c>
      <c r="AP440" s="475" t="str">
        <f t="shared" ca="1" si="96"/>
        <v/>
      </c>
      <c r="AQ440" s="479" t="str">
        <f t="array" aca="1" ref="AQ440" ca="1">IF(ROW()-5&lt;=COUNTIF(科目编号,$AR$2),SMALL(IF(科目编号=$AR$2,ROW(科目编号),""),ROW()-5),"")</f>
        <v/>
      </c>
      <c r="AR440" s="480" t="str">
        <f ca="1">IF($BG$2=0,"",IF(AR439="本月合计","本年累计",IF(OR(ROW()=$AU$3,ROW()=$AV$3,ROW()=$AW$3,ROW()=$AX$3,ROW()=$AY$3,ROW()=$AZ$3,ROW()=$BA$3,ROW()=$BB$3,ROW()=$BC$3,ROW()=$BD$3,ROW()=$BE$3,ROW()=$BF$3),"本月合计",IF(ROW()&lt;7,$AQ$6,OFFSET($AQ$6,COUNT($AR$6:AR439),0)))))</f>
        <v/>
      </c>
    </row>
    <row r="441" spans="1:44">
      <c r="A441" s="469" t="str">
        <f ca="1">IFERROR(INDEX(凭证录入!A:A,$AR441),"")</f>
        <v/>
      </c>
      <c r="B441" s="469" t="str">
        <f ca="1">IFERROR(INDEX(凭证录入!B:B,$AR441),"")</f>
        <v/>
      </c>
      <c r="C441" s="470" t="str">
        <f ca="1">IFERROR(INDEX(凭证录入!G:G,$AR441),"")</f>
        <v/>
      </c>
      <c r="D441" s="471" t="str">
        <f ca="1">IFERROR(INDEX(凭证录入!F:F,$AR441),"")</f>
        <v/>
      </c>
      <c r="E441" s="472" t="str">
        <f ca="1">IFERROR(INDEX(凭证录入!H:H,$AR441),$AR441)</f>
        <v/>
      </c>
      <c r="F441" s="473">
        <f ca="1">IF(OR($BG$2=0,$AR441=""),,IF($AR441="本月合计",IF(ROW()=$BG$3,SUM($F$6:$F440),SUM(INDIRECT("$F$"&amp;OFFSET($AU$3,,MATCH(ROW(),$AU$3:$BF$3,)-2)+2&amp;":$E"&amp;ROW()-1))),IF($AR441="本年累计",SUMIF($AR$6:$AR441,"本月合计",$F$6:$F440),INDEX(凭证录入!K:K,$AR441))))</f>
        <v>0</v>
      </c>
      <c r="G441" s="459" t="str">
        <f t="shared" ca="1" si="97"/>
        <v/>
      </c>
      <c r="H441" s="460" t="str">
        <f t="shared" ca="1" si="97"/>
        <v/>
      </c>
      <c r="I441" s="460" t="str">
        <f t="shared" ca="1" si="97"/>
        <v/>
      </c>
      <c r="J441" s="460" t="str">
        <f t="shared" ca="1" si="97"/>
        <v/>
      </c>
      <c r="K441" s="460" t="str">
        <f t="shared" ca="1" si="97"/>
        <v/>
      </c>
      <c r="L441" s="460" t="str">
        <f t="shared" ca="1" si="97"/>
        <v/>
      </c>
      <c r="M441" s="460" t="str">
        <f t="shared" ca="1" si="97"/>
        <v/>
      </c>
      <c r="N441" s="460" t="str">
        <f t="shared" ca="1" si="97"/>
        <v/>
      </c>
      <c r="O441" s="461" t="str">
        <f t="shared" ca="1" si="97"/>
        <v/>
      </c>
      <c r="P441" s="474" t="str">
        <f t="shared" ca="1" si="97"/>
        <v/>
      </c>
      <c r="Q441" s="475" t="str">
        <f t="shared" ca="1" si="97"/>
        <v/>
      </c>
      <c r="R441" s="476">
        <f ca="1">IF(OR($BG$2=0,$AR441=""),,IF($AR441="本月合计",IF(ROW()=$BG$3,SUM($R$6:$R440),SUM(INDIRECT("$R$"&amp;OFFSET($AU$3,,MATCH(ROW(),$AU$3:$BF$3,)-2)+2&amp;":$R"&amp;ROW()-1))),IF($AR441="本年累计",SUMIF($AR$6:$AR441,"本月合计",$R$6:$R440),INDEX(凭证录入!L:L,$AR441))))</f>
        <v>0</v>
      </c>
      <c r="S441" s="459" t="str">
        <f t="shared" ca="1" si="98"/>
        <v/>
      </c>
      <c r="T441" s="460" t="str">
        <f t="shared" ca="1" si="98"/>
        <v/>
      </c>
      <c r="U441" s="460" t="str">
        <f t="shared" ca="1" si="98"/>
        <v/>
      </c>
      <c r="V441" s="460" t="str">
        <f t="shared" ca="1" si="98"/>
        <v/>
      </c>
      <c r="W441" s="460" t="str">
        <f t="shared" ca="1" si="98"/>
        <v/>
      </c>
      <c r="X441" s="460" t="str">
        <f t="shared" ca="1" si="98"/>
        <v/>
      </c>
      <c r="Y441" s="460" t="str">
        <f t="shared" ca="1" si="98"/>
        <v/>
      </c>
      <c r="Z441" s="460" t="str">
        <f t="shared" ca="1" si="98"/>
        <v/>
      </c>
      <c r="AA441" s="461" t="str">
        <f t="shared" ca="1" si="98"/>
        <v/>
      </c>
      <c r="AB441" s="474" t="str">
        <f t="shared" ca="1" si="98"/>
        <v/>
      </c>
      <c r="AC441" s="475" t="str">
        <f t="shared" ca="1" si="98"/>
        <v/>
      </c>
      <c r="AD441" s="477" t="str">
        <f t="shared" ca="1" si="88"/>
        <v/>
      </c>
      <c r="AE441" s="478">
        <f t="shared" ca="1" si="89"/>
        <v>0</v>
      </c>
      <c r="AF441" s="459" t="str">
        <f t="shared" ca="1" si="96"/>
        <v/>
      </c>
      <c r="AG441" s="460" t="str">
        <f t="shared" ca="1" si="96"/>
        <v/>
      </c>
      <c r="AH441" s="460" t="str">
        <f t="shared" ca="1" si="96"/>
        <v/>
      </c>
      <c r="AI441" s="460" t="str">
        <f t="shared" ca="1" si="96"/>
        <v/>
      </c>
      <c r="AJ441" s="460" t="str">
        <f t="shared" ca="1" si="96"/>
        <v/>
      </c>
      <c r="AK441" s="460" t="str">
        <f t="shared" ca="1" si="96"/>
        <v/>
      </c>
      <c r="AL441" s="460" t="str">
        <f t="shared" ca="1" si="96"/>
        <v/>
      </c>
      <c r="AM441" s="460" t="str">
        <f t="shared" ca="1" si="96"/>
        <v/>
      </c>
      <c r="AN441" s="461" t="str">
        <f t="shared" ca="1" si="96"/>
        <v/>
      </c>
      <c r="AO441" s="474" t="str">
        <f t="shared" ca="1" si="96"/>
        <v/>
      </c>
      <c r="AP441" s="475" t="str">
        <f t="shared" ca="1" si="96"/>
        <v/>
      </c>
      <c r="AQ441" s="479" t="str">
        <f t="array" aca="1" ref="AQ441" ca="1">IF(ROW()-5&lt;=COUNTIF(科目编号,$AR$2),SMALL(IF(科目编号=$AR$2,ROW(科目编号),""),ROW()-5),"")</f>
        <v/>
      </c>
      <c r="AR441" s="480" t="str">
        <f ca="1">IF($BG$2=0,"",IF(AR440="本月合计","本年累计",IF(OR(ROW()=$AU$3,ROW()=$AV$3,ROW()=$AW$3,ROW()=$AX$3,ROW()=$AY$3,ROW()=$AZ$3,ROW()=$BA$3,ROW()=$BB$3,ROW()=$BC$3,ROW()=$BD$3,ROW()=$BE$3,ROW()=$BF$3),"本月合计",IF(ROW()&lt;7,$AQ$6,OFFSET($AQ$6,COUNT($AR$6:AR440),0)))))</f>
        <v/>
      </c>
    </row>
    <row r="442" spans="1:44">
      <c r="A442" s="469" t="str">
        <f ca="1">IFERROR(INDEX(凭证录入!A:A,$AR442),"")</f>
        <v/>
      </c>
      <c r="B442" s="469" t="str">
        <f ca="1">IFERROR(INDEX(凭证录入!B:B,$AR442),"")</f>
        <v/>
      </c>
      <c r="C442" s="470" t="str">
        <f ca="1">IFERROR(INDEX(凭证录入!G:G,$AR442),"")</f>
        <v/>
      </c>
      <c r="D442" s="471" t="str">
        <f ca="1">IFERROR(INDEX(凭证录入!F:F,$AR442),"")</f>
        <v/>
      </c>
      <c r="E442" s="472" t="str">
        <f ca="1">IFERROR(INDEX(凭证录入!H:H,$AR442),$AR442)</f>
        <v/>
      </c>
      <c r="F442" s="473">
        <f ca="1">IF(OR($BG$2=0,$AR442=""),,IF($AR442="本月合计",IF(ROW()=$BG$3,SUM($F$6:$F441),SUM(INDIRECT("$F$"&amp;OFFSET($AU$3,,MATCH(ROW(),$AU$3:$BF$3,)-2)+2&amp;":$E"&amp;ROW()-1))),IF($AR442="本年累计",SUMIF($AR$6:$AR442,"本月合计",$F$6:$F441),INDEX(凭证录入!K:K,$AR442))))</f>
        <v>0</v>
      </c>
      <c r="G442" s="459" t="str">
        <f t="shared" ca="1" si="97"/>
        <v/>
      </c>
      <c r="H442" s="460" t="str">
        <f t="shared" ca="1" si="97"/>
        <v/>
      </c>
      <c r="I442" s="460" t="str">
        <f t="shared" ca="1" si="97"/>
        <v/>
      </c>
      <c r="J442" s="460" t="str">
        <f t="shared" ca="1" si="97"/>
        <v/>
      </c>
      <c r="K442" s="460" t="str">
        <f t="shared" ca="1" si="97"/>
        <v/>
      </c>
      <c r="L442" s="460" t="str">
        <f t="shared" ca="1" si="97"/>
        <v/>
      </c>
      <c r="M442" s="460" t="str">
        <f t="shared" ca="1" si="97"/>
        <v/>
      </c>
      <c r="N442" s="460" t="str">
        <f t="shared" ca="1" si="97"/>
        <v/>
      </c>
      <c r="O442" s="461" t="str">
        <f t="shared" ca="1" si="97"/>
        <v/>
      </c>
      <c r="P442" s="474" t="str">
        <f t="shared" ca="1" si="97"/>
        <v/>
      </c>
      <c r="Q442" s="475" t="str">
        <f t="shared" ca="1" si="97"/>
        <v/>
      </c>
      <c r="R442" s="476">
        <f ca="1">IF(OR($BG$2=0,$AR442=""),,IF($AR442="本月合计",IF(ROW()=$BG$3,SUM($R$6:$R441),SUM(INDIRECT("$R$"&amp;OFFSET($AU$3,,MATCH(ROW(),$AU$3:$BF$3,)-2)+2&amp;":$R"&amp;ROW()-1))),IF($AR442="本年累计",SUMIF($AR$6:$AR442,"本月合计",$R$6:$R441),INDEX(凭证录入!L:L,$AR442))))</f>
        <v>0</v>
      </c>
      <c r="S442" s="459" t="str">
        <f t="shared" ca="1" si="98"/>
        <v/>
      </c>
      <c r="T442" s="460" t="str">
        <f t="shared" ca="1" si="98"/>
        <v/>
      </c>
      <c r="U442" s="460" t="str">
        <f t="shared" ca="1" si="98"/>
        <v/>
      </c>
      <c r="V442" s="460" t="str">
        <f t="shared" ca="1" si="98"/>
        <v/>
      </c>
      <c r="W442" s="460" t="str">
        <f t="shared" ca="1" si="98"/>
        <v/>
      </c>
      <c r="X442" s="460" t="str">
        <f t="shared" ca="1" si="98"/>
        <v/>
      </c>
      <c r="Y442" s="460" t="str">
        <f t="shared" ca="1" si="98"/>
        <v/>
      </c>
      <c r="Z442" s="460" t="str">
        <f t="shared" ca="1" si="98"/>
        <v/>
      </c>
      <c r="AA442" s="461" t="str">
        <f t="shared" ca="1" si="98"/>
        <v/>
      </c>
      <c r="AB442" s="474" t="str">
        <f t="shared" ca="1" si="98"/>
        <v/>
      </c>
      <c r="AC442" s="475" t="str">
        <f t="shared" ca="1" si="98"/>
        <v/>
      </c>
      <c r="AD442" s="477" t="str">
        <f t="shared" ca="1" si="88"/>
        <v/>
      </c>
      <c r="AE442" s="478">
        <f t="shared" ca="1" si="89"/>
        <v>0</v>
      </c>
      <c r="AF442" s="459" t="str">
        <f t="shared" ca="1" si="96"/>
        <v/>
      </c>
      <c r="AG442" s="460" t="str">
        <f t="shared" ca="1" si="96"/>
        <v/>
      </c>
      <c r="AH442" s="460" t="str">
        <f t="shared" ca="1" si="96"/>
        <v/>
      </c>
      <c r="AI442" s="460" t="str">
        <f t="shared" ca="1" si="96"/>
        <v/>
      </c>
      <c r="AJ442" s="460" t="str">
        <f t="shared" ca="1" si="96"/>
        <v/>
      </c>
      <c r="AK442" s="460" t="str">
        <f t="shared" ca="1" si="96"/>
        <v/>
      </c>
      <c r="AL442" s="460" t="str">
        <f t="shared" ca="1" si="96"/>
        <v/>
      </c>
      <c r="AM442" s="460" t="str">
        <f t="shared" ca="1" si="96"/>
        <v/>
      </c>
      <c r="AN442" s="461" t="str">
        <f t="shared" ca="1" si="96"/>
        <v/>
      </c>
      <c r="AO442" s="474" t="str">
        <f t="shared" ca="1" si="96"/>
        <v/>
      </c>
      <c r="AP442" s="475" t="str">
        <f t="shared" ca="1" si="96"/>
        <v/>
      </c>
      <c r="AQ442" s="479" t="str">
        <f t="array" aca="1" ref="AQ442" ca="1">IF(ROW()-5&lt;=COUNTIF(科目编号,$AR$2),SMALL(IF(科目编号=$AR$2,ROW(科目编号),""),ROW()-5),"")</f>
        <v/>
      </c>
      <c r="AR442" s="480" t="str">
        <f ca="1">IF($BG$2=0,"",IF(AR441="本月合计","本年累计",IF(OR(ROW()=$AU$3,ROW()=$AV$3,ROW()=$AW$3,ROW()=$AX$3,ROW()=$AY$3,ROW()=$AZ$3,ROW()=$BA$3,ROW()=$BB$3,ROW()=$BC$3,ROW()=$BD$3,ROW()=$BE$3,ROW()=$BF$3),"本月合计",IF(ROW()&lt;7,$AQ$6,OFFSET($AQ$6,COUNT($AR$6:AR441),0)))))</f>
        <v/>
      </c>
    </row>
    <row r="443" spans="1:44">
      <c r="A443" s="469" t="str">
        <f ca="1">IFERROR(INDEX(凭证录入!A:A,$AR443),"")</f>
        <v/>
      </c>
      <c r="B443" s="469" t="str">
        <f ca="1">IFERROR(INDEX(凭证录入!B:B,$AR443),"")</f>
        <v/>
      </c>
      <c r="C443" s="470" t="str">
        <f ca="1">IFERROR(INDEX(凭证录入!G:G,$AR443),"")</f>
        <v/>
      </c>
      <c r="D443" s="471" t="str">
        <f ca="1">IFERROR(INDEX(凭证录入!F:F,$AR443),"")</f>
        <v/>
      </c>
      <c r="E443" s="472" t="str">
        <f ca="1">IFERROR(INDEX(凭证录入!H:H,$AR443),$AR443)</f>
        <v/>
      </c>
      <c r="F443" s="473">
        <f ca="1">IF(OR($BG$2=0,$AR443=""),,IF($AR443="本月合计",IF(ROW()=$BG$3,SUM($F$6:$F442),SUM(INDIRECT("$F$"&amp;OFFSET($AU$3,,MATCH(ROW(),$AU$3:$BF$3,)-2)+2&amp;":$E"&amp;ROW()-1))),IF($AR443="本年累计",SUMIF($AR$6:$AR443,"本月合计",$F$6:$F442),INDEX(凭证录入!K:K,$AR443))))</f>
        <v>0</v>
      </c>
      <c r="G443" s="459" t="str">
        <f t="shared" ca="1" si="97"/>
        <v/>
      </c>
      <c r="H443" s="460" t="str">
        <f t="shared" ca="1" si="97"/>
        <v/>
      </c>
      <c r="I443" s="460" t="str">
        <f t="shared" ca="1" si="97"/>
        <v/>
      </c>
      <c r="J443" s="460" t="str">
        <f t="shared" ca="1" si="97"/>
        <v/>
      </c>
      <c r="K443" s="460" t="str">
        <f t="shared" ca="1" si="97"/>
        <v/>
      </c>
      <c r="L443" s="460" t="str">
        <f t="shared" ca="1" si="97"/>
        <v/>
      </c>
      <c r="M443" s="460" t="str">
        <f t="shared" ca="1" si="97"/>
        <v/>
      </c>
      <c r="N443" s="460" t="str">
        <f t="shared" ca="1" si="97"/>
        <v/>
      </c>
      <c r="O443" s="461" t="str">
        <f t="shared" ca="1" si="97"/>
        <v/>
      </c>
      <c r="P443" s="474" t="str">
        <f t="shared" ca="1" si="97"/>
        <v/>
      </c>
      <c r="Q443" s="475" t="str">
        <f t="shared" ca="1" si="97"/>
        <v/>
      </c>
      <c r="R443" s="476">
        <f ca="1">IF(OR($BG$2=0,$AR443=""),,IF($AR443="本月合计",IF(ROW()=$BG$3,SUM($R$6:$R442),SUM(INDIRECT("$R$"&amp;OFFSET($AU$3,,MATCH(ROW(),$AU$3:$BF$3,)-2)+2&amp;":$R"&amp;ROW()-1))),IF($AR443="本年累计",SUMIF($AR$6:$AR443,"本月合计",$R$6:$R442),INDEX(凭证录入!L:L,$AR443))))</f>
        <v>0</v>
      </c>
      <c r="S443" s="459" t="str">
        <f t="shared" ca="1" si="98"/>
        <v/>
      </c>
      <c r="T443" s="460" t="str">
        <f t="shared" ca="1" si="98"/>
        <v/>
      </c>
      <c r="U443" s="460" t="str">
        <f t="shared" ca="1" si="98"/>
        <v/>
      </c>
      <c r="V443" s="460" t="str">
        <f t="shared" ca="1" si="98"/>
        <v/>
      </c>
      <c r="W443" s="460" t="str">
        <f t="shared" ca="1" si="98"/>
        <v/>
      </c>
      <c r="X443" s="460" t="str">
        <f t="shared" ca="1" si="98"/>
        <v/>
      </c>
      <c r="Y443" s="460" t="str">
        <f t="shared" ca="1" si="98"/>
        <v/>
      </c>
      <c r="Z443" s="460" t="str">
        <f t="shared" ca="1" si="98"/>
        <v/>
      </c>
      <c r="AA443" s="461" t="str">
        <f t="shared" ca="1" si="98"/>
        <v/>
      </c>
      <c r="AB443" s="474" t="str">
        <f t="shared" ca="1" si="98"/>
        <v/>
      </c>
      <c r="AC443" s="475" t="str">
        <f t="shared" ca="1" si="98"/>
        <v/>
      </c>
      <c r="AD443" s="477" t="str">
        <f t="shared" ca="1" si="88"/>
        <v/>
      </c>
      <c r="AE443" s="478">
        <f t="shared" ca="1" si="89"/>
        <v>0</v>
      </c>
      <c r="AF443" s="459" t="str">
        <f t="shared" ca="1" si="96"/>
        <v/>
      </c>
      <c r="AG443" s="460" t="str">
        <f t="shared" ca="1" si="96"/>
        <v/>
      </c>
      <c r="AH443" s="460" t="str">
        <f t="shared" ca="1" si="96"/>
        <v/>
      </c>
      <c r="AI443" s="460" t="str">
        <f t="shared" ca="1" si="96"/>
        <v/>
      </c>
      <c r="AJ443" s="460" t="str">
        <f t="shared" ca="1" si="96"/>
        <v/>
      </c>
      <c r="AK443" s="460" t="str">
        <f t="shared" ca="1" si="96"/>
        <v/>
      </c>
      <c r="AL443" s="460" t="str">
        <f t="shared" ca="1" si="96"/>
        <v/>
      </c>
      <c r="AM443" s="460" t="str">
        <f t="shared" ca="1" si="96"/>
        <v/>
      </c>
      <c r="AN443" s="461" t="str">
        <f t="shared" ca="1" si="96"/>
        <v/>
      </c>
      <c r="AO443" s="474" t="str">
        <f t="shared" ca="1" si="96"/>
        <v/>
      </c>
      <c r="AP443" s="475" t="str">
        <f t="shared" ca="1" si="96"/>
        <v/>
      </c>
      <c r="AQ443" s="479" t="str">
        <f t="array" aca="1" ref="AQ443" ca="1">IF(ROW()-5&lt;=COUNTIF(科目编号,$AR$2),SMALL(IF(科目编号=$AR$2,ROW(科目编号),""),ROW()-5),"")</f>
        <v/>
      </c>
      <c r="AR443" s="480" t="str">
        <f ca="1">IF($BG$2=0,"",IF(AR442="本月合计","本年累计",IF(OR(ROW()=$AU$3,ROW()=$AV$3,ROW()=$AW$3,ROW()=$AX$3,ROW()=$AY$3,ROW()=$AZ$3,ROW()=$BA$3,ROW()=$BB$3,ROW()=$BC$3,ROW()=$BD$3,ROW()=$BE$3,ROW()=$BF$3),"本月合计",IF(ROW()&lt;7,$AQ$6,OFFSET($AQ$6,COUNT($AR$6:AR442),0)))))</f>
        <v/>
      </c>
    </row>
    <row r="444" spans="1:44">
      <c r="A444" s="469" t="str">
        <f ca="1">IFERROR(INDEX(凭证录入!A:A,$AR444),"")</f>
        <v/>
      </c>
      <c r="B444" s="469" t="str">
        <f ca="1">IFERROR(INDEX(凭证录入!B:B,$AR444),"")</f>
        <v/>
      </c>
      <c r="C444" s="470" t="str">
        <f ca="1">IFERROR(INDEX(凭证录入!G:G,$AR444),"")</f>
        <v/>
      </c>
      <c r="D444" s="471" t="str">
        <f ca="1">IFERROR(INDEX(凭证录入!F:F,$AR444),"")</f>
        <v/>
      </c>
      <c r="E444" s="472" t="str">
        <f ca="1">IFERROR(INDEX(凭证录入!H:H,$AR444),$AR444)</f>
        <v/>
      </c>
      <c r="F444" s="473">
        <f ca="1">IF(OR($BG$2=0,$AR444=""),,IF($AR444="本月合计",IF(ROW()=$BG$3,SUM($F$6:$F443),SUM(INDIRECT("$F$"&amp;OFFSET($AU$3,,MATCH(ROW(),$AU$3:$BF$3,)-2)+2&amp;":$E"&amp;ROW()-1))),IF($AR444="本年累计",SUMIF($AR$6:$AR444,"本月合计",$F$6:$F443),INDEX(凭证录入!K:K,$AR444))))</f>
        <v>0</v>
      </c>
      <c r="G444" s="459" t="str">
        <f t="shared" ca="1" si="97"/>
        <v/>
      </c>
      <c r="H444" s="460" t="str">
        <f t="shared" ca="1" si="97"/>
        <v/>
      </c>
      <c r="I444" s="460" t="str">
        <f t="shared" ca="1" si="97"/>
        <v/>
      </c>
      <c r="J444" s="460" t="str">
        <f t="shared" ca="1" si="97"/>
        <v/>
      </c>
      <c r="K444" s="460" t="str">
        <f t="shared" ca="1" si="97"/>
        <v/>
      </c>
      <c r="L444" s="460" t="str">
        <f t="shared" ca="1" si="97"/>
        <v/>
      </c>
      <c r="M444" s="460" t="str">
        <f t="shared" ca="1" si="97"/>
        <v/>
      </c>
      <c r="N444" s="460" t="str">
        <f t="shared" ca="1" si="97"/>
        <v/>
      </c>
      <c r="O444" s="461" t="str">
        <f t="shared" ca="1" si="97"/>
        <v/>
      </c>
      <c r="P444" s="474" t="str">
        <f t="shared" ca="1" si="97"/>
        <v/>
      </c>
      <c r="Q444" s="475" t="str">
        <f t="shared" ca="1" si="97"/>
        <v/>
      </c>
      <c r="R444" s="476">
        <f ca="1">IF(OR($BG$2=0,$AR444=""),,IF($AR444="本月合计",IF(ROW()=$BG$3,SUM($R$6:$R443),SUM(INDIRECT("$R$"&amp;OFFSET($AU$3,,MATCH(ROW(),$AU$3:$BF$3,)-2)+2&amp;":$R"&amp;ROW()-1))),IF($AR444="本年累计",SUMIF($AR$6:$AR444,"本月合计",$R$6:$R443),INDEX(凭证录入!L:L,$AR444))))</f>
        <v>0</v>
      </c>
      <c r="S444" s="459" t="str">
        <f t="shared" ca="1" si="98"/>
        <v/>
      </c>
      <c r="T444" s="460" t="str">
        <f t="shared" ca="1" si="98"/>
        <v/>
      </c>
      <c r="U444" s="460" t="str">
        <f t="shared" ca="1" si="98"/>
        <v/>
      </c>
      <c r="V444" s="460" t="str">
        <f t="shared" ca="1" si="98"/>
        <v/>
      </c>
      <c r="W444" s="460" t="str">
        <f t="shared" ca="1" si="98"/>
        <v/>
      </c>
      <c r="X444" s="460" t="str">
        <f t="shared" ca="1" si="98"/>
        <v/>
      </c>
      <c r="Y444" s="460" t="str">
        <f t="shared" ca="1" si="98"/>
        <v/>
      </c>
      <c r="Z444" s="460" t="str">
        <f t="shared" ca="1" si="98"/>
        <v/>
      </c>
      <c r="AA444" s="461" t="str">
        <f t="shared" ca="1" si="98"/>
        <v/>
      </c>
      <c r="AB444" s="474" t="str">
        <f t="shared" ca="1" si="98"/>
        <v/>
      </c>
      <c r="AC444" s="475" t="str">
        <f t="shared" ca="1" si="98"/>
        <v/>
      </c>
      <c r="AD444" s="477" t="str">
        <f t="shared" ca="1" si="88"/>
        <v/>
      </c>
      <c r="AE444" s="478">
        <f t="shared" ca="1" si="89"/>
        <v>0</v>
      </c>
      <c r="AF444" s="459" t="str">
        <f t="shared" ca="1" si="96"/>
        <v/>
      </c>
      <c r="AG444" s="460" t="str">
        <f t="shared" ca="1" si="96"/>
        <v/>
      </c>
      <c r="AH444" s="460" t="str">
        <f t="shared" ca="1" si="96"/>
        <v/>
      </c>
      <c r="AI444" s="460" t="str">
        <f t="shared" ca="1" si="96"/>
        <v/>
      </c>
      <c r="AJ444" s="460" t="str">
        <f t="shared" ca="1" si="96"/>
        <v/>
      </c>
      <c r="AK444" s="460" t="str">
        <f t="shared" ca="1" si="96"/>
        <v/>
      </c>
      <c r="AL444" s="460" t="str">
        <f t="shared" ca="1" si="96"/>
        <v/>
      </c>
      <c r="AM444" s="460" t="str">
        <f t="shared" ca="1" si="96"/>
        <v/>
      </c>
      <c r="AN444" s="461" t="str">
        <f t="shared" ca="1" si="96"/>
        <v/>
      </c>
      <c r="AO444" s="474" t="str">
        <f t="shared" ca="1" si="96"/>
        <v/>
      </c>
      <c r="AP444" s="475" t="str">
        <f t="shared" ca="1" si="96"/>
        <v/>
      </c>
      <c r="AQ444" s="479" t="str">
        <f t="array" aca="1" ref="AQ444" ca="1">IF(ROW()-5&lt;=COUNTIF(科目编号,$AR$2),SMALL(IF(科目编号=$AR$2,ROW(科目编号),""),ROW()-5),"")</f>
        <v/>
      </c>
      <c r="AR444" s="480" t="str">
        <f ca="1">IF($BG$2=0,"",IF(AR443="本月合计","本年累计",IF(OR(ROW()=$AU$3,ROW()=$AV$3,ROW()=$AW$3,ROW()=$AX$3,ROW()=$AY$3,ROW()=$AZ$3,ROW()=$BA$3,ROW()=$BB$3,ROW()=$BC$3,ROW()=$BD$3,ROW()=$BE$3,ROW()=$BF$3),"本月合计",IF(ROW()&lt;7,$AQ$6,OFFSET($AQ$6,COUNT($AR$6:AR443),0)))))</f>
        <v/>
      </c>
    </row>
    <row r="445" spans="1:44">
      <c r="A445" s="469" t="str">
        <f ca="1">IFERROR(INDEX(凭证录入!A:A,$AR445),"")</f>
        <v/>
      </c>
      <c r="B445" s="469" t="str">
        <f ca="1">IFERROR(INDEX(凭证录入!B:B,$AR445),"")</f>
        <v/>
      </c>
      <c r="C445" s="470" t="str">
        <f ca="1">IFERROR(INDEX(凭证录入!G:G,$AR445),"")</f>
        <v/>
      </c>
      <c r="D445" s="471" t="str">
        <f ca="1">IFERROR(INDEX(凭证录入!F:F,$AR445),"")</f>
        <v/>
      </c>
      <c r="E445" s="472" t="str">
        <f ca="1">IFERROR(INDEX(凭证录入!H:H,$AR445),$AR445)</f>
        <v/>
      </c>
      <c r="F445" s="473">
        <f ca="1">IF(OR($BG$2=0,$AR445=""),,IF($AR445="本月合计",IF(ROW()=$BG$3,SUM($F$6:$F444),SUM(INDIRECT("$F$"&amp;OFFSET($AU$3,,MATCH(ROW(),$AU$3:$BF$3,)-2)+2&amp;":$E"&amp;ROW()-1))),IF($AR445="本年累计",SUMIF($AR$6:$AR445,"本月合计",$F$6:$F444),INDEX(凭证录入!K:K,$AR445))))</f>
        <v>0</v>
      </c>
      <c r="G445" s="459" t="str">
        <f t="shared" ca="1" si="97"/>
        <v/>
      </c>
      <c r="H445" s="460" t="str">
        <f t="shared" ca="1" si="97"/>
        <v/>
      </c>
      <c r="I445" s="460" t="str">
        <f t="shared" ca="1" si="97"/>
        <v/>
      </c>
      <c r="J445" s="460" t="str">
        <f t="shared" ca="1" si="97"/>
        <v/>
      </c>
      <c r="K445" s="460" t="str">
        <f t="shared" ca="1" si="97"/>
        <v/>
      </c>
      <c r="L445" s="460" t="str">
        <f t="shared" ca="1" si="97"/>
        <v/>
      </c>
      <c r="M445" s="460" t="str">
        <f t="shared" ca="1" si="97"/>
        <v/>
      </c>
      <c r="N445" s="460" t="str">
        <f t="shared" ca="1" si="97"/>
        <v/>
      </c>
      <c r="O445" s="461" t="str">
        <f t="shared" ca="1" si="97"/>
        <v/>
      </c>
      <c r="P445" s="474" t="str">
        <f t="shared" ca="1" si="97"/>
        <v/>
      </c>
      <c r="Q445" s="475" t="str">
        <f t="shared" ca="1" si="97"/>
        <v/>
      </c>
      <c r="R445" s="476">
        <f ca="1">IF(OR($BG$2=0,$AR445=""),,IF($AR445="本月合计",IF(ROW()=$BG$3,SUM($R$6:$R444),SUM(INDIRECT("$R$"&amp;OFFSET($AU$3,,MATCH(ROW(),$AU$3:$BF$3,)-2)+2&amp;":$R"&amp;ROW()-1))),IF($AR445="本年累计",SUMIF($AR$6:$AR445,"本月合计",$R$6:$R444),INDEX(凭证录入!L:L,$AR445))))</f>
        <v>0</v>
      </c>
      <c r="S445" s="459" t="str">
        <f t="shared" ca="1" si="98"/>
        <v/>
      </c>
      <c r="T445" s="460" t="str">
        <f t="shared" ca="1" si="98"/>
        <v/>
      </c>
      <c r="U445" s="460" t="str">
        <f t="shared" ca="1" si="98"/>
        <v/>
      </c>
      <c r="V445" s="460" t="str">
        <f t="shared" ca="1" si="98"/>
        <v/>
      </c>
      <c r="W445" s="460" t="str">
        <f t="shared" ca="1" si="98"/>
        <v/>
      </c>
      <c r="X445" s="460" t="str">
        <f t="shared" ca="1" si="98"/>
        <v/>
      </c>
      <c r="Y445" s="460" t="str">
        <f t="shared" ca="1" si="98"/>
        <v/>
      </c>
      <c r="Z445" s="460" t="str">
        <f t="shared" ca="1" si="98"/>
        <v/>
      </c>
      <c r="AA445" s="461" t="str">
        <f t="shared" ca="1" si="98"/>
        <v/>
      </c>
      <c r="AB445" s="474" t="str">
        <f t="shared" ca="1" si="98"/>
        <v/>
      </c>
      <c r="AC445" s="475" t="str">
        <f t="shared" ca="1" si="98"/>
        <v/>
      </c>
      <c r="AD445" s="477" t="str">
        <f t="shared" ca="1" si="88"/>
        <v/>
      </c>
      <c r="AE445" s="478">
        <f t="shared" ca="1" si="89"/>
        <v>0</v>
      </c>
      <c r="AF445" s="459" t="str">
        <f t="shared" ca="1" si="96"/>
        <v/>
      </c>
      <c r="AG445" s="460" t="str">
        <f t="shared" ca="1" si="96"/>
        <v/>
      </c>
      <c r="AH445" s="460" t="str">
        <f t="shared" ca="1" si="96"/>
        <v/>
      </c>
      <c r="AI445" s="460" t="str">
        <f t="shared" ca="1" si="96"/>
        <v/>
      </c>
      <c r="AJ445" s="460" t="str">
        <f t="shared" ca="1" si="96"/>
        <v/>
      </c>
      <c r="AK445" s="460" t="str">
        <f t="shared" ca="1" si="96"/>
        <v/>
      </c>
      <c r="AL445" s="460" t="str">
        <f t="shared" ca="1" si="96"/>
        <v/>
      </c>
      <c r="AM445" s="460" t="str">
        <f t="shared" ca="1" si="96"/>
        <v/>
      </c>
      <c r="AN445" s="461" t="str">
        <f t="shared" ca="1" si="96"/>
        <v/>
      </c>
      <c r="AO445" s="474" t="str">
        <f t="shared" ca="1" si="96"/>
        <v/>
      </c>
      <c r="AP445" s="475" t="str">
        <f t="shared" ca="1" si="96"/>
        <v/>
      </c>
      <c r="AQ445" s="479" t="str">
        <f t="array" aca="1" ref="AQ445" ca="1">IF(ROW()-5&lt;=COUNTIF(科目编号,$AR$2),SMALL(IF(科目编号=$AR$2,ROW(科目编号),""),ROW()-5),"")</f>
        <v/>
      </c>
      <c r="AR445" s="480" t="str">
        <f ca="1">IF($BG$2=0,"",IF(AR444="本月合计","本年累计",IF(OR(ROW()=$AU$3,ROW()=$AV$3,ROW()=$AW$3,ROW()=$AX$3,ROW()=$AY$3,ROW()=$AZ$3,ROW()=$BA$3,ROW()=$BB$3,ROW()=$BC$3,ROW()=$BD$3,ROW()=$BE$3,ROW()=$BF$3),"本月合计",IF(ROW()&lt;7,$AQ$6,OFFSET($AQ$6,COUNT($AR$6:AR444),0)))))</f>
        <v/>
      </c>
    </row>
    <row r="446" spans="1:44">
      <c r="A446" s="469" t="str">
        <f ca="1">IFERROR(INDEX(凭证录入!A:A,$AR446),"")</f>
        <v/>
      </c>
      <c r="B446" s="469" t="str">
        <f ca="1">IFERROR(INDEX(凭证录入!B:B,$AR446),"")</f>
        <v/>
      </c>
      <c r="C446" s="470" t="str">
        <f ca="1">IFERROR(INDEX(凭证录入!G:G,$AR446),"")</f>
        <v/>
      </c>
      <c r="D446" s="471" t="str">
        <f ca="1">IFERROR(INDEX(凭证录入!F:F,$AR446),"")</f>
        <v/>
      </c>
      <c r="E446" s="472" t="str">
        <f ca="1">IFERROR(INDEX(凭证录入!H:H,$AR446),$AR446)</f>
        <v/>
      </c>
      <c r="F446" s="473">
        <f ca="1">IF(OR($BG$2=0,$AR446=""),,IF($AR446="本月合计",IF(ROW()=$BG$3,SUM($F$6:$F445),SUM(INDIRECT("$F$"&amp;OFFSET($AU$3,,MATCH(ROW(),$AU$3:$BF$3,)-2)+2&amp;":$E"&amp;ROW()-1))),IF($AR446="本年累计",SUMIF($AR$6:$AR446,"本月合计",$F$6:$F445),INDEX(凭证录入!K:K,$AR446))))</f>
        <v>0</v>
      </c>
      <c r="G446" s="459" t="str">
        <f t="shared" ca="1" si="97"/>
        <v/>
      </c>
      <c r="H446" s="460" t="str">
        <f t="shared" ca="1" si="97"/>
        <v/>
      </c>
      <c r="I446" s="460" t="str">
        <f t="shared" ca="1" si="97"/>
        <v/>
      </c>
      <c r="J446" s="460" t="str">
        <f t="shared" ca="1" si="97"/>
        <v/>
      </c>
      <c r="K446" s="460" t="str">
        <f t="shared" ca="1" si="97"/>
        <v/>
      </c>
      <c r="L446" s="460" t="str">
        <f t="shared" ca="1" si="97"/>
        <v/>
      </c>
      <c r="M446" s="460" t="str">
        <f t="shared" ca="1" si="97"/>
        <v/>
      </c>
      <c r="N446" s="460" t="str">
        <f t="shared" ca="1" si="97"/>
        <v/>
      </c>
      <c r="O446" s="461" t="str">
        <f t="shared" ca="1" si="97"/>
        <v/>
      </c>
      <c r="P446" s="474" t="str">
        <f t="shared" ca="1" si="97"/>
        <v/>
      </c>
      <c r="Q446" s="475" t="str">
        <f t="shared" ca="1" si="97"/>
        <v/>
      </c>
      <c r="R446" s="476">
        <f ca="1">IF(OR($BG$2=0,$AR446=""),,IF($AR446="本月合计",IF(ROW()=$BG$3,SUM($R$6:$R445),SUM(INDIRECT("$R$"&amp;OFFSET($AU$3,,MATCH(ROW(),$AU$3:$BF$3,)-2)+2&amp;":$R"&amp;ROW()-1))),IF($AR446="本年累计",SUMIF($AR$6:$AR446,"本月合计",$R$6:$R445),INDEX(凭证录入!L:L,$AR446))))</f>
        <v>0</v>
      </c>
      <c r="S446" s="459" t="str">
        <f t="shared" ca="1" si="98"/>
        <v/>
      </c>
      <c r="T446" s="460" t="str">
        <f t="shared" ca="1" si="98"/>
        <v/>
      </c>
      <c r="U446" s="460" t="str">
        <f t="shared" ca="1" si="98"/>
        <v/>
      </c>
      <c r="V446" s="460" t="str">
        <f t="shared" ca="1" si="98"/>
        <v/>
      </c>
      <c r="W446" s="460" t="str">
        <f t="shared" ca="1" si="98"/>
        <v/>
      </c>
      <c r="X446" s="460" t="str">
        <f t="shared" ca="1" si="98"/>
        <v/>
      </c>
      <c r="Y446" s="460" t="str">
        <f t="shared" ca="1" si="98"/>
        <v/>
      </c>
      <c r="Z446" s="460" t="str">
        <f t="shared" ca="1" si="98"/>
        <v/>
      </c>
      <c r="AA446" s="461" t="str">
        <f t="shared" ca="1" si="98"/>
        <v/>
      </c>
      <c r="AB446" s="474" t="str">
        <f t="shared" ca="1" si="98"/>
        <v/>
      </c>
      <c r="AC446" s="475" t="str">
        <f t="shared" ca="1" si="98"/>
        <v/>
      </c>
      <c r="AD446" s="477" t="str">
        <f t="shared" ca="1" si="88"/>
        <v/>
      </c>
      <c r="AE446" s="478">
        <f t="shared" ca="1" si="89"/>
        <v>0</v>
      </c>
      <c r="AF446" s="459" t="str">
        <f t="shared" ca="1" si="96"/>
        <v/>
      </c>
      <c r="AG446" s="460" t="str">
        <f t="shared" ca="1" si="96"/>
        <v/>
      </c>
      <c r="AH446" s="460" t="str">
        <f t="shared" ca="1" si="96"/>
        <v/>
      </c>
      <c r="AI446" s="460" t="str">
        <f t="shared" ca="1" si="96"/>
        <v/>
      </c>
      <c r="AJ446" s="460" t="str">
        <f t="shared" ca="1" si="96"/>
        <v/>
      </c>
      <c r="AK446" s="460" t="str">
        <f t="shared" ca="1" si="96"/>
        <v/>
      </c>
      <c r="AL446" s="460" t="str">
        <f t="shared" ca="1" si="96"/>
        <v/>
      </c>
      <c r="AM446" s="460" t="str">
        <f t="shared" ca="1" si="96"/>
        <v/>
      </c>
      <c r="AN446" s="461" t="str">
        <f t="shared" ca="1" si="96"/>
        <v/>
      </c>
      <c r="AO446" s="474" t="str">
        <f t="shared" ca="1" si="96"/>
        <v/>
      </c>
      <c r="AP446" s="475" t="str">
        <f t="shared" ca="1" si="96"/>
        <v/>
      </c>
      <c r="AQ446" s="479" t="str">
        <f t="array" aca="1" ref="AQ446" ca="1">IF(ROW()-5&lt;=COUNTIF(科目编号,$AR$2),SMALL(IF(科目编号=$AR$2,ROW(科目编号),""),ROW()-5),"")</f>
        <v/>
      </c>
      <c r="AR446" s="480" t="str">
        <f ca="1">IF($BG$2=0,"",IF(AR445="本月合计","本年累计",IF(OR(ROW()=$AU$3,ROW()=$AV$3,ROW()=$AW$3,ROW()=$AX$3,ROW()=$AY$3,ROW()=$AZ$3,ROW()=$BA$3,ROW()=$BB$3,ROW()=$BC$3,ROW()=$BD$3,ROW()=$BE$3,ROW()=$BF$3),"本月合计",IF(ROW()&lt;7,$AQ$6,OFFSET($AQ$6,COUNT($AR$6:AR445),0)))))</f>
        <v/>
      </c>
    </row>
    <row r="447" spans="1:44">
      <c r="A447" s="469" t="str">
        <f ca="1">IFERROR(INDEX(凭证录入!A:A,$AR447),"")</f>
        <v/>
      </c>
      <c r="B447" s="469" t="str">
        <f ca="1">IFERROR(INDEX(凭证录入!B:B,$AR447),"")</f>
        <v/>
      </c>
      <c r="C447" s="470" t="str">
        <f ca="1">IFERROR(INDEX(凭证录入!G:G,$AR447),"")</f>
        <v/>
      </c>
      <c r="D447" s="471" t="str">
        <f ca="1">IFERROR(INDEX(凭证录入!F:F,$AR447),"")</f>
        <v/>
      </c>
      <c r="E447" s="472" t="str">
        <f ca="1">IFERROR(INDEX(凭证录入!H:H,$AR447),$AR447)</f>
        <v/>
      </c>
      <c r="F447" s="473">
        <f ca="1">IF(OR($BG$2=0,$AR447=""),,IF($AR447="本月合计",IF(ROW()=$BG$3,SUM($F$6:$F446),SUM(INDIRECT("$F$"&amp;OFFSET($AU$3,,MATCH(ROW(),$AU$3:$BF$3,)-2)+2&amp;":$E"&amp;ROW()-1))),IF($AR447="本年累计",SUMIF($AR$6:$AR447,"本月合计",$F$6:$F446),INDEX(凭证录入!K:K,$AR447))))</f>
        <v>0</v>
      </c>
      <c r="G447" s="459" t="str">
        <f t="shared" ca="1" si="97"/>
        <v/>
      </c>
      <c r="H447" s="460" t="str">
        <f t="shared" ca="1" si="97"/>
        <v/>
      </c>
      <c r="I447" s="460" t="str">
        <f t="shared" ca="1" si="97"/>
        <v/>
      </c>
      <c r="J447" s="460" t="str">
        <f t="shared" ca="1" si="97"/>
        <v/>
      </c>
      <c r="K447" s="460" t="str">
        <f t="shared" ca="1" si="97"/>
        <v/>
      </c>
      <c r="L447" s="460" t="str">
        <f t="shared" ca="1" si="97"/>
        <v/>
      </c>
      <c r="M447" s="460" t="str">
        <f t="shared" ca="1" si="97"/>
        <v/>
      </c>
      <c r="N447" s="460" t="str">
        <f t="shared" ca="1" si="97"/>
        <v/>
      </c>
      <c r="O447" s="461" t="str">
        <f t="shared" ca="1" si="97"/>
        <v/>
      </c>
      <c r="P447" s="474" t="str">
        <f t="shared" ca="1" si="97"/>
        <v/>
      </c>
      <c r="Q447" s="475" t="str">
        <f t="shared" ca="1" si="97"/>
        <v/>
      </c>
      <c r="R447" s="476">
        <f ca="1">IF(OR($BG$2=0,$AR447=""),,IF($AR447="本月合计",IF(ROW()=$BG$3,SUM($R$6:$R446),SUM(INDIRECT("$R$"&amp;OFFSET($AU$3,,MATCH(ROW(),$AU$3:$BF$3,)-2)+2&amp;":$R"&amp;ROW()-1))),IF($AR447="本年累计",SUMIF($AR$6:$AR447,"本月合计",$R$6:$R446),INDEX(凭证录入!L:L,$AR447))))</f>
        <v>0</v>
      </c>
      <c r="S447" s="459" t="str">
        <f t="shared" ca="1" si="98"/>
        <v/>
      </c>
      <c r="T447" s="460" t="str">
        <f t="shared" ca="1" si="98"/>
        <v/>
      </c>
      <c r="U447" s="460" t="str">
        <f t="shared" ca="1" si="98"/>
        <v/>
      </c>
      <c r="V447" s="460" t="str">
        <f t="shared" ca="1" si="98"/>
        <v/>
      </c>
      <c r="W447" s="460" t="str">
        <f t="shared" ca="1" si="98"/>
        <v/>
      </c>
      <c r="X447" s="460" t="str">
        <f t="shared" ca="1" si="98"/>
        <v/>
      </c>
      <c r="Y447" s="460" t="str">
        <f t="shared" ca="1" si="98"/>
        <v/>
      </c>
      <c r="Z447" s="460" t="str">
        <f t="shared" ca="1" si="98"/>
        <v/>
      </c>
      <c r="AA447" s="461" t="str">
        <f t="shared" ca="1" si="98"/>
        <v/>
      </c>
      <c r="AB447" s="474" t="str">
        <f t="shared" ca="1" si="98"/>
        <v/>
      </c>
      <c r="AC447" s="475" t="str">
        <f t="shared" ca="1" si="98"/>
        <v/>
      </c>
      <c r="AD447" s="477" t="str">
        <f t="shared" ca="1" si="88"/>
        <v/>
      </c>
      <c r="AE447" s="478">
        <f t="shared" ca="1" si="89"/>
        <v>0</v>
      </c>
      <c r="AF447" s="459" t="str">
        <f t="shared" ca="1" si="96"/>
        <v/>
      </c>
      <c r="AG447" s="460" t="str">
        <f t="shared" ca="1" si="96"/>
        <v/>
      </c>
      <c r="AH447" s="460" t="str">
        <f t="shared" ca="1" si="96"/>
        <v/>
      </c>
      <c r="AI447" s="460" t="str">
        <f t="shared" ca="1" si="96"/>
        <v/>
      </c>
      <c r="AJ447" s="460" t="str">
        <f t="shared" ca="1" si="96"/>
        <v/>
      </c>
      <c r="AK447" s="460" t="str">
        <f t="shared" ca="1" si="96"/>
        <v/>
      </c>
      <c r="AL447" s="460" t="str">
        <f t="shared" ca="1" si="96"/>
        <v/>
      </c>
      <c r="AM447" s="460" t="str">
        <f t="shared" ca="1" si="96"/>
        <v/>
      </c>
      <c r="AN447" s="461" t="str">
        <f t="shared" ca="1" si="96"/>
        <v/>
      </c>
      <c r="AO447" s="474" t="str">
        <f t="shared" ca="1" si="96"/>
        <v/>
      </c>
      <c r="AP447" s="475" t="str">
        <f t="shared" ca="1" si="96"/>
        <v/>
      </c>
      <c r="AQ447" s="479" t="str">
        <f t="array" aca="1" ref="AQ447" ca="1">IF(ROW()-5&lt;=COUNTIF(科目编号,$AR$2),SMALL(IF(科目编号=$AR$2,ROW(科目编号),""),ROW()-5),"")</f>
        <v/>
      </c>
      <c r="AR447" s="480" t="str">
        <f ca="1">IF($BG$2=0,"",IF(AR446="本月合计","本年累计",IF(OR(ROW()=$AU$3,ROW()=$AV$3,ROW()=$AW$3,ROW()=$AX$3,ROW()=$AY$3,ROW()=$AZ$3,ROW()=$BA$3,ROW()=$BB$3,ROW()=$BC$3,ROW()=$BD$3,ROW()=$BE$3,ROW()=$BF$3),"本月合计",IF(ROW()&lt;7,$AQ$6,OFFSET($AQ$6,COUNT($AR$6:AR446),0)))))</f>
        <v/>
      </c>
    </row>
    <row r="448" spans="1:44">
      <c r="A448" s="469" t="str">
        <f ca="1">IFERROR(INDEX(凭证录入!A:A,$AR448),"")</f>
        <v/>
      </c>
      <c r="B448" s="469" t="str">
        <f ca="1">IFERROR(INDEX(凭证录入!B:B,$AR448),"")</f>
        <v/>
      </c>
      <c r="C448" s="470" t="str">
        <f ca="1">IFERROR(INDEX(凭证录入!G:G,$AR448),"")</f>
        <v/>
      </c>
      <c r="D448" s="471" t="str">
        <f ca="1">IFERROR(INDEX(凭证录入!F:F,$AR448),"")</f>
        <v/>
      </c>
      <c r="E448" s="472" t="str">
        <f ca="1">IFERROR(INDEX(凭证录入!H:H,$AR448),$AR448)</f>
        <v/>
      </c>
      <c r="F448" s="473">
        <f ca="1">IF(OR($BG$2=0,$AR448=""),,IF($AR448="本月合计",IF(ROW()=$BG$3,SUM($F$6:$F447),SUM(INDIRECT("$F$"&amp;OFFSET($AU$3,,MATCH(ROW(),$AU$3:$BF$3,)-2)+2&amp;":$E"&amp;ROW()-1))),IF($AR448="本年累计",SUMIF($AR$6:$AR448,"本月合计",$F$6:$F447),INDEX(凭证录入!K:K,$AR448))))</f>
        <v>0</v>
      </c>
      <c r="G448" s="459" t="str">
        <f t="shared" ca="1" si="97"/>
        <v/>
      </c>
      <c r="H448" s="460" t="str">
        <f t="shared" ca="1" si="97"/>
        <v/>
      </c>
      <c r="I448" s="460" t="str">
        <f t="shared" ca="1" si="97"/>
        <v/>
      </c>
      <c r="J448" s="460" t="str">
        <f t="shared" ca="1" si="97"/>
        <v/>
      </c>
      <c r="K448" s="460" t="str">
        <f t="shared" ca="1" si="97"/>
        <v/>
      </c>
      <c r="L448" s="460" t="str">
        <f t="shared" ca="1" si="97"/>
        <v/>
      </c>
      <c r="M448" s="460" t="str">
        <f t="shared" ca="1" si="97"/>
        <v/>
      </c>
      <c r="N448" s="460" t="str">
        <f t="shared" ca="1" si="97"/>
        <v/>
      </c>
      <c r="O448" s="461" t="str">
        <f t="shared" ca="1" si="97"/>
        <v/>
      </c>
      <c r="P448" s="474" t="str">
        <f t="shared" ca="1" si="97"/>
        <v/>
      </c>
      <c r="Q448" s="475" t="str">
        <f t="shared" ca="1" si="97"/>
        <v/>
      </c>
      <c r="R448" s="476">
        <f ca="1">IF(OR($BG$2=0,$AR448=""),,IF($AR448="本月合计",IF(ROW()=$BG$3,SUM($R$6:$R447),SUM(INDIRECT("$R$"&amp;OFFSET($AU$3,,MATCH(ROW(),$AU$3:$BF$3,)-2)+2&amp;":$R"&amp;ROW()-1))),IF($AR448="本年累计",SUMIF($AR$6:$AR448,"本月合计",$R$6:$R447),INDEX(凭证录入!L:L,$AR448))))</f>
        <v>0</v>
      </c>
      <c r="S448" s="459" t="str">
        <f t="shared" ca="1" si="98"/>
        <v/>
      </c>
      <c r="T448" s="460" t="str">
        <f t="shared" ca="1" si="98"/>
        <v/>
      </c>
      <c r="U448" s="460" t="str">
        <f t="shared" ca="1" si="98"/>
        <v/>
      </c>
      <c r="V448" s="460" t="str">
        <f t="shared" ca="1" si="98"/>
        <v/>
      </c>
      <c r="W448" s="460" t="str">
        <f t="shared" ca="1" si="98"/>
        <v/>
      </c>
      <c r="X448" s="460" t="str">
        <f t="shared" ca="1" si="98"/>
        <v/>
      </c>
      <c r="Y448" s="460" t="str">
        <f t="shared" ca="1" si="98"/>
        <v/>
      </c>
      <c r="Z448" s="460" t="str">
        <f t="shared" ca="1" si="98"/>
        <v/>
      </c>
      <c r="AA448" s="461" t="str">
        <f t="shared" ca="1" si="98"/>
        <v/>
      </c>
      <c r="AB448" s="474" t="str">
        <f t="shared" ca="1" si="98"/>
        <v/>
      </c>
      <c r="AC448" s="475" t="str">
        <f t="shared" ca="1" si="98"/>
        <v/>
      </c>
      <c r="AD448" s="477" t="str">
        <f t="shared" ca="1" si="88"/>
        <v/>
      </c>
      <c r="AE448" s="478">
        <f t="shared" ca="1" si="89"/>
        <v>0</v>
      </c>
      <c r="AF448" s="459" t="str">
        <f t="shared" ca="1" si="96"/>
        <v/>
      </c>
      <c r="AG448" s="460" t="str">
        <f t="shared" ca="1" si="96"/>
        <v/>
      </c>
      <c r="AH448" s="460" t="str">
        <f t="shared" ca="1" si="96"/>
        <v/>
      </c>
      <c r="AI448" s="460" t="str">
        <f t="shared" ca="1" si="96"/>
        <v/>
      </c>
      <c r="AJ448" s="460" t="str">
        <f t="shared" ca="1" si="96"/>
        <v/>
      </c>
      <c r="AK448" s="460" t="str">
        <f t="shared" ca="1" si="96"/>
        <v/>
      </c>
      <c r="AL448" s="460" t="str">
        <f t="shared" ca="1" si="96"/>
        <v/>
      </c>
      <c r="AM448" s="460" t="str">
        <f t="shared" ca="1" si="96"/>
        <v/>
      </c>
      <c r="AN448" s="461" t="str">
        <f t="shared" ca="1" si="96"/>
        <v/>
      </c>
      <c r="AO448" s="474" t="str">
        <f t="shared" ca="1" si="96"/>
        <v/>
      </c>
      <c r="AP448" s="475" t="str">
        <f t="shared" ca="1" si="96"/>
        <v/>
      </c>
      <c r="AQ448" s="479" t="str">
        <f t="array" aca="1" ref="AQ448" ca="1">IF(ROW()-5&lt;=COUNTIF(科目编号,$AR$2),SMALL(IF(科目编号=$AR$2,ROW(科目编号),""),ROW()-5),"")</f>
        <v/>
      </c>
      <c r="AR448" s="480" t="str">
        <f ca="1">IF($BG$2=0,"",IF(AR447="本月合计","本年累计",IF(OR(ROW()=$AU$3,ROW()=$AV$3,ROW()=$AW$3,ROW()=$AX$3,ROW()=$AY$3,ROW()=$AZ$3,ROW()=$BA$3,ROW()=$BB$3,ROW()=$BC$3,ROW()=$BD$3,ROW()=$BE$3,ROW()=$BF$3),"本月合计",IF(ROW()&lt;7,$AQ$6,OFFSET($AQ$6,COUNT($AR$6:AR447),0)))))</f>
        <v/>
      </c>
    </row>
    <row r="449" spans="1:44">
      <c r="A449" s="469" t="str">
        <f ca="1">IFERROR(INDEX(凭证录入!A:A,$AR449),"")</f>
        <v/>
      </c>
      <c r="B449" s="469" t="str">
        <f ca="1">IFERROR(INDEX(凭证录入!B:B,$AR449),"")</f>
        <v/>
      </c>
      <c r="C449" s="470" t="str">
        <f ca="1">IFERROR(INDEX(凭证录入!G:G,$AR449),"")</f>
        <v/>
      </c>
      <c r="D449" s="471" t="str">
        <f ca="1">IFERROR(INDEX(凭证录入!F:F,$AR449),"")</f>
        <v/>
      </c>
      <c r="E449" s="472" t="str">
        <f ca="1">IFERROR(INDEX(凭证录入!H:H,$AR449),$AR449)</f>
        <v/>
      </c>
      <c r="F449" s="473">
        <f ca="1">IF(OR($BG$2=0,$AR449=""),,IF($AR449="本月合计",IF(ROW()=$BG$3,SUM($F$6:$F448),SUM(INDIRECT("$F$"&amp;OFFSET($AU$3,,MATCH(ROW(),$AU$3:$BF$3,)-2)+2&amp;":$E"&amp;ROW()-1))),IF($AR449="本年累计",SUMIF($AR$6:$AR449,"本月合计",$F$6:$F448),INDEX(凭证录入!K:K,$AR449))))</f>
        <v>0</v>
      </c>
      <c r="G449" s="459" t="str">
        <f t="shared" ca="1" si="97"/>
        <v/>
      </c>
      <c r="H449" s="460" t="str">
        <f t="shared" ca="1" si="97"/>
        <v/>
      </c>
      <c r="I449" s="460" t="str">
        <f t="shared" ca="1" si="97"/>
        <v/>
      </c>
      <c r="J449" s="460" t="str">
        <f t="shared" ca="1" si="97"/>
        <v/>
      </c>
      <c r="K449" s="460" t="str">
        <f t="shared" ca="1" si="97"/>
        <v/>
      </c>
      <c r="L449" s="460" t="str">
        <f t="shared" ca="1" si="97"/>
        <v/>
      </c>
      <c r="M449" s="460" t="str">
        <f t="shared" ca="1" si="97"/>
        <v/>
      </c>
      <c r="N449" s="460" t="str">
        <f t="shared" ca="1" si="97"/>
        <v/>
      </c>
      <c r="O449" s="461" t="str">
        <f t="shared" ca="1" si="97"/>
        <v/>
      </c>
      <c r="P449" s="474" t="str">
        <f t="shared" ca="1" si="97"/>
        <v/>
      </c>
      <c r="Q449" s="475" t="str">
        <f t="shared" ca="1" si="97"/>
        <v/>
      </c>
      <c r="R449" s="476">
        <f ca="1">IF(OR($BG$2=0,$AR449=""),,IF($AR449="本月合计",IF(ROW()=$BG$3,SUM($R$6:$R448),SUM(INDIRECT("$R$"&amp;OFFSET($AU$3,,MATCH(ROW(),$AU$3:$BF$3,)-2)+2&amp;":$R"&amp;ROW()-1))),IF($AR449="本年累计",SUMIF($AR$6:$AR449,"本月合计",$R$6:$R448),INDEX(凭证录入!L:L,$AR449))))</f>
        <v>0</v>
      </c>
      <c r="S449" s="459" t="str">
        <f t="shared" ca="1" si="98"/>
        <v/>
      </c>
      <c r="T449" s="460" t="str">
        <f t="shared" ca="1" si="98"/>
        <v/>
      </c>
      <c r="U449" s="460" t="str">
        <f t="shared" ca="1" si="98"/>
        <v/>
      </c>
      <c r="V449" s="460" t="str">
        <f t="shared" ca="1" si="98"/>
        <v/>
      </c>
      <c r="W449" s="460" t="str">
        <f t="shared" ca="1" si="98"/>
        <v/>
      </c>
      <c r="X449" s="460" t="str">
        <f t="shared" ca="1" si="98"/>
        <v/>
      </c>
      <c r="Y449" s="460" t="str">
        <f t="shared" ca="1" si="98"/>
        <v/>
      </c>
      <c r="Z449" s="460" t="str">
        <f t="shared" ca="1" si="98"/>
        <v/>
      </c>
      <c r="AA449" s="461" t="str">
        <f t="shared" ca="1" si="98"/>
        <v/>
      </c>
      <c r="AB449" s="474" t="str">
        <f t="shared" ca="1" si="98"/>
        <v/>
      </c>
      <c r="AC449" s="475" t="str">
        <f t="shared" ca="1" si="98"/>
        <v/>
      </c>
      <c r="AD449" s="477" t="str">
        <f t="shared" ca="1" si="88"/>
        <v/>
      </c>
      <c r="AE449" s="478">
        <f t="shared" ca="1" si="89"/>
        <v>0</v>
      </c>
      <c r="AF449" s="459" t="str">
        <f t="shared" ca="1" si="96"/>
        <v/>
      </c>
      <c r="AG449" s="460" t="str">
        <f t="shared" ca="1" si="96"/>
        <v/>
      </c>
      <c r="AH449" s="460" t="str">
        <f t="shared" ca="1" si="96"/>
        <v/>
      </c>
      <c r="AI449" s="460" t="str">
        <f t="shared" ca="1" si="96"/>
        <v/>
      </c>
      <c r="AJ449" s="460" t="str">
        <f t="shared" ca="1" si="96"/>
        <v/>
      </c>
      <c r="AK449" s="460" t="str">
        <f t="shared" ca="1" si="96"/>
        <v/>
      </c>
      <c r="AL449" s="460" t="str">
        <f t="shared" ca="1" si="96"/>
        <v/>
      </c>
      <c r="AM449" s="460" t="str">
        <f t="shared" ca="1" si="96"/>
        <v/>
      </c>
      <c r="AN449" s="461" t="str">
        <f t="shared" ca="1" si="96"/>
        <v/>
      </c>
      <c r="AO449" s="474" t="str">
        <f t="shared" ca="1" si="96"/>
        <v/>
      </c>
      <c r="AP449" s="475" t="str">
        <f t="shared" ca="1" si="96"/>
        <v/>
      </c>
      <c r="AQ449" s="479" t="str">
        <f t="array" aca="1" ref="AQ449" ca="1">IF(ROW()-5&lt;=COUNTIF(科目编号,$AR$2),SMALL(IF(科目编号=$AR$2,ROW(科目编号),""),ROW()-5),"")</f>
        <v/>
      </c>
      <c r="AR449" s="480" t="str">
        <f ca="1">IF($BG$2=0,"",IF(AR448="本月合计","本年累计",IF(OR(ROW()=$AU$3,ROW()=$AV$3,ROW()=$AW$3,ROW()=$AX$3,ROW()=$AY$3,ROW()=$AZ$3,ROW()=$BA$3,ROW()=$BB$3,ROW()=$BC$3,ROW()=$BD$3,ROW()=$BE$3,ROW()=$BF$3),"本月合计",IF(ROW()&lt;7,$AQ$6,OFFSET($AQ$6,COUNT($AR$6:AR448),0)))))</f>
        <v/>
      </c>
    </row>
    <row r="450" spans="1:44">
      <c r="A450" s="469" t="str">
        <f ca="1">IFERROR(INDEX(凭证录入!A:A,$AR450),"")</f>
        <v/>
      </c>
      <c r="B450" s="469" t="str">
        <f ca="1">IFERROR(INDEX(凭证录入!B:B,$AR450),"")</f>
        <v/>
      </c>
      <c r="C450" s="470" t="str">
        <f ca="1">IFERROR(INDEX(凭证录入!G:G,$AR450),"")</f>
        <v/>
      </c>
      <c r="D450" s="471" t="str">
        <f ca="1">IFERROR(INDEX(凭证录入!F:F,$AR450),"")</f>
        <v/>
      </c>
      <c r="E450" s="472" t="str">
        <f ca="1">IFERROR(INDEX(凭证录入!H:H,$AR450),$AR450)</f>
        <v/>
      </c>
      <c r="F450" s="473">
        <f ca="1">IF(OR($BG$2=0,$AR450=""),,IF($AR450="本月合计",IF(ROW()=$BG$3,SUM($F$6:$F449),SUM(INDIRECT("$F$"&amp;OFFSET($AU$3,,MATCH(ROW(),$AU$3:$BF$3,)-2)+2&amp;":$E"&amp;ROW()-1))),IF($AR450="本年累计",SUMIF($AR$6:$AR450,"本月合计",$F$6:$F449),INDEX(凭证录入!K:K,$AR450))))</f>
        <v>0</v>
      </c>
      <c r="G450" s="459" t="str">
        <f t="shared" ca="1" si="97"/>
        <v/>
      </c>
      <c r="H450" s="460" t="str">
        <f t="shared" ca="1" si="97"/>
        <v/>
      </c>
      <c r="I450" s="460" t="str">
        <f t="shared" ca="1" si="97"/>
        <v/>
      </c>
      <c r="J450" s="460" t="str">
        <f t="shared" ca="1" si="97"/>
        <v/>
      </c>
      <c r="K450" s="460" t="str">
        <f t="shared" ca="1" si="97"/>
        <v/>
      </c>
      <c r="L450" s="460" t="str">
        <f t="shared" ca="1" si="97"/>
        <v/>
      </c>
      <c r="M450" s="460" t="str">
        <f t="shared" ca="1" si="97"/>
        <v/>
      </c>
      <c r="N450" s="460" t="str">
        <f t="shared" ca="1" si="97"/>
        <v/>
      </c>
      <c r="O450" s="461" t="str">
        <f t="shared" ca="1" si="97"/>
        <v/>
      </c>
      <c r="P450" s="474" t="str">
        <f t="shared" ca="1" si="97"/>
        <v/>
      </c>
      <c r="Q450" s="475" t="str">
        <f t="shared" ca="1" si="97"/>
        <v/>
      </c>
      <c r="R450" s="476">
        <f ca="1">IF(OR($BG$2=0,$AR450=""),,IF($AR450="本月合计",IF(ROW()=$BG$3,SUM($R$6:$R449),SUM(INDIRECT("$R$"&amp;OFFSET($AU$3,,MATCH(ROW(),$AU$3:$BF$3,)-2)+2&amp;":$R"&amp;ROW()-1))),IF($AR450="本年累计",SUMIF($AR$6:$AR450,"本月合计",$R$6:$R449),INDEX(凭证录入!L:L,$AR450))))</f>
        <v>0</v>
      </c>
      <c r="S450" s="459" t="str">
        <f t="shared" ca="1" si="98"/>
        <v/>
      </c>
      <c r="T450" s="460" t="str">
        <f t="shared" ca="1" si="98"/>
        <v/>
      </c>
      <c r="U450" s="460" t="str">
        <f t="shared" ca="1" si="98"/>
        <v/>
      </c>
      <c r="V450" s="460" t="str">
        <f t="shared" ca="1" si="98"/>
        <v/>
      </c>
      <c r="W450" s="460" t="str">
        <f t="shared" ca="1" si="98"/>
        <v/>
      </c>
      <c r="X450" s="460" t="str">
        <f t="shared" ca="1" si="98"/>
        <v/>
      </c>
      <c r="Y450" s="460" t="str">
        <f t="shared" ca="1" si="98"/>
        <v/>
      </c>
      <c r="Z450" s="460" t="str">
        <f t="shared" ca="1" si="98"/>
        <v/>
      </c>
      <c r="AA450" s="461" t="str">
        <f t="shared" ca="1" si="98"/>
        <v/>
      </c>
      <c r="AB450" s="474" t="str">
        <f t="shared" ca="1" si="98"/>
        <v/>
      </c>
      <c r="AC450" s="475" t="str">
        <f t="shared" ca="1" si="98"/>
        <v/>
      </c>
      <c r="AD450" s="477" t="str">
        <f t="shared" ca="1" si="88"/>
        <v/>
      </c>
      <c r="AE450" s="478">
        <f t="shared" ca="1" si="89"/>
        <v>0</v>
      </c>
      <c r="AF450" s="459" t="str">
        <f t="shared" ca="1" si="96"/>
        <v/>
      </c>
      <c r="AG450" s="460" t="str">
        <f t="shared" ca="1" si="96"/>
        <v/>
      </c>
      <c r="AH450" s="460" t="str">
        <f t="shared" ca="1" si="96"/>
        <v/>
      </c>
      <c r="AI450" s="460" t="str">
        <f t="shared" ca="1" si="96"/>
        <v/>
      </c>
      <c r="AJ450" s="460" t="str">
        <f t="shared" ca="1" si="96"/>
        <v/>
      </c>
      <c r="AK450" s="460" t="str">
        <f t="shared" ca="1" si="96"/>
        <v/>
      </c>
      <c r="AL450" s="460" t="str">
        <f t="shared" ca="1" si="96"/>
        <v/>
      </c>
      <c r="AM450" s="460" t="str">
        <f t="shared" ca="1" si="96"/>
        <v/>
      </c>
      <c r="AN450" s="461" t="str">
        <f t="shared" ca="1" si="96"/>
        <v/>
      </c>
      <c r="AO450" s="474" t="str">
        <f t="shared" ca="1" si="96"/>
        <v/>
      </c>
      <c r="AP450" s="475" t="str">
        <f t="shared" ca="1" si="96"/>
        <v/>
      </c>
      <c r="AQ450" s="479" t="str">
        <f t="array" aca="1" ref="AQ450" ca="1">IF(ROW()-5&lt;=COUNTIF(科目编号,$AR$2),SMALL(IF(科目编号=$AR$2,ROW(科目编号),""),ROW()-5),"")</f>
        <v/>
      </c>
      <c r="AR450" s="480" t="str">
        <f ca="1">IF($BG$2=0,"",IF(AR449="本月合计","本年累计",IF(OR(ROW()=$AU$3,ROW()=$AV$3,ROW()=$AW$3,ROW()=$AX$3,ROW()=$AY$3,ROW()=$AZ$3,ROW()=$BA$3,ROW()=$BB$3,ROW()=$BC$3,ROW()=$BD$3,ROW()=$BE$3,ROW()=$BF$3),"本月合计",IF(ROW()&lt;7,$AQ$6,OFFSET($AQ$6,COUNT($AR$6:AR449),0)))))</f>
        <v/>
      </c>
    </row>
    <row r="451" spans="1:44">
      <c r="A451" s="469" t="str">
        <f ca="1">IFERROR(INDEX(凭证录入!A:A,$AR451),"")</f>
        <v/>
      </c>
      <c r="B451" s="469" t="str">
        <f ca="1">IFERROR(INDEX(凭证录入!B:B,$AR451),"")</f>
        <v/>
      </c>
      <c r="C451" s="470" t="str">
        <f ca="1">IFERROR(INDEX(凭证录入!G:G,$AR451),"")</f>
        <v/>
      </c>
      <c r="D451" s="471" t="str">
        <f ca="1">IFERROR(INDEX(凭证录入!F:F,$AR451),"")</f>
        <v/>
      </c>
      <c r="E451" s="472" t="str">
        <f ca="1">IFERROR(INDEX(凭证录入!H:H,$AR451),$AR451)</f>
        <v/>
      </c>
      <c r="F451" s="473">
        <f ca="1">IF(OR($BG$2=0,$AR451=""),,IF($AR451="本月合计",IF(ROW()=$BG$3,SUM($F$6:$F450),SUM(INDIRECT("$F$"&amp;OFFSET($AU$3,,MATCH(ROW(),$AU$3:$BF$3,)-2)+2&amp;":$E"&amp;ROW()-1))),IF($AR451="本年累计",SUMIF($AR$6:$AR451,"本月合计",$F$6:$F450),INDEX(凭证录入!K:K,$AR451))))</f>
        <v>0</v>
      </c>
      <c r="G451" s="459" t="str">
        <f t="shared" ca="1" si="97"/>
        <v/>
      </c>
      <c r="H451" s="460" t="str">
        <f t="shared" ca="1" si="97"/>
        <v/>
      </c>
      <c r="I451" s="460" t="str">
        <f t="shared" ca="1" si="97"/>
        <v/>
      </c>
      <c r="J451" s="460" t="str">
        <f t="shared" ca="1" si="97"/>
        <v/>
      </c>
      <c r="K451" s="460" t="str">
        <f t="shared" ca="1" si="97"/>
        <v/>
      </c>
      <c r="L451" s="460" t="str">
        <f t="shared" ca="1" si="97"/>
        <v/>
      </c>
      <c r="M451" s="460" t="str">
        <f t="shared" ca="1" si="97"/>
        <v/>
      </c>
      <c r="N451" s="460" t="str">
        <f t="shared" ca="1" si="97"/>
        <v/>
      </c>
      <c r="O451" s="461" t="str">
        <f t="shared" ca="1" si="97"/>
        <v/>
      </c>
      <c r="P451" s="474" t="str">
        <f t="shared" ca="1" si="97"/>
        <v/>
      </c>
      <c r="Q451" s="475" t="str">
        <f t="shared" ca="1" si="97"/>
        <v/>
      </c>
      <c r="R451" s="476">
        <f ca="1">IF(OR($BG$2=0,$AR451=""),,IF($AR451="本月合计",IF(ROW()=$BG$3,SUM($R$6:$R450),SUM(INDIRECT("$R$"&amp;OFFSET($AU$3,,MATCH(ROW(),$AU$3:$BF$3,)-2)+2&amp;":$R"&amp;ROW()-1))),IF($AR451="本年累计",SUMIF($AR$6:$AR451,"本月合计",$R$6:$R450),INDEX(凭证录入!L:L,$AR451))))</f>
        <v>0</v>
      </c>
      <c r="S451" s="459" t="str">
        <f t="shared" ca="1" si="98"/>
        <v/>
      </c>
      <c r="T451" s="460" t="str">
        <f t="shared" ca="1" si="98"/>
        <v/>
      </c>
      <c r="U451" s="460" t="str">
        <f t="shared" ca="1" si="98"/>
        <v/>
      </c>
      <c r="V451" s="460" t="str">
        <f t="shared" ca="1" si="98"/>
        <v/>
      </c>
      <c r="W451" s="460" t="str">
        <f t="shared" ca="1" si="98"/>
        <v/>
      </c>
      <c r="X451" s="460" t="str">
        <f t="shared" ca="1" si="98"/>
        <v/>
      </c>
      <c r="Y451" s="460" t="str">
        <f t="shared" ca="1" si="98"/>
        <v/>
      </c>
      <c r="Z451" s="460" t="str">
        <f t="shared" ca="1" si="98"/>
        <v/>
      </c>
      <c r="AA451" s="461" t="str">
        <f t="shared" ca="1" si="98"/>
        <v/>
      </c>
      <c r="AB451" s="474" t="str">
        <f t="shared" ca="1" si="98"/>
        <v/>
      </c>
      <c r="AC451" s="475" t="str">
        <f t="shared" ca="1" si="98"/>
        <v/>
      </c>
      <c r="AD451" s="477" t="str">
        <f t="shared" ca="1" si="88"/>
        <v/>
      </c>
      <c r="AE451" s="478">
        <f t="shared" ca="1" si="89"/>
        <v>0</v>
      </c>
      <c r="AF451" s="459" t="str">
        <f t="shared" ca="1" si="96"/>
        <v/>
      </c>
      <c r="AG451" s="460" t="str">
        <f t="shared" ca="1" si="96"/>
        <v/>
      </c>
      <c r="AH451" s="460" t="str">
        <f t="shared" ca="1" si="96"/>
        <v/>
      </c>
      <c r="AI451" s="460" t="str">
        <f t="shared" ca="1" si="96"/>
        <v/>
      </c>
      <c r="AJ451" s="460" t="str">
        <f t="shared" ca="1" si="96"/>
        <v/>
      </c>
      <c r="AK451" s="460" t="str">
        <f t="shared" ca="1" si="96"/>
        <v/>
      </c>
      <c r="AL451" s="460" t="str">
        <f t="shared" ca="1" si="96"/>
        <v/>
      </c>
      <c r="AM451" s="460" t="str">
        <f t="shared" ca="1" si="96"/>
        <v/>
      </c>
      <c r="AN451" s="461" t="str">
        <f t="shared" ca="1" si="96"/>
        <v/>
      </c>
      <c r="AO451" s="474" t="str">
        <f t="shared" ca="1" si="96"/>
        <v/>
      </c>
      <c r="AP451" s="475" t="str">
        <f t="shared" ca="1" si="96"/>
        <v/>
      </c>
      <c r="AQ451" s="479" t="str">
        <f t="array" aca="1" ref="AQ451" ca="1">IF(ROW()-5&lt;=COUNTIF(科目编号,$AR$2),SMALL(IF(科目编号=$AR$2,ROW(科目编号),""),ROW()-5),"")</f>
        <v/>
      </c>
      <c r="AR451" s="480" t="str">
        <f ca="1">IF($BG$2=0,"",IF(AR450="本月合计","本年累计",IF(OR(ROW()=$AU$3,ROW()=$AV$3,ROW()=$AW$3,ROW()=$AX$3,ROW()=$AY$3,ROW()=$AZ$3,ROW()=$BA$3,ROW()=$BB$3,ROW()=$BC$3,ROW()=$BD$3,ROW()=$BE$3,ROW()=$BF$3),"本月合计",IF(ROW()&lt;7,$AQ$6,OFFSET($AQ$6,COUNT($AR$6:AR450),0)))))</f>
        <v/>
      </c>
    </row>
    <row r="452" spans="1:44">
      <c r="A452" s="469" t="str">
        <f ca="1">IFERROR(INDEX(凭证录入!A:A,$AR452),"")</f>
        <v/>
      </c>
      <c r="B452" s="469" t="str">
        <f ca="1">IFERROR(INDEX(凭证录入!B:B,$AR452),"")</f>
        <v/>
      </c>
      <c r="C452" s="470" t="str">
        <f ca="1">IFERROR(INDEX(凭证录入!G:G,$AR452),"")</f>
        <v/>
      </c>
      <c r="D452" s="471" t="str">
        <f ca="1">IFERROR(INDEX(凭证录入!F:F,$AR452),"")</f>
        <v/>
      </c>
      <c r="E452" s="472" t="str">
        <f ca="1">IFERROR(INDEX(凭证录入!H:H,$AR452),$AR452)</f>
        <v/>
      </c>
      <c r="F452" s="473">
        <f ca="1">IF(OR($BG$2=0,$AR452=""),,IF($AR452="本月合计",IF(ROW()=$BG$3,SUM($F$6:$F451),SUM(INDIRECT("$F$"&amp;OFFSET($AU$3,,MATCH(ROW(),$AU$3:$BF$3,)-2)+2&amp;":$E"&amp;ROW()-1))),IF($AR452="本年累计",SUMIF($AR$6:$AR452,"本月合计",$F$6:$F451),INDEX(凭证录入!K:K,$AR452))))</f>
        <v>0</v>
      </c>
      <c r="G452" s="459" t="str">
        <f t="shared" ca="1" si="97"/>
        <v/>
      </c>
      <c r="H452" s="460" t="str">
        <f t="shared" ca="1" si="97"/>
        <v/>
      </c>
      <c r="I452" s="460" t="str">
        <f t="shared" ca="1" si="97"/>
        <v/>
      </c>
      <c r="J452" s="460" t="str">
        <f t="shared" ca="1" si="97"/>
        <v/>
      </c>
      <c r="K452" s="460" t="str">
        <f t="shared" ca="1" si="97"/>
        <v/>
      </c>
      <c r="L452" s="460" t="str">
        <f t="shared" ca="1" si="97"/>
        <v/>
      </c>
      <c r="M452" s="460" t="str">
        <f t="shared" ca="1" si="97"/>
        <v/>
      </c>
      <c r="N452" s="460" t="str">
        <f t="shared" ca="1" si="97"/>
        <v/>
      </c>
      <c r="O452" s="461" t="str">
        <f t="shared" ca="1" si="97"/>
        <v/>
      </c>
      <c r="P452" s="474" t="str">
        <f t="shared" ca="1" si="97"/>
        <v/>
      </c>
      <c r="Q452" s="475" t="str">
        <f t="shared" ca="1" si="97"/>
        <v/>
      </c>
      <c r="R452" s="476">
        <f ca="1">IF(OR($BG$2=0,$AR452=""),,IF($AR452="本月合计",IF(ROW()=$BG$3,SUM($R$6:$R451),SUM(INDIRECT("$R$"&amp;OFFSET($AU$3,,MATCH(ROW(),$AU$3:$BF$3,)-2)+2&amp;":$R"&amp;ROW()-1))),IF($AR452="本年累计",SUMIF($AR$6:$AR452,"本月合计",$R$6:$R451),INDEX(凭证录入!L:L,$AR452))))</f>
        <v>0</v>
      </c>
      <c r="S452" s="459" t="str">
        <f t="shared" ca="1" si="98"/>
        <v/>
      </c>
      <c r="T452" s="460" t="str">
        <f t="shared" ca="1" si="98"/>
        <v/>
      </c>
      <c r="U452" s="460" t="str">
        <f t="shared" ca="1" si="98"/>
        <v/>
      </c>
      <c r="V452" s="460" t="str">
        <f t="shared" ca="1" si="98"/>
        <v/>
      </c>
      <c r="W452" s="460" t="str">
        <f t="shared" ca="1" si="98"/>
        <v/>
      </c>
      <c r="X452" s="460" t="str">
        <f t="shared" ca="1" si="98"/>
        <v/>
      </c>
      <c r="Y452" s="460" t="str">
        <f t="shared" ca="1" si="98"/>
        <v/>
      </c>
      <c r="Z452" s="460" t="str">
        <f t="shared" ca="1" si="98"/>
        <v/>
      </c>
      <c r="AA452" s="461" t="str">
        <f t="shared" ca="1" si="98"/>
        <v/>
      </c>
      <c r="AB452" s="474" t="str">
        <f t="shared" ca="1" si="98"/>
        <v/>
      </c>
      <c r="AC452" s="475" t="str">
        <f t="shared" ca="1" si="98"/>
        <v/>
      </c>
      <c r="AD452" s="477" t="str">
        <f t="shared" ca="1" si="88"/>
        <v/>
      </c>
      <c r="AE452" s="478">
        <f t="shared" ca="1" si="89"/>
        <v>0</v>
      </c>
      <c r="AF452" s="459" t="str">
        <f t="shared" ca="1" si="96"/>
        <v/>
      </c>
      <c r="AG452" s="460" t="str">
        <f t="shared" ca="1" si="96"/>
        <v/>
      </c>
      <c r="AH452" s="460" t="str">
        <f t="shared" ca="1" si="96"/>
        <v/>
      </c>
      <c r="AI452" s="460" t="str">
        <f t="shared" ca="1" si="96"/>
        <v/>
      </c>
      <c r="AJ452" s="460" t="str">
        <f t="shared" ca="1" si="96"/>
        <v/>
      </c>
      <c r="AK452" s="460" t="str">
        <f t="shared" ca="1" si="96"/>
        <v/>
      </c>
      <c r="AL452" s="460" t="str">
        <f t="shared" ca="1" si="96"/>
        <v/>
      </c>
      <c r="AM452" s="460" t="str">
        <f t="shared" ca="1" si="96"/>
        <v/>
      </c>
      <c r="AN452" s="461" t="str">
        <f t="shared" ca="1" si="96"/>
        <v/>
      </c>
      <c r="AO452" s="474" t="str">
        <f t="shared" ca="1" si="96"/>
        <v/>
      </c>
      <c r="AP452" s="475" t="str">
        <f t="shared" ca="1" si="96"/>
        <v/>
      </c>
      <c r="AQ452" s="479" t="str">
        <f t="array" aca="1" ref="AQ452" ca="1">IF(ROW()-5&lt;=COUNTIF(科目编号,$AR$2),SMALL(IF(科目编号=$AR$2,ROW(科目编号),""),ROW()-5),"")</f>
        <v/>
      </c>
      <c r="AR452" s="480" t="str">
        <f ca="1">IF($BG$2=0,"",IF(AR451="本月合计","本年累计",IF(OR(ROW()=$AU$3,ROW()=$AV$3,ROW()=$AW$3,ROW()=$AX$3,ROW()=$AY$3,ROW()=$AZ$3,ROW()=$BA$3,ROW()=$BB$3,ROW()=$BC$3,ROW()=$BD$3,ROW()=$BE$3,ROW()=$BF$3),"本月合计",IF(ROW()&lt;7,$AQ$6,OFFSET($AQ$6,COUNT($AR$6:AR451),0)))))</f>
        <v/>
      </c>
    </row>
    <row r="453" spans="1:44">
      <c r="A453" s="469" t="str">
        <f ca="1">IFERROR(INDEX(凭证录入!A:A,$AR453),"")</f>
        <v/>
      </c>
      <c r="B453" s="469" t="str">
        <f ca="1">IFERROR(INDEX(凭证录入!B:B,$AR453),"")</f>
        <v/>
      </c>
      <c r="C453" s="470" t="str">
        <f ca="1">IFERROR(INDEX(凭证录入!G:G,$AR453),"")</f>
        <v/>
      </c>
      <c r="D453" s="471" t="str">
        <f ca="1">IFERROR(INDEX(凭证录入!F:F,$AR453),"")</f>
        <v/>
      </c>
      <c r="E453" s="472" t="str">
        <f ca="1">IFERROR(INDEX(凭证录入!H:H,$AR453),$AR453)</f>
        <v/>
      </c>
      <c r="F453" s="473">
        <f ca="1">IF(OR($BG$2=0,$AR453=""),,IF($AR453="本月合计",IF(ROW()=$BG$3,SUM($F$6:$F452),SUM(INDIRECT("$F$"&amp;OFFSET($AU$3,,MATCH(ROW(),$AU$3:$BF$3,)-2)+2&amp;":$E"&amp;ROW()-1))),IF($AR453="本年累计",SUMIF($AR$6:$AR453,"本月合计",$F$6:$F452),INDEX(凭证录入!K:K,$AR453))))</f>
        <v>0</v>
      </c>
      <c r="G453" s="459" t="str">
        <f t="shared" ca="1" si="97"/>
        <v/>
      </c>
      <c r="H453" s="460" t="str">
        <f t="shared" ca="1" si="97"/>
        <v/>
      </c>
      <c r="I453" s="460" t="str">
        <f t="shared" ca="1" si="97"/>
        <v/>
      </c>
      <c r="J453" s="460" t="str">
        <f t="shared" ca="1" si="97"/>
        <v/>
      </c>
      <c r="K453" s="460" t="str">
        <f t="shared" ca="1" si="97"/>
        <v/>
      </c>
      <c r="L453" s="460" t="str">
        <f t="shared" ca="1" si="97"/>
        <v/>
      </c>
      <c r="M453" s="460" t="str">
        <f t="shared" ca="1" si="97"/>
        <v/>
      </c>
      <c r="N453" s="460" t="str">
        <f t="shared" ca="1" si="97"/>
        <v/>
      </c>
      <c r="O453" s="461" t="str">
        <f t="shared" ca="1" si="97"/>
        <v/>
      </c>
      <c r="P453" s="474" t="str">
        <f t="shared" ca="1" si="97"/>
        <v/>
      </c>
      <c r="Q453" s="475" t="str">
        <f t="shared" ca="1" si="97"/>
        <v/>
      </c>
      <c r="R453" s="476">
        <f ca="1">IF(OR($BG$2=0,$AR453=""),,IF($AR453="本月合计",IF(ROW()=$BG$3,SUM($R$6:$R452),SUM(INDIRECT("$R$"&amp;OFFSET($AU$3,,MATCH(ROW(),$AU$3:$BF$3,)-2)+2&amp;":$R"&amp;ROW()-1))),IF($AR453="本年累计",SUMIF($AR$6:$AR453,"本月合计",$R$6:$R452),INDEX(凭证录入!L:L,$AR453))))</f>
        <v>0</v>
      </c>
      <c r="S453" s="459" t="str">
        <f t="shared" ca="1" si="98"/>
        <v/>
      </c>
      <c r="T453" s="460" t="str">
        <f t="shared" ca="1" si="98"/>
        <v/>
      </c>
      <c r="U453" s="460" t="str">
        <f t="shared" ca="1" si="98"/>
        <v/>
      </c>
      <c r="V453" s="460" t="str">
        <f t="shared" ca="1" si="98"/>
        <v/>
      </c>
      <c r="W453" s="460" t="str">
        <f t="shared" ca="1" si="98"/>
        <v/>
      </c>
      <c r="X453" s="460" t="str">
        <f t="shared" ca="1" si="98"/>
        <v/>
      </c>
      <c r="Y453" s="460" t="str">
        <f t="shared" ca="1" si="98"/>
        <v/>
      </c>
      <c r="Z453" s="460" t="str">
        <f t="shared" ca="1" si="98"/>
        <v/>
      </c>
      <c r="AA453" s="461" t="str">
        <f t="shared" ca="1" si="98"/>
        <v/>
      </c>
      <c r="AB453" s="474" t="str">
        <f t="shared" ca="1" si="98"/>
        <v/>
      </c>
      <c r="AC453" s="475" t="str">
        <f t="shared" ca="1" si="98"/>
        <v/>
      </c>
      <c r="AD453" s="477" t="str">
        <f t="shared" ca="1" si="88"/>
        <v/>
      </c>
      <c r="AE453" s="478">
        <f t="shared" ca="1" si="89"/>
        <v>0</v>
      </c>
      <c r="AF453" s="459" t="str">
        <f t="shared" ref="AF453:AP468" ca="1" si="99">LEFT(RIGHT(TEXT($AE453/1%," ￥0; ￥-0;"),43-COLUMN()))</f>
        <v/>
      </c>
      <c r="AG453" s="460" t="str">
        <f t="shared" ca="1" si="99"/>
        <v/>
      </c>
      <c r="AH453" s="460" t="str">
        <f t="shared" ca="1" si="99"/>
        <v/>
      </c>
      <c r="AI453" s="460" t="str">
        <f t="shared" ca="1" si="99"/>
        <v/>
      </c>
      <c r="AJ453" s="460" t="str">
        <f t="shared" ca="1" si="99"/>
        <v/>
      </c>
      <c r="AK453" s="460" t="str">
        <f t="shared" ca="1" si="99"/>
        <v/>
      </c>
      <c r="AL453" s="460" t="str">
        <f t="shared" ca="1" si="99"/>
        <v/>
      </c>
      <c r="AM453" s="460" t="str">
        <f t="shared" ca="1" si="99"/>
        <v/>
      </c>
      <c r="AN453" s="461" t="str">
        <f t="shared" ca="1" si="99"/>
        <v/>
      </c>
      <c r="AO453" s="474" t="str">
        <f t="shared" ca="1" si="99"/>
        <v/>
      </c>
      <c r="AP453" s="475" t="str">
        <f t="shared" ca="1" si="99"/>
        <v/>
      </c>
      <c r="AQ453" s="479" t="str">
        <f t="array" aca="1" ref="AQ453" ca="1">IF(ROW()-5&lt;=COUNTIF(科目编号,$AR$2),SMALL(IF(科目编号=$AR$2,ROW(科目编号),""),ROW()-5),"")</f>
        <v/>
      </c>
      <c r="AR453" s="480" t="str">
        <f ca="1">IF($BG$2=0,"",IF(AR452="本月合计","本年累计",IF(OR(ROW()=$AU$3,ROW()=$AV$3,ROW()=$AW$3,ROW()=$AX$3,ROW()=$AY$3,ROW()=$AZ$3,ROW()=$BA$3,ROW()=$BB$3,ROW()=$BC$3,ROW()=$BD$3,ROW()=$BE$3,ROW()=$BF$3),"本月合计",IF(ROW()&lt;7,$AQ$6,OFFSET($AQ$6,COUNT($AR$6:AR452),0)))))</f>
        <v/>
      </c>
    </row>
    <row r="454" spans="1:44">
      <c r="A454" s="469" t="str">
        <f ca="1">IFERROR(INDEX(凭证录入!A:A,$AR454),"")</f>
        <v/>
      </c>
      <c r="B454" s="469" t="str">
        <f ca="1">IFERROR(INDEX(凭证录入!B:B,$AR454),"")</f>
        <v/>
      </c>
      <c r="C454" s="470" t="str">
        <f ca="1">IFERROR(INDEX(凭证录入!G:G,$AR454),"")</f>
        <v/>
      </c>
      <c r="D454" s="471" t="str">
        <f ca="1">IFERROR(INDEX(凭证录入!F:F,$AR454),"")</f>
        <v/>
      </c>
      <c r="E454" s="472" t="str">
        <f ca="1">IFERROR(INDEX(凭证录入!H:H,$AR454),$AR454)</f>
        <v/>
      </c>
      <c r="F454" s="473">
        <f ca="1">IF(OR($BG$2=0,$AR454=""),,IF($AR454="本月合计",IF(ROW()=$BG$3,SUM($F$6:$F453),SUM(INDIRECT("$F$"&amp;OFFSET($AU$3,,MATCH(ROW(),$AU$3:$BF$3,)-2)+2&amp;":$E"&amp;ROW()-1))),IF($AR454="本年累计",SUMIF($AR$6:$AR454,"本月合计",$F$6:$F453),INDEX(凭证录入!K:K,$AR454))))</f>
        <v>0</v>
      </c>
      <c r="G454" s="459" t="str">
        <f t="shared" ref="G454:Q469" ca="1" si="100">LEFT(RIGHT(TEXT($F454/1%," ￥0; ￥-0;"),18-COLUMN()))</f>
        <v/>
      </c>
      <c r="H454" s="460" t="str">
        <f t="shared" ca="1" si="100"/>
        <v/>
      </c>
      <c r="I454" s="460" t="str">
        <f t="shared" ca="1" si="100"/>
        <v/>
      </c>
      <c r="J454" s="460" t="str">
        <f t="shared" ca="1" si="100"/>
        <v/>
      </c>
      <c r="K454" s="460" t="str">
        <f t="shared" ca="1" si="100"/>
        <v/>
      </c>
      <c r="L454" s="460" t="str">
        <f t="shared" ca="1" si="100"/>
        <v/>
      </c>
      <c r="M454" s="460" t="str">
        <f t="shared" ca="1" si="100"/>
        <v/>
      </c>
      <c r="N454" s="460" t="str">
        <f t="shared" ca="1" si="100"/>
        <v/>
      </c>
      <c r="O454" s="461" t="str">
        <f t="shared" ca="1" si="100"/>
        <v/>
      </c>
      <c r="P454" s="474" t="str">
        <f t="shared" ca="1" si="100"/>
        <v/>
      </c>
      <c r="Q454" s="475" t="str">
        <f t="shared" ca="1" si="100"/>
        <v/>
      </c>
      <c r="R454" s="476">
        <f ca="1">IF(OR($BG$2=0,$AR454=""),,IF($AR454="本月合计",IF(ROW()=$BG$3,SUM($R$6:$R453),SUM(INDIRECT("$R$"&amp;OFFSET($AU$3,,MATCH(ROW(),$AU$3:$BF$3,)-2)+2&amp;":$R"&amp;ROW()-1))),IF($AR454="本年累计",SUMIF($AR$6:$AR454,"本月合计",$R$6:$R453),INDEX(凭证录入!L:L,$AR454))))</f>
        <v>0</v>
      </c>
      <c r="S454" s="459" t="str">
        <f t="shared" ref="S454:AC469" ca="1" si="101">LEFT(RIGHT(TEXT($R454/1%," ￥0; ￥-0;"),30-COLUMN()))</f>
        <v/>
      </c>
      <c r="T454" s="460" t="str">
        <f t="shared" ca="1" si="101"/>
        <v/>
      </c>
      <c r="U454" s="460" t="str">
        <f t="shared" ca="1" si="101"/>
        <v/>
      </c>
      <c r="V454" s="460" t="str">
        <f t="shared" ca="1" si="101"/>
        <v/>
      </c>
      <c r="W454" s="460" t="str">
        <f t="shared" ca="1" si="101"/>
        <v/>
      </c>
      <c r="X454" s="460" t="str">
        <f t="shared" ca="1" si="101"/>
        <v/>
      </c>
      <c r="Y454" s="460" t="str">
        <f t="shared" ca="1" si="101"/>
        <v/>
      </c>
      <c r="Z454" s="460" t="str">
        <f t="shared" ca="1" si="101"/>
        <v/>
      </c>
      <c r="AA454" s="461" t="str">
        <f t="shared" ca="1" si="101"/>
        <v/>
      </c>
      <c r="AB454" s="474" t="str">
        <f t="shared" ca="1" si="101"/>
        <v/>
      </c>
      <c r="AC454" s="475" t="str">
        <f t="shared" ca="1" si="101"/>
        <v/>
      </c>
      <c r="AD454" s="477" t="str">
        <f t="shared" ref="AD454:AD517" ca="1" si="102">IF(OR($BG$2=0,$AR454="",$AR454="本月合计",$AR454="本年累计"),"",IF(OR(AND($AD453="",$AE453="",$AD451&lt;&gt;"借",$AD451&lt;&gt;"贷",($F454-$R454)&gt;=0),AND($AD453="",$AE453&lt;&gt;"",$AD451="借",($AE452+$F454-$R454)&gt;=0),AND($AD453="",$AE453&lt;&gt;"",$AD451="贷",(-$AE452+$F454-$R454)&gt;=0),AND($AD453="借",($AE453+$F454-$R454)&gt;=0),AND($AD453="贷",(-$AE453+$F454-$R454)&gt;=0),),"借","贷"))</f>
        <v/>
      </c>
      <c r="AE454" s="478">
        <f t="shared" ref="AE454:AE517" ca="1" si="103">IF(OR($BG$2=0,$AR454=""),,IF(OR($AR454="本月合计",$AR454="本年累计"),$AE453,IF(OR(AD453="借",AND(AD453="",AD452="",AD451="借")),ABS(AE453+F454-R454),ABS(-AE453+F454-R454))))</f>
        <v>0</v>
      </c>
      <c r="AF454" s="459" t="str">
        <f t="shared" ca="1" si="99"/>
        <v/>
      </c>
      <c r="AG454" s="460" t="str">
        <f t="shared" ca="1" si="99"/>
        <v/>
      </c>
      <c r="AH454" s="460" t="str">
        <f t="shared" ca="1" si="99"/>
        <v/>
      </c>
      <c r="AI454" s="460" t="str">
        <f t="shared" ca="1" si="99"/>
        <v/>
      </c>
      <c r="AJ454" s="460" t="str">
        <f t="shared" ca="1" si="99"/>
        <v/>
      </c>
      <c r="AK454" s="460" t="str">
        <f t="shared" ca="1" si="99"/>
        <v/>
      </c>
      <c r="AL454" s="460" t="str">
        <f t="shared" ca="1" si="99"/>
        <v/>
      </c>
      <c r="AM454" s="460" t="str">
        <f t="shared" ca="1" si="99"/>
        <v/>
      </c>
      <c r="AN454" s="461" t="str">
        <f t="shared" ca="1" si="99"/>
        <v/>
      </c>
      <c r="AO454" s="474" t="str">
        <f t="shared" ca="1" si="99"/>
        <v/>
      </c>
      <c r="AP454" s="475" t="str">
        <f t="shared" ca="1" si="99"/>
        <v/>
      </c>
      <c r="AQ454" s="479" t="str">
        <f t="array" aca="1" ref="AQ454" ca="1">IF(ROW()-5&lt;=COUNTIF(科目编号,$AR$2),SMALL(IF(科目编号=$AR$2,ROW(科目编号),""),ROW()-5),"")</f>
        <v/>
      </c>
      <c r="AR454" s="480" t="str">
        <f ca="1">IF($BG$2=0,"",IF(AR453="本月合计","本年累计",IF(OR(ROW()=$AU$3,ROW()=$AV$3,ROW()=$AW$3,ROW()=$AX$3,ROW()=$AY$3,ROW()=$AZ$3,ROW()=$BA$3,ROW()=$BB$3,ROW()=$BC$3,ROW()=$BD$3,ROW()=$BE$3,ROW()=$BF$3),"本月合计",IF(ROW()&lt;7,$AQ$6,OFFSET($AQ$6,COUNT($AR$6:AR453),0)))))</f>
        <v/>
      </c>
    </row>
    <row r="455" spans="1:44">
      <c r="A455" s="469" t="str">
        <f ca="1">IFERROR(INDEX(凭证录入!A:A,$AR455),"")</f>
        <v/>
      </c>
      <c r="B455" s="469" t="str">
        <f ca="1">IFERROR(INDEX(凭证录入!B:B,$AR455),"")</f>
        <v/>
      </c>
      <c r="C455" s="470" t="str">
        <f ca="1">IFERROR(INDEX(凭证录入!G:G,$AR455),"")</f>
        <v/>
      </c>
      <c r="D455" s="471" t="str">
        <f ca="1">IFERROR(INDEX(凭证录入!F:F,$AR455),"")</f>
        <v/>
      </c>
      <c r="E455" s="472" t="str">
        <f ca="1">IFERROR(INDEX(凭证录入!H:H,$AR455),$AR455)</f>
        <v/>
      </c>
      <c r="F455" s="473">
        <f ca="1">IF(OR($BG$2=0,$AR455=""),,IF($AR455="本月合计",IF(ROW()=$BG$3,SUM($F$6:$F454),SUM(INDIRECT("$F$"&amp;OFFSET($AU$3,,MATCH(ROW(),$AU$3:$BF$3,)-2)+2&amp;":$E"&amp;ROW()-1))),IF($AR455="本年累计",SUMIF($AR$6:$AR455,"本月合计",$F$6:$F454),INDEX(凭证录入!K:K,$AR455))))</f>
        <v>0</v>
      </c>
      <c r="G455" s="459" t="str">
        <f t="shared" ca="1" si="100"/>
        <v/>
      </c>
      <c r="H455" s="460" t="str">
        <f t="shared" ca="1" si="100"/>
        <v/>
      </c>
      <c r="I455" s="460" t="str">
        <f t="shared" ca="1" si="100"/>
        <v/>
      </c>
      <c r="J455" s="460" t="str">
        <f t="shared" ca="1" si="100"/>
        <v/>
      </c>
      <c r="K455" s="460" t="str">
        <f t="shared" ca="1" si="100"/>
        <v/>
      </c>
      <c r="L455" s="460" t="str">
        <f t="shared" ca="1" si="100"/>
        <v/>
      </c>
      <c r="M455" s="460" t="str">
        <f t="shared" ca="1" si="100"/>
        <v/>
      </c>
      <c r="N455" s="460" t="str">
        <f t="shared" ca="1" si="100"/>
        <v/>
      </c>
      <c r="O455" s="461" t="str">
        <f t="shared" ca="1" si="100"/>
        <v/>
      </c>
      <c r="P455" s="474" t="str">
        <f t="shared" ca="1" si="100"/>
        <v/>
      </c>
      <c r="Q455" s="475" t="str">
        <f t="shared" ca="1" si="100"/>
        <v/>
      </c>
      <c r="R455" s="476">
        <f ca="1">IF(OR($BG$2=0,$AR455=""),,IF($AR455="本月合计",IF(ROW()=$BG$3,SUM($R$6:$R454),SUM(INDIRECT("$R$"&amp;OFFSET($AU$3,,MATCH(ROW(),$AU$3:$BF$3,)-2)+2&amp;":$R"&amp;ROW()-1))),IF($AR455="本年累计",SUMIF($AR$6:$AR455,"本月合计",$R$6:$R454),INDEX(凭证录入!L:L,$AR455))))</f>
        <v>0</v>
      </c>
      <c r="S455" s="459" t="str">
        <f t="shared" ca="1" si="101"/>
        <v/>
      </c>
      <c r="T455" s="460" t="str">
        <f t="shared" ca="1" si="101"/>
        <v/>
      </c>
      <c r="U455" s="460" t="str">
        <f t="shared" ca="1" si="101"/>
        <v/>
      </c>
      <c r="V455" s="460" t="str">
        <f t="shared" ca="1" si="101"/>
        <v/>
      </c>
      <c r="W455" s="460" t="str">
        <f t="shared" ca="1" si="101"/>
        <v/>
      </c>
      <c r="X455" s="460" t="str">
        <f t="shared" ca="1" si="101"/>
        <v/>
      </c>
      <c r="Y455" s="460" t="str">
        <f t="shared" ca="1" si="101"/>
        <v/>
      </c>
      <c r="Z455" s="460" t="str">
        <f t="shared" ca="1" si="101"/>
        <v/>
      </c>
      <c r="AA455" s="461" t="str">
        <f t="shared" ca="1" si="101"/>
        <v/>
      </c>
      <c r="AB455" s="474" t="str">
        <f t="shared" ca="1" si="101"/>
        <v/>
      </c>
      <c r="AC455" s="475" t="str">
        <f t="shared" ca="1" si="101"/>
        <v/>
      </c>
      <c r="AD455" s="477" t="str">
        <f t="shared" ca="1" si="102"/>
        <v/>
      </c>
      <c r="AE455" s="478">
        <f t="shared" ca="1" si="103"/>
        <v>0</v>
      </c>
      <c r="AF455" s="459" t="str">
        <f t="shared" ca="1" si="99"/>
        <v/>
      </c>
      <c r="AG455" s="460" t="str">
        <f t="shared" ca="1" si="99"/>
        <v/>
      </c>
      <c r="AH455" s="460" t="str">
        <f t="shared" ca="1" si="99"/>
        <v/>
      </c>
      <c r="AI455" s="460" t="str">
        <f t="shared" ca="1" si="99"/>
        <v/>
      </c>
      <c r="AJ455" s="460" t="str">
        <f t="shared" ca="1" si="99"/>
        <v/>
      </c>
      <c r="AK455" s="460" t="str">
        <f t="shared" ca="1" si="99"/>
        <v/>
      </c>
      <c r="AL455" s="460" t="str">
        <f t="shared" ca="1" si="99"/>
        <v/>
      </c>
      <c r="AM455" s="460" t="str">
        <f t="shared" ca="1" si="99"/>
        <v/>
      </c>
      <c r="AN455" s="461" t="str">
        <f t="shared" ca="1" si="99"/>
        <v/>
      </c>
      <c r="AO455" s="474" t="str">
        <f t="shared" ca="1" si="99"/>
        <v/>
      </c>
      <c r="AP455" s="475" t="str">
        <f t="shared" ca="1" si="99"/>
        <v/>
      </c>
      <c r="AQ455" s="479" t="str">
        <f t="array" aca="1" ref="AQ455" ca="1">IF(ROW()-5&lt;=COUNTIF(科目编号,$AR$2),SMALL(IF(科目编号=$AR$2,ROW(科目编号),""),ROW()-5),"")</f>
        <v/>
      </c>
      <c r="AR455" s="480" t="str">
        <f ca="1">IF($BG$2=0,"",IF(AR454="本月合计","本年累计",IF(OR(ROW()=$AU$3,ROW()=$AV$3,ROW()=$AW$3,ROW()=$AX$3,ROW()=$AY$3,ROW()=$AZ$3,ROW()=$BA$3,ROW()=$BB$3,ROW()=$BC$3,ROW()=$BD$3,ROW()=$BE$3,ROW()=$BF$3),"本月合计",IF(ROW()&lt;7,$AQ$6,OFFSET($AQ$6,COUNT($AR$6:AR454),0)))))</f>
        <v/>
      </c>
    </row>
    <row r="456" spans="1:44">
      <c r="A456" s="469" t="str">
        <f ca="1">IFERROR(INDEX(凭证录入!A:A,$AR456),"")</f>
        <v/>
      </c>
      <c r="B456" s="469" t="str">
        <f ca="1">IFERROR(INDEX(凭证录入!B:B,$AR456),"")</f>
        <v/>
      </c>
      <c r="C456" s="470" t="str">
        <f ca="1">IFERROR(INDEX(凭证录入!G:G,$AR456),"")</f>
        <v/>
      </c>
      <c r="D456" s="471" t="str">
        <f ca="1">IFERROR(INDEX(凭证录入!F:F,$AR456),"")</f>
        <v/>
      </c>
      <c r="E456" s="472" t="str">
        <f ca="1">IFERROR(INDEX(凭证录入!H:H,$AR456),$AR456)</f>
        <v/>
      </c>
      <c r="F456" s="473">
        <f ca="1">IF(OR($BG$2=0,$AR456=""),,IF($AR456="本月合计",IF(ROW()=$BG$3,SUM($F$6:$F455),SUM(INDIRECT("$F$"&amp;OFFSET($AU$3,,MATCH(ROW(),$AU$3:$BF$3,)-2)+2&amp;":$E"&amp;ROW()-1))),IF($AR456="本年累计",SUMIF($AR$6:$AR456,"本月合计",$F$6:$F455),INDEX(凭证录入!K:K,$AR456))))</f>
        <v>0</v>
      </c>
      <c r="G456" s="459" t="str">
        <f t="shared" ca="1" si="100"/>
        <v/>
      </c>
      <c r="H456" s="460" t="str">
        <f t="shared" ca="1" si="100"/>
        <v/>
      </c>
      <c r="I456" s="460" t="str">
        <f t="shared" ca="1" si="100"/>
        <v/>
      </c>
      <c r="J456" s="460" t="str">
        <f t="shared" ca="1" si="100"/>
        <v/>
      </c>
      <c r="K456" s="460" t="str">
        <f t="shared" ca="1" si="100"/>
        <v/>
      </c>
      <c r="L456" s="460" t="str">
        <f t="shared" ca="1" si="100"/>
        <v/>
      </c>
      <c r="M456" s="460" t="str">
        <f t="shared" ca="1" si="100"/>
        <v/>
      </c>
      <c r="N456" s="460" t="str">
        <f t="shared" ca="1" si="100"/>
        <v/>
      </c>
      <c r="O456" s="461" t="str">
        <f t="shared" ca="1" si="100"/>
        <v/>
      </c>
      <c r="P456" s="474" t="str">
        <f t="shared" ca="1" si="100"/>
        <v/>
      </c>
      <c r="Q456" s="475" t="str">
        <f t="shared" ca="1" si="100"/>
        <v/>
      </c>
      <c r="R456" s="476">
        <f ca="1">IF(OR($BG$2=0,$AR456=""),,IF($AR456="本月合计",IF(ROW()=$BG$3,SUM($R$6:$R455),SUM(INDIRECT("$R$"&amp;OFFSET($AU$3,,MATCH(ROW(),$AU$3:$BF$3,)-2)+2&amp;":$R"&amp;ROW()-1))),IF($AR456="本年累计",SUMIF($AR$6:$AR456,"本月合计",$R$6:$R455),INDEX(凭证录入!L:L,$AR456))))</f>
        <v>0</v>
      </c>
      <c r="S456" s="459" t="str">
        <f t="shared" ca="1" si="101"/>
        <v/>
      </c>
      <c r="T456" s="460" t="str">
        <f t="shared" ca="1" si="101"/>
        <v/>
      </c>
      <c r="U456" s="460" t="str">
        <f t="shared" ca="1" si="101"/>
        <v/>
      </c>
      <c r="V456" s="460" t="str">
        <f t="shared" ca="1" si="101"/>
        <v/>
      </c>
      <c r="W456" s="460" t="str">
        <f t="shared" ca="1" si="101"/>
        <v/>
      </c>
      <c r="X456" s="460" t="str">
        <f t="shared" ca="1" si="101"/>
        <v/>
      </c>
      <c r="Y456" s="460" t="str">
        <f t="shared" ca="1" si="101"/>
        <v/>
      </c>
      <c r="Z456" s="460" t="str">
        <f t="shared" ca="1" si="101"/>
        <v/>
      </c>
      <c r="AA456" s="461" t="str">
        <f t="shared" ca="1" si="101"/>
        <v/>
      </c>
      <c r="AB456" s="474" t="str">
        <f t="shared" ca="1" si="101"/>
        <v/>
      </c>
      <c r="AC456" s="475" t="str">
        <f t="shared" ca="1" si="101"/>
        <v/>
      </c>
      <c r="AD456" s="477" t="str">
        <f t="shared" ca="1" si="102"/>
        <v/>
      </c>
      <c r="AE456" s="478">
        <f t="shared" ca="1" si="103"/>
        <v>0</v>
      </c>
      <c r="AF456" s="459" t="str">
        <f t="shared" ca="1" si="99"/>
        <v/>
      </c>
      <c r="AG456" s="460" t="str">
        <f t="shared" ca="1" si="99"/>
        <v/>
      </c>
      <c r="AH456" s="460" t="str">
        <f t="shared" ca="1" si="99"/>
        <v/>
      </c>
      <c r="AI456" s="460" t="str">
        <f t="shared" ca="1" si="99"/>
        <v/>
      </c>
      <c r="AJ456" s="460" t="str">
        <f t="shared" ca="1" si="99"/>
        <v/>
      </c>
      <c r="AK456" s="460" t="str">
        <f t="shared" ca="1" si="99"/>
        <v/>
      </c>
      <c r="AL456" s="460" t="str">
        <f t="shared" ca="1" si="99"/>
        <v/>
      </c>
      <c r="AM456" s="460" t="str">
        <f t="shared" ca="1" si="99"/>
        <v/>
      </c>
      <c r="AN456" s="461" t="str">
        <f t="shared" ca="1" si="99"/>
        <v/>
      </c>
      <c r="AO456" s="474" t="str">
        <f t="shared" ca="1" si="99"/>
        <v/>
      </c>
      <c r="AP456" s="475" t="str">
        <f t="shared" ca="1" si="99"/>
        <v/>
      </c>
      <c r="AQ456" s="479" t="str">
        <f t="array" aca="1" ref="AQ456" ca="1">IF(ROW()-5&lt;=COUNTIF(科目编号,$AR$2),SMALL(IF(科目编号=$AR$2,ROW(科目编号),""),ROW()-5),"")</f>
        <v/>
      </c>
      <c r="AR456" s="480" t="str">
        <f ca="1">IF($BG$2=0,"",IF(AR455="本月合计","本年累计",IF(OR(ROW()=$AU$3,ROW()=$AV$3,ROW()=$AW$3,ROW()=$AX$3,ROW()=$AY$3,ROW()=$AZ$3,ROW()=$BA$3,ROW()=$BB$3,ROW()=$BC$3,ROW()=$BD$3,ROW()=$BE$3,ROW()=$BF$3),"本月合计",IF(ROW()&lt;7,$AQ$6,OFFSET($AQ$6,COUNT($AR$6:AR455),0)))))</f>
        <v/>
      </c>
    </row>
    <row r="457" spans="1:44">
      <c r="A457" s="469" t="str">
        <f ca="1">IFERROR(INDEX(凭证录入!A:A,$AR457),"")</f>
        <v/>
      </c>
      <c r="B457" s="469" t="str">
        <f ca="1">IFERROR(INDEX(凭证录入!B:B,$AR457),"")</f>
        <v/>
      </c>
      <c r="C457" s="470" t="str">
        <f ca="1">IFERROR(INDEX(凭证录入!G:G,$AR457),"")</f>
        <v/>
      </c>
      <c r="D457" s="471" t="str">
        <f ca="1">IFERROR(INDEX(凭证录入!F:F,$AR457),"")</f>
        <v/>
      </c>
      <c r="E457" s="472" t="str">
        <f ca="1">IFERROR(INDEX(凭证录入!H:H,$AR457),$AR457)</f>
        <v/>
      </c>
      <c r="F457" s="473">
        <f ca="1">IF(OR($BG$2=0,$AR457=""),,IF($AR457="本月合计",IF(ROW()=$BG$3,SUM($F$6:$F456),SUM(INDIRECT("$F$"&amp;OFFSET($AU$3,,MATCH(ROW(),$AU$3:$BF$3,)-2)+2&amp;":$E"&amp;ROW()-1))),IF($AR457="本年累计",SUMIF($AR$6:$AR457,"本月合计",$F$6:$F456),INDEX(凭证录入!K:K,$AR457))))</f>
        <v>0</v>
      </c>
      <c r="G457" s="459" t="str">
        <f t="shared" ca="1" si="100"/>
        <v/>
      </c>
      <c r="H457" s="460" t="str">
        <f t="shared" ca="1" si="100"/>
        <v/>
      </c>
      <c r="I457" s="460" t="str">
        <f t="shared" ca="1" si="100"/>
        <v/>
      </c>
      <c r="J457" s="460" t="str">
        <f t="shared" ca="1" si="100"/>
        <v/>
      </c>
      <c r="K457" s="460" t="str">
        <f t="shared" ca="1" si="100"/>
        <v/>
      </c>
      <c r="L457" s="460" t="str">
        <f t="shared" ca="1" si="100"/>
        <v/>
      </c>
      <c r="M457" s="460" t="str">
        <f t="shared" ca="1" si="100"/>
        <v/>
      </c>
      <c r="N457" s="460" t="str">
        <f t="shared" ca="1" si="100"/>
        <v/>
      </c>
      <c r="O457" s="461" t="str">
        <f t="shared" ca="1" si="100"/>
        <v/>
      </c>
      <c r="P457" s="474" t="str">
        <f t="shared" ca="1" si="100"/>
        <v/>
      </c>
      <c r="Q457" s="475" t="str">
        <f t="shared" ca="1" si="100"/>
        <v/>
      </c>
      <c r="R457" s="476">
        <f ca="1">IF(OR($BG$2=0,$AR457=""),,IF($AR457="本月合计",IF(ROW()=$BG$3,SUM($R$6:$R456),SUM(INDIRECT("$R$"&amp;OFFSET($AU$3,,MATCH(ROW(),$AU$3:$BF$3,)-2)+2&amp;":$R"&amp;ROW()-1))),IF($AR457="本年累计",SUMIF($AR$6:$AR457,"本月合计",$R$6:$R456),INDEX(凭证录入!L:L,$AR457))))</f>
        <v>0</v>
      </c>
      <c r="S457" s="459" t="str">
        <f t="shared" ca="1" si="101"/>
        <v/>
      </c>
      <c r="T457" s="460" t="str">
        <f t="shared" ca="1" si="101"/>
        <v/>
      </c>
      <c r="U457" s="460" t="str">
        <f t="shared" ca="1" si="101"/>
        <v/>
      </c>
      <c r="V457" s="460" t="str">
        <f t="shared" ca="1" si="101"/>
        <v/>
      </c>
      <c r="W457" s="460" t="str">
        <f t="shared" ca="1" si="101"/>
        <v/>
      </c>
      <c r="X457" s="460" t="str">
        <f t="shared" ca="1" si="101"/>
        <v/>
      </c>
      <c r="Y457" s="460" t="str">
        <f t="shared" ca="1" si="101"/>
        <v/>
      </c>
      <c r="Z457" s="460" t="str">
        <f t="shared" ca="1" si="101"/>
        <v/>
      </c>
      <c r="AA457" s="461" t="str">
        <f t="shared" ca="1" si="101"/>
        <v/>
      </c>
      <c r="AB457" s="474" t="str">
        <f t="shared" ca="1" si="101"/>
        <v/>
      </c>
      <c r="AC457" s="475" t="str">
        <f t="shared" ca="1" si="101"/>
        <v/>
      </c>
      <c r="AD457" s="477" t="str">
        <f t="shared" ca="1" si="102"/>
        <v/>
      </c>
      <c r="AE457" s="478">
        <f t="shared" ca="1" si="103"/>
        <v>0</v>
      </c>
      <c r="AF457" s="459" t="str">
        <f t="shared" ca="1" si="99"/>
        <v/>
      </c>
      <c r="AG457" s="460" t="str">
        <f t="shared" ca="1" si="99"/>
        <v/>
      </c>
      <c r="AH457" s="460" t="str">
        <f t="shared" ca="1" si="99"/>
        <v/>
      </c>
      <c r="AI457" s="460" t="str">
        <f t="shared" ca="1" si="99"/>
        <v/>
      </c>
      <c r="AJ457" s="460" t="str">
        <f t="shared" ca="1" si="99"/>
        <v/>
      </c>
      <c r="AK457" s="460" t="str">
        <f t="shared" ca="1" si="99"/>
        <v/>
      </c>
      <c r="AL457" s="460" t="str">
        <f t="shared" ca="1" si="99"/>
        <v/>
      </c>
      <c r="AM457" s="460" t="str">
        <f t="shared" ca="1" si="99"/>
        <v/>
      </c>
      <c r="AN457" s="461" t="str">
        <f t="shared" ca="1" si="99"/>
        <v/>
      </c>
      <c r="AO457" s="474" t="str">
        <f t="shared" ca="1" si="99"/>
        <v/>
      </c>
      <c r="AP457" s="475" t="str">
        <f t="shared" ca="1" si="99"/>
        <v/>
      </c>
      <c r="AQ457" s="479" t="str">
        <f t="array" aca="1" ref="AQ457" ca="1">IF(ROW()-5&lt;=COUNTIF(科目编号,$AR$2),SMALL(IF(科目编号=$AR$2,ROW(科目编号),""),ROW()-5),"")</f>
        <v/>
      </c>
      <c r="AR457" s="480" t="str">
        <f ca="1">IF($BG$2=0,"",IF(AR456="本月合计","本年累计",IF(OR(ROW()=$AU$3,ROW()=$AV$3,ROW()=$AW$3,ROW()=$AX$3,ROW()=$AY$3,ROW()=$AZ$3,ROW()=$BA$3,ROW()=$BB$3,ROW()=$BC$3,ROW()=$BD$3,ROW()=$BE$3,ROW()=$BF$3),"本月合计",IF(ROW()&lt;7,$AQ$6,OFFSET($AQ$6,COUNT($AR$6:AR456),0)))))</f>
        <v/>
      </c>
    </row>
    <row r="458" spans="1:44">
      <c r="A458" s="469" t="str">
        <f ca="1">IFERROR(INDEX(凭证录入!A:A,$AR458),"")</f>
        <v/>
      </c>
      <c r="B458" s="469" t="str">
        <f ca="1">IFERROR(INDEX(凭证录入!B:B,$AR458),"")</f>
        <v/>
      </c>
      <c r="C458" s="470" t="str">
        <f ca="1">IFERROR(INDEX(凭证录入!G:G,$AR458),"")</f>
        <v/>
      </c>
      <c r="D458" s="471" t="str">
        <f ca="1">IFERROR(INDEX(凭证录入!F:F,$AR458),"")</f>
        <v/>
      </c>
      <c r="E458" s="472" t="str">
        <f ca="1">IFERROR(INDEX(凭证录入!H:H,$AR458),$AR458)</f>
        <v/>
      </c>
      <c r="F458" s="473">
        <f ca="1">IF(OR($BG$2=0,$AR458=""),,IF($AR458="本月合计",IF(ROW()=$BG$3,SUM($F$6:$F457),SUM(INDIRECT("$F$"&amp;OFFSET($AU$3,,MATCH(ROW(),$AU$3:$BF$3,)-2)+2&amp;":$E"&amp;ROW()-1))),IF($AR458="本年累计",SUMIF($AR$6:$AR458,"本月合计",$F$6:$F457),INDEX(凭证录入!K:K,$AR458))))</f>
        <v>0</v>
      </c>
      <c r="G458" s="459" t="str">
        <f t="shared" ca="1" si="100"/>
        <v/>
      </c>
      <c r="H458" s="460" t="str">
        <f t="shared" ca="1" si="100"/>
        <v/>
      </c>
      <c r="I458" s="460" t="str">
        <f t="shared" ca="1" si="100"/>
        <v/>
      </c>
      <c r="J458" s="460" t="str">
        <f t="shared" ca="1" si="100"/>
        <v/>
      </c>
      <c r="K458" s="460" t="str">
        <f t="shared" ca="1" si="100"/>
        <v/>
      </c>
      <c r="L458" s="460" t="str">
        <f t="shared" ca="1" si="100"/>
        <v/>
      </c>
      <c r="M458" s="460" t="str">
        <f t="shared" ca="1" si="100"/>
        <v/>
      </c>
      <c r="N458" s="460" t="str">
        <f t="shared" ca="1" si="100"/>
        <v/>
      </c>
      <c r="O458" s="461" t="str">
        <f t="shared" ca="1" si="100"/>
        <v/>
      </c>
      <c r="P458" s="474" t="str">
        <f t="shared" ca="1" si="100"/>
        <v/>
      </c>
      <c r="Q458" s="475" t="str">
        <f t="shared" ca="1" si="100"/>
        <v/>
      </c>
      <c r="R458" s="476">
        <f ca="1">IF(OR($BG$2=0,$AR458=""),,IF($AR458="本月合计",IF(ROW()=$BG$3,SUM($R$6:$R457),SUM(INDIRECT("$R$"&amp;OFFSET($AU$3,,MATCH(ROW(),$AU$3:$BF$3,)-2)+2&amp;":$R"&amp;ROW()-1))),IF($AR458="本年累计",SUMIF($AR$6:$AR458,"本月合计",$R$6:$R457),INDEX(凭证录入!L:L,$AR458))))</f>
        <v>0</v>
      </c>
      <c r="S458" s="459" t="str">
        <f t="shared" ca="1" si="101"/>
        <v/>
      </c>
      <c r="T458" s="460" t="str">
        <f t="shared" ca="1" si="101"/>
        <v/>
      </c>
      <c r="U458" s="460" t="str">
        <f t="shared" ca="1" si="101"/>
        <v/>
      </c>
      <c r="V458" s="460" t="str">
        <f t="shared" ca="1" si="101"/>
        <v/>
      </c>
      <c r="W458" s="460" t="str">
        <f t="shared" ca="1" si="101"/>
        <v/>
      </c>
      <c r="X458" s="460" t="str">
        <f t="shared" ca="1" si="101"/>
        <v/>
      </c>
      <c r="Y458" s="460" t="str">
        <f t="shared" ca="1" si="101"/>
        <v/>
      </c>
      <c r="Z458" s="460" t="str">
        <f t="shared" ca="1" si="101"/>
        <v/>
      </c>
      <c r="AA458" s="461" t="str">
        <f t="shared" ca="1" si="101"/>
        <v/>
      </c>
      <c r="AB458" s="474" t="str">
        <f t="shared" ca="1" si="101"/>
        <v/>
      </c>
      <c r="AC458" s="475" t="str">
        <f t="shared" ca="1" si="101"/>
        <v/>
      </c>
      <c r="AD458" s="477" t="str">
        <f t="shared" ca="1" si="102"/>
        <v/>
      </c>
      <c r="AE458" s="478">
        <f t="shared" ca="1" si="103"/>
        <v>0</v>
      </c>
      <c r="AF458" s="459" t="str">
        <f t="shared" ca="1" si="99"/>
        <v/>
      </c>
      <c r="AG458" s="460" t="str">
        <f t="shared" ca="1" si="99"/>
        <v/>
      </c>
      <c r="AH458" s="460" t="str">
        <f t="shared" ca="1" si="99"/>
        <v/>
      </c>
      <c r="AI458" s="460" t="str">
        <f t="shared" ca="1" si="99"/>
        <v/>
      </c>
      <c r="AJ458" s="460" t="str">
        <f t="shared" ca="1" si="99"/>
        <v/>
      </c>
      <c r="AK458" s="460" t="str">
        <f t="shared" ca="1" si="99"/>
        <v/>
      </c>
      <c r="AL458" s="460" t="str">
        <f t="shared" ca="1" si="99"/>
        <v/>
      </c>
      <c r="AM458" s="460" t="str">
        <f t="shared" ca="1" si="99"/>
        <v/>
      </c>
      <c r="AN458" s="461" t="str">
        <f t="shared" ca="1" si="99"/>
        <v/>
      </c>
      <c r="AO458" s="474" t="str">
        <f t="shared" ca="1" si="99"/>
        <v/>
      </c>
      <c r="AP458" s="475" t="str">
        <f t="shared" ca="1" si="99"/>
        <v/>
      </c>
      <c r="AQ458" s="479" t="str">
        <f t="array" aca="1" ref="AQ458" ca="1">IF(ROW()-5&lt;=COUNTIF(科目编号,$AR$2),SMALL(IF(科目编号=$AR$2,ROW(科目编号),""),ROW()-5),"")</f>
        <v/>
      </c>
      <c r="AR458" s="480" t="str">
        <f ca="1">IF($BG$2=0,"",IF(AR457="本月合计","本年累计",IF(OR(ROW()=$AU$3,ROW()=$AV$3,ROW()=$AW$3,ROW()=$AX$3,ROW()=$AY$3,ROW()=$AZ$3,ROW()=$BA$3,ROW()=$BB$3,ROW()=$BC$3,ROW()=$BD$3,ROW()=$BE$3,ROW()=$BF$3),"本月合计",IF(ROW()&lt;7,$AQ$6,OFFSET($AQ$6,COUNT($AR$6:AR457),0)))))</f>
        <v/>
      </c>
    </row>
    <row r="459" spans="1:44">
      <c r="A459" s="469" t="str">
        <f ca="1">IFERROR(INDEX(凭证录入!A:A,$AR459),"")</f>
        <v/>
      </c>
      <c r="B459" s="469" t="str">
        <f ca="1">IFERROR(INDEX(凭证录入!B:B,$AR459),"")</f>
        <v/>
      </c>
      <c r="C459" s="470" t="str">
        <f ca="1">IFERROR(INDEX(凭证录入!G:G,$AR459),"")</f>
        <v/>
      </c>
      <c r="D459" s="471" t="str">
        <f ca="1">IFERROR(INDEX(凭证录入!F:F,$AR459),"")</f>
        <v/>
      </c>
      <c r="E459" s="472" t="str">
        <f ca="1">IFERROR(INDEX(凭证录入!H:H,$AR459),$AR459)</f>
        <v/>
      </c>
      <c r="F459" s="473">
        <f ca="1">IF(OR($BG$2=0,$AR459=""),,IF($AR459="本月合计",IF(ROW()=$BG$3,SUM($F$6:$F458),SUM(INDIRECT("$F$"&amp;OFFSET($AU$3,,MATCH(ROW(),$AU$3:$BF$3,)-2)+2&amp;":$E"&amp;ROW()-1))),IF($AR459="本年累计",SUMIF($AR$6:$AR459,"本月合计",$F$6:$F458),INDEX(凭证录入!K:K,$AR459))))</f>
        <v>0</v>
      </c>
      <c r="G459" s="459" t="str">
        <f t="shared" ca="1" si="100"/>
        <v/>
      </c>
      <c r="H459" s="460" t="str">
        <f t="shared" ca="1" si="100"/>
        <v/>
      </c>
      <c r="I459" s="460" t="str">
        <f t="shared" ca="1" si="100"/>
        <v/>
      </c>
      <c r="J459" s="460" t="str">
        <f t="shared" ca="1" si="100"/>
        <v/>
      </c>
      <c r="K459" s="460" t="str">
        <f t="shared" ca="1" si="100"/>
        <v/>
      </c>
      <c r="L459" s="460" t="str">
        <f t="shared" ca="1" si="100"/>
        <v/>
      </c>
      <c r="M459" s="460" t="str">
        <f t="shared" ca="1" si="100"/>
        <v/>
      </c>
      <c r="N459" s="460" t="str">
        <f t="shared" ca="1" si="100"/>
        <v/>
      </c>
      <c r="O459" s="461" t="str">
        <f t="shared" ca="1" si="100"/>
        <v/>
      </c>
      <c r="P459" s="474" t="str">
        <f t="shared" ca="1" si="100"/>
        <v/>
      </c>
      <c r="Q459" s="475" t="str">
        <f t="shared" ca="1" si="100"/>
        <v/>
      </c>
      <c r="R459" s="476">
        <f ca="1">IF(OR($BG$2=0,$AR459=""),,IF($AR459="本月合计",IF(ROW()=$BG$3,SUM($R$6:$R458),SUM(INDIRECT("$R$"&amp;OFFSET($AU$3,,MATCH(ROW(),$AU$3:$BF$3,)-2)+2&amp;":$R"&amp;ROW()-1))),IF($AR459="本年累计",SUMIF($AR$6:$AR459,"本月合计",$R$6:$R458),INDEX(凭证录入!L:L,$AR459))))</f>
        <v>0</v>
      </c>
      <c r="S459" s="459" t="str">
        <f t="shared" ca="1" si="101"/>
        <v/>
      </c>
      <c r="T459" s="460" t="str">
        <f t="shared" ca="1" si="101"/>
        <v/>
      </c>
      <c r="U459" s="460" t="str">
        <f t="shared" ca="1" si="101"/>
        <v/>
      </c>
      <c r="V459" s="460" t="str">
        <f t="shared" ca="1" si="101"/>
        <v/>
      </c>
      <c r="W459" s="460" t="str">
        <f t="shared" ca="1" si="101"/>
        <v/>
      </c>
      <c r="X459" s="460" t="str">
        <f t="shared" ca="1" si="101"/>
        <v/>
      </c>
      <c r="Y459" s="460" t="str">
        <f t="shared" ca="1" si="101"/>
        <v/>
      </c>
      <c r="Z459" s="460" t="str">
        <f t="shared" ca="1" si="101"/>
        <v/>
      </c>
      <c r="AA459" s="461" t="str">
        <f t="shared" ca="1" si="101"/>
        <v/>
      </c>
      <c r="AB459" s="474" t="str">
        <f t="shared" ca="1" si="101"/>
        <v/>
      </c>
      <c r="AC459" s="475" t="str">
        <f t="shared" ca="1" si="101"/>
        <v/>
      </c>
      <c r="AD459" s="477" t="str">
        <f t="shared" ca="1" si="102"/>
        <v/>
      </c>
      <c r="AE459" s="478">
        <f t="shared" ca="1" si="103"/>
        <v>0</v>
      </c>
      <c r="AF459" s="459" t="str">
        <f t="shared" ca="1" si="99"/>
        <v/>
      </c>
      <c r="AG459" s="460" t="str">
        <f t="shared" ca="1" si="99"/>
        <v/>
      </c>
      <c r="AH459" s="460" t="str">
        <f t="shared" ca="1" si="99"/>
        <v/>
      </c>
      <c r="AI459" s="460" t="str">
        <f t="shared" ca="1" si="99"/>
        <v/>
      </c>
      <c r="AJ459" s="460" t="str">
        <f t="shared" ca="1" si="99"/>
        <v/>
      </c>
      <c r="AK459" s="460" t="str">
        <f t="shared" ca="1" si="99"/>
        <v/>
      </c>
      <c r="AL459" s="460" t="str">
        <f t="shared" ca="1" si="99"/>
        <v/>
      </c>
      <c r="AM459" s="460" t="str">
        <f t="shared" ca="1" si="99"/>
        <v/>
      </c>
      <c r="AN459" s="461" t="str">
        <f t="shared" ca="1" si="99"/>
        <v/>
      </c>
      <c r="AO459" s="474" t="str">
        <f t="shared" ca="1" si="99"/>
        <v/>
      </c>
      <c r="AP459" s="475" t="str">
        <f t="shared" ca="1" si="99"/>
        <v/>
      </c>
      <c r="AQ459" s="479" t="str">
        <f t="array" aca="1" ref="AQ459" ca="1">IF(ROW()-5&lt;=COUNTIF(科目编号,$AR$2),SMALL(IF(科目编号=$AR$2,ROW(科目编号),""),ROW()-5),"")</f>
        <v/>
      </c>
      <c r="AR459" s="480" t="str">
        <f ca="1">IF($BG$2=0,"",IF(AR458="本月合计","本年累计",IF(OR(ROW()=$AU$3,ROW()=$AV$3,ROW()=$AW$3,ROW()=$AX$3,ROW()=$AY$3,ROW()=$AZ$3,ROW()=$BA$3,ROW()=$BB$3,ROW()=$BC$3,ROW()=$BD$3,ROW()=$BE$3,ROW()=$BF$3),"本月合计",IF(ROW()&lt;7,$AQ$6,OFFSET($AQ$6,COUNT($AR$6:AR458),0)))))</f>
        <v/>
      </c>
    </row>
    <row r="460" spans="1:44">
      <c r="A460" s="469" t="str">
        <f ca="1">IFERROR(INDEX(凭证录入!A:A,$AR460),"")</f>
        <v/>
      </c>
      <c r="B460" s="469" t="str">
        <f ca="1">IFERROR(INDEX(凭证录入!B:B,$AR460),"")</f>
        <v/>
      </c>
      <c r="C460" s="470" t="str">
        <f ca="1">IFERROR(INDEX(凭证录入!G:G,$AR460),"")</f>
        <v/>
      </c>
      <c r="D460" s="471" t="str">
        <f ca="1">IFERROR(INDEX(凭证录入!F:F,$AR460),"")</f>
        <v/>
      </c>
      <c r="E460" s="472" t="str">
        <f ca="1">IFERROR(INDEX(凭证录入!H:H,$AR460),$AR460)</f>
        <v/>
      </c>
      <c r="F460" s="473">
        <f ca="1">IF(OR($BG$2=0,$AR460=""),,IF($AR460="本月合计",IF(ROW()=$BG$3,SUM($F$6:$F459),SUM(INDIRECT("$F$"&amp;OFFSET($AU$3,,MATCH(ROW(),$AU$3:$BF$3,)-2)+2&amp;":$E"&amp;ROW()-1))),IF($AR460="本年累计",SUMIF($AR$6:$AR460,"本月合计",$F$6:$F459),INDEX(凭证录入!K:K,$AR460))))</f>
        <v>0</v>
      </c>
      <c r="G460" s="459" t="str">
        <f t="shared" ca="1" si="100"/>
        <v/>
      </c>
      <c r="H460" s="460" t="str">
        <f t="shared" ca="1" si="100"/>
        <v/>
      </c>
      <c r="I460" s="460" t="str">
        <f t="shared" ca="1" si="100"/>
        <v/>
      </c>
      <c r="J460" s="460" t="str">
        <f t="shared" ca="1" si="100"/>
        <v/>
      </c>
      <c r="K460" s="460" t="str">
        <f t="shared" ca="1" si="100"/>
        <v/>
      </c>
      <c r="L460" s="460" t="str">
        <f t="shared" ca="1" si="100"/>
        <v/>
      </c>
      <c r="M460" s="460" t="str">
        <f t="shared" ca="1" si="100"/>
        <v/>
      </c>
      <c r="N460" s="460" t="str">
        <f t="shared" ca="1" si="100"/>
        <v/>
      </c>
      <c r="O460" s="461" t="str">
        <f t="shared" ca="1" si="100"/>
        <v/>
      </c>
      <c r="P460" s="474" t="str">
        <f t="shared" ca="1" si="100"/>
        <v/>
      </c>
      <c r="Q460" s="475" t="str">
        <f t="shared" ca="1" si="100"/>
        <v/>
      </c>
      <c r="R460" s="476">
        <f ca="1">IF(OR($BG$2=0,$AR460=""),,IF($AR460="本月合计",IF(ROW()=$BG$3,SUM($R$6:$R459),SUM(INDIRECT("$R$"&amp;OFFSET($AU$3,,MATCH(ROW(),$AU$3:$BF$3,)-2)+2&amp;":$R"&amp;ROW()-1))),IF($AR460="本年累计",SUMIF($AR$6:$AR460,"本月合计",$R$6:$R459),INDEX(凭证录入!L:L,$AR460))))</f>
        <v>0</v>
      </c>
      <c r="S460" s="459" t="str">
        <f t="shared" ca="1" si="101"/>
        <v/>
      </c>
      <c r="T460" s="460" t="str">
        <f t="shared" ca="1" si="101"/>
        <v/>
      </c>
      <c r="U460" s="460" t="str">
        <f t="shared" ca="1" si="101"/>
        <v/>
      </c>
      <c r="V460" s="460" t="str">
        <f t="shared" ca="1" si="101"/>
        <v/>
      </c>
      <c r="W460" s="460" t="str">
        <f t="shared" ca="1" si="101"/>
        <v/>
      </c>
      <c r="X460" s="460" t="str">
        <f t="shared" ca="1" si="101"/>
        <v/>
      </c>
      <c r="Y460" s="460" t="str">
        <f t="shared" ca="1" si="101"/>
        <v/>
      </c>
      <c r="Z460" s="460" t="str">
        <f t="shared" ca="1" si="101"/>
        <v/>
      </c>
      <c r="AA460" s="461" t="str">
        <f t="shared" ca="1" si="101"/>
        <v/>
      </c>
      <c r="AB460" s="474" t="str">
        <f t="shared" ca="1" si="101"/>
        <v/>
      </c>
      <c r="AC460" s="475" t="str">
        <f t="shared" ca="1" si="101"/>
        <v/>
      </c>
      <c r="AD460" s="477" t="str">
        <f t="shared" ca="1" si="102"/>
        <v/>
      </c>
      <c r="AE460" s="478">
        <f t="shared" ca="1" si="103"/>
        <v>0</v>
      </c>
      <c r="AF460" s="459" t="str">
        <f t="shared" ca="1" si="99"/>
        <v/>
      </c>
      <c r="AG460" s="460" t="str">
        <f t="shared" ca="1" si="99"/>
        <v/>
      </c>
      <c r="AH460" s="460" t="str">
        <f t="shared" ca="1" si="99"/>
        <v/>
      </c>
      <c r="AI460" s="460" t="str">
        <f t="shared" ca="1" si="99"/>
        <v/>
      </c>
      <c r="AJ460" s="460" t="str">
        <f t="shared" ca="1" si="99"/>
        <v/>
      </c>
      <c r="AK460" s="460" t="str">
        <f t="shared" ca="1" si="99"/>
        <v/>
      </c>
      <c r="AL460" s="460" t="str">
        <f t="shared" ca="1" si="99"/>
        <v/>
      </c>
      <c r="AM460" s="460" t="str">
        <f t="shared" ca="1" si="99"/>
        <v/>
      </c>
      <c r="AN460" s="461" t="str">
        <f t="shared" ca="1" si="99"/>
        <v/>
      </c>
      <c r="AO460" s="474" t="str">
        <f t="shared" ca="1" si="99"/>
        <v/>
      </c>
      <c r="AP460" s="475" t="str">
        <f t="shared" ca="1" si="99"/>
        <v/>
      </c>
      <c r="AQ460" s="479" t="str">
        <f t="array" aca="1" ref="AQ460" ca="1">IF(ROW()-5&lt;=COUNTIF(科目编号,$AR$2),SMALL(IF(科目编号=$AR$2,ROW(科目编号),""),ROW()-5),"")</f>
        <v/>
      </c>
      <c r="AR460" s="480" t="str">
        <f ca="1">IF($BG$2=0,"",IF(AR459="本月合计","本年累计",IF(OR(ROW()=$AU$3,ROW()=$AV$3,ROW()=$AW$3,ROW()=$AX$3,ROW()=$AY$3,ROW()=$AZ$3,ROW()=$BA$3,ROW()=$BB$3,ROW()=$BC$3,ROW()=$BD$3,ROW()=$BE$3,ROW()=$BF$3),"本月合计",IF(ROW()&lt;7,$AQ$6,OFFSET($AQ$6,COUNT($AR$6:AR459),0)))))</f>
        <v/>
      </c>
    </row>
    <row r="461" spans="1:44">
      <c r="A461" s="469" t="str">
        <f ca="1">IFERROR(INDEX(凭证录入!A:A,$AR461),"")</f>
        <v/>
      </c>
      <c r="B461" s="469" t="str">
        <f ca="1">IFERROR(INDEX(凭证录入!B:B,$AR461),"")</f>
        <v/>
      </c>
      <c r="C461" s="470" t="str">
        <f ca="1">IFERROR(INDEX(凭证录入!G:G,$AR461),"")</f>
        <v/>
      </c>
      <c r="D461" s="471" t="str">
        <f ca="1">IFERROR(INDEX(凭证录入!F:F,$AR461),"")</f>
        <v/>
      </c>
      <c r="E461" s="472" t="str">
        <f ca="1">IFERROR(INDEX(凭证录入!H:H,$AR461),$AR461)</f>
        <v/>
      </c>
      <c r="F461" s="473">
        <f ca="1">IF(OR($BG$2=0,$AR461=""),,IF($AR461="本月合计",IF(ROW()=$BG$3,SUM($F$6:$F460),SUM(INDIRECT("$F$"&amp;OFFSET($AU$3,,MATCH(ROW(),$AU$3:$BF$3,)-2)+2&amp;":$E"&amp;ROW()-1))),IF($AR461="本年累计",SUMIF($AR$6:$AR461,"本月合计",$F$6:$F460),INDEX(凭证录入!K:K,$AR461))))</f>
        <v>0</v>
      </c>
      <c r="G461" s="459" t="str">
        <f t="shared" ca="1" si="100"/>
        <v/>
      </c>
      <c r="H461" s="460" t="str">
        <f t="shared" ca="1" si="100"/>
        <v/>
      </c>
      <c r="I461" s="460" t="str">
        <f t="shared" ca="1" si="100"/>
        <v/>
      </c>
      <c r="J461" s="460" t="str">
        <f t="shared" ca="1" si="100"/>
        <v/>
      </c>
      <c r="K461" s="460" t="str">
        <f t="shared" ca="1" si="100"/>
        <v/>
      </c>
      <c r="L461" s="460" t="str">
        <f t="shared" ca="1" si="100"/>
        <v/>
      </c>
      <c r="M461" s="460" t="str">
        <f t="shared" ca="1" si="100"/>
        <v/>
      </c>
      <c r="N461" s="460" t="str">
        <f t="shared" ca="1" si="100"/>
        <v/>
      </c>
      <c r="O461" s="461" t="str">
        <f t="shared" ca="1" si="100"/>
        <v/>
      </c>
      <c r="P461" s="474" t="str">
        <f t="shared" ca="1" si="100"/>
        <v/>
      </c>
      <c r="Q461" s="475" t="str">
        <f t="shared" ca="1" si="100"/>
        <v/>
      </c>
      <c r="R461" s="476">
        <f ca="1">IF(OR($BG$2=0,$AR461=""),,IF($AR461="本月合计",IF(ROW()=$BG$3,SUM($R$6:$R460),SUM(INDIRECT("$R$"&amp;OFFSET($AU$3,,MATCH(ROW(),$AU$3:$BF$3,)-2)+2&amp;":$R"&amp;ROW()-1))),IF($AR461="本年累计",SUMIF($AR$6:$AR461,"本月合计",$R$6:$R460),INDEX(凭证录入!L:L,$AR461))))</f>
        <v>0</v>
      </c>
      <c r="S461" s="459" t="str">
        <f t="shared" ca="1" si="101"/>
        <v/>
      </c>
      <c r="T461" s="460" t="str">
        <f t="shared" ca="1" si="101"/>
        <v/>
      </c>
      <c r="U461" s="460" t="str">
        <f t="shared" ca="1" si="101"/>
        <v/>
      </c>
      <c r="V461" s="460" t="str">
        <f t="shared" ca="1" si="101"/>
        <v/>
      </c>
      <c r="W461" s="460" t="str">
        <f t="shared" ca="1" si="101"/>
        <v/>
      </c>
      <c r="X461" s="460" t="str">
        <f t="shared" ca="1" si="101"/>
        <v/>
      </c>
      <c r="Y461" s="460" t="str">
        <f t="shared" ca="1" si="101"/>
        <v/>
      </c>
      <c r="Z461" s="460" t="str">
        <f t="shared" ca="1" si="101"/>
        <v/>
      </c>
      <c r="AA461" s="461" t="str">
        <f t="shared" ca="1" si="101"/>
        <v/>
      </c>
      <c r="AB461" s="474" t="str">
        <f t="shared" ca="1" si="101"/>
        <v/>
      </c>
      <c r="AC461" s="475" t="str">
        <f t="shared" ca="1" si="101"/>
        <v/>
      </c>
      <c r="AD461" s="477" t="str">
        <f t="shared" ca="1" si="102"/>
        <v/>
      </c>
      <c r="AE461" s="478">
        <f t="shared" ca="1" si="103"/>
        <v>0</v>
      </c>
      <c r="AF461" s="459" t="str">
        <f t="shared" ca="1" si="99"/>
        <v/>
      </c>
      <c r="AG461" s="460" t="str">
        <f t="shared" ca="1" si="99"/>
        <v/>
      </c>
      <c r="AH461" s="460" t="str">
        <f t="shared" ca="1" si="99"/>
        <v/>
      </c>
      <c r="AI461" s="460" t="str">
        <f t="shared" ca="1" si="99"/>
        <v/>
      </c>
      <c r="AJ461" s="460" t="str">
        <f t="shared" ca="1" si="99"/>
        <v/>
      </c>
      <c r="AK461" s="460" t="str">
        <f t="shared" ca="1" si="99"/>
        <v/>
      </c>
      <c r="AL461" s="460" t="str">
        <f t="shared" ca="1" si="99"/>
        <v/>
      </c>
      <c r="AM461" s="460" t="str">
        <f t="shared" ca="1" si="99"/>
        <v/>
      </c>
      <c r="AN461" s="461" t="str">
        <f t="shared" ca="1" si="99"/>
        <v/>
      </c>
      <c r="AO461" s="474" t="str">
        <f t="shared" ca="1" si="99"/>
        <v/>
      </c>
      <c r="AP461" s="475" t="str">
        <f t="shared" ca="1" si="99"/>
        <v/>
      </c>
      <c r="AQ461" s="479" t="str">
        <f t="array" aca="1" ref="AQ461" ca="1">IF(ROW()-5&lt;=COUNTIF(科目编号,$AR$2),SMALL(IF(科目编号=$AR$2,ROW(科目编号),""),ROW()-5),"")</f>
        <v/>
      </c>
      <c r="AR461" s="480" t="str">
        <f ca="1">IF($BG$2=0,"",IF(AR460="本月合计","本年累计",IF(OR(ROW()=$AU$3,ROW()=$AV$3,ROW()=$AW$3,ROW()=$AX$3,ROW()=$AY$3,ROW()=$AZ$3,ROW()=$BA$3,ROW()=$BB$3,ROW()=$BC$3,ROW()=$BD$3,ROW()=$BE$3,ROW()=$BF$3),"本月合计",IF(ROW()&lt;7,$AQ$6,OFFSET($AQ$6,COUNT($AR$6:AR460),0)))))</f>
        <v/>
      </c>
    </row>
    <row r="462" spans="1:44">
      <c r="A462" s="469" t="str">
        <f ca="1">IFERROR(INDEX(凭证录入!A:A,$AR462),"")</f>
        <v/>
      </c>
      <c r="B462" s="469" t="str">
        <f ca="1">IFERROR(INDEX(凭证录入!B:B,$AR462),"")</f>
        <v/>
      </c>
      <c r="C462" s="470" t="str">
        <f ca="1">IFERROR(INDEX(凭证录入!G:G,$AR462),"")</f>
        <v/>
      </c>
      <c r="D462" s="471" t="str">
        <f ca="1">IFERROR(INDEX(凭证录入!F:F,$AR462),"")</f>
        <v/>
      </c>
      <c r="E462" s="472" t="str">
        <f ca="1">IFERROR(INDEX(凭证录入!H:H,$AR462),$AR462)</f>
        <v/>
      </c>
      <c r="F462" s="473">
        <f ca="1">IF(OR($BG$2=0,$AR462=""),,IF($AR462="本月合计",IF(ROW()=$BG$3,SUM($F$6:$F461),SUM(INDIRECT("$F$"&amp;OFFSET($AU$3,,MATCH(ROW(),$AU$3:$BF$3,)-2)+2&amp;":$E"&amp;ROW()-1))),IF($AR462="本年累计",SUMIF($AR$6:$AR462,"本月合计",$F$6:$F461),INDEX(凭证录入!K:K,$AR462))))</f>
        <v>0</v>
      </c>
      <c r="G462" s="459" t="str">
        <f t="shared" ca="1" si="100"/>
        <v/>
      </c>
      <c r="H462" s="460" t="str">
        <f t="shared" ca="1" si="100"/>
        <v/>
      </c>
      <c r="I462" s="460" t="str">
        <f t="shared" ca="1" si="100"/>
        <v/>
      </c>
      <c r="J462" s="460" t="str">
        <f t="shared" ca="1" si="100"/>
        <v/>
      </c>
      <c r="K462" s="460" t="str">
        <f t="shared" ca="1" si="100"/>
        <v/>
      </c>
      <c r="L462" s="460" t="str">
        <f t="shared" ca="1" si="100"/>
        <v/>
      </c>
      <c r="M462" s="460" t="str">
        <f t="shared" ca="1" si="100"/>
        <v/>
      </c>
      <c r="N462" s="460" t="str">
        <f t="shared" ca="1" si="100"/>
        <v/>
      </c>
      <c r="O462" s="461" t="str">
        <f t="shared" ca="1" si="100"/>
        <v/>
      </c>
      <c r="P462" s="474" t="str">
        <f t="shared" ca="1" si="100"/>
        <v/>
      </c>
      <c r="Q462" s="475" t="str">
        <f t="shared" ca="1" si="100"/>
        <v/>
      </c>
      <c r="R462" s="476">
        <f ca="1">IF(OR($BG$2=0,$AR462=""),,IF($AR462="本月合计",IF(ROW()=$BG$3,SUM($R$6:$R461),SUM(INDIRECT("$R$"&amp;OFFSET($AU$3,,MATCH(ROW(),$AU$3:$BF$3,)-2)+2&amp;":$R"&amp;ROW()-1))),IF($AR462="本年累计",SUMIF($AR$6:$AR462,"本月合计",$R$6:$R461),INDEX(凭证录入!L:L,$AR462))))</f>
        <v>0</v>
      </c>
      <c r="S462" s="459" t="str">
        <f t="shared" ca="1" si="101"/>
        <v/>
      </c>
      <c r="T462" s="460" t="str">
        <f t="shared" ca="1" si="101"/>
        <v/>
      </c>
      <c r="U462" s="460" t="str">
        <f t="shared" ca="1" si="101"/>
        <v/>
      </c>
      <c r="V462" s="460" t="str">
        <f t="shared" ca="1" si="101"/>
        <v/>
      </c>
      <c r="W462" s="460" t="str">
        <f t="shared" ca="1" si="101"/>
        <v/>
      </c>
      <c r="X462" s="460" t="str">
        <f t="shared" ca="1" si="101"/>
        <v/>
      </c>
      <c r="Y462" s="460" t="str">
        <f t="shared" ca="1" si="101"/>
        <v/>
      </c>
      <c r="Z462" s="460" t="str">
        <f t="shared" ca="1" si="101"/>
        <v/>
      </c>
      <c r="AA462" s="461" t="str">
        <f t="shared" ca="1" si="101"/>
        <v/>
      </c>
      <c r="AB462" s="474" t="str">
        <f t="shared" ca="1" si="101"/>
        <v/>
      </c>
      <c r="AC462" s="475" t="str">
        <f t="shared" ca="1" si="101"/>
        <v/>
      </c>
      <c r="AD462" s="477" t="str">
        <f t="shared" ca="1" si="102"/>
        <v/>
      </c>
      <c r="AE462" s="478">
        <f t="shared" ca="1" si="103"/>
        <v>0</v>
      </c>
      <c r="AF462" s="459" t="str">
        <f t="shared" ca="1" si="99"/>
        <v/>
      </c>
      <c r="AG462" s="460" t="str">
        <f t="shared" ca="1" si="99"/>
        <v/>
      </c>
      <c r="AH462" s="460" t="str">
        <f t="shared" ca="1" si="99"/>
        <v/>
      </c>
      <c r="AI462" s="460" t="str">
        <f t="shared" ca="1" si="99"/>
        <v/>
      </c>
      <c r="AJ462" s="460" t="str">
        <f t="shared" ca="1" si="99"/>
        <v/>
      </c>
      <c r="AK462" s="460" t="str">
        <f t="shared" ca="1" si="99"/>
        <v/>
      </c>
      <c r="AL462" s="460" t="str">
        <f t="shared" ca="1" si="99"/>
        <v/>
      </c>
      <c r="AM462" s="460" t="str">
        <f t="shared" ca="1" si="99"/>
        <v/>
      </c>
      <c r="AN462" s="461" t="str">
        <f t="shared" ca="1" si="99"/>
        <v/>
      </c>
      <c r="AO462" s="474" t="str">
        <f t="shared" ca="1" si="99"/>
        <v/>
      </c>
      <c r="AP462" s="475" t="str">
        <f t="shared" ca="1" si="99"/>
        <v/>
      </c>
      <c r="AQ462" s="479" t="str">
        <f t="array" aca="1" ref="AQ462" ca="1">IF(ROW()-5&lt;=COUNTIF(科目编号,$AR$2),SMALL(IF(科目编号=$AR$2,ROW(科目编号),""),ROW()-5),"")</f>
        <v/>
      </c>
      <c r="AR462" s="480" t="str">
        <f ca="1">IF($BG$2=0,"",IF(AR461="本月合计","本年累计",IF(OR(ROW()=$AU$3,ROW()=$AV$3,ROW()=$AW$3,ROW()=$AX$3,ROW()=$AY$3,ROW()=$AZ$3,ROW()=$BA$3,ROW()=$BB$3,ROW()=$BC$3,ROW()=$BD$3,ROW()=$BE$3,ROW()=$BF$3),"本月合计",IF(ROW()&lt;7,$AQ$6,OFFSET($AQ$6,COUNT($AR$6:AR461),0)))))</f>
        <v/>
      </c>
    </row>
    <row r="463" spans="1:44">
      <c r="A463" s="469" t="str">
        <f ca="1">IFERROR(INDEX(凭证录入!A:A,$AR463),"")</f>
        <v/>
      </c>
      <c r="B463" s="469" t="str">
        <f ca="1">IFERROR(INDEX(凭证录入!B:B,$AR463),"")</f>
        <v/>
      </c>
      <c r="C463" s="470" t="str">
        <f ca="1">IFERROR(INDEX(凭证录入!G:G,$AR463),"")</f>
        <v/>
      </c>
      <c r="D463" s="471" t="str">
        <f ca="1">IFERROR(INDEX(凭证录入!F:F,$AR463),"")</f>
        <v/>
      </c>
      <c r="E463" s="472" t="str">
        <f ca="1">IFERROR(INDEX(凭证录入!H:H,$AR463),$AR463)</f>
        <v/>
      </c>
      <c r="F463" s="473">
        <f ca="1">IF(OR($BG$2=0,$AR463=""),,IF($AR463="本月合计",IF(ROW()=$BG$3,SUM($F$6:$F462),SUM(INDIRECT("$F$"&amp;OFFSET($AU$3,,MATCH(ROW(),$AU$3:$BF$3,)-2)+2&amp;":$E"&amp;ROW()-1))),IF($AR463="本年累计",SUMIF($AR$6:$AR463,"本月合计",$F$6:$F462),INDEX(凭证录入!K:K,$AR463))))</f>
        <v>0</v>
      </c>
      <c r="G463" s="459" t="str">
        <f t="shared" ca="1" si="100"/>
        <v/>
      </c>
      <c r="H463" s="460" t="str">
        <f t="shared" ca="1" si="100"/>
        <v/>
      </c>
      <c r="I463" s="460" t="str">
        <f t="shared" ca="1" si="100"/>
        <v/>
      </c>
      <c r="J463" s="460" t="str">
        <f t="shared" ca="1" si="100"/>
        <v/>
      </c>
      <c r="K463" s="460" t="str">
        <f t="shared" ca="1" si="100"/>
        <v/>
      </c>
      <c r="L463" s="460" t="str">
        <f t="shared" ca="1" si="100"/>
        <v/>
      </c>
      <c r="M463" s="460" t="str">
        <f t="shared" ca="1" si="100"/>
        <v/>
      </c>
      <c r="N463" s="460" t="str">
        <f t="shared" ca="1" si="100"/>
        <v/>
      </c>
      <c r="O463" s="461" t="str">
        <f t="shared" ca="1" si="100"/>
        <v/>
      </c>
      <c r="P463" s="474" t="str">
        <f t="shared" ca="1" si="100"/>
        <v/>
      </c>
      <c r="Q463" s="475" t="str">
        <f t="shared" ca="1" si="100"/>
        <v/>
      </c>
      <c r="R463" s="476">
        <f ca="1">IF(OR($BG$2=0,$AR463=""),,IF($AR463="本月合计",IF(ROW()=$BG$3,SUM($R$6:$R462),SUM(INDIRECT("$R$"&amp;OFFSET($AU$3,,MATCH(ROW(),$AU$3:$BF$3,)-2)+2&amp;":$R"&amp;ROW()-1))),IF($AR463="本年累计",SUMIF($AR$6:$AR463,"本月合计",$R$6:$R462),INDEX(凭证录入!L:L,$AR463))))</f>
        <v>0</v>
      </c>
      <c r="S463" s="459" t="str">
        <f t="shared" ca="1" si="101"/>
        <v/>
      </c>
      <c r="T463" s="460" t="str">
        <f t="shared" ca="1" si="101"/>
        <v/>
      </c>
      <c r="U463" s="460" t="str">
        <f t="shared" ca="1" si="101"/>
        <v/>
      </c>
      <c r="V463" s="460" t="str">
        <f t="shared" ca="1" si="101"/>
        <v/>
      </c>
      <c r="W463" s="460" t="str">
        <f t="shared" ca="1" si="101"/>
        <v/>
      </c>
      <c r="X463" s="460" t="str">
        <f t="shared" ca="1" si="101"/>
        <v/>
      </c>
      <c r="Y463" s="460" t="str">
        <f t="shared" ca="1" si="101"/>
        <v/>
      </c>
      <c r="Z463" s="460" t="str">
        <f t="shared" ca="1" si="101"/>
        <v/>
      </c>
      <c r="AA463" s="461" t="str">
        <f t="shared" ca="1" si="101"/>
        <v/>
      </c>
      <c r="AB463" s="474" t="str">
        <f t="shared" ca="1" si="101"/>
        <v/>
      </c>
      <c r="AC463" s="475" t="str">
        <f t="shared" ca="1" si="101"/>
        <v/>
      </c>
      <c r="AD463" s="477" t="str">
        <f t="shared" ca="1" si="102"/>
        <v/>
      </c>
      <c r="AE463" s="478">
        <f t="shared" ca="1" si="103"/>
        <v>0</v>
      </c>
      <c r="AF463" s="459" t="str">
        <f t="shared" ca="1" si="99"/>
        <v/>
      </c>
      <c r="AG463" s="460" t="str">
        <f t="shared" ca="1" si="99"/>
        <v/>
      </c>
      <c r="AH463" s="460" t="str">
        <f t="shared" ca="1" si="99"/>
        <v/>
      </c>
      <c r="AI463" s="460" t="str">
        <f t="shared" ca="1" si="99"/>
        <v/>
      </c>
      <c r="AJ463" s="460" t="str">
        <f t="shared" ca="1" si="99"/>
        <v/>
      </c>
      <c r="AK463" s="460" t="str">
        <f t="shared" ca="1" si="99"/>
        <v/>
      </c>
      <c r="AL463" s="460" t="str">
        <f t="shared" ca="1" si="99"/>
        <v/>
      </c>
      <c r="AM463" s="460" t="str">
        <f t="shared" ca="1" si="99"/>
        <v/>
      </c>
      <c r="AN463" s="461" t="str">
        <f t="shared" ca="1" si="99"/>
        <v/>
      </c>
      <c r="AO463" s="474" t="str">
        <f t="shared" ca="1" si="99"/>
        <v/>
      </c>
      <c r="AP463" s="475" t="str">
        <f t="shared" ca="1" si="99"/>
        <v/>
      </c>
      <c r="AQ463" s="479" t="str">
        <f t="array" aca="1" ref="AQ463" ca="1">IF(ROW()-5&lt;=COUNTIF(科目编号,$AR$2),SMALL(IF(科目编号=$AR$2,ROW(科目编号),""),ROW()-5),"")</f>
        <v/>
      </c>
      <c r="AR463" s="480" t="str">
        <f ca="1">IF($BG$2=0,"",IF(AR462="本月合计","本年累计",IF(OR(ROW()=$AU$3,ROW()=$AV$3,ROW()=$AW$3,ROW()=$AX$3,ROW()=$AY$3,ROW()=$AZ$3,ROW()=$BA$3,ROW()=$BB$3,ROW()=$BC$3,ROW()=$BD$3,ROW()=$BE$3,ROW()=$BF$3),"本月合计",IF(ROW()&lt;7,$AQ$6,OFFSET($AQ$6,COUNT($AR$6:AR462),0)))))</f>
        <v/>
      </c>
    </row>
    <row r="464" spans="1:44">
      <c r="A464" s="469" t="str">
        <f ca="1">IFERROR(INDEX(凭证录入!A:A,$AR464),"")</f>
        <v/>
      </c>
      <c r="B464" s="469" t="str">
        <f ca="1">IFERROR(INDEX(凭证录入!B:B,$AR464),"")</f>
        <v/>
      </c>
      <c r="C464" s="470" t="str">
        <f ca="1">IFERROR(INDEX(凭证录入!G:G,$AR464),"")</f>
        <v/>
      </c>
      <c r="D464" s="471" t="str">
        <f ca="1">IFERROR(INDEX(凭证录入!F:F,$AR464),"")</f>
        <v/>
      </c>
      <c r="E464" s="472" t="str">
        <f ca="1">IFERROR(INDEX(凭证录入!H:H,$AR464),$AR464)</f>
        <v/>
      </c>
      <c r="F464" s="473">
        <f ca="1">IF(OR($BG$2=0,$AR464=""),,IF($AR464="本月合计",IF(ROW()=$BG$3,SUM($F$6:$F463),SUM(INDIRECT("$F$"&amp;OFFSET($AU$3,,MATCH(ROW(),$AU$3:$BF$3,)-2)+2&amp;":$E"&amp;ROW()-1))),IF($AR464="本年累计",SUMIF($AR$6:$AR464,"本月合计",$F$6:$F463),INDEX(凭证录入!K:K,$AR464))))</f>
        <v>0</v>
      </c>
      <c r="G464" s="459" t="str">
        <f t="shared" ca="1" si="100"/>
        <v/>
      </c>
      <c r="H464" s="460" t="str">
        <f t="shared" ca="1" si="100"/>
        <v/>
      </c>
      <c r="I464" s="460" t="str">
        <f t="shared" ca="1" si="100"/>
        <v/>
      </c>
      <c r="J464" s="460" t="str">
        <f t="shared" ca="1" si="100"/>
        <v/>
      </c>
      <c r="K464" s="460" t="str">
        <f t="shared" ca="1" si="100"/>
        <v/>
      </c>
      <c r="L464" s="460" t="str">
        <f t="shared" ca="1" si="100"/>
        <v/>
      </c>
      <c r="M464" s="460" t="str">
        <f t="shared" ca="1" si="100"/>
        <v/>
      </c>
      <c r="N464" s="460" t="str">
        <f t="shared" ca="1" si="100"/>
        <v/>
      </c>
      <c r="O464" s="461" t="str">
        <f t="shared" ca="1" si="100"/>
        <v/>
      </c>
      <c r="P464" s="474" t="str">
        <f t="shared" ca="1" si="100"/>
        <v/>
      </c>
      <c r="Q464" s="475" t="str">
        <f t="shared" ca="1" si="100"/>
        <v/>
      </c>
      <c r="R464" s="476">
        <f ca="1">IF(OR($BG$2=0,$AR464=""),,IF($AR464="本月合计",IF(ROW()=$BG$3,SUM($R$6:$R463),SUM(INDIRECT("$R$"&amp;OFFSET($AU$3,,MATCH(ROW(),$AU$3:$BF$3,)-2)+2&amp;":$R"&amp;ROW()-1))),IF($AR464="本年累计",SUMIF($AR$6:$AR464,"本月合计",$R$6:$R463),INDEX(凭证录入!L:L,$AR464))))</f>
        <v>0</v>
      </c>
      <c r="S464" s="459" t="str">
        <f t="shared" ca="1" si="101"/>
        <v/>
      </c>
      <c r="T464" s="460" t="str">
        <f t="shared" ca="1" si="101"/>
        <v/>
      </c>
      <c r="U464" s="460" t="str">
        <f t="shared" ca="1" si="101"/>
        <v/>
      </c>
      <c r="V464" s="460" t="str">
        <f t="shared" ca="1" si="101"/>
        <v/>
      </c>
      <c r="W464" s="460" t="str">
        <f t="shared" ca="1" si="101"/>
        <v/>
      </c>
      <c r="X464" s="460" t="str">
        <f t="shared" ca="1" si="101"/>
        <v/>
      </c>
      <c r="Y464" s="460" t="str">
        <f t="shared" ca="1" si="101"/>
        <v/>
      </c>
      <c r="Z464" s="460" t="str">
        <f t="shared" ca="1" si="101"/>
        <v/>
      </c>
      <c r="AA464" s="461" t="str">
        <f t="shared" ca="1" si="101"/>
        <v/>
      </c>
      <c r="AB464" s="474" t="str">
        <f t="shared" ca="1" si="101"/>
        <v/>
      </c>
      <c r="AC464" s="475" t="str">
        <f t="shared" ca="1" si="101"/>
        <v/>
      </c>
      <c r="AD464" s="477" t="str">
        <f t="shared" ca="1" si="102"/>
        <v/>
      </c>
      <c r="AE464" s="478">
        <f t="shared" ca="1" si="103"/>
        <v>0</v>
      </c>
      <c r="AF464" s="459" t="str">
        <f t="shared" ca="1" si="99"/>
        <v/>
      </c>
      <c r="AG464" s="460" t="str">
        <f t="shared" ca="1" si="99"/>
        <v/>
      </c>
      <c r="AH464" s="460" t="str">
        <f t="shared" ca="1" si="99"/>
        <v/>
      </c>
      <c r="AI464" s="460" t="str">
        <f t="shared" ca="1" si="99"/>
        <v/>
      </c>
      <c r="AJ464" s="460" t="str">
        <f t="shared" ca="1" si="99"/>
        <v/>
      </c>
      <c r="AK464" s="460" t="str">
        <f t="shared" ca="1" si="99"/>
        <v/>
      </c>
      <c r="AL464" s="460" t="str">
        <f t="shared" ca="1" si="99"/>
        <v/>
      </c>
      <c r="AM464" s="460" t="str">
        <f t="shared" ca="1" si="99"/>
        <v/>
      </c>
      <c r="AN464" s="461" t="str">
        <f t="shared" ca="1" si="99"/>
        <v/>
      </c>
      <c r="AO464" s="474" t="str">
        <f t="shared" ca="1" si="99"/>
        <v/>
      </c>
      <c r="AP464" s="475" t="str">
        <f t="shared" ca="1" si="99"/>
        <v/>
      </c>
      <c r="AQ464" s="479" t="str">
        <f t="array" aca="1" ref="AQ464" ca="1">IF(ROW()-5&lt;=COUNTIF(科目编号,$AR$2),SMALL(IF(科目编号=$AR$2,ROW(科目编号),""),ROW()-5),"")</f>
        <v/>
      </c>
      <c r="AR464" s="480" t="str">
        <f ca="1">IF($BG$2=0,"",IF(AR463="本月合计","本年累计",IF(OR(ROW()=$AU$3,ROW()=$AV$3,ROW()=$AW$3,ROW()=$AX$3,ROW()=$AY$3,ROW()=$AZ$3,ROW()=$BA$3,ROW()=$BB$3,ROW()=$BC$3,ROW()=$BD$3,ROW()=$BE$3,ROW()=$BF$3),"本月合计",IF(ROW()&lt;7,$AQ$6,OFFSET($AQ$6,COUNT($AR$6:AR463),0)))))</f>
        <v/>
      </c>
    </row>
    <row r="465" spans="1:44">
      <c r="A465" s="469" t="str">
        <f ca="1">IFERROR(INDEX(凭证录入!A:A,$AR465),"")</f>
        <v/>
      </c>
      <c r="B465" s="469" t="str">
        <f ca="1">IFERROR(INDEX(凭证录入!B:B,$AR465),"")</f>
        <v/>
      </c>
      <c r="C465" s="470" t="str">
        <f ca="1">IFERROR(INDEX(凭证录入!G:G,$AR465),"")</f>
        <v/>
      </c>
      <c r="D465" s="471" t="str">
        <f ca="1">IFERROR(INDEX(凭证录入!F:F,$AR465),"")</f>
        <v/>
      </c>
      <c r="E465" s="472" t="str">
        <f ca="1">IFERROR(INDEX(凭证录入!H:H,$AR465),$AR465)</f>
        <v/>
      </c>
      <c r="F465" s="473">
        <f ca="1">IF(OR($BG$2=0,$AR465=""),,IF($AR465="本月合计",IF(ROW()=$BG$3,SUM($F$6:$F464),SUM(INDIRECT("$F$"&amp;OFFSET($AU$3,,MATCH(ROW(),$AU$3:$BF$3,)-2)+2&amp;":$E"&amp;ROW()-1))),IF($AR465="本年累计",SUMIF($AR$6:$AR465,"本月合计",$F$6:$F464),INDEX(凭证录入!K:K,$AR465))))</f>
        <v>0</v>
      </c>
      <c r="G465" s="459" t="str">
        <f t="shared" ca="1" si="100"/>
        <v/>
      </c>
      <c r="H465" s="460" t="str">
        <f t="shared" ca="1" si="100"/>
        <v/>
      </c>
      <c r="I465" s="460" t="str">
        <f t="shared" ca="1" si="100"/>
        <v/>
      </c>
      <c r="J465" s="460" t="str">
        <f t="shared" ca="1" si="100"/>
        <v/>
      </c>
      <c r="K465" s="460" t="str">
        <f t="shared" ca="1" si="100"/>
        <v/>
      </c>
      <c r="L465" s="460" t="str">
        <f t="shared" ca="1" si="100"/>
        <v/>
      </c>
      <c r="M465" s="460" t="str">
        <f t="shared" ca="1" si="100"/>
        <v/>
      </c>
      <c r="N465" s="460" t="str">
        <f t="shared" ca="1" si="100"/>
        <v/>
      </c>
      <c r="O465" s="461" t="str">
        <f t="shared" ca="1" si="100"/>
        <v/>
      </c>
      <c r="P465" s="474" t="str">
        <f t="shared" ca="1" si="100"/>
        <v/>
      </c>
      <c r="Q465" s="475" t="str">
        <f t="shared" ca="1" si="100"/>
        <v/>
      </c>
      <c r="R465" s="476">
        <f ca="1">IF(OR($BG$2=0,$AR465=""),,IF($AR465="本月合计",IF(ROW()=$BG$3,SUM($R$6:$R464),SUM(INDIRECT("$R$"&amp;OFFSET($AU$3,,MATCH(ROW(),$AU$3:$BF$3,)-2)+2&amp;":$R"&amp;ROW()-1))),IF($AR465="本年累计",SUMIF($AR$6:$AR465,"本月合计",$R$6:$R464),INDEX(凭证录入!L:L,$AR465))))</f>
        <v>0</v>
      </c>
      <c r="S465" s="459" t="str">
        <f t="shared" ca="1" si="101"/>
        <v/>
      </c>
      <c r="T465" s="460" t="str">
        <f t="shared" ca="1" si="101"/>
        <v/>
      </c>
      <c r="U465" s="460" t="str">
        <f t="shared" ca="1" si="101"/>
        <v/>
      </c>
      <c r="V465" s="460" t="str">
        <f t="shared" ca="1" si="101"/>
        <v/>
      </c>
      <c r="W465" s="460" t="str">
        <f t="shared" ca="1" si="101"/>
        <v/>
      </c>
      <c r="X465" s="460" t="str">
        <f t="shared" ca="1" si="101"/>
        <v/>
      </c>
      <c r="Y465" s="460" t="str">
        <f t="shared" ca="1" si="101"/>
        <v/>
      </c>
      <c r="Z465" s="460" t="str">
        <f t="shared" ca="1" si="101"/>
        <v/>
      </c>
      <c r="AA465" s="461" t="str">
        <f t="shared" ca="1" si="101"/>
        <v/>
      </c>
      <c r="AB465" s="474" t="str">
        <f t="shared" ca="1" si="101"/>
        <v/>
      </c>
      <c r="AC465" s="475" t="str">
        <f t="shared" ca="1" si="101"/>
        <v/>
      </c>
      <c r="AD465" s="477" t="str">
        <f t="shared" ca="1" si="102"/>
        <v/>
      </c>
      <c r="AE465" s="478">
        <f t="shared" ca="1" si="103"/>
        <v>0</v>
      </c>
      <c r="AF465" s="459" t="str">
        <f t="shared" ca="1" si="99"/>
        <v/>
      </c>
      <c r="AG465" s="460" t="str">
        <f t="shared" ca="1" si="99"/>
        <v/>
      </c>
      <c r="AH465" s="460" t="str">
        <f t="shared" ca="1" si="99"/>
        <v/>
      </c>
      <c r="AI465" s="460" t="str">
        <f t="shared" ca="1" si="99"/>
        <v/>
      </c>
      <c r="AJ465" s="460" t="str">
        <f t="shared" ca="1" si="99"/>
        <v/>
      </c>
      <c r="AK465" s="460" t="str">
        <f t="shared" ca="1" si="99"/>
        <v/>
      </c>
      <c r="AL465" s="460" t="str">
        <f t="shared" ca="1" si="99"/>
        <v/>
      </c>
      <c r="AM465" s="460" t="str">
        <f t="shared" ca="1" si="99"/>
        <v/>
      </c>
      <c r="AN465" s="461" t="str">
        <f t="shared" ca="1" si="99"/>
        <v/>
      </c>
      <c r="AO465" s="474" t="str">
        <f t="shared" ca="1" si="99"/>
        <v/>
      </c>
      <c r="AP465" s="475" t="str">
        <f t="shared" ca="1" si="99"/>
        <v/>
      </c>
      <c r="AQ465" s="479" t="str">
        <f t="array" aca="1" ref="AQ465" ca="1">IF(ROW()-5&lt;=COUNTIF(科目编号,$AR$2),SMALL(IF(科目编号=$AR$2,ROW(科目编号),""),ROW()-5),"")</f>
        <v/>
      </c>
      <c r="AR465" s="480" t="str">
        <f ca="1">IF($BG$2=0,"",IF(AR464="本月合计","本年累计",IF(OR(ROW()=$AU$3,ROW()=$AV$3,ROW()=$AW$3,ROW()=$AX$3,ROW()=$AY$3,ROW()=$AZ$3,ROW()=$BA$3,ROW()=$BB$3,ROW()=$BC$3,ROW()=$BD$3,ROW()=$BE$3,ROW()=$BF$3),"本月合计",IF(ROW()&lt;7,$AQ$6,OFFSET($AQ$6,COUNT($AR$6:AR464),0)))))</f>
        <v/>
      </c>
    </row>
    <row r="466" spans="1:44">
      <c r="A466" s="469" t="str">
        <f ca="1">IFERROR(INDEX(凭证录入!A:A,$AR466),"")</f>
        <v/>
      </c>
      <c r="B466" s="469" t="str">
        <f ca="1">IFERROR(INDEX(凭证录入!B:B,$AR466),"")</f>
        <v/>
      </c>
      <c r="C466" s="470" t="str">
        <f ca="1">IFERROR(INDEX(凭证录入!G:G,$AR466),"")</f>
        <v/>
      </c>
      <c r="D466" s="471" t="str">
        <f ca="1">IFERROR(INDEX(凭证录入!F:F,$AR466),"")</f>
        <v/>
      </c>
      <c r="E466" s="472" t="str">
        <f ca="1">IFERROR(INDEX(凭证录入!H:H,$AR466),$AR466)</f>
        <v/>
      </c>
      <c r="F466" s="473">
        <f ca="1">IF(OR($BG$2=0,$AR466=""),,IF($AR466="本月合计",IF(ROW()=$BG$3,SUM($F$6:$F465),SUM(INDIRECT("$F$"&amp;OFFSET($AU$3,,MATCH(ROW(),$AU$3:$BF$3,)-2)+2&amp;":$E"&amp;ROW()-1))),IF($AR466="本年累计",SUMIF($AR$6:$AR466,"本月合计",$F$6:$F465),INDEX(凭证录入!K:K,$AR466))))</f>
        <v>0</v>
      </c>
      <c r="G466" s="459" t="str">
        <f t="shared" ca="1" si="100"/>
        <v/>
      </c>
      <c r="H466" s="460" t="str">
        <f t="shared" ca="1" si="100"/>
        <v/>
      </c>
      <c r="I466" s="460" t="str">
        <f t="shared" ca="1" si="100"/>
        <v/>
      </c>
      <c r="J466" s="460" t="str">
        <f t="shared" ca="1" si="100"/>
        <v/>
      </c>
      <c r="K466" s="460" t="str">
        <f t="shared" ca="1" si="100"/>
        <v/>
      </c>
      <c r="L466" s="460" t="str">
        <f t="shared" ca="1" si="100"/>
        <v/>
      </c>
      <c r="M466" s="460" t="str">
        <f t="shared" ca="1" si="100"/>
        <v/>
      </c>
      <c r="N466" s="460" t="str">
        <f t="shared" ca="1" si="100"/>
        <v/>
      </c>
      <c r="O466" s="461" t="str">
        <f t="shared" ca="1" si="100"/>
        <v/>
      </c>
      <c r="P466" s="474" t="str">
        <f t="shared" ca="1" si="100"/>
        <v/>
      </c>
      <c r="Q466" s="475" t="str">
        <f t="shared" ca="1" si="100"/>
        <v/>
      </c>
      <c r="R466" s="476">
        <f ca="1">IF(OR($BG$2=0,$AR466=""),,IF($AR466="本月合计",IF(ROW()=$BG$3,SUM($R$6:$R465),SUM(INDIRECT("$R$"&amp;OFFSET($AU$3,,MATCH(ROW(),$AU$3:$BF$3,)-2)+2&amp;":$R"&amp;ROW()-1))),IF($AR466="本年累计",SUMIF($AR$6:$AR466,"本月合计",$R$6:$R465),INDEX(凭证录入!L:L,$AR466))))</f>
        <v>0</v>
      </c>
      <c r="S466" s="459" t="str">
        <f t="shared" ca="1" si="101"/>
        <v/>
      </c>
      <c r="T466" s="460" t="str">
        <f t="shared" ca="1" si="101"/>
        <v/>
      </c>
      <c r="U466" s="460" t="str">
        <f t="shared" ca="1" si="101"/>
        <v/>
      </c>
      <c r="V466" s="460" t="str">
        <f t="shared" ca="1" si="101"/>
        <v/>
      </c>
      <c r="W466" s="460" t="str">
        <f t="shared" ca="1" si="101"/>
        <v/>
      </c>
      <c r="X466" s="460" t="str">
        <f t="shared" ca="1" si="101"/>
        <v/>
      </c>
      <c r="Y466" s="460" t="str">
        <f t="shared" ca="1" si="101"/>
        <v/>
      </c>
      <c r="Z466" s="460" t="str">
        <f t="shared" ca="1" si="101"/>
        <v/>
      </c>
      <c r="AA466" s="461" t="str">
        <f t="shared" ca="1" si="101"/>
        <v/>
      </c>
      <c r="AB466" s="474" t="str">
        <f t="shared" ca="1" si="101"/>
        <v/>
      </c>
      <c r="AC466" s="475" t="str">
        <f t="shared" ca="1" si="101"/>
        <v/>
      </c>
      <c r="AD466" s="477" t="str">
        <f t="shared" ca="1" si="102"/>
        <v/>
      </c>
      <c r="AE466" s="478">
        <f t="shared" ca="1" si="103"/>
        <v>0</v>
      </c>
      <c r="AF466" s="459" t="str">
        <f t="shared" ca="1" si="99"/>
        <v/>
      </c>
      <c r="AG466" s="460" t="str">
        <f t="shared" ca="1" si="99"/>
        <v/>
      </c>
      <c r="AH466" s="460" t="str">
        <f t="shared" ca="1" si="99"/>
        <v/>
      </c>
      <c r="AI466" s="460" t="str">
        <f t="shared" ca="1" si="99"/>
        <v/>
      </c>
      <c r="AJ466" s="460" t="str">
        <f t="shared" ca="1" si="99"/>
        <v/>
      </c>
      <c r="AK466" s="460" t="str">
        <f t="shared" ca="1" si="99"/>
        <v/>
      </c>
      <c r="AL466" s="460" t="str">
        <f t="shared" ca="1" si="99"/>
        <v/>
      </c>
      <c r="AM466" s="460" t="str">
        <f t="shared" ca="1" si="99"/>
        <v/>
      </c>
      <c r="AN466" s="461" t="str">
        <f t="shared" ca="1" si="99"/>
        <v/>
      </c>
      <c r="AO466" s="474" t="str">
        <f t="shared" ca="1" si="99"/>
        <v/>
      </c>
      <c r="AP466" s="475" t="str">
        <f t="shared" ca="1" si="99"/>
        <v/>
      </c>
      <c r="AQ466" s="479" t="str">
        <f t="array" aca="1" ref="AQ466" ca="1">IF(ROW()-5&lt;=COUNTIF(科目编号,$AR$2),SMALL(IF(科目编号=$AR$2,ROW(科目编号),""),ROW()-5),"")</f>
        <v/>
      </c>
      <c r="AR466" s="480" t="str">
        <f ca="1">IF($BG$2=0,"",IF(AR465="本月合计","本年累计",IF(OR(ROW()=$AU$3,ROW()=$AV$3,ROW()=$AW$3,ROW()=$AX$3,ROW()=$AY$3,ROW()=$AZ$3,ROW()=$BA$3,ROW()=$BB$3,ROW()=$BC$3,ROW()=$BD$3,ROW()=$BE$3,ROW()=$BF$3),"本月合计",IF(ROW()&lt;7,$AQ$6,OFFSET($AQ$6,COUNT($AR$6:AR465),0)))))</f>
        <v/>
      </c>
    </row>
    <row r="467" spans="1:44">
      <c r="A467" s="469" t="str">
        <f ca="1">IFERROR(INDEX(凭证录入!A:A,$AR467),"")</f>
        <v/>
      </c>
      <c r="B467" s="469" t="str">
        <f ca="1">IFERROR(INDEX(凭证录入!B:B,$AR467),"")</f>
        <v/>
      </c>
      <c r="C467" s="470" t="str">
        <f ca="1">IFERROR(INDEX(凭证录入!G:G,$AR467),"")</f>
        <v/>
      </c>
      <c r="D467" s="471" t="str">
        <f ca="1">IFERROR(INDEX(凭证录入!F:F,$AR467),"")</f>
        <v/>
      </c>
      <c r="E467" s="472" t="str">
        <f ca="1">IFERROR(INDEX(凭证录入!H:H,$AR467),$AR467)</f>
        <v/>
      </c>
      <c r="F467" s="473">
        <f ca="1">IF(OR($BG$2=0,$AR467=""),,IF($AR467="本月合计",IF(ROW()=$BG$3,SUM($F$6:$F466),SUM(INDIRECT("$F$"&amp;OFFSET($AU$3,,MATCH(ROW(),$AU$3:$BF$3,)-2)+2&amp;":$E"&amp;ROW()-1))),IF($AR467="本年累计",SUMIF($AR$6:$AR467,"本月合计",$F$6:$F466),INDEX(凭证录入!K:K,$AR467))))</f>
        <v>0</v>
      </c>
      <c r="G467" s="459" t="str">
        <f t="shared" ca="1" si="100"/>
        <v/>
      </c>
      <c r="H467" s="460" t="str">
        <f t="shared" ca="1" si="100"/>
        <v/>
      </c>
      <c r="I467" s="460" t="str">
        <f t="shared" ca="1" si="100"/>
        <v/>
      </c>
      <c r="J467" s="460" t="str">
        <f t="shared" ca="1" si="100"/>
        <v/>
      </c>
      <c r="K467" s="460" t="str">
        <f t="shared" ca="1" si="100"/>
        <v/>
      </c>
      <c r="L467" s="460" t="str">
        <f t="shared" ca="1" si="100"/>
        <v/>
      </c>
      <c r="M467" s="460" t="str">
        <f t="shared" ca="1" si="100"/>
        <v/>
      </c>
      <c r="N467" s="460" t="str">
        <f t="shared" ca="1" si="100"/>
        <v/>
      </c>
      <c r="O467" s="461" t="str">
        <f t="shared" ca="1" si="100"/>
        <v/>
      </c>
      <c r="P467" s="474" t="str">
        <f t="shared" ca="1" si="100"/>
        <v/>
      </c>
      <c r="Q467" s="475" t="str">
        <f t="shared" ca="1" si="100"/>
        <v/>
      </c>
      <c r="R467" s="476">
        <f ca="1">IF(OR($BG$2=0,$AR467=""),,IF($AR467="本月合计",IF(ROW()=$BG$3,SUM($R$6:$R466),SUM(INDIRECT("$R$"&amp;OFFSET($AU$3,,MATCH(ROW(),$AU$3:$BF$3,)-2)+2&amp;":$R"&amp;ROW()-1))),IF($AR467="本年累计",SUMIF($AR$6:$AR467,"本月合计",$R$6:$R466),INDEX(凭证录入!L:L,$AR467))))</f>
        <v>0</v>
      </c>
      <c r="S467" s="459" t="str">
        <f t="shared" ca="1" si="101"/>
        <v/>
      </c>
      <c r="T467" s="460" t="str">
        <f t="shared" ca="1" si="101"/>
        <v/>
      </c>
      <c r="U467" s="460" t="str">
        <f t="shared" ca="1" si="101"/>
        <v/>
      </c>
      <c r="V467" s="460" t="str">
        <f t="shared" ca="1" si="101"/>
        <v/>
      </c>
      <c r="W467" s="460" t="str">
        <f t="shared" ca="1" si="101"/>
        <v/>
      </c>
      <c r="X467" s="460" t="str">
        <f t="shared" ca="1" si="101"/>
        <v/>
      </c>
      <c r="Y467" s="460" t="str">
        <f t="shared" ca="1" si="101"/>
        <v/>
      </c>
      <c r="Z467" s="460" t="str">
        <f t="shared" ca="1" si="101"/>
        <v/>
      </c>
      <c r="AA467" s="461" t="str">
        <f t="shared" ca="1" si="101"/>
        <v/>
      </c>
      <c r="AB467" s="474" t="str">
        <f t="shared" ca="1" si="101"/>
        <v/>
      </c>
      <c r="AC467" s="475" t="str">
        <f t="shared" ca="1" si="101"/>
        <v/>
      </c>
      <c r="AD467" s="477" t="str">
        <f t="shared" ca="1" si="102"/>
        <v/>
      </c>
      <c r="AE467" s="478">
        <f t="shared" ca="1" si="103"/>
        <v>0</v>
      </c>
      <c r="AF467" s="459" t="str">
        <f t="shared" ca="1" si="99"/>
        <v/>
      </c>
      <c r="AG467" s="460" t="str">
        <f t="shared" ca="1" si="99"/>
        <v/>
      </c>
      <c r="AH467" s="460" t="str">
        <f t="shared" ca="1" si="99"/>
        <v/>
      </c>
      <c r="AI467" s="460" t="str">
        <f t="shared" ca="1" si="99"/>
        <v/>
      </c>
      <c r="AJ467" s="460" t="str">
        <f t="shared" ca="1" si="99"/>
        <v/>
      </c>
      <c r="AK467" s="460" t="str">
        <f t="shared" ca="1" si="99"/>
        <v/>
      </c>
      <c r="AL467" s="460" t="str">
        <f t="shared" ca="1" si="99"/>
        <v/>
      </c>
      <c r="AM467" s="460" t="str">
        <f t="shared" ca="1" si="99"/>
        <v/>
      </c>
      <c r="AN467" s="461" t="str">
        <f t="shared" ca="1" si="99"/>
        <v/>
      </c>
      <c r="AO467" s="474" t="str">
        <f t="shared" ca="1" si="99"/>
        <v/>
      </c>
      <c r="AP467" s="475" t="str">
        <f t="shared" ca="1" si="99"/>
        <v/>
      </c>
      <c r="AQ467" s="479" t="str">
        <f t="array" aca="1" ref="AQ467" ca="1">IF(ROW()-5&lt;=COUNTIF(科目编号,$AR$2),SMALL(IF(科目编号=$AR$2,ROW(科目编号),""),ROW()-5),"")</f>
        <v/>
      </c>
      <c r="AR467" s="480" t="str">
        <f ca="1">IF($BG$2=0,"",IF(AR466="本月合计","本年累计",IF(OR(ROW()=$AU$3,ROW()=$AV$3,ROW()=$AW$3,ROW()=$AX$3,ROW()=$AY$3,ROW()=$AZ$3,ROW()=$BA$3,ROW()=$BB$3,ROW()=$BC$3,ROW()=$BD$3,ROW()=$BE$3,ROW()=$BF$3),"本月合计",IF(ROW()&lt;7,$AQ$6,OFFSET($AQ$6,COUNT($AR$6:AR466),0)))))</f>
        <v/>
      </c>
    </row>
    <row r="468" spans="1:44">
      <c r="A468" s="469" t="str">
        <f ca="1">IFERROR(INDEX(凭证录入!A:A,$AR468),"")</f>
        <v/>
      </c>
      <c r="B468" s="469" t="str">
        <f ca="1">IFERROR(INDEX(凭证录入!B:B,$AR468),"")</f>
        <v/>
      </c>
      <c r="C468" s="470" t="str">
        <f ca="1">IFERROR(INDEX(凭证录入!G:G,$AR468),"")</f>
        <v/>
      </c>
      <c r="D468" s="471" t="str">
        <f ca="1">IFERROR(INDEX(凭证录入!F:F,$AR468),"")</f>
        <v/>
      </c>
      <c r="E468" s="472" t="str">
        <f ca="1">IFERROR(INDEX(凭证录入!H:H,$AR468),$AR468)</f>
        <v/>
      </c>
      <c r="F468" s="473">
        <f ca="1">IF(OR($BG$2=0,$AR468=""),,IF($AR468="本月合计",IF(ROW()=$BG$3,SUM($F$6:$F467),SUM(INDIRECT("$F$"&amp;OFFSET($AU$3,,MATCH(ROW(),$AU$3:$BF$3,)-2)+2&amp;":$E"&amp;ROW()-1))),IF($AR468="本年累计",SUMIF($AR$6:$AR468,"本月合计",$F$6:$F467),INDEX(凭证录入!K:K,$AR468))))</f>
        <v>0</v>
      </c>
      <c r="G468" s="459" t="str">
        <f t="shared" ca="1" si="100"/>
        <v/>
      </c>
      <c r="H468" s="460" t="str">
        <f t="shared" ca="1" si="100"/>
        <v/>
      </c>
      <c r="I468" s="460" t="str">
        <f t="shared" ca="1" si="100"/>
        <v/>
      </c>
      <c r="J468" s="460" t="str">
        <f t="shared" ca="1" si="100"/>
        <v/>
      </c>
      <c r="K468" s="460" t="str">
        <f t="shared" ca="1" si="100"/>
        <v/>
      </c>
      <c r="L468" s="460" t="str">
        <f t="shared" ca="1" si="100"/>
        <v/>
      </c>
      <c r="M468" s="460" t="str">
        <f t="shared" ca="1" si="100"/>
        <v/>
      </c>
      <c r="N468" s="460" t="str">
        <f t="shared" ca="1" si="100"/>
        <v/>
      </c>
      <c r="O468" s="461" t="str">
        <f t="shared" ca="1" si="100"/>
        <v/>
      </c>
      <c r="P468" s="474" t="str">
        <f t="shared" ca="1" si="100"/>
        <v/>
      </c>
      <c r="Q468" s="475" t="str">
        <f t="shared" ca="1" si="100"/>
        <v/>
      </c>
      <c r="R468" s="476">
        <f ca="1">IF(OR($BG$2=0,$AR468=""),,IF($AR468="本月合计",IF(ROW()=$BG$3,SUM($R$6:$R467),SUM(INDIRECT("$R$"&amp;OFFSET($AU$3,,MATCH(ROW(),$AU$3:$BF$3,)-2)+2&amp;":$R"&amp;ROW()-1))),IF($AR468="本年累计",SUMIF($AR$6:$AR468,"本月合计",$R$6:$R467),INDEX(凭证录入!L:L,$AR468))))</f>
        <v>0</v>
      </c>
      <c r="S468" s="459" t="str">
        <f t="shared" ca="1" si="101"/>
        <v/>
      </c>
      <c r="T468" s="460" t="str">
        <f t="shared" ca="1" si="101"/>
        <v/>
      </c>
      <c r="U468" s="460" t="str">
        <f t="shared" ca="1" si="101"/>
        <v/>
      </c>
      <c r="V468" s="460" t="str">
        <f t="shared" ca="1" si="101"/>
        <v/>
      </c>
      <c r="W468" s="460" t="str">
        <f t="shared" ca="1" si="101"/>
        <v/>
      </c>
      <c r="X468" s="460" t="str">
        <f t="shared" ca="1" si="101"/>
        <v/>
      </c>
      <c r="Y468" s="460" t="str">
        <f t="shared" ca="1" si="101"/>
        <v/>
      </c>
      <c r="Z468" s="460" t="str">
        <f t="shared" ca="1" si="101"/>
        <v/>
      </c>
      <c r="AA468" s="461" t="str">
        <f t="shared" ca="1" si="101"/>
        <v/>
      </c>
      <c r="AB468" s="474" t="str">
        <f t="shared" ca="1" si="101"/>
        <v/>
      </c>
      <c r="AC468" s="475" t="str">
        <f t="shared" ca="1" si="101"/>
        <v/>
      </c>
      <c r="AD468" s="477" t="str">
        <f t="shared" ca="1" si="102"/>
        <v/>
      </c>
      <c r="AE468" s="478">
        <f t="shared" ca="1" si="103"/>
        <v>0</v>
      </c>
      <c r="AF468" s="459" t="str">
        <f t="shared" ca="1" si="99"/>
        <v/>
      </c>
      <c r="AG468" s="460" t="str">
        <f t="shared" ca="1" si="99"/>
        <v/>
      </c>
      <c r="AH468" s="460" t="str">
        <f t="shared" ca="1" si="99"/>
        <v/>
      </c>
      <c r="AI468" s="460" t="str">
        <f t="shared" ca="1" si="99"/>
        <v/>
      </c>
      <c r="AJ468" s="460" t="str">
        <f t="shared" ca="1" si="99"/>
        <v/>
      </c>
      <c r="AK468" s="460" t="str">
        <f t="shared" ca="1" si="99"/>
        <v/>
      </c>
      <c r="AL468" s="460" t="str">
        <f t="shared" ca="1" si="99"/>
        <v/>
      </c>
      <c r="AM468" s="460" t="str">
        <f t="shared" ca="1" si="99"/>
        <v/>
      </c>
      <c r="AN468" s="461" t="str">
        <f t="shared" ca="1" si="99"/>
        <v/>
      </c>
      <c r="AO468" s="474" t="str">
        <f t="shared" ca="1" si="99"/>
        <v/>
      </c>
      <c r="AP468" s="475" t="str">
        <f t="shared" ca="1" si="99"/>
        <v/>
      </c>
      <c r="AQ468" s="479" t="str">
        <f t="array" aca="1" ref="AQ468" ca="1">IF(ROW()-5&lt;=COUNTIF(科目编号,$AR$2),SMALL(IF(科目编号=$AR$2,ROW(科目编号),""),ROW()-5),"")</f>
        <v/>
      </c>
      <c r="AR468" s="480" t="str">
        <f ca="1">IF($BG$2=0,"",IF(AR467="本月合计","本年累计",IF(OR(ROW()=$AU$3,ROW()=$AV$3,ROW()=$AW$3,ROW()=$AX$3,ROW()=$AY$3,ROW()=$AZ$3,ROW()=$BA$3,ROW()=$BB$3,ROW()=$BC$3,ROW()=$BD$3,ROW()=$BE$3,ROW()=$BF$3),"本月合计",IF(ROW()&lt;7,$AQ$6,OFFSET($AQ$6,COUNT($AR$6:AR467),0)))))</f>
        <v/>
      </c>
    </row>
    <row r="469" spans="1:44">
      <c r="A469" s="469" t="str">
        <f ca="1">IFERROR(INDEX(凭证录入!A:A,$AR469),"")</f>
        <v/>
      </c>
      <c r="B469" s="469" t="str">
        <f ca="1">IFERROR(INDEX(凭证录入!B:B,$AR469),"")</f>
        <v/>
      </c>
      <c r="C469" s="470" t="str">
        <f ca="1">IFERROR(INDEX(凭证录入!G:G,$AR469),"")</f>
        <v/>
      </c>
      <c r="D469" s="471" t="str">
        <f ca="1">IFERROR(INDEX(凭证录入!F:F,$AR469),"")</f>
        <v/>
      </c>
      <c r="E469" s="472" t="str">
        <f ca="1">IFERROR(INDEX(凭证录入!H:H,$AR469),$AR469)</f>
        <v/>
      </c>
      <c r="F469" s="473">
        <f ca="1">IF(OR($BG$2=0,$AR469=""),,IF($AR469="本月合计",IF(ROW()=$BG$3,SUM($F$6:$F468),SUM(INDIRECT("$F$"&amp;OFFSET($AU$3,,MATCH(ROW(),$AU$3:$BF$3,)-2)+2&amp;":$E"&amp;ROW()-1))),IF($AR469="本年累计",SUMIF($AR$6:$AR469,"本月合计",$F$6:$F468),INDEX(凭证录入!K:K,$AR469))))</f>
        <v>0</v>
      </c>
      <c r="G469" s="459" t="str">
        <f t="shared" ca="1" si="100"/>
        <v/>
      </c>
      <c r="H469" s="460" t="str">
        <f t="shared" ca="1" si="100"/>
        <v/>
      </c>
      <c r="I469" s="460" t="str">
        <f t="shared" ca="1" si="100"/>
        <v/>
      </c>
      <c r="J469" s="460" t="str">
        <f t="shared" ca="1" si="100"/>
        <v/>
      </c>
      <c r="K469" s="460" t="str">
        <f t="shared" ca="1" si="100"/>
        <v/>
      </c>
      <c r="L469" s="460" t="str">
        <f t="shared" ca="1" si="100"/>
        <v/>
      </c>
      <c r="M469" s="460" t="str">
        <f t="shared" ca="1" si="100"/>
        <v/>
      </c>
      <c r="N469" s="460" t="str">
        <f t="shared" ca="1" si="100"/>
        <v/>
      </c>
      <c r="O469" s="461" t="str">
        <f t="shared" ca="1" si="100"/>
        <v/>
      </c>
      <c r="P469" s="474" t="str">
        <f t="shared" ca="1" si="100"/>
        <v/>
      </c>
      <c r="Q469" s="475" t="str">
        <f t="shared" ca="1" si="100"/>
        <v/>
      </c>
      <c r="R469" s="476">
        <f ca="1">IF(OR($BG$2=0,$AR469=""),,IF($AR469="本月合计",IF(ROW()=$BG$3,SUM($R$6:$R468),SUM(INDIRECT("$R$"&amp;OFFSET($AU$3,,MATCH(ROW(),$AU$3:$BF$3,)-2)+2&amp;":$R"&amp;ROW()-1))),IF($AR469="本年累计",SUMIF($AR$6:$AR469,"本月合计",$R$6:$R468),INDEX(凭证录入!L:L,$AR469))))</f>
        <v>0</v>
      </c>
      <c r="S469" s="459" t="str">
        <f t="shared" ca="1" si="101"/>
        <v/>
      </c>
      <c r="T469" s="460" t="str">
        <f t="shared" ca="1" si="101"/>
        <v/>
      </c>
      <c r="U469" s="460" t="str">
        <f t="shared" ca="1" si="101"/>
        <v/>
      </c>
      <c r="V469" s="460" t="str">
        <f t="shared" ca="1" si="101"/>
        <v/>
      </c>
      <c r="W469" s="460" t="str">
        <f t="shared" ca="1" si="101"/>
        <v/>
      </c>
      <c r="X469" s="460" t="str">
        <f t="shared" ca="1" si="101"/>
        <v/>
      </c>
      <c r="Y469" s="460" t="str">
        <f t="shared" ca="1" si="101"/>
        <v/>
      </c>
      <c r="Z469" s="460" t="str">
        <f t="shared" ca="1" si="101"/>
        <v/>
      </c>
      <c r="AA469" s="461" t="str">
        <f t="shared" ca="1" si="101"/>
        <v/>
      </c>
      <c r="AB469" s="474" t="str">
        <f t="shared" ca="1" si="101"/>
        <v/>
      </c>
      <c r="AC469" s="475" t="str">
        <f t="shared" ca="1" si="101"/>
        <v/>
      </c>
      <c r="AD469" s="477" t="str">
        <f t="shared" ca="1" si="102"/>
        <v/>
      </c>
      <c r="AE469" s="478">
        <f t="shared" ca="1" si="103"/>
        <v>0</v>
      </c>
      <c r="AF469" s="459" t="str">
        <f t="shared" ref="AF469:AP484" ca="1" si="104">LEFT(RIGHT(TEXT($AE469/1%," ￥0; ￥-0;"),43-COLUMN()))</f>
        <v/>
      </c>
      <c r="AG469" s="460" t="str">
        <f t="shared" ca="1" si="104"/>
        <v/>
      </c>
      <c r="AH469" s="460" t="str">
        <f t="shared" ca="1" si="104"/>
        <v/>
      </c>
      <c r="AI469" s="460" t="str">
        <f t="shared" ca="1" si="104"/>
        <v/>
      </c>
      <c r="AJ469" s="460" t="str">
        <f t="shared" ca="1" si="104"/>
        <v/>
      </c>
      <c r="AK469" s="460" t="str">
        <f t="shared" ca="1" si="104"/>
        <v/>
      </c>
      <c r="AL469" s="460" t="str">
        <f t="shared" ca="1" si="104"/>
        <v/>
      </c>
      <c r="AM469" s="460" t="str">
        <f t="shared" ca="1" si="104"/>
        <v/>
      </c>
      <c r="AN469" s="461" t="str">
        <f t="shared" ca="1" si="104"/>
        <v/>
      </c>
      <c r="AO469" s="474" t="str">
        <f t="shared" ca="1" si="104"/>
        <v/>
      </c>
      <c r="AP469" s="475" t="str">
        <f t="shared" ca="1" si="104"/>
        <v/>
      </c>
      <c r="AQ469" s="479" t="str">
        <f t="array" aca="1" ref="AQ469" ca="1">IF(ROW()-5&lt;=COUNTIF(科目编号,$AR$2),SMALL(IF(科目编号=$AR$2,ROW(科目编号),""),ROW()-5),"")</f>
        <v/>
      </c>
      <c r="AR469" s="480" t="str">
        <f ca="1">IF($BG$2=0,"",IF(AR468="本月合计","本年累计",IF(OR(ROW()=$AU$3,ROW()=$AV$3,ROW()=$AW$3,ROW()=$AX$3,ROW()=$AY$3,ROW()=$AZ$3,ROW()=$BA$3,ROW()=$BB$3,ROW()=$BC$3,ROW()=$BD$3,ROW()=$BE$3,ROW()=$BF$3),"本月合计",IF(ROW()&lt;7,$AQ$6,OFFSET($AQ$6,COUNT($AR$6:AR468),0)))))</f>
        <v/>
      </c>
    </row>
    <row r="470" spans="1:44">
      <c r="A470" s="469" t="str">
        <f ca="1">IFERROR(INDEX(凭证录入!A:A,$AR470),"")</f>
        <v/>
      </c>
      <c r="B470" s="469" t="str">
        <f ca="1">IFERROR(INDEX(凭证录入!B:B,$AR470),"")</f>
        <v/>
      </c>
      <c r="C470" s="470" t="str">
        <f ca="1">IFERROR(INDEX(凭证录入!G:G,$AR470),"")</f>
        <v/>
      </c>
      <c r="D470" s="471" t="str">
        <f ca="1">IFERROR(INDEX(凭证录入!F:F,$AR470),"")</f>
        <v/>
      </c>
      <c r="E470" s="472" t="str">
        <f ca="1">IFERROR(INDEX(凭证录入!H:H,$AR470),$AR470)</f>
        <v/>
      </c>
      <c r="F470" s="473">
        <f ca="1">IF(OR($BG$2=0,$AR470=""),,IF($AR470="本月合计",IF(ROW()=$BG$3,SUM($F$6:$F469),SUM(INDIRECT("$F$"&amp;OFFSET($AU$3,,MATCH(ROW(),$AU$3:$BF$3,)-2)+2&amp;":$E"&amp;ROW()-1))),IF($AR470="本年累计",SUMIF($AR$6:$AR470,"本月合计",$F$6:$F469),INDEX(凭证录入!K:K,$AR470))))</f>
        <v>0</v>
      </c>
      <c r="G470" s="459" t="str">
        <f t="shared" ref="G470:Q485" ca="1" si="105">LEFT(RIGHT(TEXT($F470/1%," ￥0; ￥-0;"),18-COLUMN()))</f>
        <v/>
      </c>
      <c r="H470" s="460" t="str">
        <f t="shared" ca="1" si="105"/>
        <v/>
      </c>
      <c r="I470" s="460" t="str">
        <f t="shared" ca="1" si="105"/>
        <v/>
      </c>
      <c r="J470" s="460" t="str">
        <f t="shared" ca="1" si="105"/>
        <v/>
      </c>
      <c r="K470" s="460" t="str">
        <f t="shared" ca="1" si="105"/>
        <v/>
      </c>
      <c r="L470" s="460" t="str">
        <f t="shared" ca="1" si="105"/>
        <v/>
      </c>
      <c r="M470" s="460" t="str">
        <f t="shared" ca="1" si="105"/>
        <v/>
      </c>
      <c r="N470" s="460" t="str">
        <f t="shared" ca="1" si="105"/>
        <v/>
      </c>
      <c r="O470" s="461" t="str">
        <f t="shared" ca="1" si="105"/>
        <v/>
      </c>
      <c r="P470" s="474" t="str">
        <f t="shared" ca="1" si="105"/>
        <v/>
      </c>
      <c r="Q470" s="475" t="str">
        <f t="shared" ca="1" si="105"/>
        <v/>
      </c>
      <c r="R470" s="476">
        <f ca="1">IF(OR($BG$2=0,$AR470=""),,IF($AR470="本月合计",IF(ROW()=$BG$3,SUM($R$6:$R469),SUM(INDIRECT("$R$"&amp;OFFSET($AU$3,,MATCH(ROW(),$AU$3:$BF$3,)-2)+2&amp;":$R"&amp;ROW()-1))),IF($AR470="本年累计",SUMIF($AR$6:$AR470,"本月合计",$R$6:$R469),INDEX(凭证录入!L:L,$AR470))))</f>
        <v>0</v>
      </c>
      <c r="S470" s="459" t="str">
        <f t="shared" ref="S470:AC485" ca="1" si="106">LEFT(RIGHT(TEXT($R470/1%," ￥0; ￥-0;"),30-COLUMN()))</f>
        <v/>
      </c>
      <c r="T470" s="460" t="str">
        <f t="shared" ca="1" si="106"/>
        <v/>
      </c>
      <c r="U470" s="460" t="str">
        <f t="shared" ca="1" si="106"/>
        <v/>
      </c>
      <c r="V470" s="460" t="str">
        <f t="shared" ca="1" si="106"/>
        <v/>
      </c>
      <c r="W470" s="460" t="str">
        <f t="shared" ca="1" si="106"/>
        <v/>
      </c>
      <c r="X470" s="460" t="str">
        <f t="shared" ca="1" si="106"/>
        <v/>
      </c>
      <c r="Y470" s="460" t="str">
        <f t="shared" ca="1" si="106"/>
        <v/>
      </c>
      <c r="Z470" s="460" t="str">
        <f t="shared" ca="1" si="106"/>
        <v/>
      </c>
      <c r="AA470" s="461" t="str">
        <f t="shared" ca="1" si="106"/>
        <v/>
      </c>
      <c r="AB470" s="474" t="str">
        <f t="shared" ca="1" si="106"/>
        <v/>
      </c>
      <c r="AC470" s="475" t="str">
        <f t="shared" ca="1" si="106"/>
        <v/>
      </c>
      <c r="AD470" s="477" t="str">
        <f t="shared" ca="1" si="102"/>
        <v/>
      </c>
      <c r="AE470" s="478">
        <f t="shared" ca="1" si="103"/>
        <v>0</v>
      </c>
      <c r="AF470" s="459" t="str">
        <f t="shared" ca="1" si="104"/>
        <v/>
      </c>
      <c r="AG470" s="460" t="str">
        <f t="shared" ca="1" si="104"/>
        <v/>
      </c>
      <c r="AH470" s="460" t="str">
        <f t="shared" ca="1" si="104"/>
        <v/>
      </c>
      <c r="AI470" s="460" t="str">
        <f t="shared" ca="1" si="104"/>
        <v/>
      </c>
      <c r="AJ470" s="460" t="str">
        <f t="shared" ca="1" si="104"/>
        <v/>
      </c>
      <c r="AK470" s="460" t="str">
        <f t="shared" ca="1" si="104"/>
        <v/>
      </c>
      <c r="AL470" s="460" t="str">
        <f t="shared" ca="1" si="104"/>
        <v/>
      </c>
      <c r="AM470" s="460" t="str">
        <f t="shared" ca="1" si="104"/>
        <v/>
      </c>
      <c r="AN470" s="461" t="str">
        <f t="shared" ca="1" si="104"/>
        <v/>
      </c>
      <c r="AO470" s="474" t="str">
        <f t="shared" ca="1" si="104"/>
        <v/>
      </c>
      <c r="AP470" s="475" t="str">
        <f t="shared" ca="1" si="104"/>
        <v/>
      </c>
      <c r="AQ470" s="479" t="str">
        <f t="array" aca="1" ref="AQ470" ca="1">IF(ROW()-5&lt;=COUNTIF(科目编号,$AR$2),SMALL(IF(科目编号=$AR$2,ROW(科目编号),""),ROW()-5),"")</f>
        <v/>
      </c>
      <c r="AR470" s="480" t="str">
        <f ca="1">IF($BG$2=0,"",IF(AR469="本月合计","本年累计",IF(OR(ROW()=$AU$3,ROW()=$AV$3,ROW()=$AW$3,ROW()=$AX$3,ROW()=$AY$3,ROW()=$AZ$3,ROW()=$BA$3,ROW()=$BB$3,ROW()=$BC$3,ROW()=$BD$3,ROW()=$BE$3,ROW()=$BF$3),"本月合计",IF(ROW()&lt;7,$AQ$6,OFFSET($AQ$6,COUNT($AR$6:AR469),0)))))</f>
        <v/>
      </c>
    </row>
    <row r="471" spans="1:44">
      <c r="A471" s="469" t="str">
        <f ca="1">IFERROR(INDEX(凭证录入!A:A,$AR471),"")</f>
        <v/>
      </c>
      <c r="B471" s="469" t="str">
        <f ca="1">IFERROR(INDEX(凭证录入!B:B,$AR471),"")</f>
        <v/>
      </c>
      <c r="C471" s="470" t="str">
        <f ca="1">IFERROR(INDEX(凭证录入!G:G,$AR471),"")</f>
        <v/>
      </c>
      <c r="D471" s="471" t="str">
        <f ca="1">IFERROR(INDEX(凭证录入!F:F,$AR471),"")</f>
        <v/>
      </c>
      <c r="E471" s="472" t="str">
        <f ca="1">IFERROR(INDEX(凭证录入!H:H,$AR471),$AR471)</f>
        <v/>
      </c>
      <c r="F471" s="473">
        <f ca="1">IF(OR($BG$2=0,$AR471=""),,IF($AR471="本月合计",IF(ROW()=$BG$3,SUM($F$6:$F470),SUM(INDIRECT("$F$"&amp;OFFSET($AU$3,,MATCH(ROW(),$AU$3:$BF$3,)-2)+2&amp;":$E"&amp;ROW()-1))),IF($AR471="本年累计",SUMIF($AR$6:$AR471,"本月合计",$F$6:$F470),INDEX(凭证录入!K:K,$AR471))))</f>
        <v>0</v>
      </c>
      <c r="G471" s="459" t="str">
        <f t="shared" ca="1" si="105"/>
        <v/>
      </c>
      <c r="H471" s="460" t="str">
        <f t="shared" ca="1" si="105"/>
        <v/>
      </c>
      <c r="I471" s="460" t="str">
        <f t="shared" ca="1" si="105"/>
        <v/>
      </c>
      <c r="J471" s="460" t="str">
        <f t="shared" ca="1" si="105"/>
        <v/>
      </c>
      <c r="K471" s="460" t="str">
        <f t="shared" ca="1" si="105"/>
        <v/>
      </c>
      <c r="L471" s="460" t="str">
        <f t="shared" ca="1" si="105"/>
        <v/>
      </c>
      <c r="M471" s="460" t="str">
        <f t="shared" ca="1" si="105"/>
        <v/>
      </c>
      <c r="N471" s="460" t="str">
        <f t="shared" ca="1" si="105"/>
        <v/>
      </c>
      <c r="O471" s="461" t="str">
        <f t="shared" ca="1" si="105"/>
        <v/>
      </c>
      <c r="P471" s="474" t="str">
        <f t="shared" ca="1" si="105"/>
        <v/>
      </c>
      <c r="Q471" s="475" t="str">
        <f t="shared" ca="1" si="105"/>
        <v/>
      </c>
      <c r="R471" s="476">
        <f ca="1">IF(OR($BG$2=0,$AR471=""),,IF($AR471="本月合计",IF(ROW()=$BG$3,SUM($R$6:$R470),SUM(INDIRECT("$R$"&amp;OFFSET($AU$3,,MATCH(ROW(),$AU$3:$BF$3,)-2)+2&amp;":$R"&amp;ROW()-1))),IF($AR471="本年累计",SUMIF($AR$6:$AR471,"本月合计",$R$6:$R470),INDEX(凭证录入!L:L,$AR471))))</f>
        <v>0</v>
      </c>
      <c r="S471" s="459" t="str">
        <f t="shared" ca="1" si="106"/>
        <v/>
      </c>
      <c r="T471" s="460" t="str">
        <f t="shared" ca="1" si="106"/>
        <v/>
      </c>
      <c r="U471" s="460" t="str">
        <f t="shared" ca="1" si="106"/>
        <v/>
      </c>
      <c r="V471" s="460" t="str">
        <f t="shared" ca="1" si="106"/>
        <v/>
      </c>
      <c r="W471" s="460" t="str">
        <f t="shared" ca="1" si="106"/>
        <v/>
      </c>
      <c r="X471" s="460" t="str">
        <f t="shared" ca="1" si="106"/>
        <v/>
      </c>
      <c r="Y471" s="460" t="str">
        <f t="shared" ca="1" si="106"/>
        <v/>
      </c>
      <c r="Z471" s="460" t="str">
        <f t="shared" ca="1" si="106"/>
        <v/>
      </c>
      <c r="AA471" s="461" t="str">
        <f t="shared" ca="1" si="106"/>
        <v/>
      </c>
      <c r="AB471" s="474" t="str">
        <f t="shared" ca="1" si="106"/>
        <v/>
      </c>
      <c r="AC471" s="475" t="str">
        <f t="shared" ca="1" si="106"/>
        <v/>
      </c>
      <c r="AD471" s="477" t="str">
        <f t="shared" ca="1" si="102"/>
        <v/>
      </c>
      <c r="AE471" s="478">
        <f t="shared" ca="1" si="103"/>
        <v>0</v>
      </c>
      <c r="AF471" s="459" t="str">
        <f t="shared" ca="1" si="104"/>
        <v/>
      </c>
      <c r="AG471" s="460" t="str">
        <f t="shared" ca="1" si="104"/>
        <v/>
      </c>
      <c r="AH471" s="460" t="str">
        <f t="shared" ca="1" si="104"/>
        <v/>
      </c>
      <c r="AI471" s="460" t="str">
        <f t="shared" ca="1" si="104"/>
        <v/>
      </c>
      <c r="AJ471" s="460" t="str">
        <f t="shared" ca="1" si="104"/>
        <v/>
      </c>
      <c r="AK471" s="460" t="str">
        <f t="shared" ca="1" si="104"/>
        <v/>
      </c>
      <c r="AL471" s="460" t="str">
        <f t="shared" ca="1" si="104"/>
        <v/>
      </c>
      <c r="AM471" s="460" t="str">
        <f t="shared" ca="1" si="104"/>
        <v/>
      </c>
      <c r="AN471" s="461" t="str">
        <f t="shared" ca="1" si="104"/>
        <v/>
      </c>
      <c r="AO471" s="474" t="str">
        <f t="shared" ca="1" si="104"/>
        <v/>
      </c>
      <c r="AP471" s="475" t="str">
        <f t="shared" ca="1" si="104"/>
        <v/>
      </c>
      <c r="AQ471" s="479" t="str">
        <f t="array" aca="1" ref="AQ471" ca="1">IF(ROW()-5&lt;=COUNTIF(科目编号,$AR$2),SMALL(IF(科目编号=$AR$2,ROW(科目编号),""),ROW()-5),"")</f>
        <v/>
      </c>
      <c r="AR471" s="480" t="str">
        <f ca="1">IF($BG$2=0,"",IF(AR470="本月合计","本年累计",IF(OR(ROW()=$AU$3,ROW()=$AV$3,ROW()=$AW$3,ROW()=$AX$3,ROW()=$AY$3,ROW()=$AZ$3,ROW()=$BA$3,ROW()=$BB$3,ROW()=$BC$3,ROW()=$BD$3,ROW()=$BE$3,ROW()=$BF$3),"本月合计",IF(ROW()&lt;7,$AQ$6,OFFSET($AQ$6,COUNT($AR$6:AR470),0)))))</f>
        <v/>
      </c>
    </row>
    <row r="472" spans="1:44">
      <c r="A472" s="469" t="str">
        <f ca="1">IFERROR(INDEX(凭证录入!A:A,$AR472),"")</f>
        <v/>
      </c>
      <c r="B472" s="469" t="str">
        <f ca="1">IFERROR(INDEX(凭证录入!B:B,$AR472),"")</f>
        <v/>
      </c>
      <c r="C472" s="470" t="str">
        <f ca="1">IFERROR(INDEX(凭证录入!G:G,$AR472),"")</f>
        <v/>
      </c>
      <c r="D472" s="471" t="str">
        <f ca="1">IFERROR(INDEX(凭证录入!F:F,$AR472),"")</f>
        <v/>
      </c>
      <c r="E472" s="472" t="str">
        <f ca="1">IFERROR(INDEX(凭证录入!H:H,$AR472),$AR472)</f>
        <v/>
      </c>
      <c r="F472" s="473">
        <f ca="1">IF(OR($BG$2=0,$AR472=""),,IF($AR472="本月合计",IF(ROW()=$BG$3,SUM($F$6:$F471),SUM(INDIRECT("$F$"&amp;OFFSET($AU$3,,MATCH(ROW(),$AU$3:$BF$3,)-2)+2&amp;":$E"&amp;ROW()-1))),IF($AR472="本年累计",SUMIF($AR$6:$AR472,"本月合计",$F$6:$F471),INDEX(凭证录入!K:K,$AR472))))</f>
        <v>0</v>
      </c>
      <c r="G472" s="459" t="str">
        <f t="shared" ca="1" si="105"/>
        <v/>
      </c>
      <c r="H472" s="460" t="str">
        <f t="shared" ca="1" si="105"/>
        <v/>
      </c>
      <c r="I472" s="460" t="str">
        <f t="shared" ca="1" si="105"/>
        <v/>
      </c>
      <c r="J472" s="460" t="str">
        <f t="shared" ca="1" si="105"/>
        <v/>
      </c>
      <c r="K472" s="460" t="str">
        <f t="shared" ca="1" si="105"/>
        <v/>
      </c>
      <c r="L472" s="460" t="str">
        <f t="shared" ca="1" si="105"/>
        <v/>
      </c>
      <c r="M472" s="460" t="str">
        <f t="shared" ca="1" si="105"/>
        <v/>
      </c>
      <c r="N472" s="460" t="str">
        <f t="shared" ca="1" si="105"/>
        <v/>
      </c>
      <c r="O472" s="461" t="str">
        <f t="shared" ca="1" si="105"/>
        <v/>
      </c>
      <c r="P472" s="474" t="str">
        <f t="shared" ca="1" si="105"/>
        <v/>
      </c>
      <c r="Q472" s="475" t="str">
        <f t="shared" ca="1" si="105"/>
        <v/>
      </c>
      <c r="R472" s="476">
        <f ca="1">IF(OR($BG$2=0,$AR472=""),,IF($AR472="本月合计",IF(ROW()=$BG$3,SUM($R$6:$R471),SUM(INDIRECT("$R$"&amp;OFFSET($AU$3,,MATCH(ROW(),$AU$3:$BF$3,)-2)+2&amp;":$R"&amp;ROW()-1))),IF($AR472="本年累计",SUMIF($AR$6:$AR472,"本月合计",$R$6:$R471),INDEX(凭证录入!L:L,$AR472))))</f>
        <v>0</v>
      </c>
      <c r="S472" s="459" t="str">
        <f t="shared" ca="1" si="106"/>
        <v/>
      </c>
      <c r="T472" s="460" t="str">
        <f t="shared" ca="1" si="106"/>
        <v/>
      </c>
      <c r="U472" s="460" t="str">
        <f t="shared" ca="1" si="106"/>
        <v/>
      </c>
      <c r="V472" s="460" t="str">
        <f t="shared" ca="1" si="106"/>
        <v/>
      </c>
      <c r="W472" s="460" t="str">
        <f t="shared" ca="1" si="106"/>
        <v/>
      </c>
      <c r="X472" s="460" t="str">
        <f t="shared" ca="1" si="106"/>
        <v/>
      </c>
      <c r="Y472" s="460" t="str">
        <f t="shared" ca="1" si="106"/>
        <v/>
      </c>
      <c r="Z472" s="460" t="str">
        <f t="shared" ca="1" si="106"/>
        <v/>
      </c>
      <c r="AA472" s="461" t="str">
        <f t="shared" ca="1" si="106"/>
        <v/>
      </c>
      <c r="AB472" s="474" t="str">
        <f t="shared" ca="1" si="106"/>
        <v/>
      </c>
      <c r="AC472" s="475" t="str">
        <f t="shared" ca="1" si="106"/>
        <v/>
      </c>
      <c r="AD472" s="477" t="str">
        <f t="shared" ca="1" si="102"/>
        <v/>
      </c>
      <c r="AE472" s="478">
        <f t="shared" ca="1" si="103"/>
        <v>0</v>
      </c>
      <c r="AF472" s="459" t="str">
        <f t="shared" ca="1" si="104"/>
        <v/>
      </c>
      <c r="AG472" s="460" t="str">
        <f t="shared" ca="1" si="104"/>
        <v/>
      </c>
      <c r="AH472" s="460" t="str">
        <f t="shared" ca="1" si="104"/>
        <v/>
      </c>
      <c r="AI472" s="460" t="str">
        <f t="shared" ca="1" si="104"/>
        <v/>
      </c>
      <c r="AJ472" s="460" t="str">
        <f t="shared" ca="1" si="104"/>
        <v/>
      </c>
      <c r="AK472" s="460" t="str">
        <f t="shared" ca="1" si="104"/>
        <v/>
      </c>
      <c r="AL472" s="460" t="str">
        <f t="shared" ca="1" si="104"/>
        <v/>
      </c>
      <c r="AM472" s="460" t="str">
        <f t="shared" ca="1" si="104"/>
        <v/>
      </c>
      <c r="AN472" s="461" t="str">
        <f t="shared" ca="1" si="104"/>
        <v/>
      </c>
      <c r="AO472" s="474" t="str">
        <f t="shared" ca="1" si="104"/>
        <v/>
      </c>
      <c r="AP472" s="475" t="str">
        <f t="shared" ca="1" si="104"/>
        <v/>
      </c>
      <c r="AQ472" s="479" t="str">
        <f t="array" aca="1" ref="AQ472" ca="1">IF(ROW()-5&lt;=COUNTIF(科目编号,$AR$2),SMALL(IF(科目编号=$AR$2,ROW(科目编号),""),ROW()-5),"")</f>
        <v/>
      </c>
      <c r="AR472" s="480" t="str">
        <f ca="1">IF($BG$2=0,"",IF(AR471="本月合计","本年累计",IF(OR(ROW()=$AU$3,ROW()=$AV$3,ROW()=$AW$3,ROW()=$AX$3,ROW()=$AY$3,ROW()=$AZ$3,ROW()=$BA$3,ROW()=$BB$3,ROW()=$BC$3,ROW()=$BD$3,ROW()=$BE$3,ROW()=$BF$3),"本月合计",IF(ROW()&lt;7,$AQ$6,OFFSET($AQ$6,COUNT($AR$6:AR471),0)))))</f>
        <v/>
      </c>
    </row>
    <row r="473" spans="1:44">
      <c r="A473" s="469" t="str">
        <f ca="1">IFERROR(INDEX(凭证录入!A:A,$AR473),"")</f>
        <v/>
      </c>
      <c r="B473" s="469" t="str">
        <f ca="1">IFERROR(INDEX(凭证录入!B:B,$AR473),"")</f>
        <v/>
      </c>
      <c r="C473" s="470" t="str">
        <f ca="1">IFERROR(INDEX(凭证录入!G:G,$AR473),"")</f>
        <v/>
      </c>
      <c r="D473" s="471" t="str">
        <f ca="1">IFERROR(INDEX(凭证录入!F:F,$AR473),"")</f>
        <v/>
      </c>
      <c r="E473" s="472" t="str">
        <f ca="1">IFERROR(INDEX(凭证录入!H:H,$AR473),$AR473)</f>
        <v/>
      </c>
      <c r="F473" s="473">
        <f ca="1">IF(OR($BG$2=0,$AR473=""),,IF($AR473="本月合计",IF(ROW()=$BG$3,SUM($F$6:$F472),SUM(INDIRECT("$F$"&amp;OFFSET($AU$3,,MATCH(ROW(),$AU$3:$BF$3,)-2)+2&amp;":$E"&amp;ROW()-1))),IF($AR473="本年累计",SUMIF($AR$6:$AR473,"本月合计",$F$6:$F472),INDEX(凭证录入!K:K,$AR473))))</f>
        <v>0</v>
      </c>
      <c r="G473" s="459" t="str">
        <f t="shared" ca="1" si="105"/>
        <v/>
      </c>
      <c r="H473" s="460" t="str">
        <f t="shared" ca="1" si="105"/>
        <v/>
      </c>
      <c r="I473" s="460" t="str">
        <f t="shared" ca="1" si="105"/>
        <v/>
      </c>
      <c r="J473" s="460" t="str">
        <f t="shared" ca="1" si="105"/>
        <v/>
      </c>
      <c r="K473" s="460" t="str">
        <f t="shared" ca="1" si="105"/>
        <v/>
      </c>
      <c r="L473" s="460" t="str">
        <f t="shared" ca="1" si="105"/>
        <v/>
      </c>
      <c r="M473" s="460" t="str">
        <f t="shared" ca="1" si="105"/>
        <v/>
      </c>
      <c r="N473" s="460" t="str">
        <f t="shared" ca="1" si="105"/>
        <v/>
      </c>
      <c r="O473" s="461" t="str">
        <f t="shared" ca="1" si="105"/>
        <v/>
      </c>
      <c r="P473" s="474" t="str">
        <f t="shared" ca="1" si="105"/>
        <v/>
      </c>
      <c r="Q473" s="475" t="str">
        <f t="shared" ca="1" si="105"/>
        <v/>
      </c>
      <c r="R473" s="476">
        <f ca="1">IF(OR($BG$2=0,$AR473=""),,IF($AR473="本月合计",IF(ROW()=$BG$3,SUM($R$6:$R472),SUM(INDIRECT("$R$"&amp;OFFSET($AU$3,,MATCH(ROW(),$AU$3:$BF$3,)-2)+2&amp;":$R"&amp;ROW()-1))),IF($AR473="本年累计",SUMIF($AR$6:$AR473,"本月合计",$R$6:$R472),INDEX(凭证录入!L:L,$AR473))))</f>
        <v>0</v>
      </c>
      <c r="S473" s="459" t="str">
        <f t="shared" ca="1" si="106"/>
        <v/>
      </c>
      <c r="T473" s="460" t="str">
        <f t="shared" ca="1" si="106"/>
        <v/>
      </c>
      <c r="U473" s="460" t="str">
        <f t="shared" ca="1" si="106"/>
        <v/>
      </c>
      <c r="V473" s="460" t="str">
        <f t="shared" ca="1" si="106"/>
        <v/>
      </c>
      <c r="W473" s="460" t="str">
        <f t="shared" ca="1" si="106"/>
        <v/>
      </c>
      <c r="X473" s="460" t="str">
        <f t="shared" ca="1" si="106"/>
        <v/>
      </c>
      <c r="Y473" s="460" t="str">
        <f t="shared" ca="1" si="106"/>
        <v/>
      </c>
      <c r="Z473" s="460" t="str">
        <f t="shared" ca="1" si="106"/>
        <v/>
      </c>
      <c r="AA473" s="461" t="str">
        <f t="shared" ca="1" si="106"/>
        <v/>
      </c>
      <c r="AB473" s="474" t="str">
        <f t="shared" ca="1" si="106"/>
        <v/>
      </c>
      <c r="AC473" s="475" t="str">
        <f t="shared" ca="1" si="106"/>
        <v/>
      </c>
      <c r="AD473" s="477" t="str">
        <f t="shared" ca="1" si="102"/>
        <v/>
      </c>
      <c r="AE473" s="478">
        <f t="shared" ca="1" si="103"/>
        <v>0</v>
      </c>
      <c r="AF473" s="459" t="str">
        <f t="shared" ca="1" si="104"/>
        <v/>
      </c>
      <c r="AG473" s="460" t="str">
        <f t="shared" ca="1" si="104"/>
        <v/>
      </c>
      <c r="AH473" s="460" t="str">
        <f t="shared" ca="1" si="104"/>
        <v/>
      </c>
      <c r="AI473" s="460" t="str">
        <f t="shared" ca="1" si="104"/>
        <v/>
      </c>
      <c r="AJ473" s="460" t="str">
        <f t="shared" ca="1" si="104"/>
        <v/>
      </c>
      <c r="AK473" s="460" t="str">
        <f t="shared" ca="1" si="104"/>
        <v/>
      </c>
      <c r="AL473" s="460" t="str">
        <f t="shared" ca="1" si="104"/>
        <v/>
      </c>
      <c r="AM473" s="460" t="str">
        <f t="shared" ca="1" si="104"/>
        <v/>
      </c>
      <c r="AN473" s="461" t="str">
        <f t="shared" ca="1" si="104"/>
        <v/>
      </c>
      <c r="AO473" s="474" t="str">
        <f t="shared" ca="1" si="104"/>
        <v/>
      </c>
      <c r="AP473" s="475" t="str">
        <f t="shared" ca="1" si="104"/>
        <v/>
      </c>
      <c r="AQ473" s="479" t="str">
        <f t="array" aca="1" ref="AQ473" ca="1">IF(ROW()-5&lt;=COUNTIF(科目编号,$AR$2),SMALL(IF(科目编号=$AR$2,ROW(科目编号),""),ROW()-5),"")</f>
        <v/>
      </c>
      <c r="AR473" s="480" t="str">
        <f ca="1">IF($BG$2=0,"",IF(AR472="本月合计","本年累计",IF(OR(ROW()=$AU$3,ROW()=$AV$3,ROW()=$AW$3,ROW()=$AX$3,ROW()=$AY$3,ROW()=$AZ$3,ROW()=$BA$3,ROW()=$BB$3,ROW()=$BC$3,ROW()=$BD$3,ROW()=$BE$3,ROW()=$BF$3),"本月合计",IF(ROW()&lt;7,$AQ$6,OFFSET($AQ$6,COUNT($AR$6:AR472),0)))))</f>
        <v/>
      </c>
    </row>
    <row r="474" spans="1:44">
      <c r="A474" s="469" t="str">
        <f ca="1">IFERROR(INDEX(凭证录入!A:A,$AR474),"")</f>
        <v/>
      </c>
      <c r="B474" s="469" t="str">
        <f ca="1">IFERROR(INDEX(凭证录入!B:B,$AR474),"")</f>
        <v/>
      </c>
      <c r="C474" s="470" t="str">
        <f ca="1">IFERROR(INDEX(凭证录入!G:G,$AR474),"")</f>
        <v/>
      </c>
      <c r="D474" s="471" t="str">
        <f ca="1">IFERROR(INDEX(凭证录入!F:F,$AR474),"")</f>
        <v/>
      </c>
      <c r="E474" s="472" t="str">
        <f ca="1">IFERROR(INDEX(凭证录入!H:H,$AR474),$AR474)</f>
        <v/>
      </c>
      <c r="F474" s="473">
        <f ca="1">IF(OR($BG$2=0,$AR474=""),,IF($AR474="本月合计",IF(ROW()=$BG$3,SUM($F$6:$F473),SUM(INDIRECT("$F$"&amp;OFFSET($AU$3,,MATCH(ROW(),$AU$3:$BF$3,)-2)+2&amp;":$E"&amp;ROW()-1))),IF($AR474="本年累计",SUMIF($AR$6:$AR474,"本月合计",$F$6:$F473),INDEX(凭证录入!K:K,$AR474))))</f>
        <v>0</v>
      </c>
      <c r="G474" s="459" t="str">
        <f t="shared" ca="1" si="105"/>
        <v/>
      </c>
      <c r="H474" s="460" t="str">
        <f t="shared" ca="1" si="105"/>
        <v/>
      </c>
      <c r="I474" s="460" t="str">
        <f t="shared" ca="1" si="105"/>
        <v/>
      </c>
      <c r="J474" s="460" t="str">
        <f t="shared" ca="1" si="105"/>
        <v/>
      </c>
      <c r="K474" s="460" t="str">
        <f t="shared" ca="1" si="105"/>
        <v/>
      </c>
      <c r="L474" s="460" t="str">
        <f t="shared" ca="1" si="105"/>
        <v/>
      </c>
      <c r="M474" s="460" t="str">
        <f t="shared" ca="1" si="105"/>
        <v/>
      </c>
      <c r="N474" s="460" t="str">
        <f t="shared" ca="1" si="105"/>
        <v/>
      </c>
      <c r="O474" s="461" t="str">
        <f t="shared" ca="1" si="105"/>
        <v/>
      </c>
      <c r="P474" s="474" t="str">
        <f t="shared" ca="1" si="105"/>
        <v/>
      </c>
      <c r="Q474" s="475" t="str">
        <f t="shared" ca="1" si="105"/>
        <v/>
      </c>
      <c r="R474" s="476">
        <f ca="1">IF(OR($BG$2=0,$AR474=""),,IF($AR474="本月合计",IF(ROW()=$BG$3,SUM($R$6:$R473),SUM(INDIRECT("$R$"&amp;OFFSET($AU$3,,MATCH(ROW(),$AU$3:$BF$3,)-2)+2&amp;":$R"&amp;ROW()-1))),IF($AR474="本年累计",SUMIF($AR$6:$AR474,"本月合计",$R$6:$R473),INDEX(凭证录入!L:L,$AR474))))</f>
        <v>0</v>
      </c>
      <c r="S474" s="459" t="str">
        <f t="shared" ca="1" si="106"/>
        <v/>
      </c>
      <c r="T474" s="460" t="str">
        <f t="shared" ca="1" si="106"/>
        <v/>
      </c>
      <c r="U474" s="460" t="str">
        <f t="shared" ca="1" si="106"/>
        <v/>
      </c>
      <c r="V474" s="460" t="str">
        <f t="shared" ca="1" si="106"/>
        <v/>
      </c>
      <c r="W474" s="460" t="str">
        <f t="shared" ca="1" si="106"/>
        <v/>
      </c>
      <c r="X474" s="460" t="str">
        <f t="shared" ca="1" si="106"/>
        <v/>
      </c>
      <c r="Y474" s="460" t="str">
        <f t="shared" ca="1" si="106"/>
        <v/>
      </c>
      <c r="Z474" s="460" t="str">
        <f t="shared" ca="1" si="106"/>
        <v/>
      </c>
      <c r="AA474" s="461" t="str">
        <f t="shared" ca="1" si="106"/>
        <v/>
      </c>
      <c r="AB474" s="474" t="str">
        <f t="shared" ca="1" si="106"/>
        <v/>
      </c>
      <c r="AC474" s="475" t="str">
        <f t="shared" ca="1" si="106"/>
        <v/>
      </c>
      <c r="AD474" s="477" t="str">
        <f t="shared" ca="1" si="102"/>
        <v/>
      </c>
      <c r="AE474" s="478">
        <f t="shared" ca="1" si="103"/>
        <v>0</v>
      </c>
      <c r="AF474" s="459" t="str">
        <f t="shared" ca="1" si="104"/>
        <v/>
      </c>
      <c r="AG474" s="460" t="str">
        <f t="shared" ca="1" si="104"/>
        <v/>
      </c>
      <c r="AH474" s="460" t="str">
        <f t="shared" ca="1" si="104"/>
        <v/>
      </c>
      <c r="AI474" s="460" t="str">
        <f t="shared" ca="1" si="104"/>
        <v/>
      </c>
      <c r="AJ474" s="460" t="str">
        <f t="shared" ca="1" si="104"/>
        <v/>
      </c>
      <c r="AK474" s="460" t="str">
        <f t="shared" ca="1" si="104"/>
        <v/>
      </c>
      <c r="AL474" s="460" t="str">
        <f t="shared" ca="1" si="104"/>
        <v/>
      </c>
      <c r="AM474" s="460" t="str">
        <f t="shared" ca="1" si="104"/>
        <v/>
      </c>
      <c r="AN474" s="461" t="str">
        <f t="shared" ca="1" si="104"/>
        <v/>
      </c>
      <c r="AO474" s="474" t="str">
        <f t="shared" ca="1" si="104"/>
        <v/>
      </c>
      <c r="AP474" s="475" t="str">
        <f t="shared" ca="1" si="104"/>
        <v/>
      </c>
      <c r="AQ474" s="479" t="str">
        <f t="array" aca="1" ref="AQ474" ca="1">IF(ROW()-5&lt;=COUNTIF(科目编号,$AR$2),SMALL(IF(科目编号=$AR$2,ROW(科目编号),""),ROW()-5),"")</f>
        <v/>
      </c>
      <c r="AR474" s="480" t="str">
        <f ca="1">IF($BG$2=0,"",IF(AR473="本月合计","本年累计",IF(OR(ROW()=$AU$3,ROW()=$AV$3,ROW()=$AW$3,ROW()=$AX$3,ROW()=$AY$3,ROW()=$AZ$3,ROW()=$BA$3,ROW()=$BB$3,ROW()=$BC$3,ROW()=$BD$3,ROW()=$BE$3,ROW()=$BF$3),"本月合计",IF(ROW()&lt;7,$AQ$6,OFFSET($AQ$6,COUNT($AR$6:AR473),0)))))</f>
        <v/>
      </c>
    </row>
    <row r="475" spans="1:44">
      <c r="A475" s="469" t="str">
        <f ca="1">IFERROR(INDEX(凭证录入!A:A,$AR475),"")</f>
        <v/>
      </c>
      <c r="B475" s="469" t="str">
        <f ca="1">IFERROR(INDEX(凭证录入!B:B,$AR475),"")</f>
        <v/>
      </c>
      <c r="C475" s="470" t="str">
        <f ca="1">IFERROR(INDEX(凭证录入!G:G,$AR475),"")</f>
        <v/>
      </c>
      <c r="D475" s="471" t="str">
        <f ca="1">IFERROR(INDEX(凭证录入!F:F,$AR475),"")</f>
        <v/>
      </c>
      <c r="E475" s="472" t="str">
        <f ca="1">IFERROR(INDEX(凭证录入!H:H,$AR475),$AR475)</f>
        <v/>
      </c>
      <c r="F475" s="473">
        <f ca="1">IF(OR($BG$2=0,$AR475=""),,IF($AR475="本月合计",IF(ROW()=$BG$3,SUM($F$6:$F474),SUM(INDIRECT("$F$"&amp;OFFSET($AU$3,,MATCH(ROW(),$AU$3:$BF$3,)-2)+2&amp;":$E"&amp;ROW()-1))),IF($AR475="本年累计",SUMIF($AR$6:$AR475,"本月合计",$F$6:$F474),INDEX(凭证录入!K:K,$AR475))))</f>
        <v>0</v>
      </c>
      <c r="G475" s="459" t="str">
        <f t="shared" ca="1" si="105"/>
        <v/>
      </c>
      <c r="H475" s="460" t="str">
        <f t="shared" ca="1" si="105"/>
        <v/>
      </c>
      <c r="I475" s="460" t="str">
        <f t="shared" ca="1" si="105"/>
        <v/>
      </c>
      <c r="J475" s="460" t="str">
        <f t="shared" ca="1" si="105"/>
        <v/>
      </c>
      <c r="K475" s="460" t="str">
        <f t="shared" ca="1" si="105"/>
        <v/>
      </c>
      <c r="L475" s="460" t="str">
        <f t="shared" ca="1" si="105"/>
        <v/>
      </c>
      <c r="M475" s="460" t="str">
        <f t="shared" ca="1" si="105"/>
        <v/>
      </c>
      <c r="N475" s="460" t="str">
        <f t="shared" ca="1" si="105"/>
        <v/>
      </c>
      <c r="O475" s="461" t="str">
        <f t="shared" ca="1" si="105"/>
        <v/>
      </c>
      <c r="P475" s="474" t="str">
        <f t="shared" ca="1" si="105"/>
        <v/>
      </c>
      <c r="Q475" s="475" t="str">
        <f t="shared" ca="1" si="105"/>
        <v/>
      </c>
      <c r="R475" s="476">
        <f ca="1">IF(OR($BG$2=0,$AR475=""),,IF($AR475="本月合计",IF(ROW()=$BG$3,SUM($R$6:$R474),SUM(INDIRECT("$R$"&amp;OFFSET($AU$3,,MATCH(ROW(),$AU$3:$BF$3,)-2)+2&amp;":$R"&amp;ROW()-1))),IF($AR475="本年累计",SUMIF($AR$6:$AR475,"本月合计",$R$6:$R474),INDEX(凭证录入!L:L,$AR475))))</f>
        <v>0</v>
      </c>
      <c r="S475" s="459" t="str">
        <f t="shared" ca="1" si="106"/>
        <v/>
      </c>
      <c r="T475" s="460" t="str">
        <f t="shared" ca="1" si="106"/>
        <v/>
      </c>
      <c r="U475" s="460" t="str">
        <f t="shared" ca="1" si="106"/>
        <v/>
      </c>
      <c r="V475" s="460" t="str">
        <f t="shared" ca="1" si="106"/>
        <v/>
      </c>
      <c r="W475" s="460" t="str">
        <f t="shared" ca="1" si="106"/>
        <v/>
      </c>
      <c r="X475" s="460" t="str">
        <f t="shared" ca="1" si="106"/>
        <v/>
      </c>
      <c r="Y475" s="460" t="str">
        <f t="shared" ca="1" si="106"/>
        <v/>
      </c>
      <c r="Z475" s="460" t="str">
        <f t="shared" ca="1" si="106"/>
        <v/>
      </c>
      <c r="AA475" s="461" t="str">
        <f t="shared" ca="1" si="106"/>
        <v/>
      </c>
      <c r="AB475" s="474" t="str">
        <f t="shared" ca="1" si="106"/>
        <v/>
      </c>
      <c r="AC475" s="475" t="str">
        <f t="shared" ca="1" si="106"/>
        <v/>
      </c>
      <c r="AD475" s="477" t="str">
        <f t="shared" ca="1" si="102"/>
        <v/>
      </c>
      <c r="AE475" s="478">
        <f t="shared" ca="1" si="103"/>
        <v>0</v>
      </c>
      <c r="AF475" s="459" t="str">
        <f t="shared" ca="1" si="104"/>
        <v/>
      </c>
      <c r="AG475" s="460" t="str">
        <f t="shared" ca="1" si="104"/>
        <v/>
      </c>
      <c r="AH475" s="460" t="str">
        <f t="shared" ca="1" si="104"/>
        <v/>
      </c>
      <c r="AI475" s="460" t="str">
        <f t="shared" ca="1" si="104"/>
        <v/>
      </c>
      <c r="AJ475" s="460" t="str">
        <f t="shared" ca="1" si="104"/>
        <v/>
      </c>
      <c r="AK475" s="460" t="str">
        <f t="shared" ca="1" si="104"/>
        <v/>
      </c>
      <c r="AL475" s="460" t="str">
        <f t="shared" ca="1" si="104"/>
        <v/>
      </c>
      <c r="AM475" s="460" t="str">
        <f t="shared" ca="1" si="104"/>
        <v/>
      </c>
      <c r="AN475" s="461" t="str">
        <f t="shared" ca="1" si="104"/>
        <v/>
      </c>
      <c r="AO475" s="474" t="str">
        <f t="shared" ca="1" si="104"/>
        <v/>
      </c>
      <c r="AP475" s="475" t="str">
        <f t="shared" ca="1" si="104"/>
        <v/>
      </c>
      <c r="AQ475" s="479" t="str">
        <f t="array" aca="1" ref="AQ475" ca="1">IF(ROW()-5&lt;=COUNTIF(科目编号,$AR$2),SMALL(IF(科目编号=$AR$2,ROW(科目编号),""),ROW()-5),"")</f>
        <v/>
      </c>
      <c r="AR475" s="480" t="str">
        <f ca="1">IF($BG$2=0,"",IF(AR474="本月合计","本年累计",IF(OR(ROW()=$AU$3,ROW()=$AV$3,ROW()=$AW$3,ROW()=$AX$3,ROW()=$AY$3,ROW()=$AZ$3,ROW()=$BA$3,ROW()=$BB$3,ROW()=$BC$3,ROW()=$BD$3,ROW()=$BE$3,ROW()=$BF$3),"本月合计",IF(ROW()&lt;7,$AQ$6,OFFSET($AQ$6,COUNT($AR$6:AR474),0)))))</f>
        <v/>
      </c>
    </row>
    <row r="476" spans="1:44">
      <c r="A476" s="469" t="str">
        <f ca="1">IFERROR(INDEX(凭证录入!A:A,$AR476),"")</f>
        <v/>
      </c>
      <c r="B476" s="469" t="str">
        <f ca="1">IFERROR(INDEX(凭证录入!B:B,$AR476),"")</f>
        <v/>
      </c>
      <c r="C476" s="470" t="str">
        <f ca="1">IFERROR(INDEX(凭证录入!G:G,$AR476),"")</f>
        <v/>
      </c>
      <c r="D476" s="471" t="str">
        <f ca="1">IFERROR(INDEX(凭证录入!F:F,$AR476),"")</f>
        <v/>
      </c>
      <c r="E476" s="472" t="str">
        <f ca="1">IFERROR(INDEX(凭证录入!H:H,$AR476),$AR476)</f>
        <v/>
      </c>
      <c r="F476" s="473">
        <f ca="1">IF(OR($BG$2=0,$AR476=""),,IF($AR476="本月合计",IF(ROW()=$BG$3,SUM($F$6:$F475),SUM(INDIRECT("$F$"&amp;OFFSET($AU$3,,MATCH(ROW(),$AU$3:$BF$3,)-2)+2&amp;":$E"&amp;ROW()-1))),IF($AR476="本年累计",SUMIF($AR$6:$AR476,"本月合计",$F$6:$F475),INDEX(凭证录入!K:K,$AR476))))</f>
        <v>0</v>
      </c>
      <c r="G476" s="459" t="str">
        <f t="shared" ca="1" si="105"/>
        <v/>
      </c>
      <c r="H476" s="460" t="str">
        <f t="shared" ca="1" si="105"/>
        <v/>
      </c>
      <c r="I476" s="460" t="str">
        <f t="shared" ca="1" si="105"/>
        <v/>
      </c>
      <c r="J476" s="460" t="str">
        <f t="shared" ca="1" si="105"/>
        <v/>
      </c>
      <c r="K476" s="460" t="str">
        <f t="shared" ca="1" si="105"/>
        <v/>
      </c>
      <c r="L476" s="460" t="str">
        <f t="shared" ca="1" si="105"/>
        <v/>
      </c>
      <c r="M476" s="460" t="str">
        <f t="shared" ca="1" si="105"/>
        <v/>
      </c>
      <c r="N476" s="460" t="str">
        <f t="shared" ca="1" si="105"/>
        <v/>
      </c>
      <c r="O476" s="461" t="str">
        <f t="shared" ca="1" si="105"/>
        <v/>
      </c>
      <c r="P476" s="474" t="str">
        <f t="shared" ca="1" si="105"/>
        <v/>
      </c>
      <c r="Q476" s="475" t="str">
        <f t="shared" ca="1" si="105"/>
        <v/>
      </c>
      <c r="R476" s="476">
        <f ca="1">IF(OR($BG$2=0,$AR476=""),,IF($AR476="本月合计",IF(ROW()=$BG$3,SUM($R$6:$R475),SUM(INDIRECT("$R$"&amp;OFFSET($AU$3,,MATCH(ROW(),$AU$3:$BF$3,)-2)+2&amp;":$R"&amp;ROW()-1))),IF($AR476="本年累计",SUMIF($AR$6:$AR476,"本月合计",$R$6:$R475),INDEX(凭证录入!L:L,$AR476))))</f>
        <v>0</v>
      </c>
      <c r="S476" s="459" t="str">
        <f t="shared" ca="1" si="106"/>
        <v/>
      </c>
      <c r="T476" s="460" t="str">
        <f t="shared" ca="1" si="106"/>
        <v/>
      </c>
      <c r="U476" s="460" t="str">
        <f t="shared" ca="1" si="106"/>
        <v/>
      </c>
      <c r="V476" s="460" t="str">
        <f t="shared" ca="1" si="106"/>
        <v/>
      </c>
      <c r="W476" s="460" t="str">
        <f t="shared" ca="1" si="106"/>
        <v/>
      </c>
      <c r="X476" s="460" t="str">
        <f t="shared" ca="1" si="106"/>
        <v/>
      </c>
      <c r="Y476" s="460" t="str">
        <f t="shared" ca="1" si="106"/>
        <v/>
      </c>
      <c r="Z476" s="460" t="str">
        <f t="shared" ca="1" si="106"/>
        <v/>
      </c>
      <c r="AA476" s="461" t="str">
        <f t="shared" ca="1" si="106"/>
        <v/>
      </c>
      <c r="AB476" s="474" t="str">
        <f t="shared" ca="1" si="106"/>
        <v/>
      </c>
      <c r="AC476" s="475" t="str">
        <f t="shared" ca="1" si="106"/>
        <v/>
      </c>
      <c r="AD476" s="477" t="str">
        <f t="shared" ca="1" si="102"/>
        <v/>
      </c>
      <c r="AE476" s="478">
        <f t="shared" ca="1" si="103"/>
        <v>0</v>
      </c>
      <c r="AF476" s="459" t="str">
        <f t="shared" ca="1" si="104"/>
        <v/>
      </c>
      <c r="AG476" s="460" t="str">
        <f t="shared" ca="1" si="104"/>
        <v/>
      </c>
      <c r="AH476" s="460" t="str">
        <f t="shared" ca="1" si="104"/>
        <v/>
      </c>
      <c r="AI476" s="460" t="str">
        <f t="shared" ca="1" si="104"/>
        <v/>
      </c>
      <c r="AJ476" s="460" t="str">
        <f t="shared" ca="1" si="104"/>
        <v/>
      </c>
      <c r="AK476" s="460" t="str">
        <f t="shared" ca="1" si="104"/>
        <v/>
      </c>
      <c r="AL476" s="460" t="str">
        <f t="shared" ca="1" si="104"/>
        <v/>
      </c>
      <c r="AM476" s="460" t="str">
        <f t="shared" ca="1" si="104"/>
        <v/>
      </c>
      <c r="AN476" s="461" t="str">
        <f t="shared" ca="1" si="104"/>
        <v/>
      </c>
      <c r="AO476" s="474" t="str">
        <f t="shared" ca="1" si="104"/>
        <v/>
      </c>
      <c r="AP476" s="475" t="str">
        <f t="shared" ca="1" si="104"/>
        <v/>
      </c>
      <c r="AQ476" s="479" t="str">
        <f t="array" aca="1" ref="AQ476" ca="1">IF(ROW()-5&lt;=COUNTIF(科目编号,$AR$2),SMALL(IF(科目编号=$AR$2,ROW(科目编号),""),ROW()-5),"")</f>
        <v/>
      </c>
      <c r="AR476" s="480" t="str">
        <f ca="1">IF($BG$2=0,"",IF(AR475="本月合计","本年累计",IF(OR(ROW()=$AU$3,ROW()=$AV$3,ROW()=$AW$3,ROW()=$AX$3,ROW()=$AY$3,ROW()=$AZ$3,ROW()=$BA$3,ROW()=$BB$3,ROW()=$BC$3,ROW()=$BD$3,ROW()=$BE$3,ROW()=$BF$3),"本月合计",IF(ROW()&lt;7,$AQ$6,OFFSET($AQ$6,COUNT($AR$6:AR475),0)))))</f>
        <v/>
      </c>
    </row>
    <row r="477" spans="1:44">
      <c r="A477" s="469" t="str">
        <f ca="1">IFERROR(INDEX(凭证录入!A:A,$AR477),"")</f>
        <v/>
      </c>
      <c r="B477" s="469" t="str">
        <f ca="1">IFERROR(INDEX(凭证录入!B:B,$AR477),"")</f>
        <v/>
      </c>
      <c r="C477" s="470" t="str">
        <f ca="1">IFERROR(INDEX(凭证录入!G:G,$AR477),"")</f>
        <v/>
      </c>
      <c r="D477" s="471" t="str">
        <f ca="1">IFERROR(INDEX(凭证录入!F:F,$AR477),"")</f>
        <v/>
      </c>
      <c r="E477" s="472" t="str">
        <f ca="1">IFERROR(INDEX(凭证录入!H:H,$AR477),$AR477)</f>
        <v/>
      </c>
      <c r="F477" s="473">
        <f ca="1">IF(OR($BG$2=0,$AR477=""),,IF($AR477="本月合计",IF(ROW()=$BG$3,SUM($F$6:$F476),SUM(INDIRECT("$F$"&amp;OFFSET($AU$3,,MATCH(ROW(),$AU$3:$BF$3,)-2)+2&amp;":$E"&amp;ROW()-1))),IF($AR477="本年累计",SUMIF($AR$6:$AR477,"本月合计",$F$6:$F476),INDEX(凭证录入!K:K,$AR477))))</f>
        <v>0</v>
      </c>
      <c r="G477" s="459" t="str">
        <f t="shared" ca="1" si="105"/>
        <v/>
      </c>
      <c r="H477" s="460" t="str">
        <f t="shared" ca="1" si="105"/>
        <v/>
      </c>
      <c r="I477" s="460" t="str">
        <f t="shared" ca="1" si="105"/>
        <v/>
      </c>
      <c r="J477" s="460" t="str">
        <f t="shared" ca="1" si="105"/>
        <v/>
      </c>
      <c r="K477" s="460" t="str">
        <f t="shared" ca="1" si="105"/>
        <v/>
      </c>
      <c r="L477" s="460" t="str">
        <f t="shared" ca="1" si="105"/>
        <v/>
      </c>
      <c r="M477" s="460" t="str">
        <f t="shared" ca="1" si="105"/>
        <v/>
      </c>
      <c r="N477" s="460" t="str">
        <f t="shared" ca="1" si="105"/>
        <v/>
      </c>
      <c r="O477" s="461" t="str">
        <f t="shared" ca="1" si="105"/>
        <v/>
      </c>
      <c r="P477" s="474" t="str">
        <f t="shared" ca="1" si="105"/>
        <v/>
      </c>
      <c r="Q477" s="475" t="str">
        <f t="shared" ca="1" si="105"/>
        <v/>
      </c>
      <c r="R477" s="476">
        <f ca="1">IF(OR($BG$2=0,$AR477=""),,IF($AR477="本月合计",IF(ROW()=$BG$3,SUM($R$6:$R476),SUM(INDIRECT("$R$"&amp;OFFSET($AU$3,,MATCH(ROW(),$AU$3:$BF$3,)-2)+2&amp;":$R"&amp;ROW()-1))),IF($AR477="本年累计",SUMIF($AR$6:$AR477,"本月合计",$R$6:$R476),INDEX(凭证录入!L:L,$AR477))))</f>
        <v>0</v>
      </c>
      <c r="S477" s="459" t="str">
        <f t="shared" ca="1" si="106"/>
        <v/>
      </c>
      <c r="T477" s="460" t="str">
        <f t="shared" ca="1" si="106"/>
        <v/>
      </c>
      <c r="U477" s="460" t="str">
        <f t="shared" ca="1" si="106"/>
        <v/>
      </c>
      <c r="V477" s="460" t="str">
        <f t="shared" ca="1" si="106"/>
        <v/>
      </c>
      <c r="W477" s="460" t="str">
        <f t="shared" ca="1" si="106"/>
        <v/>
      </c>
      <c r="X477" s="460" t="str">
        <f t="shared" ca="1" si="106"/>
        <v/>
      </c>
      <c r="Y477" s="460" t="str">
        <f t="shared" ca="1" si="106"/>
        <v/>
      </c>
      <c r="Z477" s="460" t="str">
        <f t="shared" ca="1" si="106"/>
        <v/>
      </c>
      <c r="AA477" s="461" t="str">
        <f t="shared" ca="1" si="106"/>
        <v/>
      </c>
      <c r="AB477" s="474" t="str">
        <f t="shared" ca="1" si="106"/>
        <v/>
      </c>
      <c r="AC477" s="475" t="str">
        <f t="shared" ca="1" si="106"/>
        <v/>
      </c>
      <c r="AD477" s="477" t="str">
        <f t="shared" ca="1" si="102"/>
        <v/>
      </c>
      <c r="AE477" s="478">
        <f t="shared" ca="1" si="103"/>
        <v>0</v>
      </c>
      <c r="AF477" s="459" t="str">
        <f t="shared" ca="1" si="104"/>
        <v/>
      </c>
      <c r="AG477" s="460" t="str">
        <f t="shared" ca="1" si="104"/>
        <v/>
      </c>
      <c r="AH477" s="460" t="str">
        <f t="shared" ca="1" si="104"/>
        <v/>
      </c>
      <c r="AI477" s="460" t="str">
        <f t="shared" ca="1" si="104"/>
        <v/>
      </c>
      <c r="AJ477" s="460" t="str">
        <f t="shared" ca="1" si="104"/>
        <v/>
      </c>
      <c r="AK477" s="460" t="str">
        <f t="shared" ca="1" si="104"/>
        <v/>
      </c>
      <c r="AL477" s="460" t="str">
        <f t="shared" ca="1" si="104"/>
        <v/>
      </c>
      <c r="AM477" s="460" t="str">
        <f t="shared" ca="1" si="104"/>
        <v/>
      </c>
      <c r="AN477" s="461" t="str">
        <f t="shared" ca="1" si="104"/>
        <v/>
      </c>
      <c r="AO477" s="474" t="str">
        <f t="shared" ca="1" si="104"/>
        <v/>
      </c>
      <c r="AP477" s="475" t="str">
        <f t="shared" ca="1" si="104"/>
        <v/>
      </c>
      <c r="AQ477" s="479" t="str">
        <f t="array" aca="1" ref="AQ477" ca="1">IF(ROW()-5&lt;=COUNTIF(科目编号,$AR$2),SMALL(IF(科目编号=$AR$2,ROW(科目编号),""),ROW()-5),"")</f>
        <v/>
      </c>
      <c r="AR477" s="480" t="str">
        <f ca="1">IF($BG$2=0,"",IF(AR476="本月合计","本年累计",IF(OR(ROW()=$AU$3,ROW()=$AV$3,ROW()=$AW$3,ROW()=$AX$3,ROW()=$AY$3,ROW()=$AZ$3,ROW()=$BA$3,ROW()=$BB$3,ROW()=$BC$3,ROW()=$BD$3,ROW()=$BE$3,ROW()=$BF$3),"本月合计",IF(ROW()&lt;7,$AQ$6,OFFSET($AQ$6,COUNT($AR$6:AR476),0)))))</f>
        <v/>
      </c>
    </row>
    <row r="478" spans="1:44">
      <c r="A478" s="469" t="str">
        <f ca="1">IFERROR(INDEX(凭证录入!A:A,$AR478),"")</f>
        <v/>
      </c>
      <c r="B478" s="469" t="str">
        <f ca="1">IFERROR(INDEX(凭证录入!B:B,$AR478),"")</f>
        <v/>
      </c>
      <c r="C478" s="470" t="str">
        <f ca="1">IFERROR(INDEX(凭证录入!G:G,$AR478),"")</f>
        <v/>
      </c>
      <c r="D478" s="471" t="str">
        <f ca="1">IFERROR(INDEX(凭证录入!F:F,$AR478),"")</f>
        <v/>
      </c>
      <c r="E478" s="472" t="str">
        <f ca="1">IFERROR(INDEX(凭证录入!H:H,$AR478),$AR478)</f>
        <v/>
      </c>
      <c r="F478" s="473">
        <f ca="1">IF(OR($BG$2=0,$AR478=""),,IF($AR478="本月合计",IF(ROW()=$BG$3,SUM($F$6:$F477),SUM(INDIRECT("$F$"&amp;OFFSET($AU$3,,MATCH(ROW(),$AU$3:$BF$3,)-2)+2&amp;":$E"&amp;ROW()-1))),IF($AR478="本年累计",SUMIF($AR$6:$AR478,"本月合计",$F$6:$F477),INDEX(凭证录入!K:K,$AR478))))</f>
        <v>0</v>
      </c>
      <c r="G478" s="459" t="str">
        <f t="shared" ca="1" si="105"/>
        <v/>
      </c>
      <c r="H478" s="460" t="str">
        <f t="shared" ca="1" si="105"/>
        <v/>
      </c>
      <c r="I478" s="460" t="str">
        <f t="shared" ca="1" si="105"/>
        <v/>
      </c>
      <c r="J478" s="460" t="str">
        <f t="shared" ca="1" si="105"/>
        <v/>
      </c>
      <c r="K478" s="460" t="str">
        <f t="shared" ca="1" si="105"/>
        <v/>
      </c>
      <c r="L478" s="460" t="str">
        <f t="shared" ca="1" si="105"/>
        <v/>
      </c>
      <c r="M478" s="460" t="str">
        <f t="shared" ca="1" si="105"/>
        <v/>
      </c>
      <c r="N478" s="460" t="str">
        <f t="shared" ca="1" si="105"/>
        <v/>
      </c>
      <c r="O478" s="461" t="str">
        <f t="shared" ca="1" si="105"/>
        <v/>
      </c>
      <c r="P478" s="474" t="str">
        <f t="shared" ca="1" si="105"/>
        <v/>
      </c>
      <c r="Q478" s="475" t="str">
        <f t="shared" ca="1" si="105"/>
        <v/>
      </c>
      <c r="R478" s="476">
        <f ca="1">IF(OR($BG$2=0,$AR478=""),,IF($AR478="本月合计",IF(ROW()=$BG$3,SUM($R$6:$R477),SUM(INDIRECT("$R$"&amp;OFFSET($AU$3,,MATCH(ROW(),$AU$3:$BF$3,)-2)+2&amp;":$R"&amp;ROW()-1))),IF($AR478="本年累计",SUMIF($AR$6:$AR478,"本月合计",$R$6:$R477),INDEX(凭证录入!L:L,$AR478))))</f>
        <v>0</v>
      </c>
      <c r="S478" s="459" t="str">
        <f t="shared" ca="1" si="106"/>
        <v/>
      </c>
      <c r="T478" s="460" t="str">
        <f t="shared" ca="1" si="106"/>
        <v/>
      </c>
      <c r="U478" s="460" t="str">
        <f t="shared" ca="1" si="106"/>
        <v/>
      </c>
      <c r="V478" s="460" t="str">
        <f t="shared" ca="1" si="106"/>
        <v/>
      </c>
      <c r="W478" s="460" t="str">
        <f t="shared" ca="1" si="106"/>
        <v/>
      </c>
      <c r="X478" s="460" t="str">
        <f t="shared" ca="1" si="106"/>
        <v/>
      </c>
      <c r="Y478" s="460" t="str">
        <f t="shared" ca="1" si="106"/>
        <v/>
      </c>
      <c r="Z478" s="460" t="str">
        <f t="shared" ca="1" si="106"/>
        <v/>
      </c>
      <c r="AA478" s="461" t="str">
        <f t="shared" ca="1" si="106"/>
        <v/>
      </c>
      <c r="AB478" s="474" t="str">
        <f t="shared" ca="1" si="106"/>
        <v/>
      </c>
      <c r="AC478" s="475" t="str">
        <f t="shared" ca="1" si="106"/>
        <v/>
      </c>
      <c r="AD478" s="477" t="str">
        <f t="shared" ca="1" si="102"/>
        <v/>
      </c>
      <c r="AE478" s="478">
        <f t="shared" ca="1" si="103"/>
        <v>0</v>
      </c>
      <c r="AF478" s="459" t="str">
        <f t="shared" ca="1" si="104"/>
        <v/>
      </c>
      <c r="AG478" s="460" t="str">
        <f t="shared" ca="1" si="104"/>
        <v/>
      </c>
      <c r="AH478" s="460" t="str">
        <f t="shared" ca="1" si="104"/>
        <v/>
      </c>
      <c r="AI478" s="460" t="str">
        <f t="shared" ca="1" si="104"/>
        <v/>
      </c>
      <c r="AJ478" s="460" t="str">
        <f t="shared" ca="1" si="104"/>
        <v/>
      </c>
      <c r="AK478" s="460" t="str">
        <f t="shared" ca="1" si="104"/>
        <v/>
      </c>
      <c r="AL478" s="460" t="str">
        <f t="shared" ca="1" si="104"/>
        <v/>
      </c>
      <c r="AM478" s="460" t="str">
        <f t="shared" ca="1" si="104"/>
        <v/>
      </c>
      <c r="AN478" s="461" t="str">
        <f t="shared" ca="1" si="104"/>
        <v/>
      </c>
      <c r="AO478" s="474" t="str">
        <f t="shared" ca="1" si="104"/>
        <v/>
      </c>
      <c r="AP478" s="475" t="str">
        <f t="shared" ca="1" si="104"/>
        <v/>
      </c>
      <c r="AQ478" s="479" t="str">
        <f t="array" aca="1" ref="AQ478" ca="1">IF(ROW()-5&lt;=COUNTIF(科目编号,$AR$2),SMALL(IF(科目编号=$AR$2,ROW(科目编号),""),ROW()-5),"")</f>
        <v/>
      </c>
      <c r="AR478" s="480" t="str">
        <f ca="1">IF($BG$2=0,"",IF(AR477="本月合计","本年累计",IF(OR(ROW()=$AU$3,ROW()=$AV$3,ROW()=$AW$3,ROW()=$AX$3,ROW()=$AY$3,ROW()=$AZ$3,ROW()=$BA$3,ROW()=$BB$3,ROW()=$BC$3,ROW()=$BD$3,ROW()=$BE$3,ROW()=$BF$3),"本月合计",IF(ROW()&lt;7,$AQ$6,OFFSET($AQ$6,COUNT($AR$6:AR477),0)))))</f>
        <v/>
      </c>
    </row>
    <row r="479" spans="1:44">
      <c r="A479" s="469" t="str">
        <f ca="1">IFERROR(INDEX(凭证录入!A:A,$AR479),"")</f>
        <v/>
      </c>
      <c r="B479" s="469" t="str">
        <f ca="1">IFERROR(INDEX(凭证录入!B:B,$AR479),"")</f>
        <v/>
      </c>
      <c r="C479" s="470" t="str">
        <f ca="1">IFERROR(INDEX(凭证录入!G:G,$AR479),"")</f>
        <v/>
      </c>
      <c r="D479" s="471" t="str">
        <f ca="1">IFERROR(INDEX(凭证录入!F:F,$AR479),"")</f>
        <v/>
      </c>
      <c r="E479" s="472" t="str">
        <f ca="1">IFERROR(INDEX(凭证录入!H:H,$AR479),$AR479)</f>
        <v/>
      </c>
      <c r="F479" s="473">
        <f ca="1">IF(OR($BG$2=0,$AR479=""),,IF($AR479="本月合计",IF(ROW()=$BG$3,SUM($F$6:$F478),SUM(INDIRECT("$F$"&amp;OFFSET($AU$3,,MATCH(ROW(),$AU$3:$BF$3,)-2)+2&amp;":$E"&amp;ROW()-1))),IF($AR479="本年累计",SUMIF($AR$6:$AR479,"本月合计",$F$6:$F478),INDEX(凭证录入!K:K,$AR479))))</f>
        <v>0</v>
      </c>
      <c r="G479" s="459" t="str">
        <f t="shared" ca="1" si="105"/>
        <v/>
      </c>
      <c r="H479" s="460" t="str">
        <f t="shared" ca="1" si="105"/>
        <v/>
      </c>
      <c r="I479" s="460" t="str">
        <f t="shared" ca="1" si="105"/>
        <v/>
      </c>
      <c r="J479" s="460" t="str">
        <f t="shared" ca="1" si="105"/>
        <v/>
      </c>
      <c r="K479" s="460" t="str">
        <f t="shared" ca="1" si="105"/>
        <v/>
      </c>
      <c r="L479" s="460" t="str">
        <f t="shared" ca="1" si="105"/>
        <v/>
      </c>
      <c r="M479" s="460" t="str">
        <f t="shared" ca="1" si="105"/>
        <v/>
      </c>
      <c r="N479" s="460" t="str">
        <f t="shared" ca="1" si="105"/>
        <v/>
      </c>
      <c r="O479" s="461" t="str">
        <f t="shared" ca="1" si="105"/>
        <v/>
      </c>
      <c r="P479" s="474" t="str">
        <f t="shared" ca="1" si="105"/>
        <v/>
      </c>
      <c r="Q479" s="475" t="str">
        <f t="shared" ca="1" si="105"/>
        <v/>
      </c>
      <c r="R479" s="476">
        <f ca="1">IF(OR($BG$2=0,$AR479=""),,IF($AR479="本月合计",IF(ROW()=$BG$3,SUM($R$6:$R478),SUM(INDIRECT("$R$"&amp;OFFSET($AU$3,,MATCH(ROW(),$AU$3:$BF$3,)-2)+2&amp;":$R"&amp;ROW()-1))),IF($AR479="本年累计",SUMIF($AR$6:$AR479,"本月合计",$R$6:$R478),INDEX(凭证录入!L:L,$AR479))))</f>
        <v>0</v>
      </c>
      <c r="S479" s="459" t="str">
        <f t="shared" ca="1" si="106"/>
        <v/>
      </c>
      <c r="T479" s="460" t="str">
        <f t="shared" ca="1" si="106"/>
        <v/>
      </c>
      <c r="U479" s="460" t="str">
        <f t="shared" ca="1" si="106"/>
        <v/>
      </c>
      <c r="V479" s="460" t="str">
        <f t="shared" ca="1" si="106"/>
        <v/>
      </c>
      <c r="W479" s="460" t="str">
        <f t="shared" ca="1" si="106"/>
        <v/>
      </c>
      <c r="X479" s="460" t="str">
        <f t="shared" ca="1" si="106"/>
        <v/>
      </c>
      <c r="Y479" s="460" t="str">
        <f t="shared" ca="1" si="106"/>
        <v/>
      </c>
      <c r="Z479" s="460" t="str">
        <f t="shared" ca="1" si="106"/>
        <v/>
      </c>
      <c r="AA479" s="461" t="str">
        <f t="shared" ca="1" si="106"/>
        <v/>
      </c>
      <c r="AB479" s="474" t="str">
        <f t="shared" ca="1" si="106"/>
        <v/>
      </c>
      <c r="AC479" s="475" t="str">
        <f t="shared" ca="1" si="106"/>
        <v/>
      </c>
      <c r="AD479" s="477" t="str">
        <f t="shared" ca="1" si="102"/>
        <v/>
      </c>
      <c r="AE479" s="478">
        <f t="shared" ca="1" si="103"/>
        <v>0</v>
      </c>
      <c r="AF479" s="459" t="str">
        <f t="shared" ca="1" si="104"/>
        <v/>
      </c>
      <c r="AG479" s="460" t="str">
        <f t="shared" ca="1" si="104"/>
        <v/>
      </c>
      <c r="AH479" s="460" t="str">
        <f t="shared" ca="1" si="104"/>
        <v/>
      </c>
      <c r="AI479" s="460" t="str">
        <f t="shared" ca="1" si="104"/>
        <v/>
      </c>
      <c r="AJ479" s="460" t="str">
        <f t="shared" ca="1" si="104"/>
        <v/>
      </c>
      <c r="AK479" s="460" t="str">
        <f t="shared" ca="1" si="104"/>
        <v/>
      </c>
      <c r="AL479" s="460" t="str">
        <f t="shared" ca="1" si="104"/>
        <v/>
      </c>
      <c r="AM479" s="460" t="str">
        <f t="shared" ca="1" si="104"/>
        <v/>
      </c>
      <c r="AN479" s="461" t="str">
        <f t="shared" ca="1" si="104"/>
        <v/>
      </c>
      <c r="AO479" s="474" t="str">
        <f t="shared" ca="1" si="104"/>
        <v/>
      </c>
      <c r="AP479" s="475" t="str">
        <f t="shared" ca="1" si="104"/>
        <v/>
      </c>
      <c r="AQ479" s="479" t="str">
        <f t="array" aca="1" ref="AQ479" ca="1">IF(ROW()-5&lt;=COUNTIF(科目编号,$AR$2),SMALL(IF(科目编号=$AR$2,ROW(科目编号),""),ROW()-5),"")</f>
        <v/>
      </c>
      <c r="AR479" s="480" t="str">
        <f ca="1">IF($BG$2=0,"",IF(AR478="本月合计","本年累计",IF(OR(ROW()=$AU$3,ROW()=$AV$3,ROW()=$AW$3,ROW()=$AX$3,ROW()=$AY$3,ROW()=$AZ$3,ROW()=$BA$3,ROW()=$BB$3,ROW()=$BC$3,ROW()=$BD$3,ROW()=$BE$3,ROW()=$BF$3),"本月合计",IF(ROW()&lt;7,$AQ$6,OFFSET($AQ$6,COUNT($AR$6:AR478),0)))))</f>
        <v/>
      </c>
    </row>
    <row r="480" spans="1:44">
      <c r="A480" s="469" t="str">
        <f ca="1">IFERROR(INDEX(凭证录入!A:A,$AR480),"")</f>
        <v/>
      </c>
      <c r="B480" s="469" t="str">
        <f ca="1">IFERROR(INDEX(凭证录入!B:B,$AR480),"")</f>
        <v/>
      </c>
      <c r="C480" s="470" t="str">
        <f ca="1">IFERROR(INDEX(凭证录入!G:G,$AR480),"")</f>
        <v/>
      </c>
      <c r="D480" s="471" t="str">
        <f ca="1">IFERROR(INDEX(凭证录入!F:F,$AR480),"")</f>
        <v/>
      </c>
      <c r="E480" s="472" t="str">
        <f ca="1">IFERROR(INDEX(凭证录入!H:H,$AR480),$AR480)</f>
        <v/>
      </c>
      <c r="F480" s="473">
        <f ca="1">IF(OR($BG$2=0,$AR480=""),,IF($AR480="本月合计",IF(ROW()=$BG$3,SUM($F$6:$F479),SUM(INDIRECT("$F$"&amp;OFFSET($AU$3,,MATCH(ROW(),$AU$3:$BF$3,)-2)+2&amp;":$E"&amp;ROW()-1))),IF($AR480="本年累计",SUMIF($AR$6:$AR480,"本月合计",$F$6:$F479),INDEX(凭证录入!K:K,$AR480))))</f>
        <v>0</v>
      </c>
      <c r="G480" s="459" t="str">
        <f t="shared" ca="1" si="105"/>
        <v/>
      </c>
      <c r="H480" s="460" t="str">
        <f t="shared" ca="1" si="105"/>
        <v/>
      </c>
      <c r="I480" s="460" t="str">
        <f t="shared" ca="1" si="105"/>
        <v/>
      </c>
      <c r="J480" s="460" t="str">
        <f t="shared" ca="1" si="105"/>
        <v/>
      </c>
      <c r="K480" s="460" t="str">
        <f t="shared" ca="1" si="105"/>
        <v/>
      </c>
      <c r="L480" s="460" t="str">
        <f t="shared" ca="1" si="105"/>
        <v/>
      </c>
      <c r="M480" s="460" t="str">
        <f t="shared" ca="1" si="105"/>
        <v/>
      </c>
      <c r="N480" s="460" t="str">
        <f t="shared" ca="1" si="105"/>
        <v/>
      </c>
      <c r="O480" s="461" t="str">
        <f t="shared" ca="1" si="105"/>
        <v/>
      </c>
      <c r="P480" s="474" t="str">
        <f t="shared" ca="1" si="105"/>
        <v/>
      </c>
      <c r="Q480" s="475" t="str">
        <f t="shared" ca="1" si="105"/>
        <v/>
      </c>
      <c r="R480" s="476">
        <f ca="1">IF(OR($BG$2=0,$AR480=""),,IF($AR480="本月合计",IF(ROW()=$BG$3,SUM($R$6:$R479),SUM(INDIRECT("$R$"&amp;OFFSET($AU$3,,MATCH(ROW(),$AU$3:$BF$3,)-2)+2&amp;":$R"&amp;ROW()-1))),IF($AR480="本年累计",SUMIF($AR$6:$AR480,"本月合计",$R$6:$R479),INDEX(凭证录入!L:L,$AR480))))</f>
        <v>0</v>
      </c>
      <c r="S480" s="459" t="str">
        <f t="shared" ca="1" si="106"/>
        <v/>
      </c>
      <c r="T480" s="460" t="str">
        <f t="shared" ca="1" si="106"/>
        <v/>
      </c>
      <c r="U480" s="460" t="str">
        <f t="shared" ca="1" si="106"/>
        <v/>
      </c>
      <c r="V480" s="460" t="str">
        <f t="shared" ca="1" si="106"/>
        <v/>
      </c>
      <c r="W480" s="460" t="str">
        <f t="shared" ca="1" si="106"/>
        <v/>
      </c>
      <c r="X480" s="460" t="str">
        <f t="shared" ca="1" si="106"/>
        <v/>
      </c>
      <c r="Y480" s="460" t="str">
        <f t="shared" ca="1" si="106"/>
        <v/>
      </c>
      <c r="Z480" s="460" t="str">
        <f t="shared" ca="1" si="106"/>
        <v/>
      </c>
      <c r="AA480" s="461" t="str">
        <f t="shared" ca="1" si="106"/>
        <v/>
      </c>
      <c r="AB480" s="474" t="str">
        <f t="shared" ca="1" si="106"/>
        <v/>
      </c>
      <c r="AC480" s="475" t="str">
        <f t="shared" ca="1" si="106"/>
        <v/>
      </c>
      <c r="AD480" s="477" t="str">
        <f t="shared" ca="1" si="102"/>
        <v/>
      </c>
      <c r="AE480" s="478">
        <f t="shared" ca="1" si="103"/>
        <v>0</v>
      </c>
      <c r="AF480" s="459" t="str">
        <f t="shared" ca="1" si="104"/>
        <v/>
      </c>
      <c r="AG480" s="460" t="str">
        <f t="shared" ca="1" si="104"/>
        <v/>
      </c>
      <c r="AH480" s="460" t="str">
        <f t="shared" ca="1" si="104"/>
        <v/>
      </c>
      <c r="AI480" s="460" t="str">
        <f t="shared" ca="1" si="104"/>
        <v/>
      </c>
      <c r="AJ480" s="460" t="str">
        <f t="shared" ca="1" si="104"/>
        <v/>
      </c>
      <c r="AK480" s="460" t="str">
        <f t="shared" ca="1" si="104"/>
        <v/>
      </c>
      <c r="AL480" s="460" t="str">
        <f t="shared" ca="1" si="104"/>
        <v/>
      </c>
      <c r="AM480" s="460" t="str">
        <f t="shared" ca="1" si="104"/>
        <v/>
      </c>
      <c r="AN480" s="461" t="str">
        <f t="shared" ca="1" si="104"/>
        <v/>
      </c>
      <c r="AO480" s="474" t="str">
        <f t="shared" ca="1" si="104"/>
        <v/>
      </c>
      <c r="AP480" s="475" t="str">
        <f t="shared" ca="1" si="104"/>
        <v/>
      </c>
      <c r="AQ480" s="479" t="str">
        <f t="array" aca="1" ref="AQ480" ca="1">IF(ROW()-5&lt;=COUNTIF(科目编号,$AR$2),SMALL(IF(科目编号=$AR$2,ROW(科目编号),""),ROW()-5),"")</f>
        <v/>
      </c>
      <c r="AR480" s="480" t="str">
        <f ca="1">IF($BG$2=0,"",IF(AR479="本月合计","本年累计",IF(OR(ROW()=$AU$3,ROW()=$AV$3,ROW()=$AW$3,ROW()=$AX$3,ROW()=$AY$3,ROW()=$AZ$3,ROW()=$BA$3,ROW()=$BB$3,ROW()=$BC$3,ROW()=$BD$3,ROW()=$BE$3,ROW()=$BF$3),"本月合计",IF(ROW()&lt;7,$AQ$6,OFFSET($AQ$6,COUNT($AR$6:AR479),0)))))</f>
        <v/>
      </c>
    </row>
    <row r="481" spans="1:44">
      <c r="A481" s="469" t="str">
        <f ca="1">IFERROR(INDEX(凭证录入!A:A,$AR481),"")</f>
        <v/>
      </c>
      <c r="B481" s="469" t="str">
        <f ca="1">IFERROR(INDEX(凭证录入!B:B,$AR481),"")</f>
        <v/>
      </c>
      <c r="C481" s="470" t="str">
        <f ca="1">IFERROR(INDEX(凭证录入!G:G,$AR481),"")</f>
        <v/>
      </c>
      <c r="D481" s="471" t="str">
        <f ca="1">IFERROR(INDEX(凭证录入!F:F,$AR481),"")</f>
        <v/>
      </c>
      <c r="E481" s="472" t="str">
        <f ca="1">IFERROR(INDEX(凭证录入!H:H,$AR481),$AR481)</f>
        <v/>
      </c>
      <c r="F481" s="473">
        <f ca="1">IF(OR($BG$2=0,$AR481=""),,IF($AR481="本月合计",IF(ROW()=$BG$3,SUM($F$6:$F480),SUM(INDIRECT("$F$"&amp;OFFSET($AU$3,,MATCH(ROW(),$AU$3:$BF$3,)-2)+2&amp;":$E"&amp;ROW()-1))),IF($AR481="本年累计",SUMIF($AR$6:$AR481,"本月合计",$F$6:$F480),INDEX(凭证录入!K:K,$AR481))))</f>
        <v>0</v>
      </c>
      <c r="G481" s="459" t="str">
        <f t="shared" ca="1" si="105"/>
        <v/>
      </c>
      <c r="H481" s="460" t="str">
        <f t="shared" ca="1" si="105"/>
        <v/>
      </c>
      <c r="I481" s="460" t="str">
        <f t="shared" ca="1" si="105"/>
        <v/>
      </c>
      <c r="J481" s="460" t="str">
        <f t="shared" ca="1" si="105"/>
        <v/>
      </c>
      <c r="K481" s="460" t="str">
        <f t="shared" ca="1" si="105"/>
        <v/>
      </c>
      <c r="L481" s="460" t="str">
        <f t="shared" ca="1" si="105"/>
        <v/>
      </c>
      <c r="M481" s="460" t="str">
        <f t="shared" ca="1" si="105"/>
        <v/>
      </c>
      <c r="N481" s="460" t="str">
        <f t="shared" ca="1" si="105"/>
        <v/>
      </c>
      <c r="O481" s="461" t="str">
        <f t="shared" ca="1" si="105"/>
        <v/>
      </c>
      <c r="P481" s="474" t="str">
        <f t="shared" ca="1" si="105"/>
        <v/>
      </c>
      <c r="Q481" s="475" t="str">
        <f t="shared" ca="1" si="105"/>
        <v/>
      </c>
      <c r="R481" s="476">
        <f ca="1">IF(OR($BG$2=0,$AR481=""),,IF($AR481="本月合计",IF(ROW()=$BG$3,SUM($R$6:$R480),SUM(INDIRECT("$R$"&amp;OFFSET($AU$3,,MATCH(ROW(),$AU$3:$BF$3,)-2)+2&amp;":$R"&amp;ROW()-1))),IF($AR481="本年累计",SUMIF($AR$6:$AR481,"本月合计",$R$6:$R480),INDEX(凭证录入!L:L,$AR481))))</f>
        <v>0</v>
      </c>
      <c r="S481" s="459" t="str">
        <f t="shared" ca="1" si="106"/>
        <v/>
      </c>
      <c r="T481" s="460" t="str">
        <f t="shared" ca="1" si="106"/>
        <v/>
      </c>
      <c r="U481" s="460" t="str">
        <f t="shared" ca="1" si="106"/>
        <v/>
      </c>
      <c r="V481" s="460" t="str">
        <f t="shared" ca="1" si="106"/>
        <v/>
      </c>
      <c r="W481" s="460" t="str">
        <f t="shared" ca="1" si="106"/>
        <v/>
      </c>
      <c r="X481" s="460" t="str">
        <f t="shared" ca="1" si="106"/>
        <v/>
      </c>
      <c r="Y481" s="460" t="str">
        <f t="shared" ca="1" si="106"/>
        <v/>
      </c>
      <c r="Z481" s="460" t="str">
        <f t="shared" ca="1" si="106"/>
        <v/>
      </c>
      <c r="AA481" s="461" t="str">
        <f t="shared" ca="1" si="106"/>
        <v/>
      </c>
      <c r="AB481" s="474" t="str">
        <f t="shared" ca="1" si="106"/>
        <v/>
      </c>
      <c r="AC481" s="475" t="str">
        <f t="shared" ca="1" si="106"/>
        <v/>
      </c>
      <c r="AD481" s="477" t="str">
        <f t="shared" ca="1" si="102"/>
        <v/>
      </c>
      <c r="AE481" s="478">
        <f t="shared" ca="1" si="103"/>
        <v>0</v>
      </c>
      <c r="AF481" s="459" t="str">
        <f t="shared" ca="1" si="104"/>
        <v/>
      </c>
      <c r="AG481" s="460" t="str">
        <f t="shared" ca="1" si="104"/>
        <v/>
      </c>
      <c r="AH481" s="460" t="str">
        <f t="shared" ca="1" si="104"/>
        <v/>
      </c>
      <c r="AI481" s="460" t="str">
        <f t="shared" ca="1" si="104"/>
        <v/>
      </c>
      <c r="AJ481" s="460" t="str">
        <f t="shared" ca="1" si="104"/>
        <v/>
      </c>
      <c r="AK481" s="460" t="str">
        <f t="shared" ca="1" si="104"/>
        <v/>
      </c>
      <c r="AL481" s="460" t="str">
        <f t="shared" ca="1" si="104"/>
        <v/>
      </c>
      <c r="AM481" s="460" t="str">
        <f t="shared" ca="1" si="104"/>
        <v/>
      </c>
      <c r="AN481" s="461" t="str">
        <f t="shared" ca="1" si="104"/>
        <v/>
      </c>
      <c r="AO481" s="474" t="str">
        <f t="shared" ca="1" si="104"/>
        <v/>
      </c>
      <c r="AP481" s="475" t="str">
        <f t="shared" ca="1" si="104"/>
        <v/>
      </c>
      <c r="AQ481" s="479" t="str">
        <f t="array" aca="1" ref="AQ481" ca="1">IF(ROW()-5&lt;=COUNTIF(科目编号,$AR$2),SMALL(IF(科目编号=$AR$2,ROW(科目编号),""),ROW()-5),"")</f>
        <v/>
      </c>
      <c r="AR481" s="480" t="str">
        <f ca="1">IF($BG$2=0,"",IF(AR480="本月合计","本年累计",IF(OR(ROW()=$AU$3,ROW()=$AV$3,ROW()=$AW$3,ROW()=$AX$3,ROW()=$AY$3,ROW()=$AZ$3,ROW()=$BA$3,ROW()=$BB$3,ROW()=$BC$3,ROW()=$BD$3,ROW()=$BE$3,ROW()=$BF$3),"本月合计",IF(ROW()&lt;7,$AQ$6,OFFSET($AQ$6,COUNT($AR$6:AR480),0)))))</f>
        <v/>
      </c>
    </row>
    <row r="482" spans="1:44">
      <c r="A482" s="469" t="str">
        <f ca="1">IFERROR(INDEX(凭证录入!A:A,$AR482),"")</f>
        <v/>
      </c>
      <c r="B482" s="469" t="str">
        <f ca="1">IFERROR(INDEX(凭证录入!B:B,$AR482),"")</f>
        <v/>
      </c>
      <c r="C482" s="470" t="str">
        <f ca="1">IFERROR(INDEX(凭证录入!G:G,$AR482),"")</f>
        <v/>
      </c>
      <c r="D482" s="471" t="str">
        <f ca="1">IFERROR(INDEX(凭证录入!F:F,$AR482),"")</f>
        <v/>
      </c>
      <c r="E482" s="472" t="str">
        <f ca="1">IFERROR(INDEX(凭证录入!H:H,$AR482),$AR482)</f>
        <v/>
      </c>
      <c r="F482" s="473">
        <f ca="1">IF(OR($BG$2=0,$AR482=""),,IF($AR482="本月合计",IF(ROW()=$BG$3,SUM($F$6:$F481),SUM(INDIRECT("$F$"&amp;OFFSET($AU$3,,MATCH(ROW(),$AU$3:$BF$3,)-2)+2&amp;":$E"&amp;ROW()-1))),IF($AR482="本年累计",SUMIF($AR$6:$AR482,"本月合计",$F$6:$F481),INDEX(凭证录入!K:K,$AR482))))</f>
        <v>0</v>
      </c>
      <c r="G482" s="459" t="str">
        <f t="shared" ca="1" si="105"/>
        <v/>
      </c>
      <c r="H482" s="460" t="str">
        <f t="shared" ca="1" si="105"/>
        <v/>
      </c>
      <c r="I482" s="460" t="str">
        <f t="shared" ca="1" si="105"/>
        <v/>
      </c>
      <c r="J482" s="460" t="str">
        <f t="shared" ca="1" si="105"/>
        <v/>
      </c>
      <c r="K482" s="460" t="str">
        <f t="shared" ca="1" si="105"/>
        <v/>
      </c>
      <c r="L482" s="460" t="str">
        <f t="shared" ca="1" si="105"/>
        <v/>
      </c>
      <c r="M482" s="460" t="str">
        <f t="shared" ca="1" si="105"/>
        <v/>
      </c>
      <c r="N482" s="460" t="str">
        <f t="shared" ca="1" si="105"/>
        <v/>
      </c>
      <c r="O482" s="461" t="str">
        <f t="shared" ca="1" si="105"/>
        <v/>
      </c>
      <c r="P482" s="474" t="str">
        <f t="shared" ca="1" si="105"/>
        <v/>
      </c>
      <c r="Q482" s="475" t="str">
        <f t="shared" ca="1" si="105"/>
        <v/>
      </c>
      <c r="R482" s="476">
        <f ca="1">IF(OR($BG$2=0,$AR482=""),,IF($AR482="本月合计",IF(ROW()=$BG$3,SUM($R$6:$R481),SUM(INDIRECT("$R$"&amp;OFFSET($AU$3,,MATCH(ROW(),$AU$3:$BF$3,)-2)+2&amp;":$R"&amp;ROW()-1))),IF($AR482="本年累计",SUMIF($AR$6:$AR482,"本月合计",$R$6:$R481),INDEX(凭证录入!L:L,$AR482))))</f>
        <v>0</v>
      </c>
      <c r="S482" s="459" t="str">
        <f t="shared" ca="1" si="106"/>
        <v/>
      </c>
      <c r="T482" s="460" t="str">
        <f t="shared" ca="1" si="106"/>
        <v/>
      </c>
      <c r="U482" s="460" t="str">
        <f t="shared" ca="1" si="106"/>
        <v/>
      </c>
      <c r="V482" s="460" t="str">
        <f t="shared" ca="1" si="106"/>
        <v/>
      </c>
      <c r="W482" s="460" t="str">
        <f t="shared" ca="1" si="106"/>
        <v/>
      </c>
      <c r="X482" s="460" t="str">
        <f t="shared" ca="1" si="106"/>
        <v/>
      </c>
      <c r="Y482" s="460" t="str">
        <f t="shared" ca="1" si="106"/>
        <v/>
      </c>
      <c r="Z482" s="460" t="str">
        <f t="shared" ca="1" si="106"/>
        <v/>
      </c>
      <c r="AA482" s="461" t="str">
        <f t="shared" ca="1" si="106"/>
        <v/>
      </c>
      <c r="AB482" s="474" t="str">
        <f t="shared" ca="1" si="106"/>
        <v/>
      </c>
      <c r="AC482" s="475" t="str">
        <f t="shared" ca="1" si="106"/>
        <v/>
      </c>
      <c r="AD482" s="477" t="str">
        <f t="shared" ca="1" si="102"/>
        <v/>
      </c>
      <c r="AE482" s="478">
        <f t="shared" ca="1" si="103"/>
        <v>0</v>
      </c>
      <c r="AF482" s="459" t="str">
        <f t="shared" ca="1" si="104"/>
        <v/>
      </c>
      <c r="AG482" s="460" t="str">
        <f t="shared" ca="1" si="104"/>
        <v/>
      </c>
      <c r="AH482" s="460" t="str">
        <f t="shared" ca="1" si="104"/>
        <v/>
      </c>
      <c r="AI482" s="460" t="str">
        <f t="shared" ca="1" si="104"/>
        <v/>
      </c>
      <c r="AJ482" s="460" t="str">
        <f t="shared" ca="1" si="104"/>
        <v/>
      </c>
      <c r="AK482" s="460" t="str">
        <f t="shared" ca="1" si="104"/>
        <v/>
      </c>
      <c r="AL482" s="460" t="str">
        <f t="shared" ca="1" si="104"/>
        <v/>
      </c>
      <c r="AM482" s="460" t="str">
        <f t="shared" ca="1" si="104"/>
        <v/>
      </c>
      <c r="AN482" s="461" t="str">
        <f t="shared" ca="1" si="104"/>
        <v/>
      </c>
      <c r="AO482" s="474" t="str">
        <f t="shared" ca="1" si="104"/>
        <v/>
      </c>
      <c r="AP482" s="475" t="str">
        <f t="shared" ca="1" si="104"/>
        <v/>
      </c>
      <c r="AQ482" s="479" t="str">
        <f t="array" aca="1" ref="AQ482" ca="1">IF(ROW()-5&lt;=COUNTIF(科目编号,$AR$2),SMALL(IF(科目编号=$AR$2,ROW(科目编号),""),ROW()-5),"")</f>
        <v/>
      </c>
      <c r="AR482" s="480" t="str">
        <f ca="1">IF($BG$2=0,"",IF(AR481="本月合计","本年累计",IF(OR(ROW()=$AU$3,ROW()=$AV$3,ROW()=$AW$3,ROW()=$AX$3,ROW()=$AY$3,ROW()=$AZ$3,ROW()=$BA$3,ROW()=$BB$3,ROW()=$BC$3,ROW()=$BD$3,ROW()=$BE$3,ROW()=$BF$3),"本月合计",IF(ROW()&lt;7,$AQ$6,OFFSET($AQ$6,COUNT($AR$6:AR481),0)))))</f>
        <v/>
      </c>
    </row>
    <row r="483" spans="1:44">
      <c r="A483" s="469" t="str">
        <f ca="1">IFERROR(INDEX(凭证录入!A:A,$AR483),"")</f>
        <v/>
      </c>
      <c r="B483" s="469" t="str">
        <f ca="1">IFERROR(INDEX(凭证录入!B:B,$AR483),"")</f>
        <v/>
      </c>
      <c r="C483" s="470" t="str">
        <f ca="1">IFERROR(INDEX(凭证录入!G:G,$AR483),"")</f>
        <v/>
      </c>
      <c r="D483" s="471" t="str">
        <f ca="1">IFERROR(INDEX(凭证录入!F:F,$AR483),"")</f>
        <v/>
      </c>
      <c r="E483" s="472" t="str">
        <f ca="1">IFERROR(INDEX(凭证录入!H:H,$AR483),$AR483)</f>
        <v/>
      </c>
      <c r="F483" s="473">
        <f ca="1">IF(OR($BG$2=0,$AR483=""),,IF($AR483="本月合计",IF(ROW()=$BG$3,SUM($F$6:$F482),SUM(INDIRECT("$F$"&amp;OFFSET($AU$3,,MATCH(ROW(),$AU$3:$BF$3,)-2)+2&amp;":$E"&amp;ROW()-1))),IF($AR483="本年累计",SUMIF($AR$6:$AR483,"本月合计",$F$6:$F482),INDEX(凭证录入!K:K,$AR483))))</f>
        <v>0</v>
      </c>
      <c r="G483" s="459" t="str">
        <f t="shared" ca="1" si="105"/>
        <v/>
      </c>
      <c r="H483" s="460" t="str">
        <f t="shared" ca="1" si="105"/>
        <v/>
      </c>
      <c r="I483" s="460" t="str">
        <f t="shared" ca="1" si="105"/>
        <v/>
      </c>
      <c r="J483" s="460" t="str">
        <f t="shared" ca="1" si="105"/>
        <v/>
      </c>
      <c r="K483" s="460" t="str">
        <f t="shared" ca="1" si="105"/>
        <v/>
      </c>
      <c r="L483" s="460" t="str">
        <f t="shared" ca="1" si="105"/>
        <v/>
      </c>
      <c r="M483" s="460" t="str">
        <f t="shared" ca="1" si="105"/>
        <v/>
      </c>
      <c r="N483" s="460" t="str">
        <f t="shared" ca="1" si="105"/>
        <v/>
      </c>
      <c r="O483" s="461" t="str">
        <f t="shared" ca="1" si="105"/>
        <v/>
      </c>
      <c r="P483" s="474" t="str">
        <f t="shared" ca="1" si="105"/>
        <v/>
      </c>
      <c r="Q483" s="475" t="str">
        <f t="shared" ca="1" si="105"/>
        <v/>
      </c>
      <c r="R483" s="476">
        <f ca="1">IF(OR($BG$2=0,$AR483=""),,IF($AR483="本月合计",IF(ROW()=$BG$3,SUM($R$6:$R482),SUM(INDIRECT("$R$"&amp;OFFSET($AU$3,,MATCH(ROW(),$AU$3:$BF$3,)-2)+2&amp;":$R"&amp;ROW()-1))),IF($AR483="本年累计",SUMIF($AR$6:$AR483,"本月合计",$R$6:$R482),INDEX(凭证录入!L:L,$AR483))))</f>
        <v>0</v>
      </c>
      <c r="S483" s="459" t="str">
        <f t="shared" ca="1" si="106"/>
        <v/>
      </c>
      <c r="T483" s="460" t="str">
        <f t="shared" ca="1" si="106"/>
        <v/>
      </c>
      <c r="U483" s="460" t="str">
        <f t="shared" ca="1" si="106"/>
        <v/>
      </c>
      <c r="V483" s="460" t="str">
        <f t="shared" ca="1" si="106"/>
        <v/>
      </c>
      <c r="W483" s="460" t="str">
        <f t="shared" ca="1" si="106"/>
        <v/>
      </c>
      <c r="X483" s="460" t="str">
        <f t="shared" ca="1" si="106"/>
        <v/>
      </c>
      <c r="Y483" s="460" t="str">
        <f t="shared" ca="1" si="106"/>
        <v/>
      </c>
      <c r="Z483" s="460" t="str">
        <f t="shared" ca="1" si="106"/>
        <v/>
      </c>
      <c r="AA483" s="461" t="str">
        <f t="shared" ca="1" si="106"/>
        <v/>
      </c>
      <c r="AB483" s="474" t="str">
        <f t="shared" ca="1" si="106"/>
        <v/>
      </c>
      <c r="AC483" s="475" t="str">
        <f t="shared" ca="1" si="106"/>
        <v/>
      </c>
      <c r="AD483" s="477" t="str">
        <f t="shared" ca="1" si="102"/>
        <v/>
      </c>
      <c r="AE483" s="478">
        <f t="shared" ca="1" si="103"/>
        <v>0</v>
      </c>
      <c r="AF483" s="459" t="str">
        <f t="shared" ca="1" si="104"/>
        <v/>
      </c>
      <c r="AG483" s="460" t="str">
        <f t="shared" ca="1" si="104"/>
        <v/>
      </c>
      <c r="AH483" s="460" t="str">
        <f t="shared" ca="1" si="104"/>
        <v/>
      </c>
      <c r="AI483" s="460" t="str">
        <f t="shared" ca="1" si="104"/>
        <v/>
      </c>
      <c r="AJ483" s="460" t="str">
        <f t="shared" ca="1" si="104"/>
        <v/>
      </c>
      <c r="AK483" s="460" t="str">
        <f t="shared" ca="1" si="104"/>
        <v/>
      </c>
      <c r="AL483" s="460" t="str">
        <f t="shared" ca="1" si="104"/>
        <v/>
      </c>
      <c r="AM483" s="460" t="str">
        <f t="shared" ca="1" si="104"/>
        <v/>
      </c>
      <c r="AN483" s="461" t="str">
        <f t="shared" ca="1" si="104"/>
        <v/>
      </c>
      <c r="AO483" s="474" t="str">
        <f t="shared" ca="1" si="104"/>
        <v/>
      </c>
      <c r="AP483" s="475" t="str">
        <f t="shared" ca="1" si="104"/>
        <v/>
      </c>
      <c r="AQ483" s="479" t="str">
        <f t="array" aca="1" ref="AQ483" ca="1">IF(ROW()-5&lt;=COUNTIF(科目编号,$AR$2),SMALL(IF(科目编号=$AR$2,ROW(科目编号),""),ROW()-5),"")</f>
        <v/>
      </c>
      <c r="AR483" s="480" t="str">
        <f ca="1">IF($BG$2=0,"",IF(AR482="本月合计","本年累计",IF(OR(ROW()=$AU$3,ROW()=$AV$3,ROW()=$AW$3,ROW()=$AX$3,ROW()=$AY$3,ROW()=$AZ$3,ROW()=$BA$3,ROW()=$BB$3,ROW()=$BC$3,ROW()=$BD$3,ROW()=$BE$3,ROW()=$BF$3),"本月合计",IF(ROW()&lt;7,$AQ$6,OFFSET($AQ$6,COUNT($AR$6:AR482),0)))))</f>
        <v/>
      </c>
    </row>
    <row r="484" spans="1:44">
      <c r="A484" s="469" t="str">
        <f ca="1">IFERROR(INDEX(凭证录入!A:A,$AR484),"")</f>
        <v/>
      </c>
      <c r="B484" s="469" t="str">
        <f ca="1">IFERROR(INDEX(凭证录入!B:B,$AR484),"")</f>
        <v/>
      </c>
      <c r="C484" s="470" t="str">
        <f ca="1">IFERROR(INDEX(凭证录入!G:G,$AR484),"")</f>
        <v/>
      </c>
      <c r="D484" s="471" t="str">
        <f ca="1">IFERROR(INDEX(凭证录入!F:F,$AR484),"")</f>
        <v/>
      </c>
      <c r="E484" s="472" t="str">
        <f ca="1">IFERROR(INDEX(凭证录入!H:H,$AR484),$AR484)</f>
        <v/>
      </c>
      <c r="F484" s="473">
        <f ca="1">IF(OR($BG$2=0,$AR484=""),,IF($AR484="本月合计",IF(ROW()=$BG$3,SUM($F$6:$F483),SUM(INDIRECT("$F$"&amp;OFFSET($AU$3,,MATCH(ROW(),$AU$3:$BF$3,)-2)+2&amp;":$E"&amp;ROW()-1))),IF($AR484="本年累计",SUMIF($AR$6:$AR484,"本月合计",$F$6:$F483),INDEX(凭证录入!K:K,$AR484))))</f>
        <v>0</v>
      </c>
      <c r="G484" s="459" t="str">
        <f t="shared" ca="1" si="105"/>
        <v/>
      </c>
      <c r="H484" s="460" t="str">
        <f t="shared" ca="1" si="105"/>
        <v/>
      </c>
      <c r="I484" s="460" t="str">
        <f t="shared" ca="1" si="105"/>
        <v/>
      </c>
      <c r="J484" s="460" t="str">
        <f t="shared" ca="1" si="105"/>
        <v/>
      </c>
      <c r="K484" s="460" t="str">
        <f t="shared" ca="1" si="105"/>
        <v/>
      </c>
      <c r="L484" s="460" t="str">
        <f t="shared" ca="1" si="105"/>
        <v/>
      </c>
      <c r="M484" s="460" t="str">
        <f t="shared" ca="1" si="105"/>
        <v/>
      </c>
      <c r="N484" s="460" t="str">
        <f t="shared" ca="1" si="105"/>
        <v/>
      </c>
      <c r="O484" s="461" t="str">
        <f t="shared" ca="1" si="105"/>
        <v/>
      </c>
      <c r="P484" s="474" t="str">
        <f t="shared" ca="1" si="105"/>
        <v/>
      </c>
      <c r="Q484" s="475" t="str">
        <f t="shared" ca="1" si="105"/>
        <v/>
      </c>
      <c r="R484" s="476">
        <f ca="1">IF(OR($BG$2=0,$AR484=""),,IF($AR484="本月合计",IF(ROW()=$BG$3,SUM($R$6:$R483),SUM(INDIRECT("$R$"&amp;OFFSET($AU$3,,MATCH(ROW(),$AU$3:$BF$3,)-2)+2&amp;":$R"&amp;ROW()-1))),IF($AR484="本年累计",SUMIF($AR$6:$AR484,"本月合计",$R$6:$R483),INDEX(凭证录入!L:L,$AR484))))</f>
        <v>0</v>
      </c>
      <c r="S484" s="459" t="str">
        <f t="shared" ca="1" si="106"/>
        <v/>
      </c>
      <c r="T484" s="460" t="str">
        <f t="shared" ca="1" si="106"/>
        <v/>
      </c>
      <c r="U484" s="460" t="str">
        <f t="shared" ca="1" si="106"/>
        <v/>
      </c>
      <c r="V484" s="460" t="str">
        <f t="shared" ca="1" si="106"/>
        <v/>
      </c>
      <c r="W484" s="460" t="str">
        <f t="shared" ca="1" si="106"/>
        <v/>
      </c>
      <c r="X484" s="460" t="str">
        <f t="shared" ca="1" si="106"/>
        <v/>
      </c>
      <c r="Y484" s="460" t="str">
        <f t="shared" ca="1" si="106"/>
        <v/>
      </c>
      <c r="Z484" s="460" t="str">
        <f t="shared" ca="1" si="106"/>
        <v/>
      </c>
      <c r="AA484" s="461" t="str">
        <f t="shared" ca="1" si="106"/>
        <v/>
      </c>
      <c r="AB484" s="474" t="str">
        <f t="shared" ca="1" si="106"/>
        <v/>
      </c>
      <c r="AC484" s="475" t="str">
        <f t="shared" ca="1" si="106"/>
        <v/>
      </c>
      <c r="AD484" s="477" t="str">
        <f t="shared" ca="1" si="102"/>
        <v/>
      </c>
      <c r="AE484" s="478">
        <f t="shared" ca="1" si="103"/>
        <v>0</v>
      </c>
      <c r="AF484" s="459" t="str">
        <f t="shared" ca="1" si="104"/>
        <v/>
      </c>
      <c r="AG484" s="460" t="str">
        <f t="shared" ca="1" si="104"/>
        <v/>
      </c>
      <c r="AH484" s="460" t="str">
        <f t="shared" ca="1" si="104"/>
        <v/>
      </c>
      <c r="AI484" s="460" t="str">
        <f t="shared" ca="1" si="104"/>
        <v/>
      </c>
      <c r="AJ484" s="460" t="str">
        <f t="shared" ca="1" si="104"/>
        <v/>
      </c>
      <c r="AK484" s="460" t="str">
        <f t="shared" ca="1" si="104"/>
        <v/>
      </c>
      <c r="AL484" s="460" t="str">
        <f t="shared" ca="1" si="104"/>
        <v/>
      </c>
      <c r="AM484" s="460" t="str">
        <f t="shared" ca="1" si="104"/>
        <v/>
      </c>
      <c r="AN484" s="461" t="str">
        <f t="shared" ca="1" si="104"/>
        <v/>
      </c>
      <c r="AO484" s="474" t="str">
        <f t="shared" ca="1" si="104"/>
        <v/>
      </c>
      <c r="AP484" s="475" t="str">
        <f t="shared" ca="1" si="104"/>
        <v/>
      </c>
      <c r="AQ484" s="479" t="str">
        <f t="array" aca="1" ref="AQ484" ca="1">IF(ROW()-5&lt;=COUNTIF(科目编号,$AR$2),SMALL(IF(科目编号=$AR$2,ROW(科目编号),""),ROW()-5),"")</f>
        <v/>
      </c>
      <c r="AR484" s="480" t="str">
        <f ca="1">IF($BG$2=0,"",IF(AR483="本月合计","本年累计",IF(OR(ROW()=$AU$3,ROW()=$AV$3,ROW()=$AW$3,ROW()=$AX$3,ROW()=$AY$3,ROW()=$AZ$3,ROW()=$BA$3,ROW()=$BB$3,ROW()=$BC$3,ROW()=$BD$3,ROW()=$BE$3,ROW()=$BF$3),"本月合计",IF(ROW()&lt;7,$AQ$6,OFFSET($AQ$6,COUNT($AR$6:AR483),0)))))</f>
        <v/>
      </c>
    </row>
    <row r="485" spans="1:44">
      <c r="A485" s="469" t="str">
        <f ca="1">IFERROR(INDEX(凭证录入!A:A,$AR485),"")</f>
        <v/>
      </c>
      <c r="B485" s="469" t="str">
        <f ca="1">IFERROR(INDEX(凭证录入!B:B,$AR485),"")</f>
        <v/>
      </c>
      <c r="C485" s="470" t="str">
        <f ca="1">IFERROR(INDEX(凭证录入!G:G,$AR485),"")</f>
        <v/>
      </c>
      <c r="D485" s="471" t="str">
        <f ca="1">IFERROR(INDEX(凭证录入!F:F,$AR485),"")</f>
        <v/>
      </c>
      <c r="E485" s="472" t="str">
        <f ca="1">IFERROR(INDEX(凭证录入!H:H,$AR485),$AR485)</f>
        <v/>
      </c>
      <c r="F485" s="473">
        <f ca="1">IF(OR($BG$2=0,$AR485=""),,IF($AR485="本月合计",IF(ROW()=$BG$3,SUM($F$6:$F484),SUM(INDIRECT("$F$"&amp;OFFSET($AU$3,,MATCH(ROW(),$AU$3:$BF$3,)-2)+2&amp;":$E"&amp;ROW()-1))),IF($AR485="本年累计",SUMIF($AR$6:$AR485,"本月合计",$F$6:$F484),INDEX(凭证录入!K:K,$AR485))))</f>
        <v>0</v>
      </c>
      <c r="G485" s="459" t="str">
        <f t="shared" ca="1" si="105"/>
        <v/>
      </c>
      <c r="H485" s="460" t="str">
        <f t="shared" ca="1" si="105"/>
        <v/>
      </c>
      <c r="I485" s="460" t="str">
        <f t="shared" ca="1" si="105"/>
        <v/>
      </c>
      <c r="J485" s="460" t="str">
        <f t="shared" ca="1" si="105"/>
        <v/>
      </c>
      <c r="K485" s="460" t="str">
        <f t="shared" ca="1" si="105"/>
        <v/>
      </c>
      <c r="L485" s="460" t="str">
        <f t="shared" ca="1" si="105"/>
        <v/>
      </c>
      <c r="M485" s="460" t="str">
        <f t="shared" ca="1" si="105"/>
        <v/>
      </c>
      <c r="N485" s="460" t="str">
        <f t="shared" ca="1" si="105"/>
        <v/>
      </c>
      <c r="O485" s="461" t="str">
        <f t="shared" ca="1" si="105"/>
        <v/>
      </c>
      <c r="P485" s="474" t="str">
        <f t="shared" ca="1" si="105"/>
        <v/>
      </c>
      <c r="Q485" s="475" t="str">
        <f t="shared" ca="1" si="105"/>
        <v/>
      </c>
      <c r="R485" s="476">
        <f ca="1">IF(OR($BG$2=0,$AR485=""),,IF($AR485="本月合计",IF(ROW()=$BG$3,SUM($R$6:$R484),SUM(INDIRECT("$R$"&amp;OFFSET($AU$3,,MATCH(ROW(),$AU$3:$BF$3,)-2)+2&amp;":$R"&amp;ROW()-1))),IF($AR485="本年累计",SUMIF($AR$6:$AR485,"本月合计",$R$6:$R484),INDEX(凭证录入!L:L,$AR485))))</f>
        <v>0</v>
      </c>
      <c r="S485" s="459" t="str">
        <f t="shared" ca="1" si="106"/>
        <v/>
      </c>
      <c r="T485" s="460" t="str">
        <f t="shared" ca="1" si="106"/>
        <v/>
      </c>
      <c r="U485" s="460" t="str">
        <f t="shared" ca="1" si="106"/>
        <v/>
      </c>
      <c r="V485" s="460" t="str">
        <f t="shared" ca="1" si="106"/>
        <v/>
      </c>
      <c r="W485" s="460" t="str">
        <f t="shared" ca="1" si="106"/>
        <v/>
      </c>
      <c r="X485" s="460" t="str">
        <f t="shared" ca="1" si="106"/>
        <v/>
      </c>
      <c r="Y485" s="460" t="str">
        <f t="shared" ca="1" si="106"/>
        <v/>
      </c>
      <c r="Z485" s="460" t="str">
        <f t="shared" ca="1" si="106"/>
        <v/>
      </c>
      <c r="AA485" s="461" t="str">
        <f t="shared" ca="1" si="106"/>
        <v/>
      </c>
      <c r="AB485" s="474" t="str">
        <f t="shared" ca="1" si="106"/>
        <v/>
      </c>
      <c r="AC485" s="475" t="str">
        <f t="shared" ca="1" si="106"/>
        <v/>
      </c>
      <c r="AD485" s="477" t="str">
        <f t="shared" ca="1" si="102"/>
        <v/>
      </c>
      <c r="AE485" s="478">
        <f t="shared" ca="1" si="103"/>
        <v>0</v>
      </c>
      <c r="AF485" s="459" t="str">
        <f t="shared" ref="AF485:AP500" ca="1" si="107">LEFT(RIGHT(TEXT($AE485/1%," ￥0; ￥-0;"),43-COLUMN()))</f>
        <v/>
      </c>
      <c r="AG485" s="460" t="str">
        <f t="shared" ca="1" si="107"/>
        <v/>
      </c>
      <c r="AH485" s="460" t="str">
        <f t="shared" ca="1" si="107"/>
        <v/>
      </c>
      <c r="AI485" s="460" t="str">
        <f t="shared" ca="1" si="107"/>
        <v/>
      </c>
      <c r="AJ485" s="460" t="str">
        <f t="shared" ca="1" si="107"/>
        <v/>
      </c>
      <c r="AK485" s="460" t="str">
        <f t="shared" ca="1" si="107"/>
        <v/>
      </c>
      <c r="AL485" s="460" t="str">
        <f t="shared" ca="1" si="107"/>
        <v/>
      </c>
      <c r="AM485" s="460" t="str">
        <f t="shared" ca="1" si="107"/>
        <v/>
      </c>
      <c r="AN485" s="461" t="str">
        <f t="shared" ca="1" si="107"/>
        <v/>
      </c>
      <c r="AO485" s="474" t="str">
        <f t="shared" ca="1" si="107"/>
        <v/>
      </c>
      <c r="AP485" s="475" t="str">
        <f t="shared" ca="1" si="107"/>
        <v/>
      </c>
      <c r="AQ485" s="479" t="str">
        <f t="array" aca="1" ref="AQ485" ca="1">IF(ROW()-5&lt;=COUNTIF(科目编号,$AR$2),SMALL(IF(科目编号=$AR$2,ROW(科目编号),""),ROW()-5),"")</f>
        <v/>
      </c>
      <c r="AR485" s="480" t="str">
        <f ca="1">IF($BG$2=0,"",IF(AR484="本月合计","本年累计",IF(OR(ROW()=$AU$3,ROW()=$AV$3,ROW()=$AW$3,ROW()=$AX$3,ROW()=$AY$3,ROW()=$AZ$3,ROW()=$BA$3,ROW()=$BB$3,ROW()=$BC$3,ROW()=$BD$3,ROW()=$BE$3,ROW()=$BF$3),"本月合计",IF(ROW()&lt;7,$AQ$6,OFFSET($AQ$6,COUNT($AR$6:AR484),0)))))</f>
        <v/>
      </c>
    </row>
    <row r="486" spans="1:44">
      <c r="A486" s="469" t="str">
        <f ca="1">IFERROR(INDEX(凭证录入!A:A,$AR486),"")</f>
        <v/>
      </c>
      <c r="B486" s="469" t="str">
        <f ca="1">IFERROR(INDEX(凭证录入!B:B,$AR486),"")</f>
        <v/>
      </c>
      <c r="C486" s="470" t="str">
        <f ca="1">IFERROR(INDEX(凭证录入!G:G,$AR486),"")</f>
        <v/>
      </c>
      <c r="D486" s="471" t="str">
        <f ca="1">IFERROR(INDEX(凭证录入!F:F,$AR486),"")</f>
        <v/>
      </c>
      <c r="E486" s="472" t="str">
        <f ca="1">IFERROR(INDEX(凭证录入!H:H,$AR486),$AR486)</f>
        <v/>
      </c>
      <c r="F486" s="473">
        <f ca="1">IF(OR($BG$2=0,$AR486=""),,IF($AR486="本月合计",IF(ROW()=$BG$3,SUM($F$6:$F485),SUM(INDIRECT("$F$"&amp;OFFSET($AU$3,,MATCH(ROW(),$AU$3:$BF$3,)-2)+2&amp;":$E"&amp;ROW()-1))),IF($AR486="本年累计",SUMIF($AR$6:$AR486,"本月合计",$F$6:$F485),INDEX(凭证录入!K:K,$AR486))))</f>
        <v>0</v>
      </c>
      <c r="G486" s="459" t="str">
        <f t="shared" ref="G486:Q501" ca="1" si="108">LEFT(RIGHT(TEXT($F486/1%," ￥0; ￥-0;"),18-COLUMN()))</f>
        <v/>
      </c>
      <c r="H486" s="460" t="str">
        <f t="shared" ca="1" si="108"/>
        <v/>
      </c>
      <c r="I486" s="460" t="str">
        <f t="shared" ca="1" si="108"/>
        <v/>
      </c>
      <c r="J486" s="460" t="str">
        <f t="shared" ca="1" si="108"/>
        <v/>
      </c>
      <c r="K486" s="460" t="str">
        <f t="shared" ca="1" si="108"/>
        <v/>
      </c>
      <c r="L486" s="460" t="str">
        <f t="shared" ca="1" si="108"/>
        <v/>
      </c>
      <c r="M486" s="460" t="str">
        <f t="shared" ca="1" si="108"/>
        <v/>
      </c>
      <c r="N486" s="460" t="str">
        <f t="shared" ca="1" si="108"/>
        <v/>
      </c>
      <c r="O486" s="461" t="str">
        <f t="shared" ca="1" si="108"/>
        <v/>
      </c>
      <c r="P486" s="474" t="str">
        <f t="shared" ca="1" si="108"/>
        <v/>
      </c>
      <c r="Q486" s="475" t="str">
        <f t="shared" ca="1" si="108"/>
        <v/>
      </c>
      <c r="R486" s="476">
        <f ca="1">IF(OR($BG$2=0,$AR486=""),,IF($AR486="本月合计",IF(ROW()=$BG$3,SUM($R$6:$R485),SUM(INDIRECT("$R$"&amp;OFFSET($AU$3,,MATCH(ROW(),$AU$3:$BF$3,)-2)+2&amp;":$R"&amp;ROW()-1))),IF($AR486="本年累计",SUMIF($AR$6:$AR486,"本月合计",$R$6:$R485),INDEX(凭证录入!L:L,$AR486))))</f>
        <v>0</v>
      </c>
      <c r="S486" s="459" t="str">
        <f t="shared" ref="S486:AC501" ca="1" si="109">LEFT(RIGHT(TEXT($R486/1%," ￥0; ￥-0;"),30-COLUMN()))</f>
        <v/>
      </c>
      <c r="T486" s="460" t="str">
        <f t="shared" ca="1" si="109"/>
        <v/>
      </c>
      <c r="U486" s="460" t="str">
        <f t="shared" ca="1" si="109"/>
        <v/>
      </c>
      <c r="V486" s="460" t="str">
        <f t="shared" ca="1" si="109"/>
        <v/>
      </c>
      <c r="W486" s="460" t="str">
        <f t="shared" ca="1" si="109"/>
        <v/>
      </c>
      <c r="X486" s="460" t="str">
        <f t="shared" ca="1" si="109"/>
        <v/>
      </c>
      <c r="Y486" s="460" t="str">
        <f t="shared" ca="1" si="109"/>
        <v/>
      </c>
      <c r="Z486" s="460" t="str">
        <f t="shared" ca="1" si="109"/>
        <v/>
      </c>
      <c r="AA486" s="461" t="str">
        <f t="shared" ca="1" si="109"/>
        <v/>
      </c>
      <c r="AB486" s="474" t="str">
        <f t="shared" ca="1" si="109"/>
        <v/>
      </c>
      <c r="AC486" s="475" t="str">
        <f t="shared" ca="1" si="109"/>
        <v/>
      </c>
      <c r="AD486" s="477" t="str">
        <f t="shared" ca="1" si="102"/>
        <v/>
      </c>
      <c r="AE486" s="478">
        <f t="shared" ca="1" si="103"/>
        <v>0</v>
      </c>
      <c r="AF486" s="459" t="str">
        <f t="shared" ca="1" si="107"/>
        <v/>
      </c>
      <c r="AG486" s="460" t="str">
        <f t="shared" ca="1" si="107"/>
        <v/>
      </c>
      <c r="AH486" s="460" t="str">
        <f t="shared" ca="1" si="107"/>
        <v/>
      </c>
      <c r="AI486" s="460" t="str">
        <f t="shared" ca="1" si="107"/>
        <v/>
      </c>
      <c r="AJ486" s="460" t="str">
        <f t="shared" ca="1" si="107"/>
        <v/>
      </c>
      <c r="AK486" s="460" t="str">
        <f t="shared" ca="1" si="107"/>
        <v/>
      </c>
      <c r="AL486" s="460" t="str">
        <f t="shared" ca="1" si="107"/>
        <v/>
      </c>
      <c r="AM486" s="460" t="str">
        <f t="shared" ca="1" si="107"/>
        <v/>
      </c>
      <c r="AN486" s="461" t="str">
        <f t="shared" ca="1" si="107"/>
        <v/>
      </c>
      <c r="AO486" s="474" t="str">
        <f t="shared" ca="1" si="107"/>
        <v/>
      </c>
      <c r="AP486" s="475" t="str">
        <f t="shared" ca="1" si="107"/>
        <v/>
      </c>
      <c r="AQ486" s="479" t="str">
        <f t="array" aca="1" ref="AQ486" ca="1">IF(ROW()-5&lt;=COUNTIF(科目编号,$AR$2),SMALL(IF(科目编号=$AR$2,ROW(科目编号),""),ROW()-5),"")</f>
        <v/>
      </c>
      <c r="AR486" s="480" t="str">
        <f ca="1">IF($BG$2=0,"",IF(AR485="本月合计","本年累计",IF(OR(ROW()=$AU$3,ROW()=$AV$3,ROW()=$AW$3,ROW()=$AX$3,ROW()=$AY$3,ROW()=$AZ$3,ROW()=$BA$3,ROW()=$BB$3,ROW()=$BC$3,ROW()=$BD$3,ROW()=$BE$3,ROW()=$BF$3),"本月合计",IF(ROW()&lt;7,$AQ$6,OFFSET($AQ$6,COUNT($AR$6:AR485),0)))))</f>
        <v/>
      </c>
    </row>
    <row r="487" spans="1:44">
      <c r="A487" s="469" t="str">
        <f ca="1">IFERROR(INDEX(凭证录入!A:A,$AR487),"")</f>
        <v/>
      </c>
      <c r="B487" s="469" t="str">
        <f ca="1">IFERROR(INDEX(凭证录入!B:B,$AR487),"")</f>
        <v/>
      </c>
      <c r="C487" s="470" t="str">
        <f ca="1">IFERROR(INDEX(凭证录入!G:G,$AR487),"")</f>
        <v/>
      </c>
      <c r="D487" s="471" t="str">
        <f ca="1">IFERROR(INDEX(凭证录入!F:F,$AR487),"")</f>
        <v/>
      </c>
      <c r="E487" s="472" t="str">
        <f ca="1">IFERROR(INDEX(凭证录入!H:H,$AR487),$AR487)</f>
        <v/>
      </c>
      <c r="F487" s="473">
        <f ca="1">IF(OR($BG$2=0,$AR487=""),,IF($AR487="本月合计",IF(ROW()=$BG$3,SUM($F$6:$F486),SUM(INDIRECT("$F$"&amp;OFFSET($AU$3,,MATCH(ROW(),$AU$3:$BF$3,)-2)+2&amp;":$E"&amp;ROW()-1))),IF($AR487="本年累计",SUMIF($AR$6:$AR487,"本月合计",$F$6:$F486),INDEX(凭证录入!K:K,$AR487))))</f>
        <v>0</v>
      </c>
      <c r="G487" s="459" t="str">
        <f t="shared" ca="1" si="108"/>
        <v/>
      </c>
      <c r="H487" s="460" t="str">
        <f t="shared" ca="1" si="108"/>
        <v/>
      </c>
      <c r="I487" s="460" t="str">
        <f t="shared" ca="1" si="108"/>
        <v/>
      </c>
      <c r="J487" s="460" t="str">
        <f t="shared" ca="1" si="108"/>
        <v/>
      </c>
      <c r="K487" s="460" t="str">
        <f t="shared" ca="1" si="108"/>
        <v/>
      </c>
      <c r="L487" s="460" t="str">
        <f t="shared" ca="1" si="108"/>
        <v/>
      </c>
      <c r="M487" s="460" t="str">
        <f t="shared" ca="1" si="108"/>
        <v/>
      </c>
      <c r="N487" s="460" t="str">
        <f t="shared" ca="1" si="108"/>
        <v/>
      </c>
      <c r="O487" s="461" t="str">
        <f t="shared" ca="1" si="108"/>
        <v/>
      </c>
      <c r="P487" s="474" t="str">
        <f t="shared" ca="1" si="108"/>
        <v/>
      </c>
      <c r="Q487" s="475" t="str">
        <f t="shared" ca="1" si="108"/>
        <v/>
      </c>
      <c r="R487" s="476">
        <f ca="1">IF(OR($BG$2=0,$AR487=""),,IF($AR487="本月合计",IF(ROW()=$BG$3,SUM($R$6:$R486),SUM(INDIRECT("$R$"&amp;OFFSET($AU$3,,MATCH(ROW(),$AU$3:$BF$3,)-2)+2&amp;":$R"&amp;ROW()-1))),IF($AR487="本年累计",SUMIF($AR$6:$AR487,"本月合计",$R$6:$R486),INDEX(凭证录入!L:L,$AR487))))</f>
        <v>0</v>
      </c>
      <c r="S487" s="459" t="str">
        <f t="shared" ca="1" si="109"/>
        <v/>
      </c>
      <c r="T487" s="460" t="str">
        <f t="shared" ca="1" si="109"/>
        <v/>
      </c>
      <c r="U487" s="460" t="str">
        <f t="shared" ca="1" si="109"/>
        <v/>
      </c>
      <c r="V487" s="460" t="str">
        <f t="shared" ca="1" si="109"/>
        <v/>
      </c>
      <c r="W487" s="460" t="str">
        <f t="shared" ca="1" si="109"/>
        <v/>
      </c>
      <c r="X487" s="460" t="str">
        <f t="shared" ca="1" si="109"/>
        <v/>
      </c>
      <c r="Y487" s="460" t="str">
        <f t="shared" ca="1" si="109"/>
        <v/>
      </c>
      <c r="Z487" s="460" t="str">
        <f t="shared" ca="1" si="109"/>
        <v/>
      </c>
      <c r="AA487" s="461" t="str">
        <f t="shared" ca="1" si="109"/>
        <v/>
      </c>
      <c r="AB487" s="474" t="str">
        <f t="shared" ca="1" si="109"/>
        <v/>
      </c>
      <c r="AC487" s="475" t="str">
        <f t="shared" ca="1" si="109"/>
        <v/>
      </c>
      <c r="AD487" s="477" t="str">
        <f t="shared" ca="1" si="102"/>
        <v/>
      </c>
      <c r="AE487" s="478">
        <f t="shared" ca="1" si="103"/>
        <v>0</v>
      </c>
      <c r="AF487" s="459" t="str">
        <f t="shared" ca="1" si="107"/>
        <v/>
      </c>
      <c r="AG487" s="460" t="str">
        <f t="shared" ca="1" si="107"/>
        <v/>
      </c>
      <c r="AH487" s="460" t="str">
        <f t="shared" ca="1" si="107"/>
        <v/>
      </c>
      <c r="AI487" s="460" t="str">
        <f t="shared" ca="1" si="107"/>
        <v/>
      </c>
      <c r="AJ487" s="460" t="str">
        <f t="shared" ca="1" si="107"/>
        <v/>
      </c>
      <c r="AK487" s="460" t="str">
        <f t="shared" ca="1" si="107"/>
        <v/>
      </c>
      <c r="AL487" s="460" t="str">
        <f t="shared" ca="1" si="107"/>
        <v/>
      </c>
      <c r="AM487" s="460" t="str">
        <f t="shared" ca="1" si="107"/>
        <v/>
      </c>
      <c r="AN487" s="461" t="str">
        <f t="shared" ca="1" si="107"/>
        <v/>
      </c>
      <c r="AO487" s="474" t="str">
        <f t="shared" ca="1" si="107"/>
        <v/>
      </c>
      <c r="AP487" s="475" t="str">
        <f t="shared" ca="1" si="107"/>
        <v/>
      </c>
      <c r="AQ487" s="479" t="str">
        <f t="array" aca="1" ref="AQ487" ca="1">IF(ROW()-5&lt;=COUNTIF(科目编号,$AR$2),SMALL(IF(科目编号=$AR$2,ROW(科目编号),""),ROW()-5),"")</f>
        <v/>
      </c>
      <c r="AR487" s="480" t="str">
        <f ca="1">IF($BG$2=0,"",IF(AR486="本月合计","本年累计",IF(OR(ROW()=$AU$3,ROW()=$AV$3,ROW()=$AW$3,ROW()=$AX$3,ROW()=$AY$3,ROW()=$AZ$3,ROW()=$BA$3,ROW()=$BB$3,ROW()=$BC$3,ROW()=$BD$3,ROW()=$BE$3,ROW()=$BF$3),"本月合计",IF(ROW()&lt;7,$AQ$6,OFFSET($AQ$6,COUNT($AR$6:AR486),0)))))</f>
        <v/>
      </c>
    </row>
    <row r="488" spans="1:44">
      <c r="A488" s="469" t="str">
        <f ca="1">IFERROR(INDEX(凭证录入!A:A,$AR488),"")</f>
        <v/>
      </c>
      <c r="B488" s="469" t="str">
        <f ca="1">IFERROR(INDEX(凭证录入!B:B,$AR488),"")</f>
        <v/>
      </c>
      <c r="C488" s="470" t="str">
        <f ca="1">IFERROR(INDEX(凭证录入!G:G,$AR488),"")</f>
        <v/>
      </c>
      <c r="D488" s="471" t="str">
        <f ca="1">IFERROR(INDEX(凭证录入!F:F,$AR488),"")</f>
        <v/>
      </c>
      <c r="E488" s="472" t="str">
        <f ca="1">IFERROR(INDEX(凭证录入!H:H,$AR488),$AR488)</f>
        <v/>
      </c>
      <c r="F488" s="473">
        <f ca="1">IF(OR($BG$2=0,$AR488=""),,IF($AR488="本月合计",IF(ROW()=$BG$3,SUM($F$6:$F487),SUM(INDIRECT("$F$"&amp;OFFSET($AU$3,,MATCH(ROW(),$AU$3:$BF$3,)-2)+2&amp;":$E"&amp;ROW()-1))),IF($AR488="本年累计",SUMIF($AR$6:$AR488,"本月合计",$F$6:$F487),INDEX(凭证录入!K:K,$AR488))))</f>
        <v>0</v>
      </c>
      <c r="G488" s="459" t="str">
        <f t="shared" ca="1" si="108"/>
        <v/>
      </c>
      <c r="H488" s="460" t="str">
        <f t="shared" ca="1" si="108"/>
        <v/>
      </c>
      <c r="I488" s="460" t="str">
        <f t="shared" ca="1" si="108"/>
        <v/>
      </c>
      <c r="J488" s="460" t="str">
        <f t="shared" ca="1" si="108"/>
        <v/>
      </c>
      <c r="K488" s="460" t="str">
        <f t="shared" ca="1" si="108"/>
        <v/>
      </c>
      <c r="L488" s="460" t="str">
        <f t="shared" ca="1" si="108"/>
        <v/>
      </c>
      <c r="M488" s="460" t="str">
        <f t="shared" ca="1" si="108"/>
        <v/>
      </c>
      <c r="N488" s="460" t="str">
        <f t="shared" ca="1" si="108"/>
        <v/>
      </c>
      <c r="O488" s="461" t="str">
        <f t="shared" ca="1" si="108"/>
        <v/>
      </c>
      <c r="P488" s="474" t="str">
        <f t="shared" ca="1" si="108"/>
        <v/>
      </c>
      <c r="Q488" s="475" t="str">
        <f t="shared" ca="1" si="108"/>
        <v/>
      </c>
      <c r="R488" s="476">
        <f ca="1">IF(OR($BG$2=0,$AR488=""),,IF($AR488="本月合计",IF(ROW()=$BG$3,SUM($R$6:$R487),SUM(INDIRECT("$R$"&amp;OFFSET($AU$3,,MATCH(ROW(),$AU$3:$BF$3,)-2)+2&amp;":$R"&amp;ROW()-1))),IF($AR488="本年累计",SUMIF($AR$6:$AR488,"本月合计",$R$6:$R487),INDEX(凭证录入!L:L,$AR488))))</f>
        <v>0</v>
      </c>
      <c r="S488" s="459" t="str">
        <f t="shared" ca="1" si="109"/>
        <v/>
      </c>
      <c r="T488" s="460" t="str">
        <f t="shared" ca="1" si="109"/>
        <v/>
      </c>
      <c r="U488" s="460" t="str">
        <f t="shared" ca="1" si="109"/>
        <v/>
      </c>
      <c r="V488" s="460" t="str">
        <f t="shared" ca="1" si="109"/>
        <v/>
      </c>
      <c r="W488" s="460" t="str">
        <f t="shared" ca="1" si="109"/>
        <v/>
      </c>
      <c r="X488" s="460" t="str">
        <f t="shared" ca="1" si="109"/>
        <v/>
      </c>
      <c r="Y488" s="460" t="str">
        <f t="shared" ca="1" si="109"/>
        <v/>
      </c>
      <c r="Z488" s="460" t="str">
        <f t="shared" ca="1" si="109"/>
        <v/>
      </c>
      <c r="AA488" s="461" t="str">
        <f t="shared" ca="1" si="109"/>
        <v/>
      </c>
      <c r="AB488" s="474" t="str">
        <f t="shared" ca="1" si="109"/>
        <v/>
      </c>
      <c r="AC488" s="475" t="str">
        <f t="shared" ca="1" si="109"/>
        <v/>
      </c>
      <c r="AD488" s="477" t="str">
        <f t="shared" ca="1" si="102"/>
        <v/>
      </c>
      <c r="AE488" s="478">
        <f t="shared" ca="1" si="103"/>
        <v>0</v>
      </c>
      <c r="AF488" s="459" t="str">
        <f t="shared" ca="1" si="107"/>
        <v/>
      </c>
      <c r="AG488" s="460" t="str">
        <f t="shared" ca="1" si="107"/>
        <v/>
      </c>
      <c r="AH488" s="460" t="str">
        <f t="shared" ca="1" si="107"/>
        <v/>
      </c>
      <c r="AI488" s="460" t="str">
        <f t="shared" ca="1" si="107"/>
        <v/>
      </c>
      <c r="AJ488" s="460" t="str">
        <f t="shared" ca="1" si="107"/>
        <v/>
      </c>
      <c r="AK488" s="460" t="str">
        <f t="shared" ca="1" si="107"/>
        <v/>
      </c>
      <c r="AL488" s="460" t="str">
        <f t="shared" ca="1" si="107"/>
        <v/>
      </c>
      <c r="AM488" s="460" t="str">
        <f t="shared" ca="1" si="107"/>
        <v/>
      </c>
      <c r="AN488" s="461" t="str">
        <f t="shared" ca="1" si="107"/>
        <v/>
      </c>
      <c r="AO488" s="474" t="str">
        <f t="shared" ca="1" si="107"/>
        <v/>
      </c>
      <c r="AP488" s="475" t="str">
        <f t="shared" ca="1" si="107"/>
        <v/>
      </c>
      <c r="AQ488" s="479" t="str">
        <f t="array" aca="1" ref="AQ488" ca="1">IF(ROW()-5&lt;=COUNTIF(科目编号,$AR$2),SMALL(IF(科目编号=$AR$2,ROW(科目编号),""),ROW()-5),"")</f>
        <v/>
      </c>
      <c r="AR488" s="480" t="str">
        <f ca="1">IF($BG$2=0,"",IF(AR487="本月合计","本年累计",IF(OR(ROW()=$AU$3,ROW()=$AV$3,ROW()=$AW$3,ROW()=$AX$3,ROW()=$AY$3,ROW()=$AZ$3,ROW()=$BA$3,ROW()=$BB$3,ROW()=$BC$3,ROW()=$BD$3,ROW()=$BE$3,ROW()=$BF$3),"本月合计",IF(ROW()&lt;7,$AQ$6,OFFSET($AQ$6,COUNT($AR$6:AR487),0)))))</f>
        <v/>
      </c>
    </row>
    <row r="489" spans="1:44">
      <c r="A489" s="469" t="str">
        <f ca="1">IFERROR(INDEX(凭证录入!A:A,$AR489),"")</f>
        <v/>
      </c>
      <c r="B489" s="469" t="str">
        <f ca="1">IFERROR(INDEX(凭证录入!B:B,$AR489),"")</f>
        <v/>
      </c>
      <c r="C489" s="470" t="str">
        <f ca="1">IFERROR(INDEX(凭证录入!G:G,$AR489),"")</f>
        <v/>
      </c>
      <c r="D489" s="471" t="str">
        <f ca="1">IFERROR(INDEX(凭证录入!F:F,$AR489),"")</f>
        <v/>
      </c>
      <c r="E489" s="472" t="str">
        <f ca="1">IFERROR(INDEX(凭证录入!H:H,$AR489),$AR489)</f>
        <v/>
      </c>
      <c r="F489" s="473">
        <f ca="1">IF(OR($BG$2=0,$AR489=""),,IF($AR489="本月合计",IF(ROW()=$BG$3,SUM($F$6:$F488),SUM(INDIRECT("$F$"&amp;OFFSET($AU$3,,MATCH(ROW(),$AU$3:$BF$3,)-2)+2&amp;":$E"&amp;ROW()-1))),IF($AR489="本年累计",SUMIF($AR$6:$AR489,"本月合计",$F$6:$F488),INDEX(凭证录入!K:K,$AR489))))</f>
        <v>0</v>
      </c>
      <c r="G489" s="459" t="str">
        <f t="shared" ca="1" si="108"/>
        <v/>
      </c>
      <c r="H489" s="460" t="str">
        <f t="shared" ca="1" si="108"/>
        <v/>
      </c>
      <c r="I489" s="460" t="str">
        <f t="shared" ca="1" si="108"/>
        <v/>
      </c>
      <c r="J489" s="460" t="str">
        <f t="shared" ca="1" si="108"/>
        <v/>
      </c>
      <c r="K489" s="460" t="str">
        <f t="shared" ca="1" si="108"/>
        <v/>
      </c>
      <c r="L489" s="460" t="str">
        <f t="shared" ca="1" si="108"/>
        <v/>
      </c>
      <c r="M489" s="460" t="str">
        <f t="shared" ca="1" si="108"/>
        <v/>
      </c>
      <c r="N489" s="460" t="str">
        <f t="shared" ca="1" si="108"/>
        <v/>
      </c>
      <c r="O489" s="461" t="str">
        <f t="shared" ca="1" si="108"/>
        <v/>
      </c>
      <c r="P489" s="474" t="str">
        <f t="shared" ca="1" si="108"/>
        <v/>
      </c>
      <c r="Q489" s="475" t="str">
        <f t="shared" ca="1" si="108"/>
        <v/>
      </c>
      <c r="R489" s="476">
        <f ca="1">IF(OR($BG$2=0,$AR489=""),,IF($AR489="本月合计",IF(ROW()=$BG$3,SUM($R$6:$R488),SUM(INDIRECT("$R$"&amp;OFFSET($AU$3,,MATCH(ROW(),$AU$3:$BF$3,)-2)+2&amp;":$R"&amp;ROW()-1))),IF($AR489="本年累计",SUMIF($AR$6:$AR489,"本月合计",$R$6:$R488),INDEX(凭证录入!L:L,$AR489))))</f>
        <v>0</v>
      </c>
      <c r="S489" s="459" t="str">
        <f t="shared" ca="1" si="109"/>
        <v/>
      </c>
      <c r="T489" s="460" t="str">
        <f t="shared" ca="1" si="109"/>
        <v/>
      </c>
      <c r="U489" s="460" t="str">
        <f t="shared" ca="1" si="109"/>
        <v/>
      </c>
      <c r="V489" s="460" t="str">
        <f t="shared" ca="1" si="109"/>
        <v/>
      </c>
      <c r="W489" s="460" t="str">
        <f t="shared" ca="1" si="109"/>
        <v/>
      </c>
      <c r="X489" s="460" t="str">
        <f t="shared" ca="1" si="109"/>
        <v/>
      </c>
      <c r="Y489" s="460" t="str">
        <f t="shared" ca="1" si="109"/>
        <v/>
      </c>
      <c r="Z489" s="460" t="str">
        <f t="shared" ca="1" si="109"/>
        <v/>
      </c>
      <c r="AA489" s="461" t="str">
        <f t="shared" ca="1" si="109"/>
        <v/>
      </c>
      <c r="AB489" s="474" t="str">
        <f t="shared" ca="1" si="109"/>
        <v/>
      </c>
      <c r="AC489" s="475" t="str">
        <f t="shared" ca="1" si="109"/>
        <v/>
      </c>
      <c r="AD489" s="477" t="str">
        <f t="shared" ca="1" si="102"/>
        <v/>
      </c>
      <c r="AE489" s="478">
        <f t="shared" ca="1" si="103"/>
        <v>0</v>
      </c>
      <c r="AF489" s="459" t="str">
        <f t="shared" ca="1" si="107"/>
        <v/>
      </c>
      <c r="AG489" s="460" t="str">
        <f t="shared" ca="1" si="107"/>
        <v/>
      </c>
      <c r="AH489" s="460" t="str">
        <f t="shared" ca="1" si="107"/>
        <v/>
      </c>
      <c r="AI489" s="460" t="str">
        <f t="shared" ca="1" si="107"/>
        <v/>
      </c>
      <c r="AJ489" s="460" t="str">
        <f t="shared" ca="1" si="107"/>
        <v/>
      </c>
      <c r="AK489" s="460" t="str">
        <f t="shared" ca="1" si="107"/>
        <v/>
      </c>
      <c r="AL489" s="460" t="str">
        <f t="shared" ca="1" si="107"/>
        <v/>
      </c>
      <c r="AM489" s="460" t="str">
        <f t="shared" ca="1" si="107"/>
        <v/>
      </c>
      <c r="AN489" s="461" t="str">
        <f t="shared" ca="1" si="107"/>
        <v/>
      </c>
      <c r="AO489" s="474" t="str">
        <f t="shared" ca="1" si="107"/>
        <v/>
      </c>
      <c r="AP489" s="475" t="str">
        <f t="shared" ca="1" si="107"/>
        <v/>
      </c>
      <c r="AQ489" s="479" t="str">
        <f t="array" aca="1" ref="AQ489" ca="1">IF(ROW()-5&lt;=COUNTIF(科目编号,$AR$2),SMALL(IF(科目编号=$AR$2,ROW(科目编号),""),ROW()-5),"")</f>
        <v/>
      </c>
      <c r="AR489" s="480" t="str">
        <f ca="1">IF($BG$2=0,"",IF(AR488="本月合计","本年累计",IF(OR(ROW()=$AU$3,ROW()=$AV$3,ROW()=$AW$3,ROW()=$AX$3,ROW()=$AY$3,ROW()=$AZ$3,ROW()=$BA$3,ROW()=$BB$3,ROW()=$BC$3,ROW()=$BD$3,ROW()=$BE$3,ROW()=$BF$3),"本月合计",IF(ROW()&lt;7,$AQ$6,OFFSET($AQ$6,COUNT($AR$6:AR488),0)))))</f>
        <v/>
      </c>
    </row>
    <row r="490" spans="1:44">
      <c r="A490" s="469" t="str">
        <f ca="1">IFERROR(INDEX(凭证录入!A:A,$AR490),"")</f>
        <v/>
      </c>
      <c r="B490" s="469" t="str">
        <f ca="1">IFERROR(INDEX(凭证录入!B:B,$AR490),"")</f>
        <v/>
      </c>
      <c r="C490" s="470" t="str">
        <f ca="1">IFERROR(INDEX(凭证录入!G:G,$AR490),"")</f>
        <v/>
      </c>
      <c r="D490" s="471" t="str">
        <f ca="1">IFERROR(INDEX(凭证录入!F:F,$AR490),"")</f>
        <v/>
      </c>
      <c r="E490" s="472" t="str">
        <f ca="1">IFERROR(INDEX(凭证录入!H:H,$AR490),$AR490)</f>
        <v/>
      </c>
      <c r="F490" s="473">
        <f ca="1">IF(OR($BG$2=0,$AR490=""),,IF($AR490="本月合计",IF(ROW()=$BG$3,SUM($F$6:$F489),SUM(INDIRECT("$F$"&amp;OFFSET($AU$3,,MATCH(ROW(),$AU$3:$BF$3,)-2)+2&amp;":$E"&amp;ROW()-1))),IF($AR490="本年累计",SUMIF($AR$6:$AR490,"本月合计",$F$6:$F489),INDEX(凭证录入!K:K,$AR490))))</f>
        <v>0</v>
      </c>
      <c r="G490" s="459" t="str">
        <f t="shared" ca="1" si="108"/>
        <v/>
      </c>
      <c r="H490" s="460" t="str">
        <f t="shared" ca="1" si="108"/>
        <v/>
      </c>
      <c r="I490" s="460" t="str">
        <f t="shared" ca="1" si="108"/>
        <v/>
      </c>
      <c r="J490" s="460" t="str">
        <f t="shared" ca="1" si="108"/>
        <v/>
      </c>
      <c r="K490" s="460" t="str">
        <f t="shared" ca="1" si="108"/>
        <v/>
      </c>
      <c r="L490" s="460" t="str">
        <f t="shared" ca="1" si="108"/>
        <v/>
      </c>
      <c r="M490" s="460" t="str">
        <f t="shared" ca="1" si="108"/>
        <v/>
      </c>
      <c r="N490" s="460" t="str">
        <f t="shared" ca="1" si="108"/>
        <v/>
      </c>
      <c r="O490" s="461" t="str">
        <f t="shared" ca="1" si="108"/>
        <v/>
      </c>
      <c r="P490" s="474" t="str">
        <f t="shared" ca="1" si="108"/>
        <v/>
      </c>
      <c r="Q490" s="475" t="str">
        <f t="shared" ca="1" si="108"/>
        <v/>
      </c>
      <c r="R490" s="476">
        <f ca="1">IF(OR($BG$2=0,$AR490=""),,IF($AR490="本月合计",IF(ROW()=$BG$3,SUM($R$6:$R489),SUM(INDIRECT("$R$"&amp;OFFSET($AU$3,,MATCH(ROW(),$AU$3:$BF$3,)-2)+2&amp;":$R"&amp;ROW()-1))),IF($AR490="本年累计",SUMIF($AR$6:$AR490,"本月合计",$R$6:$R489),INDEX(凭证录入!L:L,$AR490))))</f>
        <v>0</v>
      </c>
      <c r="S490" s="459" t="str">
        <f t="shared" ca="1" si="109"/>
        <v/>
      </c>
      <c r="T490" s="460" t="str">
        <f t="shared" ca="1" si="109"/>
        <v/>
      </c>
      <c r="U490" s="460" t="str">
        <f t="shared" ca="1" si="109"/>
        <v/>
      </c>
      <c r="V490" s="460" t="str">
        <f t="shared" ca="1" si="109"/>
        <v/>
      </c>
      <c r="W490" s="460" t="str">
        <f t="shared" ca="1" si="109"/>
        <v/>
      </c>
      <c r="X490" s="460" t="str">
        <f t="shared" ca="1" si="109"/>
        <v/>
      </c>
      <c r="Y490" s="460" t="str">
        <f t="shared" ca="1" si="109"/>
        <v/>
      </c>
      <c r="Z490" s="460" t="str">
        <f t="shared" ca="1" si="109"/>
        <v/>
      </c>
      <c r="AA490" s="461" t="str">
        <f t="shared" ca="1" si="109"/>
        <v/>
      </c>
      <c r="AB490" s="474" t="str">
        <f t="shared" ca="1" si="109"/>
        <v/>
      </c>
      <c r="AC490" s="475" t="str">
        <f t="shared" ca="1" si="109"/>
        <v/>
      </c>
      <c r="AD490" s="477" t="str">
        <f t="shared" ca="1" si="102"/>
        <v/>
      </c>
      <c r="AE490" s="478">
        <f t="shared" ca="1" si="103"/>
        <v>0</v>
      </c>
      <c r="AF490" s="459" t="str">
        <f t="shared" ca="1" si="107"/>
        <v/>
      </c>
      <c r="AG490" s="460" t="str">
        <f t="shared" ca="1" si="107"/>
        <v/>
      </c>
      <c r="AH490" s="460" t="str">
        <f t="shared" ca="1" si="107"/>
        <v/>
      </c>
      <c r="AI490" s="460" t="str">
        <f t="shared" ca="1" si="107"/>
        <v/>
      </c>
      <c r="AJ490" s="460" t="str">
        <f t="shared" ca="1" si="107"/>
        <v/>
      </c>
      <c r="AK490" s="460" t="str">
        <f t="shared" ca="1" si="107"/>
        <v/>
      </c>
      <c r="AL490" s="460" t="str">
        <f t="shared" ca="1" si="107"/>
        <v/>
      </c>
      <c r="AM490" s="460" t="str">
        <f t="shared" ca="1" si="107"/>
        <v/>
      </c>
      <c r="AN490" s="461" t="str">
        <f t="shared" ca="1" si="107"/>
        <v/>
      </c>
      <c r="AO490" s="474" t="str">
        <f t="shared" ca="1" si="107"/>
        <v/>
      </c>
      <c r="AP490" s="475" t="str">
        <f t="shared" ca="1" si="107"/>
        <v/>
      </c>
      <c r="AQ490" s="479" t="str">
        <f t="array" aca="1" ref="AQ490" ca="1">IF(ROW()-5&lt;=COUNTIF(科目编号,$AR$2),SMALL(IF(科目编号=$AR$2,ROW(科目编号),""),ROW()-5),"")</f>
        <v/>
      </c>
      <c r="AR490" s="480" t="str">
        <f ca="1">IF($BG$2=0,"",IF(AR489="本月合计","本年累计",IF(OR(ROW()=$AU$3,ROW()=$AV$3,ROW()=$AW$3,ROW()=$AX$3,ROW()=$AY$3,ROW()=$AZ$3,ROW()=$BA$3,ROW()=$BB$3,ROW()=$BC$3,ROW()=$BD$3,ROW()=$BE$3,ROW()=$BF$3),"本月合计",IF(ROW()&lt;7,$AQ$6,OFFSET($AQ$6,COUNT($AR$6:AR489),0)))))</f>
        <v/>
      </c>
    </row>
    <row r="491" spans="1:44">
      <c r="A491" s="469" t="str">
        <f ca="1">IFERROR(INDEX(凭证录入!A:A,$AR491),"")</f>
        <v/>
      </c>
      <c r="B491" s="469" t="str">
        <f ca="1">IFERROR(INDEX(凭证录入!B:B,$AR491),"")</f>
        <v/>
      </c>
      <c r="C491" s="470" t="str">
        <f ca="1">IFERROR(INDEX(凭证录入!G:G,$AR491),"")</f>
        <v/>
      </c>
      <c r="D491" s="471" t="str">
        <f ca="1">IFERROR(INDEX(凭证录入!F:F,$AR491),"")</f>
        <v/>
      </c>
      <c r="E491" s="472" t="str">
        <f ca="1">IFERROR(INDEX(凭证录入!H:H,$AR491),$AR491)</f>
        <v/>
      </c>
      <c r="F491" s="473">
        <f ca="1">IF(OR($BG$2=0,$AR491=""),,IF($AR491="本月合计",IF(ROW()=$BG$3,SUM($F$6:$F490),SUM(INDIRECT("$F$"&amp;OFFSET($AU$3,,MATCH(ROW(),$AU$3:$BF$3,)-2)+2&amp;":$E"&amp;ROW()-1))),IF($AR491="本年累计",SUMIF($AR$6:$AR491,"本月合计",$F$6:$F490),INDEX(凭证录入!K:K,$AR491))))</f>
        <v>0</v>
      </c>
      <c r="G491" s="459" t="str">
        <f t="shared" ca="1" si="108"/>
        <v/>
      </c>
      <c r="H491" s="460" t="str">
        <f t="shared" ca="1" si="108"/>
        <v/>
      </c>
      <c r="I491" s="460" t="str">
        <f t="shared" ca="1" si="108"/>
        <v/>
      </c>
      <c r="J491" s="460" t="str">
        <f t="shared" ca="1" si="108"/>
        <v/>
      </c>
      <c r="K491" s="460" t="str">
        <f t="shared" ca="1" si="108"/>
        <v/>
      </c>
      <c r="L491" s="460" t="str">
        <f t="shared" ca="1" si="108"/>
        <v/>
      </c>
      <c r="M491" s="460" t="str">
        <f t="shared" ca="1" si="108"/>
        <v/>
      </c>
      <c r="N491" s="460" t="str">
        <f t="shared" ca="1" si="108"/>
        <v/>
      </c>
      <c r="O491" s="461" t="str">
        <f t="shared" ca="1" si="108"/>
        <v/>
      </c>
      <c r="P491" s="474" t="str">
        <f t="shared" ca="1" si="108"/>
        <v/>
      </c>
      <c r="Q491" s="475" t="str">
        <f t="shared" ca="1" si="108"/>
        <v/>
      </c>
      <c r="R491" s="476">
        <f ca="1">IF(OR($BG$2=0,$AR491=""),,IF($AR491="本月合计",IF(ROW()=$BG$3,SUM($R$6:$R490),SUM(INDIRECT("$R$"&amp;OFFSET($AU$3,,MATCH(ROW(),$AU$3:$BF$3,)-2)+2&amp;":$R"&amp;ROW()-1))),IF($AR491="本年累计",SUMIF($AR$6:$AR491,"本月合计",$R$6:$R490),INDEX(凭证录入!L:L,$AR491))))</f>
        <v>0</v>
      </c>
      <c r="S491" s="459" t="str">
        <f t="shared" ca="1" si="109"/>
        <v/>
      </c>
      <c r="T491" s="460" t="str">
        <f t="shared" ca="1" si="109"/>
        <v/>
      </c>
      <c r="U491" s="460" t="str">
        <f t="shared" ca="1" si="109"/>
        <v/>
      </c>
      <c r="V491" s="460" t="str">
        <f t="shared" ca="1" si="109"/>
        <v/>
      </c>
      <c r="W491" s="460" t="str">
        <f t="shared" ca="1" si="109"/>
        <v/>
      </c>
      <c r="X491" s="460" t="str">
        <f t="shared" ca="1" si="109"/>
        <v/>
      </c>
      <c r="Y491" s="460" t="str">
        <f t="shared" ca="1" si="109"/>
        <v/>
      </c>
      <c r="Z491" s="460" t="str">
        <f t="shared" ca="1" si="109"/>
        <v/>
      </c>
      <c r="AA491" s="461" t="str">
        <f t="shared" ca="1" si="109"/>
        <v/>
      </c>
      <c r="AB491" s="474" t="str">
        <f t="shared" ca="1" si="109"/>
        <v/>
      </c>
      <c r="AC491" s="475" t="str">
        <f t="shared" ca="1" si="109"/>
        <v/>
      </c>
      <c r="AD491" s="477" t="str">
        <f t="shared" ca="1" si="102"/>
        <v/>
      </c>
      <c r="AE491" s="478">
        <f t="shared" ca="1" si="103"/>
        <v>0</v>
      </c>
      <c r="AF491" s="459" t="str">
        <f t="shared" ca="1" si="107"/>
        <v/>
      </c>
      <c r="AG491" s="460" t="str">
        <f t="shared" ca="1" si="107"/>
        <v/>
      </c>
      <c r="AH491" s="460" t="str">
        <f t="shared" ca="1" si="107"/>
        <v/>
      </c>
      <c r="AI491" s="460" t="str">
        <f t="shared" ca="1" si="107"/>
        <v/>
      </c>
      <c r="AJ491" s="460" t="str">
        <f t="shared" ca="1" si="107"/>
        <v/>
      </c>
      <c r="AK491" s="460" t="str">
        <f t="shared" ca="1" si="107"/>
        <v/>
      </c>
      <c r="AL491" s="460" t="str">
        <f t="shared" ca="1" si="107"/>
        <v/>
      </c>
      <c r="AM491" s="460" t="str">
        <f t="shared" ca="1" si="107"/>
        <v/>
      </c>
      <c r="AN491" s="461" t="str">
        <f t="shared" ca="1" si="107"/>
        <v/>
      </c>
      <c r="AO491" s="474" t="str">
        <f t="shared" ca="1" si="107"/>
        <v/>
      </c>
      <c r="AP491" s="475" t="str">
        <f t="shared" ca="1" si="107"/>
        <v/>
      </c>
      <c r="AQ491" s="479" t="str">
        <f t="array" aca="1" ref="AQ491" ca="1">IF(ROW()-5&lt;=COUNTIF(科目编号,$AR$2),SMALL(IF(科目编号=$AR$2,ROW(科目编号),""),ROW()-5),"")</f>
        <v/>
      </c>
      <c r="AR491" s="480" t="str">
        <f ca="1">IF($BG$2=0,"",IF(AR490="本月合计","本年累计",IF(OR(ROW()=$AU$3,ROW()=$AV$3,ROW()=$AW$3,ROW()=$AX$3,ROW()=$AY$3,ROW()=$AZ$3,ROW()=$BA$3,ROW()=$BB$3,ROW()=$BC$3,ROW()=$BD$3,ROW()=$BE$3,ROW()=$BF$3),"本月合计",IF(ROW()&lt;7,$AQ$6,OFFSET($AQ$6,COUNT($AR$6:AR490),0)))))</f>
        <v/>
      </c>
    </row>
    <row r="492" spans="1:44">
      <c r="A492" s="469" t="str">
        <f ca="1">IFERROR(INDEX(凭证录入!A:A,$AR492),"")</f>
        <v/>
      </c>
      <c r="B492" s="469" t="str">
        <f ca="1">IFERROR(INDEX(凭证录入!B:B,$AR492),"")</f>
        <v/>
      </c>
      <c r="C492" s="470" t="str">
        <f ca="1">IFERROR(INDEX(凭证录入!G:G,$AR492),"")</f>
        <v/>
      </c>
      <c r="D492" s="471" t="str">
        <f ca="1">IFERROR(INDEX(凭证录入!F:F,$AR492),"")</f>
        <v/>
      </c>
      <c r="E492" s="472" t="str">
        <f ca="1">IFERROR(INDEX(凭证录入!H:H,$AR492),$AR492)</f>
        <v/>
      </c>
      <c r="F492" s="473">
        <f ca="1">IF(OR($BG$2=0,$AR492=""),,IF($AR492="本月合计",IF(ROW()=$BG$3,SUM($F$6:$F491),SUM(INDIRECT("$F$"&amp;OFFSET($AU$3,,MATCH(ROW(),$AU$3:$BF$3,)-2)+2&amp;":$E"&amp;ROW()-1))),IF($AR492="本年累计",SUMIF($AR$6:$AR492,"本月合计",$F$6:$F491),INDEX(凭证录入!K:K,$AR492))))</f>
        <v>0</v>
      </c>
      <c r="G492" s="459" t="str">
        <f t="shared" ca="1" si="108"/>
        <v/>
      </c>
      <c r="H492" s="460" t="str">
        <f t="shared" ca="1" si="108"/>
        <v/>
      </c>
      <c r="I492" s="460" t="str">
        <f t="shared" ca="1" si="108"/>
        <v/>
      </c>
      <c r="J492" s="460" t="str">
        <f t="shared" ca="1" si="108"/>
        <v/>
      </c>
      <c r="K492" s="460" t="str">
        <f t="shared" ca="1" si="108"/>
        <v/>
      </c>
      <c r="L492" s="460" t="str">
        <f t="shared" ca="1" si="108"/>
        <v/>
      </c>
      <c r="M492" s="460" t="str">
        <f t="shared" ca="1" si="108"/>
        <v/>
      </c>
      <c r="N492" s="460" t="str">
        <f t="shared" ca="1" si="108"/>
        <v/>
      </c>
      <c r="O492" s="461" t="str">
        <f t="shared" ca="1" si="108"/>
        <v/>
      </c>
      <c r="P492" s="474" t="str">
        <f t="shared" ca="1" si="108"/>
        <v/>
      </c>
      <c r="Q492" s="475" t="str">
        <f t="shared" ca="1" si="108"/>
        <v/>
      </c>
      <c r="R492" s="476">
        <f ca="1">IF(OR($BG$2=0,$AR492=""),,IF($AR492="本月合计",IF(ROW()=$BG$3,SUM($R$6:$R491),SUM(INDIRECT("$R$"&amp;OFFSET($AU$3,,MATCH(ROW(),$AU$3:$BF$3,)-2)+2&amp;":$R"&amp;ROW()-1))),IF($AR492="本年累计",SUMIF($AR$6:$AR492,"本月合计",$R$6:$R491),INDEX(凭证录入!L:L,$AR492))))</f>
        <v>0</v>
      </c>
      <c r="S492" s="459" t="str">
        <f t="shared" ca="1" si="109"/>
        <v/>
      </c>
      <c r="T492" s="460" t="str">
        <f t="shared" ca="1" si="109"/>
        <v/>
      </c>
      <c r="U492" s="460" t="str">
        <f t="shared" ca="1" si="109"/>
        <v/>
      </c>
      <c r="V492" s="460" t="str">
        <f t="shared" ca="1" si="109"/>
        <v/>
      </c>
      <c r="W492" s="460" t="str">
        <f t="shared" ca="1" si="109"/>
        <v/>
      </c>
      <c r="X492" s="460" t="str">
        <f t="shared" ca="1" si="109"/>
        <v/>
      </c>
      <c r="Y492" s="460" t="str">
        <f t="shared" ca="1" si="109"/>
        <v/>
      </c>
      <c r="Z492" s="460" t="str">
        <f t="shared" ca="1" si="109"/>
        <v/>
      </c>
      <c r="AA492" s="461" t="str">
        <f t="shared" ca="1" si="109"/>
        <v/>
      </c>
      <c r="AB492" s="474" t="str">
        <f t="shared" ca="1" si="109"/>
        <v/>
      </c>
      <c r="AC492" s="475" t="str">
        <f t="shared" ca="1" si="109"/>
        <v/>
      </c>
      <c r="AD492" s="477" t="str">
        <f t="shared" ca="1" si="102"/>
        <v/>
      </c>
      <c r="AE492" s="478">
        <f t="shared" ca="1" si="103"/>
        <v>0</v>
      </c>
      <c r="AF492" s="459" t="str">
        <f t="shared" ca="1" si="107"/>
        <v/>
      </c>
      <c r="AG492" s="460" t="str">
        <f t="shared" ca="1" si="107"/>
        <v/>
      </c>
      <c r="AH492" s="460" t="str">
        <f t="shared" ca="1" si="107"/>
        <v/>
      </c>
      <c r="AI492" s="460" t="str">
        <f t="shared" ca="1" si="107"/>
        <v/>
      </c>
      <c r="AJ492" s="460" t="str">
        <f t="shared" ca="1" si="107"/>
        <v/>
      </c>
      <c r="AK492" s="460" t="str">
        <f t="shared" ca="1" si="107"/>
        <v/>
      </c>
      <c r="AL492" s="460" t="str">
        <f t="shared" ca="1" si="107"/>
        <v/>
      </c>
      <c r="AM492" s="460" t="str">
        <f t="shared" ca="1" si="107"/>
        <v/>
      </c>
      <c r="AN492" s="461" t="str">
        <f t="shared" ca="1" si="107"/>
        <v/>
      </c>
      <c r="AO492" s="474" t="str">
        <f t="shared" ca="1" si="107"/>
        <v/>
      </c>
      <c r="AP492" s="475" t="str">
        <f t="shared" ca="1" si="107"/>
        <v/>
      </c>
      <c r="AQ492" s="479" t="str">
        <f t="array" aca="1" ref="AQ492" ca="1">IF(ROW()-5&lt;=COUNTIF(科目编号,$AR$2),SMALL(IF(科目编号=$AR$2,ROW(科目编号),""),ROW()-5),"")</f>
        <v/>
      </c>
      <c r="AR492" s="480" t="str">
        <f ca="1">IF($BG$2=0,"",IF(AR491="本月合计","本年累计",IF(OR(ROW()=$AU$3,ROW()=$AV$3,ROW()=$AW$3,ROW()=$AX$3,ROW()=$AY$3,ROW()=$AZ$3,ROW()=$BA$3,ROW()=$BB$3,ROW()=$BC$3,ROW()=$BD$3,ROW()=$BE$3,ROW()=$BF$3),"本月合计",IF(ROW()&lt;7,$AQ$6,OFFSET($AQ$6,COUNT($AR$6:AR491),0)))))</f>
        <v/>
      </c>
    </row>
    <row r="493" spans="1:44">
      <c r="A493" s="469" t="str">
        <f ca="1">IFERROR(INDEX(凭证录入!A:A,$AR493),"")</f>
        <v/>
      </c>
      <c r="B493" s="469" t="str">
        <f ca="1">IFERROR(INDEX(凭证录入!B:B,$AR493),"")</f>
        <v/>
      </c>
      <c r="C493" s="470" t="str">
        <f ca="1">IFERROR(INDEX(凭证录入!G:G,$AR493),"")</f>
        <v/>
      </c>
      <c r="D493" s="471" t="str">
        <f ca="1">IFERROR(INDEX(凭证录入!F:F,$AR493),"")</f>
        <v/>
      </c>
      <c r="E493" s="472" t="str">
        <f ca="1">IFERROR(INDEX(凭证录入!H:H,$AR493),$AR493)</f>
        <v/>
      </c>
      <c r="F493" s="473">
        <f ca="1">IF(OR($BG$2=0,$AR493=""),,IF($AR493="本月合计",IF(ROW()=$BG$3,SUM($F$6:$F492),SUM(INDIRECT("$F$"&amp;OFFSET($AU$3,,MATCH(ROW(),$AU$3:$BF$3,)-2)+2&amp;":$E"&amp;ROW()-1))),IF($AR493="本年累计",SUMIF($AR$6:$AR493,"本月合计",$F$6:$F492),INDEX(凭证录入!K:K,$AR493))))</f>
        <v>0</v>
      </c>
      <c r="G493" s="459" t="str">
        <f t="shared" ca="1" si="108"/>
        <v/>
      </c>
      <c r="H493" s="460" t="str">
        <f t="shared" ca="1" si="108"/>
        <v/>
      </c>
      <c r="I493" s="460" t="str">
        <f t="shared" ca="1" si="108"/>
        <v/>
      </c>
      <c r="J493" s="460" t="str">
        <f t="shared" ca="1" si="108"/>
        <v/>
      </c>
      <c r="K493" s="460" t="str">
        <f t="shared" ca="1" si="108"/>
        <v/>
      </c>
      <c r="L493" s="460" t="str">
        <f t="shared" ca="1" si="108"/>
        <v/>
      </c>
      <c r="M493" s="460" t="str">
        <f t="shared" ca="1" si="108"/>
        <v/>
      </c>
      <c r="N493" s="460" t="str">
        <f t="shared" ca="1" si="108"/>
        <v/>
      </c>
      <c r="O493" s="461" t="str">
        <f t="shared" ca="1" si="108"/>
        <v/>
      </c>
      <c r="P493" s="474" t="str">
        <f t="shared" ca="1" si="108"/>
        <v/>
      </c>
      <c r="Q493" s="475" t="str">
        <f t="shared" ca="1" si="108"/>
        <v/>
      </c>
      <c r="R493" s="476">
        <f ca="1">IF(OR($BG$2=0,$AR493=""),,IF($AR493="本月合计",IF(ROW()=$BG$3,SUM($R$6:$R492),SUM(INDIRECT("$R$"&amp;OFFSET($AU$3,,MATCH(ROW(),$AU$3:$BF$3,)-2)+2&amp;":$R"&amp;ROW()-1))),IF($AR493="本年累计",SUMIF($AR$6:$AR493,"本月合计",$R$6:$R492),INDEX(凭证录入!L:L,$AR493))))</f>
        <v>0</v>
      </c>
      <c r="S493" s="459" t="str">
        <f t="shared" ca="1" si="109"/>
        <v/>
      </c>
      <c r="T493" s="460" t="str">
        <f t="shared" ca="1" si="109"/>
        <v/>
      </c>
      <c r="U493" s="460" t="str">
        <f t="shared" ca="1" si="109"/>
        <v/>
      </c>
      <c r="V493" s="460" t="str">
        <f t="shared" ca="1" si="109"/>
        <v/>
      </c>
      <c r="W493" s="460" t="str">
        <f t="shared" ca="1" si="109"/>
        <v/>
      </c>
      <c r="X493" s="460" t="str">
        <f t="shared" ca="1" si="109"/>
        <v/>
      </c>
      <c r="Y493" s="460" t="str">
        <f t="shared" ca="1" si="109"/>
        <v/>
      </c>
      <c r="Z493" s="460" t="str">
        <f t="shared" ca="1" si="109"/>
        <v/>
      </c>
      <c r="AA493" s="461" t="str">
        <f t="shared" ca="1" si="109"/>
        <v/>
      </c>
      <c r="AB493" s="474" t="str">
        <f t="shared" ca="1" si="109"/>
        <v/>
      </c>
      <c r="AC493" s="475" t="str">
        <f t="shared" ca="1" si="109"/>
        <v/>
      </c>
      <c r="AD493" s="477" t="str">
        <f t="shared" ca="1" si="102"/>
        <v/>
      </c>
      <c r="AE493" s="478">
        <f t="shared" ca="1" si="103"/>
        <v>0</v>
      </c>
      <c r="AF493" s="459" t="str">
        <f t="shared" ca="1" si="107"/>
        <v/>
      </c>
      <c r="AG493" s="460" t="str">
        <f t="shared" ca="1" si="107"/>
        <v/>
      </c>
      <c r="AH493" s="460" t="str">
        <f t="shared" ca="1" si="107"/>
        <v/>
      </c>
      <c r="AI493" s="460" t="str">
        <f t="shared" ca="1" si="107"/>
        <v/>
      </c>
      <c r="AJ493" s="460" t="str">
        <f t="shared" ca="1" si="107"/>
        <v/>
      </c>
      <c r="AK493" s="460" t="str">
        <f t="shared" ca="1" si="107"/>
        <v/>
      </c>
      <c r="AL493" s="460" t="str">
        <f t="shared" ca="1" si="107"/>
        <v/>
      </c>
      <c r="AM493" s="460" t="str">
        <f t="shared" ca="1" si="107"/>
        <v/>
      </c>
      <c r="AN493" s="461" t="str">
        <f t="shared" ca="1" si="107"/>
        <v/>
      </c>
      <c r="AO493" s="474" t="str">
        <f t="shared" ca="1" si="107"/>
        <v/>
      </c>
      <c r="AP493" s="475" t="str">
        <f t="shared" ca="1" si="107"/>
        <v/>
      </c>
      <c r="AQ493" s="479" t="str">
        <f t="array" aca="1" ref="AQ493" ca="1">IF(ROW()-5&lt;=COUNTIF(科目编号,$AR$2),SMALL(IF(科目编号=$AR$2,ROW(科目编号),""),ROW()-5),"")</f>
        <v/>
      </c>
      <c r="AR493" s="480" t="str">
        <f ca="1">IF($BG$2=0,"",IF(AR492="本月合计","本年累计",IF(OR(ROW()=$AU$3,ROW()=$AV$3,ROW()=$AW$3,ROW()=$AX$3,ROW()=$AY$3,ROW()=$AZ$3,ROW()=$BA$3,ROW()=$BB$3,ROW()=$BC$3,ROW()=$BD$3,ROW()=$BE$3,ROW()=$BF$3),"本月合计",IF(ROW()&lt;7,$AQ$6,OFFSET($AQ$6,COUNT($AR$6:AR492),0)))))</f>
        <v/>
      </c>
    </row>
    <row r="494" spans="1:44">
      <c r="A494" s="469" t="str">
        <f ca="1">IFERROR(INDEX(凭证录入!A:A,$AR494),"")</f>
        <v/>
      </c>
      <c r="B494" s="469" t="str">
        <f ca="1">IFERROR(INDEX(凭证录入!B:B,$AR494),"")</f>
        <v/>
      </c>
      <c r="C494" s="470" t="str">
        <f ca="1">IFERROR(INDEX(凭证录入!G:G,$AR494),"")</f>
        <v/>
      </c>
      <c r="D494" s="471" t="str">
        <f ca="1">IFERROR(INDEX(凭证录入!F:F,$AR494),"")</f>
        <v/>
      </c>
      <c r="E494" s="472" t="str">
        <f ca="1">IFERROR(INDEX(凭证录入!H:H,$AR494),$AR494)</f>
        <v/>
      </c>
      <c r="F494" s="473">
        <f ca="1">IF(OR($BG$2=0,$AR494=""),,IF($AR494="本月合计",IF(ROW()=$BG$3,SUM($F$6:$F493),SUM(INDIRECT("$F$"&amp;OFFSET($AU$3,,MATCH(ROW(),$AU$3:$BF$3,)-2)+2&amp;":$E"&amp;ROW()-1))),IF($AR494="本年累计",SUMIF($AR$6:$AR494,"本月合计",$F$6:$F493),INDEX(凭证录入!K:K,$AR494))))</f>
        <v>0</v>
      </c>
      <c r="G494" s="459" t="str">
        <f t="shared" ca="1" si="108"/>
        <v/>
      </c>
      <c r="H494" s="460" t="str">
        <f t="shared" ca="1" si="108"/>
        <v/>
      </c>
      <c r="I494" s="460" t="str">
        <f t="shared" ca="1" si="108"/>
        <v/>
      </c>
      <c r="J494" s="460" t="str">
        <f t="shared" ca="1" si="108"/>
        <v/>
      </c>
      <c r="K494" s="460" t="str">
        <f t="shared" ca="1" si="108"/>
        <v/>
      </c>
      <c r="L494" s="460" t="str">
        <f t="shared" ca="1" si="108"/>
        <v/>
      </c>
      <c r="M494" s="460" t="str">
        <f t="shared" ca="1" si="108"/>
        <v/>
      </c>
      <c r="N494" s="460" t="str">
        <f t="shared" ca="1" si="108"/>
        <v/>
      </c>
      <c r="O494" s="461" t="str">
        <f t="shared" ca="1" si="108"/>
        <v/>
      </c>
      <c r="P494" s="474" t="str">
        <f t="shared" ca="1" si="108"/>
        <v/>
      </c>
      <c r="Q494" s="475" t="str">
        <f t="shared" ca="1" si="108"/>
        <v/>
      </c>
      <c r="R494" s="476">
        <f ca="1">IF(OR($BG$2=0,$AR494=""),,IF($AR494="本月合计",IF(ROW()=$BG$3,SUM($R$6:$R493),SUM(INDIRECT("$R$"&amp;OFFSET($AU$3,,MATCH(ROW(),$AU$3:$BF$3,)-2)+2&amp;":$R"&amp;ROW()-1))),IF($AR494="本年累计",SUMIF($AR$6:$AR494,"本月合计",$R$6:$R493),INDEX(凭证录入!L:L,$AR494))))</f>
        <v>0</v>
      </c>
      <c r="S494" s="459" t="str">
        <f t="shared" ca="1" si="109"/>
        <v/>
      </c>
      <c r="T494" s="460" t="str">
        <f t="shared" ca="1" si="109"/>
        <v/>
      </c>
      <c r="U494" s="460" t="str">
        <f t="shared" ca="1" si="109"/>
        <v/>
      </c>
      <c r="V494" s="460" t="str">
        <f t="shared" ca="1" si="109"/>
        <v/>
      </c>
      <c r="W494" s="460" t="str">
        <f t="shared" ca="1" si="109"/>
        <v/>
      </c>
      <c r="X494" s="460" t="str">
        <f t="shared" ca="1" si="109"/>
        <v/>
      </c>
      <c r="Y494" s="460" t="str">
        <f t="shared" ca="1" si="109"/>
        <v/>
      </c>
      <c r="Z494" s="460" t="str">
        <f t="shared" ca="1" si="109"/>
        <v/>
      </c>
      <c r="AA494" s="461" t="str">
        <f t="shared" ca="1" si="109"/>
        <v/>
      </c>
      <c r="AB494" s="474" t="str">
        <f t="shared" ca="1" si="109"/>
        <v/>
      </c>
      <c r="AC494" s="475" t="str">
        <f t="shared" ca="1" si="109"/>
        <v/>
      </c>
      <c r="AD494" s="477" t="str">
        <f t="shared" ca="1" si="102"/>
        <v/>
      </c>
      <c r="AE494" s="478">
        <f t="shared" ca="1" si="103"/>
        <v>0</v>
      </c>
      <c r="AF494" s="459" t="str">
        <f t="shared" ca="1" si="107"/>
        <v/>
      </c>
      <c r="AG494" s="460" t="str">
        <f t="shared" ca="1" si="107"/>
        <v/>
      </c>
      <c r="AH494" s="460" t="str">
        <f t="shared" ca="1" si="107"/>
        <v/>
      </c>
      <c r="AI494" s="460" t="str">
        <f t="shared" ca="1" si="107"/>
        <v/>
      </c>
      <c r="AJ494" s="460" t="str">
        <f t="shared" ca="1" si="107"/>
        <v/>
      </c>
      <c r="AK494" s="460" t="str">
        <f t="shared" ca="1" si="107"/>
        <v/>
      </c>
      <c r="AL494" s="460" t="str">
        <f t="shared" ca="1" si="107"/>
        <v/>
      </c>
      <c r="AM494" s="460" t="str">
        <f t="shared" ca="1" si="107"/>
        <v/>
      </c>
      <c r="AN494" s="461" t="str">
        <f t="shared" ca="1" si="107"/>
        <v/>
      </c>
      <c r="AO494" s="474" t="str">
        <f t="shared" ca="1" si="107"/>
        <v/>
      </c>
      <c r="AP494" s="475" t="str">
        <f t="shared" ca="1" si="107"/>
        <v/>
      </c>
      <c r="AQ494" s="479" t="str">
        <f t="array" aca="1" ref="AQ494" ca="1">IF(ROW()-5&lt;=COUNTIF(科目编号,$AR$2),SMALL(IF(科目编号=$AR$2,ROW(科目编号),""),ROW()-5),"")</f>
        <v/>
      </c>
      <c r="AR494" s="480" t="str">
        <f ca="1">IF($BG$2=0,"",IF(AR493="本月合计","本年累计",IF(OR(ROW()=$AU$3,ROW()=$AV$3,ROW()=$AW$3,ROW()=$AX$3,ROW()=$AY$3,ROW()=$AZ$3,ROW()=$BA$3,ROW()=$BB$3,ROW()=$BC$3,ROW()=$BD$3,ROW()=$BE$3,ROW()=$BF$3),"本月合计",IF(ROW()&lt;7,$AQ$6,OFFSET($AQ$6,COUNT($AR$6:AR493),0)))))</f>
        <v/>
      </c>
    </row>
    <row r="495" spans="1:44">
      <c r="A495" s="469" t="str">
        <f ca="1">IFERROR(INDEX(凭证录入!A:A,$AR495),"")</f>
        <v/>
      </c>
      <c r="B495" s="469" t="str">
        <f ca="1">IFERROR(INDEX(凭证录入!B:B,$AR495),"")</f>
        <v/>
      </c>
      <c r="C495" s="470" t="str">
        <f ca="1">IFERROR(INDEX(凭证录入!G:G,$AR495),"")</f>
        <v/>
      </c>
      <c r="D495" s="471" t="str">
        <f ca="1">IFERROR(INDEX(凭证录入!F:F,$AR495),"")</f>
        <v/>
      </c>
      <c r="E495" s="472" t="str">
        <f ca="1">IFERROR(INDEX(凭证录入!H:H,$AR495),$AR495)</f>
        <v/>
      </c>
      <c r="F495" s="473">
        <f ca="1">IF(OR($BG$2=0,$AR495=""),,IF($AR495="本月合计",IF(ROW()=$BG$3,SUM($F$6:$F494),SUM(INDIRECT("$F$"&amp;OFFSET($AU$3,,MATCH(ROW(),$AU$3:$BF$3,)-2)+2&amp;":$E"&amp;ROW()-1))),IF($AR495="本年累计",SUMIF($AR$6:$AR495,"本月合计",$F$6:$F494),INDEX(凭证录入!K:K,$AR495))))</f>
        <v>0</v>
      </c>
      <c r="G495" s="459" t="str">
        <f t="shared" ca="1" si="108"/>
        <v/>
      </c>
      <c r="H495" s="460" t="str">
        <f t="shared" ca="1" si="108"/>
        <v/>
      </c>
      <c r="I495" s="460" t="str">
        <f t="shared" ca="1" si="108"/>
        <v/>
      </c>
      <c r="J495" s="460" t="str">
        <f t="shared" ca="1" si="108"/>
        <v/>
      </c>
      <c r="K495" s="460" t="str">
        <f t="shared" ca="1" si="108"/>
        <v/>
      </c>
      <c r="L495" s="460" t="str">
        <f t="shared" ca="1" si="108"/>
        <v/>
      </c>
      <c r="M495" s="460" t="str">
        <f t="shared" ca="1" si="108"/>
        <v/>
      </c>
      <c r="N495" s="460" t="str">
        <f t="shared" ca="1" si="108"/>
        <v/>
      </c>
      <c r="O495" s="461" t="str">
        <f t="shared" ca="1" si="108"/>
        <v/>
      </c>
      <c r="P495" s="474" t="str">
        <f t="shared" ca="1" si="108"/>
        <v/>
      </c>
      <c r="Q495" s="475" t="str">
        <f t="shared" ca="1" si="108"/>
        <v/>
      </c>
      <c r="R495" s="476">
        <f ca="1">IF(OR($BG$2=0,$AR495=""),,IF($AR495="本月合计",IF(ROW()=$BG$3,SUM($R$6:$R494),SUM(INDIRECT("$R$"&amp;OFFSET($AU$3,,MATCH(ROW(),$AU$3:$BF$3,)-2)+2&amp;":$R"&amp;ROW()-1))),IF($AR495="本年累计",SUMIF($AR$6:$AR495,"本月合计",$R$6:$R494),INDEX(凭证录入!L:L,$AR495))))</f>
        <v>0</v>
      </c>
      <c r="S495" s="459" t="str">
        <f t="shared" ca="1" si="109"/>
        <v/>
      </c>
      <c r="T495" s="460" t="str">
        <f t="shared" ca="1" si="109"/>
        <v/>
      </c>
      <c r="U495" s="460" t="str">
        <f t="shared" ca="1" si="109"/>
        <v/>
      </c>
      <c r="V495" s="460" t="str">
        <f t="shared" ca="1" si="109"/>
        <v/>
      </c>
      <c r="W495" s="460" t="str">
        <f t="shared" ca="1" si="109"/>
        <v/>
      </c>
      <c r="X495" s="460" t="str">
        <f t="shared" ca="1" si="109"/>
        <v/>
      </c>
      <c r="Y495" s="460" t="str">
        <f t="shared" ca="1" si="109"/>
        <v/>
      </c>
      <c r="Z495" s="460" t="str">
        <f t="shared" ca="1" si="109"/>
        <v/>
      </c>
      <c r="AA495" s="461" t="str">
        <f t="shared" ca="1" si="109"/>
        <v/>
      </c>
      <c r="AB495" s="474" t="str">
        <f t="shared" ca="1" si="109"/>
        <v/>
      </c>
      <c r="AC495" s="475" t="str">
        <f t="shared" ca="1" si="109"/>
        <v/>
      </c>
      <c r="AD495" s="477" t="str">
        <f t="shared" ca="1" si="102"/>
        <v/>
      </c>
      <c r="AE495" s="478">
        <f t="shared" ca="1" si="103"/>
        <v>0</v>
      </c>
      <c r="AF495" s="459" t="str">
        <f t="shared" ca="1" si="107"/>
        <v/>
      </c>
      <c r="AG495" s="460" t="str">
        <f t="shared" ca="1" si="107"/>
        <v/>
      </c>
      <c r="AH495" s="460" t="str">
        <f t="shared" ca="1" si="107"/>
        <v/>
      </c>
      <c r="AI495" s="460" t="str">
        <f t="shared" ca="1" si="107"/>
        <v/>
      </c>
      <c r="AJ495" s="460" t="str">
        <f t="shared" ca="1" si="107"/>
        <v/>
      </c>
      <c r="AK495" s="460" t="str">
        <f t="shared" ca="1" si="107"/>
        <v/>
      </c>
      <c r="AL495" s="460" t="str">
        <f t="shared" ca="1" si="107"/>
        <v/>
      </c>
      <c r="AM495" s="460" t="str">
        <f t="shared" ca="1" si="107"/>
        <v/>
      </c>
      <c r="AN495" s="461" t="str">
        <f t="shared" ca="1" si="107"/>
        <v/>
      </c>
      <c r="AO495" s="474" t="str">
        <f t="shared" ca="1" si="107"/>
        <v/>
      </c>
      <c r="AP495" s="475" t="str">
        <f t="shared" ca="1" si="107"/>
        <v/>
      </c>
      <c r="AQ495" s="479" t="str">
        <f t="array" aca="1" ref="AQ495" ca="1">IF(ROW()-5&lt;=COUNTIF(科目编号,$AR$2),SMALL(IF(科目编号=$AR$2,ROW(科目编号),""),ROW()-5),"")</f>
        <v/>
      </c>
      <c r="AR495" s="480" t="str">
        <f ca="1">IF($BG$2=0,"",IF(AR494="本月合计","本年累计",IF(OR(ROW()=$AU$3,ROW()=$AV$3,ROW()=$AW$3,ROW()=$AX$3,ROW()=$AY$3,ROW()=$AZ$3,ROW()=$BA$3,ROW()=$BB$3,ROW()=$BC$3,ROW()=$BD$3,ROW()=$BE$3,ROW()=$BF$3),"本月合计",IF(ROW()&lt;7,$AQ$6,OFFSET($AQ$6,COUNT($AR$6:AR494),0)))))</f>
        <v/>
      </c>
    </row>
    <row r="496" spans="1:44">
      <c r="A496" s="469" t="str">
        <f ca="1">IFERROR(INDEX(凭证录入!A:A,$AR496),"")</f>
        <v/>
      </c>
      <c r="B496" s="469" t="str">
        <f ca="1">IFERROR(INDEX(凭证录入!B:B,$AR496),"")</f>
        <v/>
      </c>
      <c r="C496" s="470" t="str">
        <f ca="1">IFERROR(INDEX(凭证录入!G:G,$AR496),"")</f>
        <v/>
      </c>
      <c r="D496" s="471" t="str">
        <f ca="1">IFERROR(INDEX(凭证录入!F:F,$AR496),"")</f>
        <v/>
      </c>
      <c r="E496" s="472" t="str">
        <f ca="1">IFERROR(INDEX(凭证录入!H:H,$AR496),$AR496)</f>
        <v/>
      </c>
      <c r="F496" s="473">
        <f ca="1">IF(OR($BG$2=0,$AR496=""),,IF($AR496="本月合计",IF(ROW()=$BG$3,SUM($F$6:$F495),SUM(INDIRECT("$F$"&amp;OFFSET($AU$3,,MATCH(ROW(),$AU$3:$BF$3,)-2)+2&amp;":$E"&amp;ROW()-1))),IF($AR496="本年累计",SUMIF($AR$6:$AR496,"本月合计",$F$6:$F495),INDEX(凭证录入!K:K,$AR496))))</f>
        <v>0</v>
      </c>
      <c r="G496" s="459" t="str">
        <f t="shared" ca="1" si="108"/>
        <v/>
      </c>
      <c r="H496" s="460" t="str">
        <f t="shared" ca="1" si="108"/>
        <v/>
      </c>
      <c r="I496" s="460" t="str">
        <f t="shared" ca="1" si="108"/>
        <v/>
      </c>
      <c r="J496" s="460" t="str">
        <f t="shared" ca="1" si="108"/>
        <v/>
      </c>
      <c r="K496" s="460" t="str">
        <f t="shared" ca="1" si="108"/>
        <v/>
      </c>
      <c r="L496" s="460" t="str">
        <f t="shared" ca="1" si="108"/>
        <v/>
      </c>
      <c r="M496" s="460" t="str">
        <f t="shared" ca="1" si="108"/>
        <v/>
      </c>
      <c r="N496" s="460" t="str">
        <f t="shared" ca="1" si="108"/>
        <v/>
      </c>
      <c r="O496" s="461" t="str">
        <f t="shared" ca="1" si="108"/>
        <v/>
      </c>
      <c r="P496" s="474" t="str">
        <f t="shared" ca="1" si="108"/>
        <v/>
      </c>
      <c r="Q496" s="475" t="str">
        <f t="shared" ca="1" si="108"/>
        <v/>
      </c>
      <c r="R496" s="476">
        <f ca="1">IF(OR($BG$2=0,$AR496=""),,IF($AR496="本月合计",IF(ROW()=$BG$3,SUM($R$6:$R495),SUM(INDIRECT("$R$"&amp;OFFSET($AU$3,,MATCH(ROW(),$AU$3:$BF$3,)-2)+2&amp;":$R"&amp;ROW()-1))),IF($AR496="本年累计",SUMIF($AR$6:$AR496,"本月合计",$R$6:$R495),INDEX(凭证录入!L:L,$AR496))))</f>
        <v>0</v>
      </c>
      <c r="S496" s="459" t="str">
        <f t="shared" ca="1" si="109"/>
        <v/>
      </c>
      <c r="T496" s="460" t="str">
        <f t="shared" ca="1" si="109"/>
        <v/>
      </c>
      <c r="U496" s="460" t="str">
        <f t="shared" ca="1" si="109"/>
        <v/>
      </c>
      <c r="V496" s="460" t="str">
        <f t="shared" ca="1" si="109"/>
        <v/>
      </c>
      <c r="W496" s="460" t="str">
        <f t="shared" ca="1" si="109"/>
        <v/>
      </c>
      <c r="X496" s="460" t="str">
        <f t="shared" ca="1" si="109"/>
        <v/>
      </c>
      <c r="Y496" s="460" t="str">
        <f t="shared" ca="1" si="109"/>
        <v/>
      </c>
      <c r="Z496" s="460" t="str">
        <f t="shared" ca="1" si="109"/>
        <v/>
      </c>
      <c r="AA496" s="461" t="str">
        <f t="shared" ca="1" si="109"/>
        <v/>
      </c>
      <c r="AB496" s="474" t="str">
        <f t="shared" ca="1" si="109"/>
        <v/>
      </c>
      <c r="AC496" s="475" t="str">
        <f t="shared" ca="1" si="109"/>
        <v/>
      </c>
      <c r="AD496" s="477" t="str">
        <f t="shared" ca="1" si="102"/>
        <v/>
      </c>
      <c r="AE496" s="478">
        <f t="shared" ca="1" si="103"/>
        <v>0</v>
      </c>
      <c r="AF496" s="459" t="str">
        <f t="shared" ca="1" si="107"/>
        <v/>
      </c>
      <c r="AG496" s="460" t="str">
        <f t="shared" ca="1" si="107"/>
        <v/>
      </c>
      <c r="AH496" s="460" t="str">
        <f t="shared" ca="1" si="107"/>
        <v/>
      </c>
      <c r="AI496" s="460" t="str">
        <f t="shared" ca="1" si="107"/>
        <v/>
      </c>
      <c r="AJ496" s="460" t="str">
        <f t="shared" ca="1" si="107"/>
        <v/>
      </c>
      <c r="AK496" s="460" t="str">
        <f t="shared" ca="1" si="107"/>
        <v/>
      </c>
      <c r="AL496" s="460" t="str">
        <f t="shared" ca="1" si="107"/>
        <v/>
      </c>
      <c r="AM496" s="460" t="str">
        <f t="shared" ca="1" si="107"/>
        <v/>
      </c>
      <c r="AN496" s="461" t="str">
        <f t="shared" ca="1" si="107"/>
        <v/>
      </c>
      <c r="AO496" s="474" t="str">
        <f t="shared" ca="1" si="107"/>
        <v/>
      </c>
      <c r="AP496" s="475" t="str">
        <f t="shared" ca="1" si="107"/>
        <v/>
      </c>
      <c r="AQ496" s="479" t="str">
        <f t="array" aca="1" ref="AQ496" ca="1">IF(ROW()-5&lt;=COUNTIF(科目编号,$AR$2),SMALL(IF(科目编号=$AR$2,ROW(科目编号),""),ROW()-5),"")</f>
        <v/>
      </c>
      <c r="AR496" s="480" t="str">
        <f ca="1">IF($BG$2=0,"",IF(AR495="本月合计","本年累计",IF(OR(ROW()=$AU$3,ROW()=$AV$3,ROW()=$AW$3,ROW()=$AX$3,ROW()=$AY$3,ROW()=$AZ$3,ROW()=$BA$3,ROW()=$BB$3,ROW()=$BC$3,ROW()=$BD$3,ROW()=$BE$3,ROW()=$BF$3),"本月合计",IF(ROW()&lt;7,$AQ$6,OFFSET($AQ$6,COUNT($AR$6:AR495),0)))))</f>
        <v/>
      </c>
    </row>
    <row r="497" spans="1:44">
      <c r="A497" s="469" t="str">
        <f ca="1">IFERROR(INDEX(凭证录入!A:A,$AR497),"")</f>
        <v/>
      </c>
      <c r="B497" s="469" t="str">
        <f ca="1">IFERROR(INDEX(凭证录入!B:B,$AR497),"")</f>
        <v/>
      </c>
      <c r="C497" s="470" t="str">
        <f ca="1">IFERROR(INDEX(凭证录入!G:G,$AR497),"")</f>
        <v/>
      </c>
      <c r="D497" s="471" t="str">
        <f ca="1">IFERROR(INDEX(凭证录入!F:F,$AR497),"")</f>
        <v/>
      </c>
      <c r="E497" s="472" t="str">
        <f ca="1">IFERROR(INDEX(凭证录入!H:H,$AR497),$AR497)</f>
        <v/>
      </c>
      <c r="F497" s="473">
        <f ca="1">IF(OR($BG$2=0,$AR497=""),,IF($AR497="本月合计",IF(ROW()=$BG$3,SUM($F$6:$F496),SUM(INDIRECT("$F$"&amp;OFFSET($AU$3,,MATCH(ROW(),$AU$3:$BF$3,)-2)+2&amp;":$E"&amp;ROW()-1))),IF($AR497="本年累计",SUMIF($AR$6:$AR497,"本月合计",$F$6:$F496),INDEX(凭证录入!K:K,$AR497))))</f>
        <v>0</v>
      </c>
      <c r="G497" s="459" t="str">
        <f t="shared" ca="1" si="108"/>
        <v/>
      </c>
      <c r="H497" s="460" t="str">
        <f t="shared" ca="1" si="108"/>
        <v/>
      </c>
      <c r="I497" s="460" t="str">
        <f t="shared" ca="1" si="108"/>
        <v/>
      </c>
      <c r="J497" s="460" t="str">
        <f t="shared" ca="1" si="108"/>
        <v/>
      </c>
      <c r="K497" s="460" t="str">
        <f t="shared" ca="1" si="108"/>
        <v/>
      </c>
      <c r="L497" s="460" t="str">
        <f t="shared" ca="1" si="108"/>
        <v/>
      </c>
      <c r="M497" s="460" t="str">
        <f t="shared" ca="1" si="108"/>
        <v/>
      </c>
      <c r="N497" s="460" t="str">
        <f t="shared" ca="1" si="108"/>
        <v/>
      </c>
      <c r="O497" s="461" t="str">
        <f t="shared" ca="1" si="108"/>
        <v/>
      </c>
      <c r="P497" s="474" t="str">
        <f t="shared" ca="1" si="108"/>
        <v/>
      </c>
      <c r="Q497" s="475" t="str">
        <f t="shared" ca="1" si="108"/>
        <v/>
      </c>
      <c r="R497" s="476">
        <f ca="1">IF(OR($BG$2=0,$AR497=""),,IF($AR497="本月合计",IF(ROW()=$BG$3,SUM($R$6:$R496),SUM(INDIRECT("$R$"&amp;OFFSET($AU$3,,MATCH(ROW(),$AU$3:$BF$3,)-2)+2&amp;":$R"&amp;ROW()-1))),IF($AR497="本年累计",SUMIF($AR$6:$AR497,"本月合计",$R$6:$R496),INDEX(凭证录入!L:L,$AR497))))</f>
        <v>0</v>
      </c>
      <c r="S497" s="459" t="str">
        <f t="shared" ca="1" si="109"/>
        <v/>
      </c>
      <c r="T497" s="460" t="str">
        <f t="shared" ca="1" si="109"/>
        <v/>
      </c>
      <c r="U497" s="460" t="str">
        <f t="shared" ca="1" si="109"/>
        <v/>
      </c>
      <c r="V497" s="460" t="str">
        <f t="shared" ca="1" si="109"/>
        <v/>
      </c>
      <c r="W497" s="460" t="str">
        <f t="shared" ca="1" si="109"/>
        <v/>
      </c>
      <c r="X497" s="460" t="str">
        <f t="shared" ca="1" si="109"/>
        <v/>
      </c>
      <c r="Y497" s="460" t="str">
        <f t="shared" ca="1" si="109"/>
        <v/>
      </c>
      <c r="Z497" s="460" t="str">
        <f t="shared" ca="1" si="109"/>
        <v/>
      </c>
      <c r="AA497" s="461" t="str">
        <f t="shared" ca="1" si="109"/>
        <v/>
      </c>
      <c r="AB497" s="474" t="str">
        <f t="shared" ca="1" si="109"/>
        <v/>
      </c>
      <c r="AC497" s="475" t="str">
        <f t="shared" ca="1" si="109"/>
        <v/>
      </c>
      <c r="AD497" s="477" t="str">
        <f t="shared" ca="1" si="102"/>
        <v/>
      </c>
      <c r="AE497" s="478">
        <f t="shared" ca="1" si="103"/>
        <v>0</v>
      </c>
      <c r="AF497" s="459" t="str">
        <f t="shared" ca="1" si="107"/>
        <v/>
      </c>
      <c r="AG497" s="460" t="str">
        <f t="shared" ca="1" si="107"/>
        <v/>
      </c>
      <c r="AH497" s="460" t="str">
        <f t="shared" ca="1" si="107"/>
        <v/>
      </c>
      <c r="AI497" s="460" t="str">
        <f t="shared" ca="1" si="107"/>
        <v/>
      </c>
      <c r="AJ497" s="460" t="str">
        <f t="shared" ca="1" si="107"/>
        <v/>
      </c>
      <c r="AK497" s="460" t="str">
        <f t="shared" ca="1" si="107"/>
        <v/>
      </c>
      <c r="AL497" s="460" t="str">
        <f t="shared" ca="1" si="107"/>
        <v/>
      </c>
      <c r="AM497" s="460" t="str">
        <f t="shared" ca="1" si="107"/>
        <v/>
      </c>
      <c r="AN497" s="461" t="str">
        <f t="shared" ca="1" si="107"/>
        <v/>
      </c>
      <c r="AO497" s="474" t="str">
        <f t="shared" ca="1" si="107"/>
        <v/>
      </c>
      <c r="AP497" s="475" t="str">
        <f t="shared" ca="1" si="107"/>
        <v/>
      </c>
      <c r="AQ497" s="479" t="str">
        <f t="array" aca="1" ref="AQ497" ca="1">IF(ROW()-5&lt;=COUNTIF(科目编号,$AR$2),SMALL(IF(科目编号=$AR$2,ROW(科目编号),""),ROW()-5),"")</f>
        <v/>
      </c>
      <c r="AR497" s="480" t="str">
        <f ca="1">IF($BG$2=0,"",IF(AR496="本月合计","本年累计",IF(OR(ROW()=$AU$3,ROW()=$AV$3,ROW()=$AW$3,ROW()=$AX$3,ROW()=$AY$3,ROW()=$AZ$3,ROW()=$BA$3,ROW()=$BB$3,ROW()=$BC$3,ROW()=$BD$3,ROW()=$BE$3,ROW()=$BF$3),"本月合计",IF(ROW()&lt;7,$AQ$6,OFFSET($AQ$6,COUNT($AR$6:AR496),0)))))</f>
        <v/>
      </c>
    </row>
    <row r="498" spans="1:44">
      <c r="A498" s="469" t="str">
        <f ca="1">IFERROR(INDEX(凭证录入!A:A,$AR498),"")</f>
        <v/>
      </c>
      <c r="B498" s="469" t="str">
        <f ca="1">IFERROR(INDEX(凭证录入!B:B,$AR498),"")</f>
        <v/>
      </c>
      <c r="C498" s="470" t="str">
        <f ca="1">IFERROR(INDEX(凭证录入!G:G,$AR498),"")</f>
        <v/>
      </c>
      <c r="D498" s="471" t="str">
        <f ca="1">IFERROR(INDEX(凭证录入!F:F,$AR498),"")</f>
        <v/>
      </c>
      <c r="E498" s="472" t="str">
        <f ca="1">IFERROR(INDEX(凭证录入!H:H,$AR498),$AR498)</f>
        <v/>
      </c>
      <c r="F498" s="473">
        <f ca="1">IF(OR($BG$2=0,$AR498=""),,IF($AR498="本月合计",IF(ROW()=$BG$3,SUM($F$6:$F497),SUM(INDIRECT("$F$"&amp;OFFSET($AU$3,,MATCH(ROW(),$AU$3:$BF$3,)-2)+2&amp;":$E"&amp;ROW()-1))),IF($AR498="本年累计",SUMIF($AR$6:$AR498,"本月合计",$F$6:$F497),INDEX(凭证录入!K:K,$AR498))))</f>
        <v>0</v>
      </c>
      <c r="G498" s="459" t="str">
        <f t="shared" ca="1" si="108"/>
        <v/>
      </c>
      <c r="H498" s="460" t="str">
        <f t="shared" ca="1" si="108"/>
        <v/>
      </c>
      <c r="I498" s="460" t="str">
        <f t="shared" ca="1" si="108"/>
        <v/>
      </c>
      <c r="J498" s="460" t="str">
        <f t="shared" ca="1" si="108"/>
        <v/>
      </c>
      <c r="K498" s="460" t="str">
        <f t="shared" ca="1" si="108"/>
        <v/>
      </c>
      <c r="L498" s="460" t="str">
        <f t="shared" ca="1" si="108"/>
        <v/>
      </c>
      <c r="M498" s="460" t="str">
        <f t="shared" ca="1" si="108"/>
        <v/>
      </c>
      <c r="N498" s="460" t="str">
        <f t="shared" ca="1" si="108"/>
        <v/>
      </c>
      <c r="O498" s="461" t="str">
        <f t="shared" ca="1" si="108"/>
        <v/>
      </c>
      <c r="P498" s="474" t="str">
        <f t="shared" ca="1" si="108"/>
        <v/>
      </c>
      <c r="Q498" s="475" t="str">
        <f t="shared" ca="1" si="108"/>
        <v/>
      </c>
      <c r="R498" s="476">
        <f ca="1">IF(OR($BG$2=0,$AR498=""),,IF($AR498="本月合计",IF(ROW()=$BG$3,SUM($R$6:$R497),SUM(INDIRECT("$R$"&amp;OFFSET($AU$3,,MATCH(ROW(),$AU$3:$BF$3,)-2)+2&amp;":$R"&amp;ROW()-1))),IF($AR498="本年累计",SUMIF($AR$6:$AR498,"本月合计",$R$6:$R497),INDEX(凭证录入!L:L,$AR498))))</f>
        <v>0</v>
      </c>
      <c r="S498" s="459" t="str">
        <f t="shared" ca="1" si="109"/>
        <v/>
      </c>
      <c r="T498" s="460" t="str">
        <f t="shared" ca="1" si="109"/>
        <v/>
      </c>
      <c r="U498" s="460" t="str">
        <f t="shared" ca="1" si="109"/>
        <v/>
      </c>
      <c r="V498" s="460" t="str">
        <f t="shared" ca="1" si="109"/>
        <v/>
      </c>
      <c r="W498" s="460" t="str">
        <f t="shared" ca="1" si="109"/>
        <v/>
      </c>
      <c r="X498" s="460" t="str">
        <f t="shared" ca="1" si="109"/>
        <v/>
      </c>
      <c r="Y498" s="460" t="str">
        <f t="shared" ca="1" si="109"/>
        <v/>
      </c>
      <c r="Z498" s="460" t="str">
        <f t="shared" ca="1" si="109"/>
        <v/>
      </c>
      <c r="AA498" s="461" t="str">
        <f t="shared" ca="1" si="109"/>
        <v/>
      </c>
      <c r="AB498" s="474" t="str">
        <f t="shared" ca="1" si="109"/>
        <v/>
      </c>
      <c r="AC498" s="475" t="str">
        <f t="shared" ca="1" si="109"/>
        <v/>
      </c>
      <c r="AD498" s="477" t="str">
        <f t="shared" ca="1" si="102"/>
        <v/>
      </c>
      <c r="AE498" s="478">
        <f t="shared" ca="1" si="103"/>
        <v>0</v>
      </c>
      <c r="AF498" s="459" t="str">
        <f t="shared" ca="1" si="107"/>
        <v/>
      </c>
      <c r="AG498" s="460" t="str">
        <f t="shared" ca="1" si="107"/>
        <v/>
      </c>
      <c r="AH498" s="460" t="str">
        <f t="shared" ca="1" si="107"/>
        <v/>
      </c>
      <c r="AI498" s="460" t="str">
        <f t="shared" ca="1" si="107"/>
        <v/>
      </c>
      <c r="AJ498" s="460" t="str">
        <f t="shared" ca="1" si="107"/>
        <v/>
      </c>
      <c r="AK498" s="460" t="str">
        <f t="shared" ca="1" si="107"/>
        <v/>
      </c>
      <c r="AL498" s="460" t="str">
        <f t="shared" ca="1" si="107"/>
        <v/>
      </c>
      <c r="AM498" s="460" t="str">
        <f t="shared" ca="1" si="107"/>
        <v/>
      </c>
      <c r="AN498" s="461" t="str">
        <f t="shared" ca="1" si="107"/>
        <v/>
      </c>
      <c r="AO498" s="474" t="str">
        <f t="shared" ca="1" si="107"/>
        <v/>
      </c>
      <c r="AP498" s="475" t="str">
        <f t="shared" ca="1" si="107"/>
        <v/>
      </c>
      <c r="AQ498" s="479" t="str">
        <f t="array" aca="1" ref="AQ498" ca="1">IF(ROW()-5&lt;=COUNTIF(科目编号,$AR$2),SMALL(IF(科目编号=$AR$2,ROW(科目编号),""),ROW()-5),"")</f>
        <v/>
      </c>
      <c r="AR498" s="480" t="str">
        <f ca="1">IF($BG$2=0,"",IF(AR497="本月合计","本年累计",IF(OR(ROW()=$AU$3,ROW()=$AV$3,ROW()=$AW$3,ROW()=$AX$3,ROW()=$AY$3,ROW()=$AZ$3,ROW()=$BA$3,ROW()=$BB$3,ROW()=$BC$3,ROW()=$BD$3,ROW()=$BE$3,ROW()=$BF$3),"本月合计",IF(ROW()&lt;7,$AQ$6,OFFSET($AQ$6,COUNT($AR$6:AR497),0)))))</f>
        <v/>
      </c>
    </row>
    <row r="499" spans="1:44">
      <c r="A499" s="469" t="str">
        <f ca="1">IFERROR(INDEX(凭证录入!A:A,$AR499),"")</f>
        <v/>
      </c>
      <c r="B499" s="469" t="str">
        <f ca="1">IFERROR(INDEX(凭证录入!B:B,$AR499),"")</f>
        <v/>
      </c>
      <c r="C499" s="470" t="str">
        <f ca="1">IFERROR(INDEX(凭证录入!G:G,$AR499),"")</f>
        <v/>
      </c>
      <c r="D499" s="471" t="str">
        <f ca="1">IFERROR(INDEX(凭证录入!F:F,$AR499),"")</f>
        <v/>
      </c>
      <c r="E499" s="472" t="str">
        <f ca="1">IFERROR(INDEX(凭证录入!H:H,$AR499),$AR499)</f>
        <v/>
      </c>
      <c r="F499" s="473">
        <f ca="1">IF(OR($BG$2=0,$AR499=""),,IF($AR499="本月合计",IF(ROW()=$BG$3,SUM($F$6:$F498),SUM(INDIRECT("$F$"&amp;OFFSET($AU$3,,MATCH(ROW(),$AU$3:$BF$3,)-2)+2&amp;":$E"&amp;ROW()-1))),IF($AR499="本年累计",SUMIF($AR$6:$AR499,"本月合计",$F$6:$F498),INDEX(凭证录入!K:K,$AR499))))</f>
        <v>0</v>
      </c>
      <c r="G499" s="459" t="str">
        <f t="shared" ca="1" si="108"/>
        <v/>
      </c>
      <c r="H499" s="460" t="str">
        <f t="shared" ca="1" si="108"/>
        <v/>
      </c>
      <c r="I499" s="460" t="str">
        <f t="shared" ca="1" si="108"/>
        <v/>
      </c>
      <c r="J499" s="460" t="str">
        <f t="shared" ca="1" si="108"/>
        <v/>
      </c>
      <c r="K499" s="460" t="str">
        <f t="shared" ca="1" si="108"/>
        <v/>
      </c>
      <c r="L499" s="460" t="str">
        <f t="shared" ca="1" si="108"/>
        <v/>
      </c>
      <c r="M499" s="460" t="str">
        <f t="shared" ca="1" si="108"/>
        <v/>
      </c>
      <c r="N499" s="460" t="str">
        <f t="shared" ca="1" si="108"/>
        <v/>
      </c>
      <c r="O499" s="461" t="str">
        <f t="shared" ca="1" si="108"/>
        <v/>
      </c>
      <c r="P499" s="474" t="str">
        <f t="shared" ca="1" si="108"/>
        <v/>
      </c>
      <c r="Q499" s="475" t="str">
        <f t="shared" ca="1" si="108"/>
        <v/>
      </c>
      <c r="R499" s="476">
        <f ca="1">IF(OR($BG$2=0,$AR499=""),,IF($AR499="本月合计",IF(ROW()=$BG$3,SUM($R$6:$R498),SUM(INDIRECT("$R$"&amp;OFFSET($AU$3,,MATCH(ROW(),$AU$3:$BF$3,)-2)+2&amp;":$R"&amp;ROW()-1))),IF($AR499="本年累计",SUMIF($AR$6:$AR499,"本月合计",$R$6:$R498),INDEX(凭证录入!L:L,$AR499))))</f>
        <v>0</v>
      </c>
      <c r="S499" s="459" t="str">
        <f t="shared" ca="1" si="109"/>
        <v/>
      </c>
      <c r="T499" s="460" t="str">
        <f t="shared" ca="1" si="109"/>
        <v/>
      </c>
      <c r="U499" s="460" t="str">
        <f t="shared" ca="1" si="109"/>
        <v/>
      </c>
      <c r="V499" s="460" t="str">
        <f t="shared" ca="1" si="109"/>
        <v/>
      </c>
      <c r="W499" s="460" t="str">
        <f t="shared" ca="1" si="109"/>
        <v/>
      </c>
      <c r="X499" s="460" t="str">
        <f t="shared" ca="1" si="109"/>
        <v/>
      </c>
      <c r="Y499" s="460" t="str">
        <f t="shared" ca="1" si="109"/>
        <v/>
      </c>
      <c r="Z499" s="460" t="str">
        <f t="shared" ca="1" si="109"/>
        <v/>
      </c>
      <c r="AA499" s="461" t="str">
        <f t="shared" ca="1" si="109"/>
        <v/>
      </c>
      <c r="AB499" s="474" t="str">
        <f t="shared" ca="1" si="109"/>
        <v/>
      </c>
      <c r="AC499" s="475" t="str">
        <f t="shared" ca="1" si="109"/>
        <v/>
      </c>
      <c r="AD499" s="477" t="str">
        <f t="shared" ca="1" si="102"/>
        <v/>
      </c>
      <c r="AE499" s="478">
        <f t="shared" ca="1" si="103"/>
        <v>0</v>
      </c>
      <c r="AF499" s="459" t="str">
        <f t="shared" ca="1" si="107"/>
        <v/>
      </c>
      <c r="AG499" s="460" t="str">
        <f t="shared" ca="1" si="107"/>
        <v/>
      </c>
      <c r="AH499" s="460" t="str">
        <f t="shared" ca="1" si="107"/>
        <v/>
      </c>
      <c r="AI499" s="460" t="str">
        <f t="shared" ca="1" si="107"/>
        <v/>
      </c>
      <c r="AJ499" s="460" t="str">
        <f t="shared" ca="1" si="107"/>
        <v/>
      </c>
      <c r="AK499" s="460" t="str">
        <f t="shared" ca="1" si="107"/>
        <v/>
      </c>
      <c r="AL499" s="460" t="str">
        <f t="shared" ca="1" si="107"/>
        <v/>
      </c>
      <c r="AM499" s="460" t="str">
        <f t="shared" ca="1" si="107"/>
        <v/>
      </c>
      <c r="AN499" s="461" t="str">
        <f t="shared" ca="1" si="107"/>
        <v/>
      </c>
      <c r="AO499" s="474" t="str">
        <f t="shared" ca="1" si="107"/>
        <v/>
      </c>
      <c r="AP499" s="475" t="str">
        <f t="shared" ca="1" si="107"/>
        <v/>
      </c>
      <c r="AQ499" s="479" t="str">
        <f t="array" aca="1" ref="AQ499" ca="1">IF(ROW()-5&lt;=COUNTIF(科目编号,$AR$2),SMALL(IF(科目编号=$AR$2,ROW(科目编号),""),ROW()-5),"")</f>
        <v/>
      </c>
      <c r="AR499" s="480" t="str">
        <f ca="1">IF($BG$2=0,"",IF(AR498="本月合计","本年累计",IF(OR(ROW()=$AU$3,ROW()=$AV$3,ROW()=$AW$3,ROW()=$AX$3,ROW()=$AY$3,ROW()=$AZ$3,ROW()=$BA$3,ROW()=$BB$3,ROW()=$BC$3,ROW()=$BD$3,ROW()=$BE$3,ROW()=$BF$3),"本月合计",IF(ROW()&lt;7,$AQ$6,OFFSET($AQ$6,COUNT($AR$6:AR498),0)))))</f>
        <v/>
      </c>
    </row>
    <row r="500" spans="1:44">
      <c r="A500" s="469" t="str">
        <f ca="1">IFERROR(INDEX(凭证录入!A:A,$AR500),"")</f>
        <v/>
      </c>
      <c r="B500" s="469" t="str">
        <f ca="1">IFERROR(INDEX(凭证录入!B:B,$AR500),"")</f>
        <v/>
      </c>
      <c r="C500" s="470" t="str">
        <f ca="1">IFERROR(INDEX(凭证录入!G:G,$AR500),"")</f>
        <v/>
      </c>
      <c r="D500" s="471" t="str">
        <f ca="1">IFERROR(INDEX(凭证录入!F:F,$AR500),"")</f>
        <v/>
      </c>
      <c r="E500" s="472" t="str">
        <f ca="1">IFERROR(INDEX(凭证录入!H:H,$AR500),$AR500)</f>
        <v/>
      </c>
      <c r="F500" s="473">
        <f ca="1">IF(OR($BG$2=0,$AR500=""),,IF($AR500="本月合计",IF(ROW()=$BG$3,SUM($F$6:$F499),SUM(INDIRECT("$F$"&amp;OFFSET($AU$3,,MATCH(ROW(),$AU$3:$BF$3,)-2)+2&amp;":$E"&amp;ROW()-1))),IF($AR500="本年累计",SUMIF($AR$6:$AR500,"本月合计",$F$6:$F499),INDEX(凭证录入!K:K,$AR500))))</f>
        <v>0</v>
      </c>
      <c r="G500" s="459" t="str">
        <f t="shared" ca="1" si="108"/>
        <v/>
      </c>
      <c r="H500" s="460" t="str">
        <f t="shared" ca="1" si="108"/>
        <v/>
      </c>
      <c r="I500" s="460" t="str">
        <f t="shared" ca="1" si="108"/>
        <v/>
      </c>
      <c r="J500" s="460" t="str">
        <f t="shared" ca="1" si="108"/>
        <v/>
      </c>
      <c r="K500" s="460" t="str">
        <f t="shared" ca="1" si="108"/>
        <v/>
      </c>
      <c r="L500" s="460" t="str">
        <f t="shared" ca="1" si="108"/>
        <v/>
      </c>
      <c r="M500" s="460" t="str">
        <f t="shared" ca="1" si="108"/>
        <v/>
      </c>
      <c r="N500" s="460" t="str">
        <f t="shared" ca="1" si="108"/>
        <v/>
      </c>
      <c r="O500" s="461" t="str">
        <f t="shared" ca="1" si="108"/>
        <v/>
      </c>
      <c r="P500" s="474" t="str">
        <f t="shared" ca="1" si="108"/>
        <v/>
      </c>
      <c r="Q500" s="475" t="str">
        <f t="shared" ca="1" si="108"/>
        <v/>
      </c>
      <c r="R500" s="476">
        <f ca="1">IF(OR($BG$2=0,$AR500=""),,IF($AR500="本月合计",IF(ROW()=$BG$3,SUM($R$6:$R499),SUM(INDIRECT("$R$"&amp;OFFSET($AU$3,,MATCH(ROW(),$AU$3:$BF$3,)-2)+2&amp;":$R"&amp;ROW()-1))),IF($AR500="本年累计",SUMIF($AR$6:$AR500,"本月合计",$R$6:$R499),INDEX(凭证录入!L:L,$AR500))))</f>
        <v>0</v>
      </c>
      <c r="S500" s="459" t="str">
        <f t="shared" ca="1" si="109"/>
        <v/>
      </c>
      <c r="T500" s="460" t="str">
        <f t="shared" ca="1" si="109"/>
        <v/>
      </c>
      <c r="U500" s="460" t="str">
        <f t="shared" ca="1" si="109"/>
        <v/>
      </c>
      <c r="V500" s="460" t="str">
        <f t="shared" ca="1" si="109"/>
        <v/>
      </c>
      <c r="W500" s="460" t="str">
        <f t="shared" ca="1" si="109"/>
        <v/>
      </c>
      <c r="X500" s="460" t="str">
        <f t="shared" ca="1" si="109"/>
        <v/>
      </c>
      <c r="Y500" s="460" t="str">
        <f t="shared" ca="1" si="109"/>
        <v/>
      </c>
      <c r="Z500" s="460" t="str">
        <f t="shared" ca="1" si="109"/>
        <v/>
      </c>
      <c r="AA500" s="461" t="str">
        <f t="shared" ca="1" si="109"/>
        <v/>
      </c>
      <c r="AB500" s="474" t="str">
        <f t="shared" ca="1" si="109"/>
        <v/>
      </c>
      <c r="AC500" s="475" t="str">
        <f t="shared" ca="1" si="109"/>
        <v/>
      </c>
      <c r="AD500" s="477" t="str">
        <f t="shared" ca="1" si="102"/>
        <v/>
      </c>
      <c r="AE500" s="478">
        <f t="shared" ca="1" si="103"/>
        <v>0</v>
      </c>
      <c r="AF500" s="459" t="str">
        <f t="shared" ca="1" si="107"/>
        <v/>
      </c>
      <c r="AG500" s="460" t="str">
        <f t="shared" ca="1" si="107"/>
        <v/>
      </c>
      <c r="AH500" s="460" t="str">
        <f t="shared" ca="1" si="107"/>
        <v/>
      </c>
      <c r="AI500" s="460" t="str">
        <f t="shared" ca="1" si="107"/>
        <v/>
      </c>
      <c r="AJ500" s="460" t="str">
        <f t="shared" ca="1" si="107"/>
        <v/>
      </c>
      <c r="AK500" s="460" t="str">
        <f t="shared" ca="1" si="107"/>
        <v/>
      </c>
      <c r="AL500" s="460" t="str">
        <f t="shared" ca="1" si="107"/>
        <v/>
      </c>
      <c r="AM500" s="460" t="str">
        <f t="shared" ca="1" si="107"/>
        <v/>
      </c>
      <c r="AN500" s="461" t="str">
        <f t="shared" ca="1" si="107"/>
        <v/>
      </c>
      <c r="AO500" s="474" t="str">
        <f t="shared" ca="1" si="107"/>
        <v/>
      </c>
      <c r="AP500" s="475" t="str">
        <f t="shared" ca="1" si="107"/>
        <v/>
      </c>
      <c r="AQ500" s="479" t="str">
        <f t="array" aca="1" ref="AQ500" ca="1">IF(ROW()-5&lt;=COUNTIF(科目编号,$AR$2),SMALL(IF(科目编号=$AR$2,ROW(科目编号),""),ROW()-5),"")</f>
        <v/>
      </c>
      <c r="AR500" s="480" t="str">
        <f ca="1">IF($BG$2=0,"",IF(AR499="本月合计","本年累计",IF(OR(ROW()=$AU$3,ROW()=$AV$3,ROW()=$AW$3,ROW()=$AX$3,ROW()=$AY$3,ROW()=$AZ$3,ROW()=$BA$3,ROW()=$BB$3,ROW()=$BC$3,ROW()=$BD$3,ROW()=$BE$3,ROW()=$BF$3),"本月合计",IF(ROW()&lt;7,$AQ$6,OFFSET($AQ$6,COUNT($AR$6:AR499),0)))))</f>
        <v/>
      </c>
    </row>
    <row r="501" spans="1:44">
      <c r="A501" s="469" t="str">
        <f ca="1">IFERROR(INDEX(凭证录入!A:A,$AR501),"")</f>
        <v/>
      </c>
      <c r="B501" s="469" t="str">
        <f ca="1">IFERROR(INDEX(凭证录入!B:B,$AR501),"")</f>
        <v/>
      </c>
      <c r="C501" s="470" t="str">
        <f ca="1">IFERROR(INDEX(凭证录入!G:G,$AR501),"")</f>
        <v/>
      </c>
      <c r="D501" s="471" t="str">
        <f ca="1">IFERROR(INDEX(凭证录入!F:F,$AR501),"")</f>
        <v/>
      </c>
      <c r="E501" s="472" t="str">
        <f ca="1">IFERROR(INDEX(凭证录入!H:H,$AR501),$AR501)</f>
        <v/>
      </c>
      <c r="F501" s="473">
        <f ca="1">IF(OR($BG$2=0,$AR501=""),,IF($AR501="本月合计",IF(ROW()=$BG$3,SUM($F$6:$F500),SUM(INDIRECT("$F$"&amp;OFFSET($AU$3,,MATCH(ROW(),$AU$3:$BF$3,)-2)+2&amp;":$E"&amp;ROW()-1))),IF($AR501="本年累计",SUMIF($AR$6:$AR501,"本月合计",$F$6:$F500),INDEX(凭证录入!K:K,$AR501))))</f>
        <v>0</v>
      </c>
      <c r="G501" s="459" t="str">
        <f t="shared" ca="1" si="108"/>
        <v/>
      </c>
      <c r="H501" s="460" t="str">
        <f t="shared" ca="1" si="108"/>
        <v/>
      </c>
      <c r="I501" s="460" t="str">
        <f t="shared" ca="1" si="108"/>
        <v/>
      </c>
      <c r="J501" s="460" t="str">
        <f t="shared" ca="1" si="108"/>
        <v/>
      </c>
      <c r="K501" s="460" t="str">
        <f t="shared" ca="1" si="108"/>
        <v/>
      </c>
      <c r="L501" s="460" t="str">
        <f t="shared" ca="1" si="108"/>
        <v/>
      </c>
      <c r="M501" s="460" t="str">
        <f t="shared" ca="1" si="108"/>
        <v/>
      </c>
      <c r="N501" s="460" t="str">
        <f t="shared" ca="1" si="108"/>
        <v/>
      </c>
      <c r="O501" s="461" t="str">
        <f t="shared" ca="1" si="108"/>
        <v/>
      </c>
      <c r="P501" s="474" t="str">
        <f t="shared" ca="1" si="108"/>
        <v/>
      </c>
      <c r="Q501" s="475" t="str">
        <f t="shared" ca="1" si="108"/>
        <v/>
      </c>
      <c r="R501" s="476">
        <f ca="1">IF(OR($BG$2=0,$AR501=""),,IF($AR501="本月合计",IF(ROW()=$BG$3,SUM($R$6:$R500),SUM(INDIRECT("$R$"&amp;OFFSET($AU$3,,MATCH(ROW(),$AU$3:$BF$3,)-2)+2&amp;":$R"&amp;ROW()-1))),IF($AR501="本年累计",SUMIF($AR$6:$AR501,"本月合计",$R$6:$R500),INDEX(凭证录入!L:L,$AR501))))</f>
        <v>0</v>
      </c>
      <c r="S501" s="459" t="str">
        <f t="shared" ca="1" si="109"/>
        <v/>
      </c>
      <c r="T501" s="460" t="str">
        <f t="shared" ca="1" si="109"/>
        <v/>
      </c>
      <c r="U501" s="460" t="str">
        <f t="shared" ca="1" si="109"/>
        <v/>
      </c>
      <c r="V501" s="460" t="str">
        <f t="shared" ca="1" si="109"/>
        <v/>
      </c>
      <c r="W501" s="460" t="str">
        <f t="shared" ca="1" si="109"/>
        <v/>
      </c>
      <c r="X501" s="460" t="str">
        <f t="shared" ca="1" si="109"/>
        <v/>
      </c>
      <c r="Y501" s="460" t="str">
        <f t="shared" ca="1" si="109"/>
        <v/>
      </c>
      <c r="Z501" s="460" t="str">
        <f t="shared" ca="1" si="109"/>
        <v/>
      </c>
      <c r="AA501" s="461" t="str">
        <f t="shared" ca="1" si="109"/>
        <v/>
      </c>
      <c r="AB501" s="474" t="str">
        <f t="shared" ca="1" si="109"/>
        <v/>
      </c>
      <c r="AC501" s="475" t="str">
        <f t="shared" ca="1" si="109"/>
        <v/>
      </c>
      <c r="AD501" s="477" t="str">
        <f t="shared" ca="1" si="102"/>
        <v/>
      </c>
      <c r="AE501" s="478">
        <f t="shared" ca="1" si="103"/>
        <v>0</v>
      </c>
      <c r="AF501" s="459" t="str">
        <f t="shared" ref="AF501:AP516" ca="1" si="110">LEFT(RIGHT(TEXT($AE501/1%," ￥0; ￥-0;"),43-COLUMN()))</f>
        <v/>
      </c>
      <c r="AG501" s="460" t="str">
        <f t="shared" ca="1" si="110"/>
        <v/>
      </c>
      <c r="AH501" s="460" t="str">
        <f t="shared" ca="1" si="110"/>
        <v/>
      </c>
      <c r="AI501" s="460" t="str">
        <f t="shared" ca="1" si="110"/>
        <v/>
      </c>
      <c r="AJ501" s="460" t="str">
        <f t="shared" ca="1" si="110"/>
        <v/>
      </c>
      <c r="AK501" s="460" t="str">
        <f t="shared" ca="1" si="110"/>
        <v/>
      </c>
      <c r="AL501" s="460" t="str">
        <f t="shared" ca="1" si="110"/>
        <v/>
      </c>
      <c r="AM501" s="460" t="str">
        <f t="shared" ca="1" si="110"/>
        <v/>
      </c>
      <c r="AN501" s="461" t="str">
        <f t="shared" ca="1" si="110"/>
        <v/>
      </c>
      <c r="AO501" s="474" t="str">
        <f t="shared" ca="1" si="110"/>
        <v/>
      </c>
      <c r="AP501" s="475" t="str">
        <f t="shared" ca="1" si="110"/>
        <v/>
      </c>
      <c r="AQ501" s="479" t="str">
        <f t="array" aca="1" ref="AQ501" ca="1">IF(ROW()-5&lt;=COUNTIF(科目编号,$AR$2),SMALL(IF(科目编号=$AR$2,ROW(科目编号),""),ROW()-5),"")</f>
        <v/>
      </c>
      <c r="AR501" s="480" t="str">
        <f ca="1">IF($BG$2=0,"",IF(AR500="本月合计","本年累计",IF(OR(ROW()=$AU$3,ROW()=$AV$3,ROW()=$AW$3,ROW()=$AX$3,ROW()=$AY$3,ROW()=$AZ$3,ROW()=$BA$3,ROW()=$BB$3,ROW()=$BC$3,ROW()=$BD$3,ROW()=$BE$3,ROW()=$BF$3),"本月合计",IF(ROW()&lt;7,$AQ$6,OFFSET($AQ$6,COUNT($AR$6:AR500),0)))))</f>
        <v/>
      </c>
    </row>
    <row r="502" spans="1:44">
      <c r="A502" s="469" t="str">
        <f ca="1">IFERROR(INDEX(凭证录入!A:A,$AR502),"")</f>
        <v/>
      </c>
      <c r="B502" s="469" t="str">
        <f ca="1">IFERROR(INDEX(凭证录入!B:B,$AR502),"")</f>
        <v/>
      </c>
      <c r="C502" s="470" t="str">
        <f ca="1">IFERROR(INDEX(凭证录入!G:G,$AR502),"")</f>
        <v/>
      </c>
      <c r="D502" s="471" t="str">
        <f ca="1">IFERROR(INDEX(凭证录入!F:F,$AR502),"")</f>
        <v/>
      </c>
      <c r="E502" s="472" t="str">
        <f ca="1">IFERROR(INDEX(凭证录入!H:H,$AR502),$AR502)</f>
        <v/>
      </c>
      <c r="F502" s="473">
        <f ca="1">IF(OR($BG$2=0,$AR502=""),,IF($AR502="本月合计",IF(ROW()=$BG$3,SUM($F$6:$F501),SUM(INDIRECT("$F$"&amp;OFFSET($AU$3,,MATCH(ROW(),$AU$3:$BF$3,)-2)+2&amp;":$E"&amp;ROW()-1))),IF($AR502="本年累计",SUMIF($AR$6:$AR502,"本月合计",$F$6:$F501),INDEX(凭证录入!K:K,$AR502))))</f>
        <v>0</v>
      </c>
      <c r="G502" s="459" t="str">
        <f t="shared" ref="G502:Q517" ca="1" si="111">LEFT(RIGHT(TEXT($F502/1%," ￥0; ￥-0;"),18-COLUMN()))</f>
        <v/>
      </c>
      <c r="H502" s="460" t="str">
        <f t="shared" ca="1" si="111"/>
        <v/>
      </c>
      <c r="I502" s="460" t="str">
        <f t="shared" ca="1" si="111"/>
        <v/>
      </c>
      <c r="J502" s="460" t="str">
        <f t="shared" ca="1" si="111"/>
        <v/>
      </c>
      <c r="K502" s="460" t="str">
        <f t="shared" ca="1" si="111"/>
        <v/>
      </c>
      <c r="L502" s="460" t="str">
        <f t="shared" ca="1" si="111"/>
        <v/>
      </c>
      <c r="M502" s="460" t="str">
        <f t="shared" ca="1" si="111"/>
        <v/>
      </c>
      <c r="N502" s="460" t="str">
        <f t="shared" ca="1" si="111"/>
        <v/>
      </c>
      <c r="O502" s="461" t="str">
        <f t="shared" ca="1" si="111"/>
        <v/>
      </c>
      <c r="P502" s="474" t="str">
        <f t="shared" ca="1" si="111"/>
        <v/>
      </c>
      <c r="Q502" s="475" t="str">
        <f t="shared" ca="1" si="111"/>
        <v/>
      </c>
      <c r="R502" s="476">
        <f ca="1">IF(OR($BG$2=0,$AR502=""),,IF($AR502="本月合计",IF(ROW()=$BG$3,SUM($R$6:$R501),SUM(INDIRECT("$R$"&amp;OFFSET($AU$3,,MATCH(ROW(),$AU$3:$BF$3,)-2)+2&amp;":$R"&amp;ROW()-1))),IF($AR502="本年累计",SUMIF($AR$6:$AR502,"本月合计",$R$6:$R501),INDEX(凭证录入!L:L,$AR502))))</f>
        <v>0</v>
      </c>
      <c r="S502" s="459" t="str">
        <f t="shared" ref="S502:AC517" ca="1" si="112">LEFT(RIGHT(TEXT($R502/1%," ￥0; ￥-0;"),30-COLUMN()))</f>
        <v/>
      </c>
      <c r="T502" s="460" t="str">
        <f t="shared" ca="1" si="112"/>
        <v/>
      </c>
      <c r="U502" s="460" t="str">
        <f t="shared" ca="1" si="112"/>
        <v/>
      </c>
      <c r="V502" s="460" t="str">
        <f t="shared" ca="1" si="112"/>
        <v/>
      </c>
      <c r="W502" s="460" t="str">
        <f t="shared" ca="1" si="112"/>
        <v/>
      </c>
      <c r="X502" s="460" t="str">
        <f t="shared" ca="1" si="112"/>
        <v/>
      </c>
      <c r="Y502" s="460" t="str">
        <f t="shared" ca="1" si="112"/>
        <v/>
      </c>
      <c r="Z502" s="460" t="str">
        <f t="shared" ca="1" si="112"/>
        <v/>
      </c>
      <c r="AA502" s="461" t="str">
        <f t="shared" ca="1" si="112"/>
        <v/>
      </c>
      <c r="AB502" s="474" t="str">
        <f t="shared" ca="1" si="112"/>
        <v/>
      </c>
      <c r="AC502" s="475" t="str">
        <f t="shared" ca="1" si="112"/>
        <v/>
      </c>
      <c r="AD502" s="477" t="str">
        <f t="shared" ca="1" si="102"/>
        <v/>
      </c>
      <c r="AE502" s="478">
        <f t="shared" ca="1" si="103"/>
        <v>0</v>
      </c>
      <c r="AF502" s="459" t="str">
        <f t="shared" ca="1" si="110"/>
        <v/>
      </c>
      <c r="AG502" s="460" t="str">
        <f t="shared" ca="1" si="110"/>
        <v/>
      </c>
      <c r="AH502" s="460" t="str">
        <f t="shared" ca="1" si="110"/>
        <v/>
      </c>
      <c r="AI502" s="460" t="str">
        <f t="shared" ca="1" si="110"/>
        <v/>
      </c>
      <c r="AJ502" s="460" t="str">
        <f t="shared" ca="1" si="110"/>
        <v/>
      </c>
      <c r="AK502" s="460" t="str">
        <f t="shared" ca="1" si="110"/>
        <v/>
      </c>
      <c r="AL502" s="460" t="str">
        <f t="shared" ca="1" si="110"/>
        <v/>
      </c>
      <c r="AM502" s="460" t="str">
        <f t="shared" ca="1" si="110"/>
        <v/>
      </c>
      <c r="AN502" s="461" t="str">
        <f t="shared" ca="1" si="110"/>
        <v/>
      </c>
      <c r="AO502" s="474" t="str">
        <f t="shared" ca="1" si="110"/>
        <v/>
      </c>
      <c r="AP502" s="475" t="str">
        <f t="shared" ca="1" si="110"/>
        <v/>
      </c>
      <c r="AQ502" s="479" t="str">
        <f t="array" aca="1" ref="AQ502" ca="1">IF(ROW()-5&lt;=COUNTIF(科目编号,$AR$2),SMALL(IF(科目编号=$AR$2,ROW(科目编号),""),ROW()-5),"")</f>
        <v/>
      </c>
      <c r="AR502" s="480" t="str">
        <f ca="1">IF($BG$2=0,"",IF(AR501="本月合计","本年累计",IF(OR(ROW()=$AU$3,ROW()=$AV$3,ROW()=$AW$3,ROW()=$AX$3,ROW()=$AY$3,ROW()=$AZ$3,ROW()=$BA$3,ROW()=$BB$3,ROW()=$BC$3,ROW()=$BD$3,ROW()=$BE$3,ROW()=$BF$3),"本月合计",IF(ROW()&lt;7,$AQ$6,OFFSET($AQ$6,COUNT($AR$6:AR501),0)))))</f>
        <v/>
      </c>
    </row>
    <row r="503" spans="1:44">
      <c r="A503" s="469" t="str">
        <f ca="1">IFERROR(INDEX(凭证录入!A:A,$AR503),"")</f>
        <v/>
      </c>
      <c r="B503" s="469" t="str">
        <f ca="1">IFERROR(INDEX(凭证录入!B:B,$AR503),"")</f>
        <v/>
      </c>
      <c r="C503" s="470" t="str">
        <f ca="1">IFERROR(INDEX(凭证录入!G:G,$AR503),"")</f>
        <v/>
      </c>
      <c r="D503" s="471" t="str">
        <f ca="1">IFERROR(INDEX(凭证录入!F:F,$AR503),"")</f>
        <v/>
      </c>
      <c r="E503" s="472" t="str">
        <f ca="1">IFERROR(INDEX(凭证录入!H:H,$AR503),$AR503)</f>
        <v/>
      </c>
      <c r="F503" s="473">
        <f ca="1">IF(OR($BG$2=0,$AR503=""),,IF($AR503="本月合计",IF(ROW()=$BG$3,SUM($F$6:$F502),SUM(INDIRECT("$F$"&amp;OFFSET($AU$3,,MATCH(ROW(),$AU$3:$BF$3,)-2)+2&amp;":$E"&amp;ROW()-1))),IF($AR503="本年累计",SUMIF($AR$6:$AR503,"本月合计",$F$6:$F502),INDEX(凭证录入!K:K,$AR503))))</f>
        <v>0</v>
      </c>
      <c r="G503" s="459" t="str">
        <f t="shared" ca="1" si="111"/>
        <v/>
      </c>
      <c r="H503" s="460" t="str">
        <f t="shared" ca="1" si="111"/>
        <v/>
      </c>
      <c r="I503" s="460" t="str">
        <f t="shared" ca="1" si="111"/>
        <v/>
      </c>
      <c r="J503" s="460" t="str">
        <f t="shared" ca="1" si="111"/>
        <v/>
      </c>
      <c r="K503" s="460" t="str">
        <f t="shared" ca="1" si="111"/>
        <v/>
      </c>
      <c r="L503" s="460" t="str">
        <f t="shared" ca="1" si="111"/>
        <v/>
      </c>
      <c r="M503" s="460" t="str">
        <f t="shared" ca="1" si="111"/>
        <v/>
      </c>
      <c r="N503" s="460" t="str">
        <f t="shared" ca="1" si="111"/>
        <v/>
      </c>
      <c r="O503" s="461" t="str">
        <f t="shared" ca="1" si="111"/>
        <v/>
      </c>
      <c r="P503" s="474" t="str">
        <f t="shared" ca="1" si="111"/>
        <v/>
      </c>
      <c r="Q503" s="475" t="str">
        <f t="shared" ca="1" si="111"/>
        <v/>
      </c>
      <c r="R503" s="476">
        <f ca="1">IF(OR($BG$2=0,$AR503=""),,IF($AR503="本月合计",IF(ROW()=$BG$3,SUM($R$6:$R502),SUM(INDIRECT("$R$"&amp;OFFSET($AU$3,,MATCH(ROW(),$AU$3:$BF$3,)-2)+2&amp;":$R"&amp;ROW()-1))),IF($AR503="本年累计",SUMIF($AR$6:$AR503,"本月合计",$R$6:$R502),INDEX(凭证录入!L:L,$AR503))))</f>
        <v>0</v>
      </c>
      <c r="S503" s="459" t="str">
        <f t="shared" ca="1" si="112"/>
        <v/>
      </c>
      <c r="T503" s="460" t="str">
        <f t="shared" ca="1" si="112"/>
        <v/>
      </c>
      <c r="U503" s="460" t="str">
        <f t="shared" ca="1" si="112"/>
        <v/>
      </c>
      <c r="V503" s="460" t="str">
        <f t="shared" ca="1" si="112"/>
        <v/>
      </c>
      <c r="W503" s="460" t="str">
        <f t="shared" ca="1" si="112"/>
        <v/>
      </c>
      <c r="X503" s="460" t="str">
        <f t="shared" ca="1" si="112"/>
        <v/>
      </c>
      <c r="Y503" s="460" t="str">
        <f t="shared" ca="1" si="112"/>
        <v/>
      </c>
      <c r="Z503" s="460" t="str">
        <f t="shared" ca="1" si="112"/>
        <v/>
      </c>
      <c r="AA503" s="461" t="str">
        <f t="shared" ca="1" si="112"/>
        <v/>
      </c>
      <c r="AB503" s="474" t="str">
        <f t="shared" ca="1" si="112"/>
        <v/>
      </c>
      <c r="AC503" s="475" t="str">
        <f t="shared" ca="1" si="112"/>
        <v/>
      </c>
      <c r="AD503" s="477" t="str">
        <f t="shared" ca="1" si="102"/>
        <v/>
      </c>
      <c r="AE503" s="478">
        <f t="shared" ca="1" si="103"/>
        <v>0</v>
      </c>
      <c r="AF503" s="459" t="str">
        <f t="shared" ca="1" si="110"/>
        <v/>
      </c>
      <c r="AG503" s="460" t="str">
        <f t="shared" ca="1" si="110"/>
        <v/>
      </c>
      <c r="AH503" s="460" t="str">
        <f t="shared" ca="1" si="110"/>
        <v/>
      </c>
      <c r="AI503" s="460" t="str">
        <f t="shared" ca="1" si="110"/>
        <v/>
      </c>
      <c r="AJ503" s="460" t="str">
        <f t="shared" ca="1" si="110"/>
        <v/>
      </c>
      <c r="AK503" s="460" t="str">
        <f t="shared" ca="1" si="110"/>
        <v/>
      </c>
      <c r="AL503" s="460" t="str">
        <f t="shared" ca="1" si="110"/>
        <v/>
      </c>
      <c r="AM503" s="460" t="str">
        <f t="shared" ca="1" si="110"/>
        <v/>
      </c>
      <c r="AN503" s="461" t="str">
        <f t="shared" ca="1" si="110"/>
        <v/>
      </c>
      <c r="AO503" s="474" t="str">
        <f t="shared" ca="1" si="110"/>
        <v/>
      </c>
      <c r="AP503" s="475" t="str">
        <f t="shared" ca="1" si="110"/>
        <v/>
      </c>
      <c r="AQ503" s="479" t="str">
        <f t="array" aca="1" ref="AQ503" ca="1">IF(ROW()-5&lt;=COUNTIF(科目编号,$AR$2),SMALL(IF(科目编号=$AR$2,ROW(科目编号),""),ROW()-5),"")</f>
        <v/>
      </c>
      <c r="AR503" s="480" t="str">
        <f ca="1">IF($BG$2=0,"",IF(AR502="本月合计","本年累计",IF(OR(ROW()=$AU$3,ROW()=$AV$3,ROW()=$AW$3,ROW()=$AX$3,ROW()=$AY$3,ROW()=$AZ$3,ROW()=$BA$3,ROW()=$BB$3,ROW()=$BC$3,ROW()=$BD$3,ROW()=$BE$3,ROW()=$BF$3),"本月合计",IF(ROW()&lt;7,$AQ$6,OFFSET($AQ$6,COUNT($AR$6:AR502),0)))))</f>
        <v/>
      </c>
    </row>
    <row r="504" spans="1:44">
      <c r="A504" s="469" t="str">
        <f ca="1">IFERROR(INDEX(凭证录入!A:A,$AR504),"")</f>
        <v/>
      </c>
      <c r="B504" s="469" t="str">
        <f ca="1">IFERROR(INDEX(凭证录入!B:B,$AR504),"")</f>
        <v/>
      </c>
      <c r="C504" s="470" t="str">
        <f ca="1">IFERROR(INDEX(凭证录入!G:G,$AR504),"")</f>
        <v/>
      </c>
      <c r="D504" s="471" t="str">
        <f ca="1">IFERROR(INDEX(凭证录入!F:F,$AR504),"")</f>
        <v/>
      </c>
      <c r="E504" s="472" t="str">
        <f ca="1">IFERROR(INDEX(凭证录入!H:H,$AR504),$AR504)</f>
        <v/>
      </c>
      <c r="F504" s="473">
        <f ca="1">IF(OR($BG$2=0,$AR504=""),,IF($AR504="本月合计",IF(ROW()=$BG$3,SUM($F$6:$F503),SUM(INDIRECT("$F$"&amp;OFFSET($AU$3,,MATCH(ROW(),$AU$3:$BF$3,)-2)+2&amp;":$E"&amp;ROW()-1))),IF($AR504="本年累计",SUMIF($AR$6:$AR504,"本月合计",$F$6:$F503),INDEX(凭证录入!K:K,$AR504))))</f>
        <v>0</v>
      </c>
      <c r="G504" s="459" t="str">
        <f t="shared" ca="1" si="111"/>
        <v/>
      </c>
      <c r="H504" s="460" t="str">
        <f t="shared" ca="1" si="111"/>
        <v/>
      </c>
      <c r="I504" s="460" t="str">
        <f t="shared" ca="1" si="111"/>
        <v/>
      </c>
      <c r="J504" s="460" t="str">
        <f t="shared" ca="1" si="111"/>
        <v/>
      </c>
      <c r="K504" s="460" t="str">
        <f t="shared" ca="1" si="111"/>
        <v/>
      </c>
      <c r="L504" s="460" t="str">
        <f t="shared" ca="1" si="111"/>
        <v/>
      </c>
      <c r="M504" s="460" t="str">
        <f t="shared" ca="1" si="111"/>
        <v/>
      </c>
      <c r="N504" s="460" t="str">
        <f t="shared" ca="1" si="111"/>
        <v/>
      </c>
      <c r="O504" s="461" t="str">
        <f t="shared" ca="1" si="111"/>
        <v/>
      </c>
      <c r="P504" s="474" t="str">
        <f t="shared" ca="1" si="111"/>
        <v/>
      </c>
      <c r="Q504" s="475" t="str">
        <f t="shared" ca="1" si="111"/>
        <v/>
      </c>
      <c r="R504" s="476">
        <f ca="1">IF(OR($BG$2=0,$AR504=""),,IF($AR504="本月合计",IF(ROW()=$BG$3,SUM($R$6:$R503),SUM(INDIRECT("$R$"&amp;OFFSET($AU$3,,MATCH(ROW(),$AU$3:$BF$3,)-2)+2&amp;":$R"&amp;ROW()-1))),IF($AR504="本年累计",SUMIF($AR$6:$AR504,"本月合计",$R$6:$R503),INDEX(凭证录入!L:L,$AR504))))</f>
        <v>0</v>
      </c>
      <c r="S504" s="459" t="str">
        <f t="shared" ca="1" si="112"/>
        <v/>
      </c>
      <c r="T504" s="460" t="str">
        <f t="shared" ca="1" si="112"/>
        <v/>
      </c>
      <c r="U504" s="460" t="str">
        <f t="shared" ca="1" si="112"/>
        <v/>
      </c>
      <c r="V504" s="460" t="str">
        <f t="shared" ca="1" si="112"/>
        <v/>
      </c>
      <c r="W504" s="460" t="str">
        <f t="shared" ca="1" si="112"/>
        <v/>
      </c>
      <c r="X504" s="460" t="str">
        <f t="shared" ca="1" si="112"/>
        <v/>
      </c>
      <c r="Y504" s="460" t="str">
        <f t="shared" ca="1" si="112"/>
        <v/>
      </c>
      <c r="Z504" s="460" t="str">
        <f t="shared" ca="1" si="112"/>
        <v/>
      </c>
      <c r="AA504" s="461" t="str">
        <f t="shared" ca="1" si="112"/>
        <v/>
      </c>
      <c r="AB504" s="474" t="str">
        <f t="shared" ca="1" si="112"/>
        <v/>
      </c>
      <c r="AC504" s="475" t="str">
        <f t="shared" ca="1" si="112"/>
        <v/>
      </c>
      <c r="AD504" s="477" t="str">
        <f t="shared" ca="1" si="102"/>
        <v/>
      </c>
      <c r="AE504" s="478">
        <f t="shared" ca="1" si="103"/>
        <v>0</v>
      </c>
      <c r="AF504" s="459" t="str">
        <f t="shared" ca="1" si="110"/>
        <v/>
      </c>
      <c r="AG504" s="460" t="str">
        <f t="shared" ca="1" si="110"/>
        <v/>
      </c>
      <c r="AH504" s="460" t="str">
        <f t="shared" ca="1" si="110"/>
        <v/>
      </c>
      <c r="AI504" s="460" t="str">
        <f t="shared" ca="1" si="110"/>
        <v/>
      </c>
      <c r="AJ504" s="460" t="str">
        <f t="shared" ca="1" si="110"/>
        <v/>
      </c>
      <c r="AK504" s="460" t="str">
        <f t="shared" ca="1" si="110"/>
        <v/>
      </c>
      <c r="AL504" s="460" t="str">
        <f t="shared" ca="1" si="110"/>
        <v/>
      </c>
      <c r="AM504" s="460" t="str">
        <f t="shared" ca="1" si="110"/>
        <v/>
      </c>
      <c r="AN504" s="461" t="str">
        <f t="shared" ca="1" si="110"/>
        <v/>
      </c>
      <c r="AO504" s="474" t="str">
        <f t="shared" ca="1" si="110"/>
        <v/>
      </c>
      <c r="AP504" s="475" t="str">
        <f t="shared" ca="1" si="110"/>
        <v/>
      </c>
      <c r="AQ504" s="479" t="str">
        <f t="array" aca="1" ref="AQ504" ca="1">IF(ROW()-5&lt;=COUNTIF(科目编号,$AR$2),SMALL(IF(科目编号=$AR$2,ROW(科目编号),""),ROW()-5),"")</f>
        <v/>
      </c>
      <c r="AR504" s="480" t="str">
        <f ca="1">IF($BG$2=0,"",IF(AR503="本月合计","本年累计",IF(OR(ROW()=$AU$3,ROW()=$AV$3,ROW()=$AW$3,ROW()=$AX$3,ROW()=$AY$3,ROW()=$AZ$3,ROW()=$BA$3,ROW()=$BB$3,ROW()=$BC$3,ROW()=$BD$3,ROW()=$BE$3,ROW()=$BF$3),"本月合计",IF(ROW()&lt;7,$AQ$6,OFFSET($AQ$6,COUNT($AR$6:AR503),0)))))</f>
        <v/>
      </c>
    </row>
    <row r="505" spans="1:44">
      <c r="A505" s="469" t="str">
        <f ca="1">IFERROR(INDEX(凭证录入!A:A,$AR505),"")</f>
        <v/>
      </c>
      <c r="B505" s="469" t="str">
        <f ca="1">IFERROR(INDEX(凭证录入!B:B,$AR505),"")</f>
        <v/>
      </c>
      <c r="C505" s="470" t="str">
        <f ca="1">IFERROR(INDEX(凭证录入!G:G,$AR505),"")</f>
        <v/>
      </c>
      <c r="D505" s="471" t="str">
        <f ca="1">IFERROR(INDEX(凭证录入!F:F,$AR505),"")</f>
        <v/>
      </c>
      <c r="E505" s="472" t="str">
        <f ca="1">IFERROR(INDEX(凭证录入!H:H,$AR505),$AR505)</f>
        <v/>
      </c>
      <c r="F505" s="473">
        <f ca="1">IF(OR($BG$2=0,$AR505=""),,IF($AR505="本月合计",IF(ROW()=$BG$3,SUM($F$6:$F504),SUM(INDIRECT("$F$"&amp;OFFSET($AU$3,,MATCH(ROW(),$AU$3:$BF$3,)-2)+2&amp;":$E"&amp;ROW()-1))),IF($AR505="本年累计",SUMIF($AR$6:$AR505,"本月合计",$F$6:$F504),INDEX(凭证录入!K:K,$AR505))))</f>
        <v>0</v>
      </c>
      <c r="G505" s="459" t="str">
        <f t="shared" ca="1" si="111"/>
        <v/>
      </c>
      <c r="H505" s="460" t="str">
        <f t="shared" ca="1" si="111"/>
        <v/>
      </c>
      <c r="I505" s="460" t="str">
        <f t="shared" ca="1" si="111"/>
        <v/>
      </c>
      <c r="J505" s="460" t="str">
        <f t="shared" ca="1" si="111"/>
        <v/>
      </c>
      <c r="K505" s="460" t="str">
        <f t="shared" ca="1" si="111"/>
        <v/>
      </c>
      <c r="L505" s="460" t="str">
        <f t="shared" ca="1" si="111"/>
        <v/>
      </c>
      <c r="M505" s="460" t="str">
        <f t="shared" ca="1" si="111"/>
        <v/>
      </c>
      <c r="N505" s="460" t="str">
        <f t="shared" ca="1" si="111"/>
        <v/>
      </c>
      <c r="O505" s="461" t="str">
        <f t="shared" ca="1" si="111"/>
        <v/>
      </c>
      <c r="P505" s="474" t="str">
        <f t="shared" ca="1" si="111"/>
        <v/>
      </c>
      <c r="Q505" s="475" t="str">
        <f t="shared" ca="1" si="111"/>
        <v/>
      </c>
      <c r="R505" s="476">
        <f ca="1">IF(OR($BG$2=0,$AR505=""),,IF($AR505="本月合计",IF(ROW()=$BG$3,SUM($R$6:$R504),SUM(INDIRECT("$R$"&amp;OFFSET($AU$3,,MATCH(ROW(),$AU$3:$BF$3,)-2)+2&amp;":$R"&amp;ROW()-1))),IF($AR505="本年累计",SUMIF($AR$6:$AR505,"本月合计",$R$6:$R504),INDEX(凭证录入!L:L,$AR505))))</f>
        <v>0</v>
      </c>
      <c r="S505" s="459" t="str">
        <f t="shared" ca="1" si="112"/>
        <v/>
      </c>
      <c r="T505" s="460" t="str">
        <f t="shared" ca="1" si="112"/>
        <v/>
      </c>
      <c r="U505" s="460" t="str">
        <f t="shared" ca="1" si="112"/>
        <v/>
      </c>
      <c r="V505" s="460" t="str">
        <f t="shared" ca="1" si="112"/>
        <v/>
      </c>
      <c r="W505" s="460" t="str">
        <f t="shared" ca="1" si="112"/>
        <v/>
      </c>
      <c r="X505" s="460" t="str">
        <f t="shared" ca="1" si="112"/>
        <v/>
      </c>
      <c r="Y505" s="460" t="str">
        <f t="shared" ca="1" si="112"/>
        <v/>
      </c>
      <c r="Z505" s="460" t="str">
        <f t="shared" ca="1" si="112"/>
        <v/>
      </c>
      <c r="AA505" s="461" t="str">
        <f t="shared" ca="1" si="112"/>
        <v/>
      </c>
      <c r="AB505" s="474" t="str">
        <f t="shared" ca="1" si="112"/>
        <v/>
      </c>
      <c r="AC505" s="475" t="str">
        <f t="shared" ca="1" si="112"/>
        <v/>
      </c>
      <c r="AD505" s="477" t="str">
        <f t="shared" ca="1" si="102"/>
        <v/>
      </c>
      <c r="AE505" s="478">
        <f t="shared" ca="1" si="103"/>
        <v>0</v>
      </c>
      <c r="AF505" s="459" t="str">
        <f t="shared" ca="1" si="110"/>
        <v/>
      </c>
      <c r="AG505" s="460" t="str">
        <f t="shared" ca="1" si="110"/>
        <v/>
      </c>
      <c r="AH505" s="460" t="str">
        <f t="shared" ca="1" si="110"/>
        <v/>
      </c>
      <c r="AI505" s="460" t="str">
        <f t="shared" ca="1" si="110"/>
        <v/>
      </c>
      <c r="AJ505" s="460" t="str">
        <f t="shared" ca="1" si="110"/>
        <v/>
      </c>
      <c r="AK505" s="460" t="str">
        <f t="shared" ca="1" si="110"/>
        <v/>
      </c>
      <c r="AL505" s="460" t="str">
        <f t="shared" ca="1" si="110"/>
        <v/>
      </c>
      <c r="AM505" s="460" t="str">
        <f t="shared" ca="1" si="110"/>
        <v/>
      </c>
      <c r="AN505" s="461" t="str">
        <f t="shared" ca="1" si="110"/>
        <v/>
      </c>
      <c r="AO505" s="474" t="str">
        <f t="shared" ca="1" si="110"/>
        <v/>
      </c>
      <c r="AP505" s="475" t="str">
        <f t="shared" ca="1" si="110"/>
        <v/>
      </c>
      <c r="AQ505" s="479" t="str">
        <f t="array" aca="1" ref="AQ505" ca="1">IF(ROW()-5&lt;=COUNTIF(科目编号,$AR$2),SMALL(IF(科目编号=$AR$2,ROW(科目编号),""),ROW()-5),"")</f>
        <v/>
      </c>
      <c r="AR505" s="480" t="str">
        <f ca="1">IF($BG$2=0,"",IF(AR504="本月合计","本年累计",IF(OR(ROW()=$AU$3,ROW()=$AV$3,ROW()=$AW$3,ROW()=$AX$3,ROW()=$AY$3,ROW()=$AZ$3,ROW()=$BA$3,ROW()=$BB$3,ROW()=$BC$3,ROW()=$BD$3,ROW()=$BE$3,ROW()=$BF$3),"本月合计",IF(ROW()&lt;7,$AQ$6,OFFSET($AQ$6,COUNT($AR$6:AR504),0)))))</f>
        <v/>
      </c>
    </row>
    <row r="506" spans="1:44">
      <c r="A506" s="469" t="str">
        <f ca="1">IFERROR(INDEX(凭证录入!A:A,$AR506),"")</f>
        <v/>
      </c>
      <c r="B506" s="469" t="str">
        <f ca="1">IFERROR(INDEX(凭证录入!B:B,$AR506),"")</f>
        <v/>
      </c>
      <c r="C506" s="470" t="str">
        <f ca="1">IFERROR(INDEX(凭证录入!G:G,$AR506),"")</f>
        <v/>
      </c>
      <c r="D506" s="471" t="str">
        <f ca="1">IFERROR(INDEX(凭证录入!F:F,$AR506),"")</f>
        <v/>
      </c>
      <c r="E506" s="472" t="str">
        <f ca="1">IFERROR(INDEX(凭证录入!H:H,$AR506),$AR506)</f>
        <v/>
      </c>
      <c r="F506" s="473">
        <f ca="1">IF(OR($BG$2=0,$AR506=""),,IF($AR506="本月合计",IF(ROW()=$BG$3,SUM($F$6:$F505),SUM(INDIRECT("$F$"&amp;OFFSET($AU$3,,MATCH(ROW(),$AU$3:$BF$3,)-2)+2&amp;":$E"&amp;ROW()-1))),IF($AR506="本年累计",SUMIF($AR$6:$AR506,"本月合计",$F$6:$F505),INDEX(凭证录入!K:K,$AR506))))</f>
        <v>0</v>
      </c>
      <c r="G506" s="459" t="str">
        <f t="shared" ca="1" si="111"/>
        <v/>
      </c>
      <c r="H506" s="460" t="str">
        <f t="shared" ca="1" si="111"/>
        <v/>
      </c>
      <c r="I506" s="460" t="str">
        <f t="shared" ca="1" si="111"/>
        <v/>
      </c>
      <c r="J506" s="460" t="str">
        <f t="shared" ca="1" si="111"/>
        <v/>
      </c>
      <c r="K506" s="460" t="str">
        <f t="shared" ca="1" si="111"/>
        <v/>
      </c>
      <c r="L506" s="460" t="str">
        <f t="shared" ca="1" si="111"/>
        <v/>
      </c>
      <c r="M506" s="460" t="str">
        <f t="shared" ca="1" si="111"/>
        <v/>
      </c>
      <c r="N506" s="460" t="str">
        <f t="shared" ca="1" si="111"/>
        <v/>
      </c>
      <c r="O506" s="461" t="str">
        <f t="shared" ca="1" si="111"/>
        <v/>
      </c>
      <c r="P506" s="474" t="str">
        <f t="shared" ca="1" si="111"/>
        <v/>
      </c>
      <c r="Q506" s="475" t="str">
        <f t="shared" ca="1" si="111"/>
        <v/>
      </c>
      <c r="R506" s="476">
        <f ca="1">IF(OR($BG$2=0,$AR506=""),,IF($AR506="本月合计",IF(ROW()=$BG$3,SUM($R$6:$R505),SUM(INDIRECT("$R$"&amp;OFFSET($AU$3,,MATCH(ROW(),$AU$3:$BF$3,)-2)+2&amp;":$R"&amp;ROW()-1))),IF($AR506="本年累计",SUMIF($AR$6:$AR506,"本月合计",$R$6:$R505),INDEX(凭证录入!L:L,$AR506))))</f>
        <v>0</v>
      </c>
      <c r="S506" s="459" t="str">
        <f t="shared" ca="1" si="112"/>
        <v/>
      </c>
      <c r="T506" s="460" t="str">
        <f t="shared" ca="1" si="112"/>
        <v/>
      </c>
      <c r="U506" s="460" t="str">
        <f t="shared" ca="1" si="112"/>
        <v/>
      </c>
      <c r="V506" s="460" t="str">
        <f t="shared" ca="1" si="112"/>
        <v/>
      </c>
      <c r="W506" s="460" t="str">
        <f t="shared" ca="1" si="112"/>
        <v/>
      </c>
      <c r="X506" s="460" t="str">
        <f t="shared" ca="1" si="112"/>
        <v/>
      </c>
      <c r="Y506" s="460" t="str">
        <f t="shared" ca="1" si="112"/>
        <v/>
      </c>
      <c r="Z506" s="460" t="str">
        <f t="shared" ca="1" si="112"/>
        <v/>
      </c>
      <c r="AA506" s="461" t="str">
        <f t="shared" ca="1" si="112"/>
        <v/>
      </c>
      <c r="AB506" s="474" t="str">
        <f t="shared" ca="1" si="112"/>
        <v/>
      </c>
      <c r="AC506" s="475" t="str">
        <f t="shared" ca="1" si="112"/>
        <v/>
      </c>
      <c r="AD506" s="477" t="str">
        <f t="shared" ca="1" si="102"/>
        <v/>
      </c>
      <c r="AE506" s="478">
        <f t="shared" ca="1" si="103"/>
        <v>0</v>
      </c>
      <c r="AF506" s="459" t="str">
        <f t="shared" ca="1" si="110"/>
        <v/>
      </c>
      <c r="AG506" s="460" t="str">
        <f t="shared" ca="1" si="110"/>
        <v/>
      </c>
      <c r="AH506" s="460" t="str">
        <f t="shared" ca="1" si="110"/>
        <v/>
      </c>
      <c r="AI506" s="460" t="str">
        <f t="shared" ca="1" si="110"/>
        <v/>
      </c>
      <c r="AJ506" s="460" t="str">
        <f t="shared" ca="1" si="110"/>
        <v/>
      </c>
      <c r="AK506" s="460" t="str">
        <f t="shared" ca="1" si="110"/>
        <v/>
      </c>
      <c r="AL506" s="460" t="str">
        <f t="shared" ca="1" si="110"/>
        <v/>
      </c>
      <c r="AM506" s="460" t="str">
        <f t="shared" ca="1" si="110"/>
        <v/>
      </c>
      <c r="AN506" s="461" t="str">
        <f t="shared" ca="1" si="110"/>
        <v/>
      </c>
      <c r="AO506" s="474" t="str">
        <f t="shared" ca="1" si="110"/>
        <v/>
      </c>
      <c r="AP506" s="475" t="str">
        <f t="shared" ca="1" si="110"/>
        <v/>
      </c>
      <c r="AQ506" s="479" t="str">
        <f t="array" aca="1" ref="AQ506" ca="1">IF(ROW()-5&lt;=COUNTIF(科目编号,$AR$2),SMALL(IF(科目编号=$AR$2,ROW(科目编号),""),ROW()-5),"")</f>
        <v/>
      </c>
      <c r="AR506" s="480" t="str">
        <f ca="1">IF($BG$2=0,"",IF(AR505="本月合计","本年累计",IF(OR(ROW()=$AU$3,ROW()=$AV$3,ROW()=$AW$3,ROW()=$AX$3,ROW()=$AY$3,ROW()=$AZ$3,ROW()=$BA$3,ROW()=$BB$3,ROW()=$BC$3,ROW()=$BD$3,ROW()=$BE$3,ROW()=$BF$3),"本月合计",IF(ROW()&lt;7,$AQ$6,OFFSET($AQ$6,COUNT($AR$6:AR505),0)))))</f>
        <v/>
      </c>
    </row>
    <row r="507" spans="1:44">
      <c r="A507" s="469" t="str">
        <f ca="1">IFERROR(INDEX(凭证录入!A:A,$AR507),"")</f>
        <v/>
      </c>
      <c r="B507" s="469" t="str">
        <f ca="1">IFERROR(INDEX(凭证录入!B:B,$AR507),"")</f>
        <v/>
      </c>
      <c r="C507" s="470" t="str">
        <f ca="1">IFERROR(INDEX(凭证录入!G:G,$AR507),"")</f>
        <v/>
      </c>
      <c r="D507" s="471" t="str">
        <f ca="1">IFERROR(INDEX(凭证录入!F:F,$AR507),"")</f>
        <v/>
      </c>
      <c r="E507" s="472" t="str">
        <f ca="1">IFERROR(INDEX(凭证录入!H:H,$AR507),$AR507)</f>
        <v/>
      </c>
      <c r="F507" s="473">
        <f ca="1">IF(OR($BG$2=0,$AR507=""),,IF($AR507="本月合计",IF(ROW()=$BG$3,SUM($F$6:$F506),SUM(INDIRECT("$F$"&amp;OFFSET($AU$3,,MATCH(ROW(),$AU$3:$BF$3,)-2)+2&amp;":$E"&amp;ROW()-1))),IF($AR507="本年累计",SUMIF($AR$6:$AR507,"本月合计",$F$6:$F506),INDEX(凭证录入!K:K,$AR507))))</f>
        <v>0</v>
      </c>
      <c r="G507" s="459" t="str">
        <f t="shared" ca="1" si="111"/>
        <v/>
      </c>
      <c r="H507" s="460" t="str">
        <f t="shared" ca="1" si="111"/>
        <v/>
      </c>
      <c r="I507" s="460" t="str">
        <f t="shared" ca="1" si="111"/>
        <v/>
      </c>
      <c r="J507" s="460" t="str">
        <f t="shared" ca="1" si="111"/>
        <v/>
      </c>
      <c r="K507" s="460" t="str">
        <f t="shared" ca="1" si="111"/>
        <v/>
      </c>
      <c r="L507" s="460" t="str">
        <f t="shared" ca="1" si="111"/>
        <v/>
      </c>
      <c r="M507" s="460" t="str">
        <f t="shared" ca="1" si="111"/>
        <v/>
      </c>
      <c r="N507" s="460" t="str">
        <f t="shared" ca="1" si="111"/>
        <v/>
      </c>
      <c r="O507" s="461" t="str">
        <f t="shared" ca="1" si="111"/>
        <v/>
      </c>
      <c r="P507" s="474" t="str">
        <f t="shared" ca="1" si="111"/>
        <v/>
      </c>
      <c r="Q507" s="475" t="str">
        <f t="shared" ca="1" si="111"/>
        <v/>
      </c>
      <c r="R507" s="476">
        <f ca="1">IF(OR($BG$2=0,$AR507=""),,IF($AR507="本月合计",IF(ROW()=$BG$3,SUM($R$6:$R506),SUM(INDIRECT("$R$"&amp;OFFSET($AU$3,,MATCH(ROW(),$AU$3:$BF$3,)-2)+2&amp;":$R"&amp;ROW()-1))),IF($AR507="本年累计",SUMIF($AR$6:$AR507,"本月合计",$R$6:$R506),INDEX(凭证录入!L:L,$AR507))))</f>
        <v>0</v>
      </c>
      <c r="S507" s="459" t="str">
        <f t="shared" ca="1" si="112"/>
        <v/>
      </c>
      <c r="T507" s="460" t="str">
        <f t="shared" ca="1" si="112"/>
        <v/>
      </c>
      <c r="U507" s="460" t="str">
        <f t="shared" ca="1" si="112"/>
        <v/>
      </c>
      <c r="V507" s="460" t="str">
        <f t="shared" ca="1" si="112"/>
        <v/>
      </c>
      <c r="W507" s="460" t="str">
        <f t="shared" ca="1" si="112"/>
        <v/>
      </c>
      <c r="X507" s="460" t="str">
        <f t="shared" ca="1" si="112"/>
        <v/>
      </c>
      <c r="Y507" s="460" t="str">
        <f t="shared" ca="1" si="112"/>
        <v/>
      </c>
      <c r="Z507" s="460" t="str">
        <f t="shared" ca="1" si="112"/>
        <v/>
      </c>
      <c r="AA507" s="461" t="str">
        <f t="shared" ca="1" si="112"/>
        <v/>
      </c>
      <c r="AB507" s="474" t="str">
        <f t="shared" ca="1" si="112"/>
        <v/>
      </c>
      <c r="AC507" s="475" t="str">
        <f t="shared" ca="1" si="112"/>
        <v/>
      </c>
      <c r="AD507" s="477" t="str">
        <f t="shared" ca="1" si="102"/>
        <v/>
      </c>
      <c r="AE507" s="478">
        <f t="shared" ca="1" si="103"/>
        <v>0</v>
      </c>
      <c r="AF507" s="459" t="str">
        <f t="shared" ca="1" si="110"/>
        <v/>
      </c>
      <c r="AG507" s="460" t="str">
        <f t="shared" ca="1" si="110"/>
        <v/>
      </c>
      <c r="AH507" s="460" t="str">
        <f t="shared" ca="1" si="110"/>
        <v/>
      </c>
      <c r="AI507" s="460" t="str">
        <f t="shared" ca="1" si="110"/>
        <v/>
      </c>
      <c r="AJ507" s="460" t="str">
        <f t="shared" ca="1" si="110"/>
        <v/>
      </c>
      <c r="AK507" s="460" t="str">
        <f t="shared" ca="1" si="110"/>
        <v/>
      </c>
      <c r="AL507" s="460" t="str">
        <f t="shared" ca="1" si="110"/>
        <v/>
      </c>
      <c r="AM507" s="460" t="str">
        <f t="shared" ca="1" si="110"/>
        <v/>
      </c>
      <c r="AN507" s="461" t="str">
        <f t="shared" ca="1" si="110"/>
        <v/>
      </c>
      <c r="AO507" s="474" t="str">
        <f t="shared" ca="1" si="110"/>
        <v/>
      </c>
      <c r="AP507" s="475" t="str">
        <f t="shared" ca="1" si="110"/>
        <v/>
      </c>
      <c r="AQ507" s="479" t="str">
        <f t="array" aca="1" ref="AQ507" ca="1">IF(ROW()-5&lt;=COUNTIF(科目编号,$AR$2),SMALL(IF(科目编号=$AR$2,ROW(科目编号),""),ROW()-5),"")</f>
        <v/>
      </c>
      <c r="AR507" s="480" t="str">
        <f ca="1">IF($BG$2=0,"",IF(AR506="本月合计","本年累计",IF(OR(ROW()=$AU$3,ROW()=$AV$3,ROW()=$AW$3,ROW()=$AX$3,ROW()=$AY$3,ROW()=$AZ$3,ROW()=$BA$3,ROW()=$BB$3,ROW()=$BC$3,ROW()=$BD$3,ROW()=$BE$3,ROW()=$BF$3),"本月合计",IF(ROW()&lt;7,$AQ$6,OFFSET($AQ$6,COUNT($AR$6:AR506),0)))))</f>
        <v/>
      </c>
    </row>
    <row r="508" spans="1:44">
      <c r="A508" s="469" t="str">
        <f ca="1">IFERROR(INDEX(凭证录入!A:A,$AR508),"")</f>
        <v/>
      </c>
      <c r="B508" s="469" t="str">
        <f ca="1">IFERROR(INDEX(凭证录入!B:B,$AR508),"")</f>
        <v/>
      </c>
      <c r="C508" s="470" t="str">
        <f ca="1">IFERROR(INDEX(凭证录入!G:G,$AR508),"")</f>
        <v/>
      </c>
      <c r="D508" s="471" t="str">
        <f ca="1">IFERROR(INDEX(凭证录入!F:F,$AR508),"")</f>
        <v/>
      </c>
      <c r="E508" s="472" t="str">
        <f ca="1">IFERROR(INDEX(凭证录入!H:H,$AR508),$AR508)</f>
        <v/>
      </c>
      <c r="F508" s="473">
        <f ca="1">IF(OR($BG$2=0,$AR508=""),,IF($AR508="本月合计",IF(ROW()=$BG$3,SUM($F$6:$F507),SUM(INDIRECT("$F$"&amp;OFFSET($AU$3,,MATCH(ROW(),$AU$3:$BF$3,)-2)+2&amp;":$E"&amp;ROW()-1))),IF($AR508="本年累计",SUMIF($AR$6:$AR508,"本月合计",$F$6:$F507),INDEX(凭证录入!K:K,$AR508))))</f>
        <v>0</v>
      </c>
      <c r="G508" s="459" t="str">
        <f t="shared" ca="1" si="111"/>
        <v/>
      </c>
      <c r="H508" s="460" t="str">
        <f t="shared" ca="1" si="111"/>
        <v/>
      </c>
      <c r="I508" s="460" t="str">
        <f t="shared" ca="1" si="111"/>
        <v/>
      </c>
      <c r="J508" s="460" t="str">
        <f t="shared" ca="1" si="111"/>
        <v/>
      </c>
      <c r="K508" s="460" t="str">
        <f t="shared" ca="1" si="111"/>
        <v/>
      </c>
      <c r="L508" s="460" t="str">
        <f t="shared" ca="1" si="111"/>
        <v/>
      </c>
      <c r="M508" s="460" t="str">
        <f t="shared" ca="1" si="111"/>
        <v/>
      </c>
      <c r="N508" s="460" t="str">
        <f t="shared" ca="1" si="111"/>
        <v/>
      </c>
      <c r="O508" s="461" t="str">
        <f t="shared" ca="1" si="111"/>
        <v/>
      </c>
      <c r="P508" s="474" t="str">
        <f t="shared" ca="1" si="111"/>
        <v/>
      </c>
      <c r="Q508" s="475" t="str">
        <f t="shared" ca="1" si="111"/>
        <v/>
      </c>
      <c r="R508" s="476">
        <f ca="1">IF(OR($BG$2=0,$AR508=""),,IF($AR508="本月合计",IF(ROW()=$BG$3,SUM($R$6:$R507),SUM(INDIRECT("$R$"&amp;OFFSET($AU$3,,MATCH(ROW(),$AU$3:$BF$3,)-2)+2&amp;":$R"&amp;ROW()-1))),IF($AR508="本年累计",SUMIF($AR$6:$AR508,"本月合计",$R$6:$R507),INDEX(凭证录入!L:L,$AR508))))</f>
        <v>0</v>
      </c>
      <c r="S508" s="459" t="str">
        <f t="shared" ca="1" si="112"/>
        <v/>
      </c>
      <c r="T508" s="460" t="str">
        <f t="shared" ca="1" si="112"/>
        <v/>
      </c>
      <c r="U508" s="460" t="str">
        <f t="shared" ca="1" si="112"/>
        <v/>
      </c>
      <c r="V508" s="460" t="str">
        <f t="shared" ca="1" si="112"/>
        <v/>
      </c>
      <c r="W508" s="460" t="str">
        <f t="shared" ca="1" si="112"/>
        <v/>
      </c>
      <c r="X508" s="460" t="str">
        <f t="shared" ca="1" si="112"/>
        <v/>
      </c>
      <c r="Y508" s="460" t="str">
        <f t="shared" ca="1" si="112"/>
        <v/>
      </c>
      <c r="Z508" s="460" t="str">
        <f t="shared" ca="1" si="112"/>
        <v/>
      </c>
      <c r="AA508" s="461" t="str">
        <f t="shared" ca="1" si="112"/>
        <v/>
      </c>
      <c r="AB508" s="474" t="str">
        <f t="shared" ca="1" si="112"/>
        <v/>
      </c>
      <c r="AC508" s="475" t="str">
        <f t="shared" ca="1" si="112"/>
        <v/>
      </c>
      <c r="AD508" s="477" t="str">
        <f t="shared" ca="1" si="102"/>
        <v/>
      </c>
      <c r="AE508" s="478">
        <f t="shared" ca="1" si="103"/>
        <v>0</v>
      </c>
      <c r="AF508" s="459" t="str">
        <f t="shared" ca="1" si="110"/>
        <v/>
      </c>
      <c r="AG508" s="460" t="str">
        <f t="shared" ca="1" si="110"/>
        <v/>
      </c>
      <c r="AH508" s="460" t="str">
        <f t="shared" ca="1" si="110"/>
        <v/>
      </c>
      <c r="AI508" s="460" t="str">
        <f t="shared" ca="1" si="110"/>
        <v/>
      </c>
      <c r="AJ508" s="460" t="str">
        <f t="shared" ca="1" si="110"/>
        <v/>
      </c>
      <c r="AK508" s="460" t="str">
        <f t="shared" ca="1" si="110"/>
        <v/>
      </c>
      <c r="AL508" s="460" t="str">
        <f t="shared" ca="1" si="110"/>
        <v/>
      </c>
      <c r="AM508" s="460" t="str">
        <f t="shared" ca="1" si="110"/>
        <v/>
      </c>
      <c r="AN508" s="461" t="str">
        <f t="shared" ca="1" si="110"/>
        <v/>
      </c>
      <c r="AO508" s="474" t="str">
        <f t="shared" ca="1" si="110"/>
        <v/>
      </c>
      <c r="AP508" s="475" t="str">
        <f t="shared" ca="1" si="110"/>
        <v/>
      </c>
      <c r="AQ508" s="479" t="str">
        <f t="array" aca="1" ref="AQ508" ca="1">IF(ROW()-5&lt;=COUNTIF(科目编号,$AR$2),SMALL(IF(科目编号=$AR$2,ROW(科目编号),""),ROW()-5),"")</f>
        <v/>
      </c>
      <c r="AR508" s="480" t="str">
        <f ca="1">IF($BG$2=0,"",IF(AR507="本月合计","本年累计",IF(OR(ROW()=$AU$3,ROW()=$AV$3,ROW()=$AW$3,ROW()=$AX$3,ROW()=$AY$3,ROW()=$AZ$3,ROW()=$BA$3,ROW()=$BB$3,ROW()=$BC$3,ROW()=$BD$3,ROW()=$BE$3,ROW()=$BF$3),"本月合计",IF(ROW()&lt;7,$AQ$6,OFFSET($AQ$6,COUNT($AR$6:AR507),0)))))</f>
        <v/>
      </c>
    </row>
    <row r="509" spans="1:44">
      <c r="A509" s="469" t="str">
        <f ca="1">IFERROR(INDEX(凭证录入!A:A,$AR509),"")</f>
        <v/>
      </c>
      <c r="B509" s="469" t="str">
        <f ca="1">IFERROR(INDEX(凭证录入!B:B,$AR509),"")</f>
        <v/>
      </c>
      <c r="C509" s="470" t="str">
        <f ca="1">IFERROR(INDEX(凭证录入!G:G,$AR509),"")</f>
        <v/>
      </c>
      <c r="D509" s="471" t="str">
        <f ca="1">IFERROR(INDEX(凭证录入!F:F,$AR509),"")</f>
        <v/>
      </c>
      <c r="E509" s="472" t="str">
        <f ca="1">IFERROR(INDEX(凭证录入!H:H,$AR509),$AR509)</f>
        <v/>
      </c>
      <c r="F509" s="473">
        <f ca="1">IF(OR($BG$2=0,$AR509=""),,IF($AR509="本月合计",IF(ROW()=$BG$3,SUM($F$6:$F508),SUM(INDIRECT("$F$"&amp;OFFSET($AU$3,,MATCH(ROW(),$AU$3:$BF$3,)-2)+2&amp;":$E"&amp;ROW()-1))),IF($AR509="本年累计",SUMIF($AR$6:$AR509,"本月合计",$F$6:$F508),INDEX(凭证录入!K:K,$AR509))))</f>
        <v>0</v>
      </c>
      <c r="G509" s="459" t="str">
        <f t="shared" ca="1" si="111"/>
        <v/>
      </c>
      <c r="H509" s="460" t="str">
        <f t="shared" ca="1" si="111"/>
        <v/>
      </c>
      <c r="I509" s="460" t="str">
        <f t="shared" ca="1" si="111"/>
        <v/>
      </c>
      <c r="J509" s="460" t="str">
        <f t="shared" ca="1" si="111"/>
        <v/>
      </c>
      <c r="K509" s="460" t="str">
        <f t="shared" ca="1" si="111"/>
        <v/>
      </c>
      <c r="L509" s="460" t="str">
        <f t="shared" ca="1" si="111"/>
        <v/>
      </c>
      <c r="M509" s="460" t="str">
        <f t="shared" ca="1" si="111"/>
        <v/>
      </c>
      <c r="N509" s="460" t="str">
        <f t="shared" ca="1" si="111"/>
        <v/>
      </c>
      <c r="O509" s="461" t="str">
        <f t="shared" ca="1" si="111"/>
        <v/>
      </c>
      <c r="P509" s="474" t="str">
        <f t="shared" ca="1" si="111"/>
        <v/>
      </c>
      <c r="Q509" s="475" t="str">
        <f t="shared" ca="1" si="111"/>
        <v/>
      </c>
      <c r="R509" s="476">
        <f ca="1">IF(OR($BG$2=0,$AR509=""),,IF($AR509="本月合计",IF(ROW()=$BG$3,SUM($R$6:$R508),SUM(INDIRECT("$R$"&amp;OFFSET($AU$3,,MATCH(ROW(),$AU$3:$BF$3,)-2)+2&amp;":$R"&amp;ROW()-1))),IF($AR509="本年累计",SUMIF($AR$6:$AR509,"本月合计",$R$6:$R508),INDEX(凭证录入!L:L,$AR509))))</f>
        <v>0</v>
      </c>
      <c r="S509" s="459" t="str">
        <f t="shared" ca="1" si="112"/>
        <v/>
      </c>
      <c r="T509" s="460" t="str">
        <f t="shared" ca="1" si="112"/>
        <v/>
      </c>
      <c r="U509" s="460" t="str">
        <f t="shared" ca="1" si="112"/>
        <v/>
      </c>
      <c r="V509" s="460" t="str">
        <f t="shared" ca="1" si="112"/>
        <v/>
      </c>
      <c r="W509" s="460" t="str">
        <f t="shared" ca="1" si="112"/>
        <v/>
      </c>
      <c r="X509" s="460" t="str">
        <f t="shared" ca="1" si="112"/>
        <v/>
      </c>
      <c r="Y509" s="460" t="str">
        <f t="shared" ca="1" si="112"/>
        <v/>
      </c>
      <c r="Z509" s="460" t="str">
        <f t="shared" ca="1" si="112"/>
        <v/>
      </c>
      <c r="AA509" s="461" t="str">
        <f t="shared" ca="1" si="112"/>
        <v/>
      </c>
      <c r="AB509" s="474" t="str">
        <f t="shared" ca="1" si="112"/>
        <v/>
      </c>
      <c r="AC509" s="475" t="str">
        <f t="shared" ca="1" si="112"/>
        <v/>
      </c>
      <c r="AD509" s="477" t="str">
        <f t="shared" ca="1" si="102"/>
        <v/>
      </c>
      <c r="AE509" s="478">
        <f t="shared" ca="1" si="103"/>
        <v>0</v>
      </c>
      <c r="AF509" s="459" t="str">
        <f t="shared" ca="1" si="110"/>
        <v/>
      </c>
      <c r="AG509" s="460" t="str">
        <f t="shared" ca="1" si="110"/>
        <v/>
      </c>
      <c r="AH509" s="460" t="str">
        <f t="shared" ca="1" si="110"/>
        <v/>
      </c>
      <c r="AI509" s="460" t="str">
        <f t="shared" ca="1" si="110"/>
        <v/>
      </c>
      <c r="AJ509" s="460" t="str">
        <f t="shared" ca="1" si="110"/>
        <v/>
      </c>
      <c r="AK509" s="460" t="str">
        <f t="shared" ca="1" si="110"/>
        <v/>
      </c>
      <c r="AL509" s="460" t="str">
        <f t="shared" ca="1" si="110"/>
        <v/>
      </c>
      <c r="AM509" s="460" t="str">
        <f t="shared" ca="1" si="110"/>
        <v/>
      </c>
      <c r="AN509" s="461" t="str">
        <f t="shared" ca="1" si="110"/>
        <v/>
      </c>
      <c r="AO509" s="474" t="str">
        <f t="shared" ca="1" si="110"/>
        <v/>
      </c>
      <c r="AP509" s="475" t="str">
        <f t="shared" ca="1" si="110"/>
        <v/>
      </c>
      <c r="AQ509" s="479" t="str">
        <f t="array" aca="1" ref="AQ509" ca="1">IF(ROW()-5&lt;=COUNTIF(科目编号,$AR$2),SMALL(IF(科目编号=$AR$2,ROW(科目编号),""),ROW()-5),"")</f>
        <v/>
      </c>
      <c r="AR509" s="480" t="str">
        <f ca="1">IF($BG$2=0,"",IF(AR508="本月合计","本年累计",IF(OR(ROW()=$AU$3,ROW()=$AV$3,ROW()=$AW$3,ROW()=$AX$3,ROW()=$AY$3,ROW()=$AZ$3,ROW()=$BA$3,ROW()=$BB$3,ROW()=$BC$3,ROW()=$BD$3,ROW()=$BE$3,ROW()=$BF$3),"本月合计",IF(ROW()&lt;7,$AQ$6,OFFSET($AQ$6,COUNT($AR$6:AR508),0)))))</f>
        <v/>
      </c>
    </row>
    <row r="510" spans="1:44">
      <c r="A510" s="469" t="str">
        <f ca="1">IFERROR(INDEX(凭证录入!A:A,$AR510),"")</f>
        <v/>
      </c>
      <c r="B510" s="469" t="str">
        <f ca="1">IFERROR(INDEX(凭证录入!B:B,$AR510),"")</f>
        <v/>
      </c>
      <c r="C510" s="470" t="str">
        <f ca="1">IFERROR(INDEX(凭证录入!G:G,$AR510),"")</f>
        <v/>
      </c>
      <c r="D510" s="471" t="str">
        <f ca="1">IFERROR(INDEX(凭证录入!F:F,$AR510),"")</f>
        <v/>
      </c>
      <c r="E510" s="472" t="str">
        <f ca="1">IFERROR(INDEX(凭证录入!H:H,$AR510),$AR510)</f>
        <v/>
      </c>
      <c r="F510" s="473">
        <f ca="1">IF(OR($BG$2=0,$AR510=""),,IF($AR510="本月合计",IF(ROW()=$BG$3,SUM($F$6:$F509),SUM(INDIRECT("$F$"&amp;OFFSET($AU$3,,MATCH(ROW(),$AU$3:$BF$3,)-2)+2&amp;":$E"&amp;ROW()-1))),IF($AR510="本年累计",SUMIF($AR$6:$AR510,"本月合计",$F$6:$F509),INDEX(凭证录入!K:K,$AR510))))</f>
        <v>0</v>
      </c>
      <c r="G510" s="459" t="str">
        <f t="shared" ca="1" si="111"/>
        <v/>
      </c>
      <c r="H510" s="460" t="str">
        <f t="shared" ca="1" si="111"/>
        <v/>
      </c>
      <c r="I510" s="460" t="str">
        <f t="shared" ca="1" si="111"/>
        <v/>
      </c>
      <c r="J510" s="460" t="str">
        <f t="shared" ca="1" si="111"/>
        <v/>
      </c>
      <c r="K510" s="460" t="str">
        <f t="shared" ca="1" si="111"/>
        <v/>
      </c>
      <c r="L510" s="460" t="str">
        <f t="shared" ca="1" si="111"/>
        <v/>
      </c>
      <c r="M510" s="460" t="str">
        <f t="shared" ca="1" si="111"/>
        <v/>
      </c>
      <c r="N510" s="460" t="str">
        <f t="shared" ca="1" si="111"/>
        <v/>
      </c>
      <c r="O510" s="461" t="str">
        <f t="shared" ca="1" si="111"/>
        <v/>
      </c>
      <c r="P510" s="474" t="str">
        <f t="shared" ca="1" si="111"/>
        <v/>
      </c>
      <c r="Q510" s="475" t="str">
        <f t="shared" ca="1" si="111"/>
        <v/>
      </c>
      <c r="R510" s="476">
        <f ca="1">IF(OR($BG$2=0,$AR510=""),,IF($AR510="本月合计",IF(ROW()=$BG$3,SUM($R$6:$R509),SUM(INDIRECT("$R$"&amp;OFFSET($AU$3,,MATCH(ROW(),$AU$3:$BF$3,)-2)+2&amp;":$R"&amp;ROW()-1))),IF($AR510="本年累计",SUMIF($AR$6:$AR510,"本月合计",$R$6:$R509),INDEX(凭证录入!L:L,$AR510))))</f>
        <v>0</v>
      </c>
      <c r="S510" s="459" t="str">
        <f t="shared" ca="1" si="112"/>
        <v/>
      </c>
      <c r="T510" s="460" t="str">
        <f t="shared" ca="1" si="112"/>
        <v/>
      </c>
      <c r="U510" s="460" t="str">
        <f t="shared" ca="1" si="112"/>
        <v/>
      </c>
      <c r="V510" s="460" t="str">
        <f t="shared" ca="1" si="112"/>
        <v/>
      </c>
      <c r="W510" s="460" t="str">
        <f t="shared" ca="1" si="112"/>
        <v/>
      </c>
      <c r="X510" s="460" t="str">
        <f t="shared" ca="1" si="112"/>
        <v/>
      </c>
      <c r="Y510" s="460" t="str">
        <f t="shared" ca="1" si="112"/>
        <v/>
      </c>
      <c r="Z510" s="460" t="str">
        <f t="shared" ca="1" si="112"/>
        <v/>
      </c>
      <c r="AA510" s="461" t="str">
        <f t="shared" ca="1" si="112"/>
        <v/>
      </c>
      <c r="AB510" s="474" t="str">
        <f t="shared" ca="1" si="112"/>
        <v/>
      </c>
      <c r="AC510" s="475" t="str">
        <f t="shared" ca="1" si="112"/>
        <v/>
      </c>
      <c r="AD510" s="477" t="str">
        <f t="shared" ca="1" si="102"/>
        <v/>
      </c>
      <c r="AE510" s="478">
        <f t="shared" ca="1" si="103"/>
        <v>0</v>
      </c>
      <c r="AF510" s="459" t="str">
        <f t="shared" ca="1" si="110"/>
        <v/>
      </c>
      <c r="AG510" s="460" t="str">
        <f t="shared" ca="1" si="110"/>
        <v/>
      </c>
      <c r="AH510" s="460" t="str">
        <f t="shared" ca="1" si="110"/>
        <v/>
      </c>
      <c r="AI510" s="460" t="str">
        <f t="shared" ca="1" si="110"/>
        <v/>
      </c>
      <c r="AJ510" s="460" t="str">
        <f t="shared" ca="1" si="110"/>
        <v/>
      </c>
      <c r="AK510" s="460" t="str">
        <f t="shared" ca="1" si="110"/>
        <v/>
      </c>
      <c r="AL510" s="460" t="str">
        <f t="shared" ca="1" si="110"/>
        <v/>
      </c>
      <c r="AM510" s="460" t="str">
        <f t="shared" ca="1" si="110"/>
        <v/>
      </c>
      <c r="AN510" s="461" t="str">
        <f t="shared" ca="1" si="110"/>
        <v/>
      </c>
      <c r="AO510" s="474" t="str">
        <f t="shared" ca="1" si="110"/>
        <v/>
      </c>
      <c r="AP510" s="475" t="str">
        <f t="shared" ca="1" si="110"/>
        <v/>
      </c>
      <c r="AQ510" s="479" t="str">
        <f t="array" aca="1" ref="AQ510" ca="1">IF(ROW()-5&lt;=COUNTIF(科目编号,$AR$2),SMALL(IF(科目编号=$AR$2,ROW(科目编号),""),ROW()-5),"")</f>
        <v/>
      </c>
      <c r="AR510" s="480" t="str">
        <f ca="1">IF($BG$2=0,"",IF(AR509="本月合计","本年累计",IF(OR(ROW()=$AU$3,ROW()=$AV$3,ROW()=$AW$3,ROW()=$AX$3,ROW()=$AY$3,ROW()=$AZ$3,ROW()=$BA$3,ROW()=$BB$3,ROW()=$BC$3,ROW()=$BD$3,ROW()=$BE$3,ROW()=$BF$3),"本月合计",IF(ROW()&lt;7,$AQ$6,OFFSET($AQ$6,COUNT($AR$6:AR509),0)))))</f>
        <v/>
      </c>
    </row>
    <row r="511" spans="1:44">
      <c r="A511" s="469" t="str">
        <f ca="1">IFERROR(INDEX(凭证录入!A:A,$AR511),"")</f>
        <v/>
      </c>
      <c r="B511" s="469" t="str">
        <f ca="1">IFERROR(INDEX(凭证录入!B:B,$AR511),"")</f>
        <v/>
      </c>
      <c r="C511" s="470" t="str">
        <f ca="1">IFERROR(INDEX(凭证录入!G:G,$AR511),"")</f>
        <v/>
      </c>
      <c r="D511" s="471" t="str">
        <f ca="1">IFERROR(INDEX(凭证录入!F:F,$AR511),"")</f>
        <v/>
      </c>
      <c r="E511" s="472" t="str">
        <f ca="1">IFERROR(INDEX(凭证录入!H:H,$AR511),$AR511)</f>
        <v/>
      </c>
      <c r="F511" s="473">
        <f ca="1">IF(OR($BG$2=0,$AR511=""),,IF($AR511="本月合计",IF(ROW()=$BG$3,SUM($F$6:$F510),SUM(INDIRECT("$F$"&amp;OFFSET($AU$3,,MATCH(ROW(),$AU$3:$BF$3,)-2)+2&amp;":$E"&amp;ROW()-1))),IF($AR511="本年累计",SUMIF($AR$6:$AR511,"本月合计",$F$6:$F510),INDEX(凭证录入!K:K,$AR511))))</f>
        <v>0</v>
      </c>
      <c r="G511" s="459" t="str">
        <f t="shared" ca="1" si="111"/>
        <v/>
      </c>
      <c r="H511" s="460" t="str">
        <f t="shared" ca="1" si="111"/>
        <v/>
      </c>
      <c r="I511" s="460" t="str">
        <f t="shared" ca="1" si="111"/>
        <v/>
      </c>
      <c r="J511" s="460" t="str">
        <f t="shared" ca="1" si="111"/>
        <v/>
      </c>
      <c r="K511" s="460" t="str">
        <f t="shared" ca="1" si="111"/>
        <v/>
      </c>
      <c r="L511" s="460" t="str">
        <f t="shared" ca="1" si="111"/>
        <v/>
      </c>
      <c r="M511" s="460" t="str">
        <f t="shared" ca="1" si="111"/>
        <v/>
      </c>
      <c r="N511" s="460" t="str">
        <f t="shared" ca="1" si="111"/>
        <v/>
      </c>
      <c r="O511" s="461" t="str">
        <f t="shared" ca="1" si="111"/>
        <v/>
      </c>
      <c r="P511" s="474" t="str">
        <f t="shared" ca="1" si="111"/>
        <v/>
      </c>
      <c r="Q511" s="475" t="str">
        <f t="shared" ca="1" si="111"/>
        <v/>
      </c>
      <c r="R511" s="476">
        <f ca="1">IF(OR($BG$2=0,$AR511=""),,IF($AR511="本月合计",IF(ROW()=$BG$3,SUM($R$6:$R510),SUM(INDIRECT("$R$"&amp;OFFSET($AU$3,,MATCH(ROW(),$AU$3:$BF$3,)-2)+2&amp;":$R"&amp;ROW()-1))),IF($AR511="本年累计",SUMIF($AR$6:$AR511,"本月合计",$R$6:$R510),INDEX(凭证录入!L:L,$AR511))))</f>
        <v>0</v>
      </c>
      <c r="S511" s="459" t="str">
        <f t="shared" ca="1" si="112"/>
        <v/>
      </c>
      <c r="T511" s="460" t="str">
        <f t="shared" ca="1" si="112"/>
        <v/>
      </c>
      <c r="U511" s="460" t="str">
        <f t="shared" ca="1" si="112"/>
        <v/>
      </c>
      <c r="V511" s="460" t="str">
        <f t="shared" ca="1" si="112"/>
        <v/>
      </c>
      <c r="W511" s="460" t="str">
        <f t="shared" ca="1" si="112"/>
        <v/>
      </c>
      <c r="X511" s="460" t="str">
        <f t="shared" ca="1" si="112"/>
        <v/>
      </c>
      <c r="Y511" s="460" t="str">
        <f t="shared" ca="1" si="112"/>
        <v/>
      </c>
      <c r="Z511" s="460" t="str">
        <f t="shared" ca="1" si="112"/>
        <v/>
      </c>
      <c r="AA511" s="461" t="str">
        <f t="shared" ca="1" si="112"/>
        <v/>
      </c>
      <c r="AB511" s="474" t="str">
        <f t="shared" ca="1" si="112"/>
        <v/>
      </c>
      <c r="AC511" s="475" t="str">
        <f t="shared" ca="1" si="112"/>
        <v/>
      </c>
      <c r="AD511" s="477" t="str">
        <f t="shared" ca="1" si="102"/>
        <v/>
      </c>
      <c r="AE511" s="478">
        <f t="shared" ca="1" si="103"/>
        <v>0</v>
      </c>
      <c r="AF511" s="459" t="str">
        <f t="shared" ca="1" si="110"/>
        <v/>
      </c>
      <c r="AG511" s="460" t="str">
        <f t="shared" ca="1" si="110"/>
        <v/>
      </c>
      <c r="AH511" s="460" t="str">
        <f t="shared" ca="1" si="110"/>
        <v/>
      </c>
      <c r="AI511" s="460" t="str">
        <f t="shared" ca="1" si="110"/>
        <v/>
      </c>
      <c r="AJ511" s="460" t="str">
        <f t="shared" ca="1" si="110"/>
        <v/>
      </c>
      <c r="AK511" s="460" t="str">
        <f t="shared" ca="1" si="110"/>
        <v/>
      </c>
      <c r="AL511" s="460" t="str">
        <f t="shared" ca="1" si="110"/>
        <v/>
      </c>
      <c r="AM511" s="460" t="str">
        <f t="shared" ca="1" si="110"/>
        <v/>
      </c>
      <c r="AN511" s="461" t="str">
        <f t="shared" ca="1" si="110"/>
        <v/>
      </c>
      <c r="AO511" s="474" t="str">
        <f t="shared" ca="1" si="110"/>
        <v/>
      </c>
      <c r="AP511" s="475" t="str">
        <f t="shared" ca="1" si="110"/>
        <v/>
      </c>
      <c r="AQ511" s="479" t="str">
        <f t="array" aca="1" ref="AQ511" ca="1">IF(ROW()-5&lt;=COUNTIF(科目编号,$AR$2),SMALL(IF(科目编号=$AR$2,ROW(科目编号),""),ROW()-5),"")</f>
        <v/>
      </c>
      <c r="AR511" s="480" t="str">
        <f ca="1">IF($BG$2=0,"",IF(AR510="本月合计","本年累计",IF(OR(ROW()=$AU$3,ROW()=$AV$3,ROW()=$AW$3,ROW()=$AX$3,ROW()=$AY$3,ROW()=$AZ$3,ROW()=$BA$3,ROW()=$BB$3,ROW()=$BC$3,ROW()=$BD$3,ROW()=$BE$3,ROW()=$BF$3),"本月合计",IF(ROW()&lt;7,$AQ$6,OFFSET($AQ$6,COUNT($AR$6:AR510),0)))))</f>
        <v/>
      </c>
    </row>
    <row r="512" spans="1:44">
      <c r="A512" s="469" t="str">
        <f ca="1">IFERROR(INDEX(凭证录入!A:A,$AR512),"")</f>
        <v/>
      </c>
      <c r="B512" s="469" t="str">
        <f ca="1">IFERROR(INDEX(凭证录入!B:B,$AR512),"")</f>
        <v/>
      </c>
      <c r="C512" s="470" t="str">
        <f ca="1">IFERROR(INDEX(凭证录入!G:G,$AR512),"")</f>
        <v/>
      </c>
      <c r="D512" s="471" t="str">
        <f ca="1">IFERROR(INDEX(凭证录入!F:F,$AR512),"")</f>
        <v/>
      </c>
      <c r="E512" s="472" t="str">
        <f ca="1">IFERROR(INDEX(凭证录入!H:H,$AR512),$AR512)</f>
        <v/>
      </c>
      <c r="F512" s="473">
        <f ca="1">IF(OR($BG$2=0,$AR512=""),,IF($AR512="本月合计",IF(ROW()=$BG$3,SUM($F$6:$F511),SUM(INDIRECT("$F$"&amp;OFFSET($AU$3,,MATCH(ROW(),$AU$3:$BF$3,)-2)+2&amp;":$E"&amp;ROW()-1))),IF($AR512="本年累计",SUMIF($AR$6:$AR512,"本月合计",$F$6:$F511),INDEX(凭证录入!K:K,$AR512))))</f>
        <v>0</v>
      </c>
      <c r="G512" s="459" t="str">
        <f t="shared" ca="1" si="111"/>
        <v/>
      </c>
      <c r="H512" s="460" t="str">
        <f t="shared" ca="1" si="111"/>
        <v/>
      </c>
      <c r="I512" s="460" t="str">
        <f t="shared" ca="1" si="111"/>
        <v/>
      </c>
      <c r="J512" s="460" t="str">
        <f t="shared" ca="1" si="111"/>
        <v/>
      </c>
      <c r="K512" s="460" t="str">
        <f t="shared" ca="1" si="111"/>
        <v/>
      </c>
      <c r="L512" s="460" t="str">
        <f t="shared" ca="1" si="111"/>
        <v/>
      </c>
      <c r="M512" s="460" t="str">
        <f t="shared" ca="1" si="111"/>
        <v/>
      </c>
      <c r="N512" s="460" t="str">
        <f t="shared" ca="1" si="111"/>
        <v/>
      </c>
      <c r="O512" s="461" t="str">
        <f t="shared" ca="1" si="111"/>
        <v/>
      </c>
      <c r="P512" s="474" t="str">
        <f t="shared" ca="1" si="111"/>
        <v/>
      </c>
      <c r="Q512" s="475" t="str">
        <f t="shared" ca="1" si="111"/>
        <v/>
      </c>
      <c r="R512" s="476">
        <f ca="1">IF(OR($BG$2=0,$AR512=""),,IF($AR512="本月合计",IF(ROW()=$BG$3,SUM($R$6:$R511),SUM(INDIRECT("$R$"&amp;OFFSET($AU$3,,MATCH(ROW(),$AU$3:$BF$3,)-2)+2&amp;":$R"&amp;ROW()-1))),IF($AR512="本年累计",SUMIF($AR$6:$AR512,"本月合计",$R$6:$R511),INDEX(凭证录入!L:L,$AR512))))</f>
        <v>0</v>
      </c>
      <c r="S512" s="459" t="str">
        <f t="shared" ca="1" si="112"/>
        <v/>
      </c>
      <c r="T512" s="460" t="str">
        <f t="shared" ca="1" si="112"/>
        <v/>
      </c>
      <c r="U512" s="460" t="str">
        <f t="shared" ca="1" si="112"/>
        <v/>
      </c>
      <c r="V512" s="460" t="str">
        <f t="shared" ca="1" si="112"/>
        <v/>
      </c>
      <c r="W512" s="460" t="str">
        <f t="shared" ca="1" si="112"/>
        <v/>
      </c>
      <c r="X512" s="460" t="str">
        <f t="shared" ca="1" si="112"/>
        <v/>
      </c>
      <c r="Y512" s="460" t="str">
        <f t="shared" ca="1" si="112"/>
        <v/>
      </c>
      <c r="Z512" s="460" t="str">
        <f t="shared" ca="1" si="112"/>
        <v/>
      </c>
      <c r="AA512" s="461" t="str">
        <f t="shared" ca="1" si="112"/>
        <v/>
      </c>
      <c r="AB512" s="474" t="str">
        <f t="shared" ca="1" si="112"/>
        <v/>
      </c>
      <c r="AC512" s="475" t="str">
        <f t="shared" ca="1" si="112"/>
        <v/>
      </c>
      <c r="AD512" s="477" t="str">
        <f t="shared" ca="1" si="102"/>
        <v/>
      </c>
      <c r="AE512" s="478">
        <f t="shared" ca="1" si="103"/>
        <v>0</v>
      </c>
      <c r="AF512" s="459" t="str">
        <f t="shared" ca="1" si="110"/>
        <v/>
      </c>
      <c r="AG512" s="460" t="str">
        <f t="shared" ca="1" si="110"/>
        <v/>
      </c>
      <c r="AH512" s="460" t="str">
        <f t="shared" ca="1" si="110"/>
        <v/>
      </c>
      <c r="AI512" s="460" t="str">
        <f t="shared" ca="1" si="110"/>
        <v/>
      </c>
      <c r="AJ512" s="460" t="str">
        <f t="shared" ca="1" si="110"/>
        <v/>
      </c>
      <c r="AK512" s="460" t="str">
        <f t="shared" ca="1" si="110"/>
        <v/>
      </c>
      <c r="AL512" s="460" t="str">
        <f t="shared" ca="1" si="110"/>
        <v/>
      </c>
      <c r="AM512" s="460" t="str">
        <f t="shared" ca="1" si="110"/>
        <v/>
      </c>
      <c r="AN512" s="461" t="str">
        <f t="shared" ca="1" si="110"/>
        <v/>
      </c>
      <c r="AO512" s="474" t="str">
        <f t="shared" ca="1" si="110"/>
        <v/>
      </c>
      <c r="AP512" s="475" t="str">
        <f t="shared" ca="1" si="110"/>
        <v/>
      </c>
      <c r="AQ512" s="479" t="str">
        <f t="array" aca="1" ref="AQ512" ca="1">IF(ROW()-5&lt;=COUNTIF(科目编号,$AR$2),SMALL(IF(科目编号=$AR$2,ROW(科目编号),""),ROW()-5),"")</f>
        <v/>
      </c>
      <c r="AR512" s="480" t="str">
        <f ca="1">IF($BG$2=0,"",IF(AR511="本月合计","本年累计",IF(OR(ROW()=$AU$3,ROW()=$AV$3,ROW()=$AW$3,ROW()=$AX$3,ROW()=$AY$3,ROW()=$AZ$3,ROW()=$BA$3,ROW()=$BB$3,ROW()=$BC$3,ROW()=$BD$3,ROW()=$BE$3,ROW()=$BF$3),"本月合计",IF(ROW()&lt;7,$AQ$6,OFFSET($AQ$6,COUNT($AR$6:AR511),0)))))</f>
        <v/>
      </c>
    </row>
    <row r="513" spans="1:44">
      <c r="A513" s="469" t="str">
        <f ca="1">IFERROR(INDEX(凭证录入!A:A,$AR513),"")</f>
        <v/>
      </c>
      <c r="B513" s="469" t="str">
        <f ca="1">IFERROR(INDEX(凭证录入!B:B,$AR513),"")</f>
        <v/>
      </c>
      <c r="C513" s="470" t="str">
        <f ca="1">IFERROR(INDEX(凭证录入!G:G,$AR513),"")</f>
        <v/>
      </c>
      <c r="D513" s="471" t="str">
        <f ca="1">IFERROR(INDEX(凭证录入!F:F,$AR513),"")</f>
        <v/>
      </c>
      <c r="E513" s="472" t="str">
        <f ca="1">IFERROR(INDEX(凭证录入!H:H,$AR513),$AR513)</f>
        <v/>
      </c>
      <c r="F513" s="473">
        <f ca="1">IF(OR($BG$2=0,$AR513=""),,IF($AR513="本月合计",IF(ROW()=$BG$3,SUM($F$6:$F512),SUM(INDIRECT("$F$"&amp;OFFSET($AU$3,,MATCH(ROW(),$AU$3:$BF$3,)-2)+2&amp;":$E"&amp;ROW()-1))),IF($AR513="本年累计",SUMIF($AR$6:$AR513,"本月合计",$F$6:$F512),INDEX(凭证录入!K:K,$AR513))))</f>
        <v>0</v>
      </c>
      <c r="G513" s="459" t="str">
        <f t="shared" ca="1" si="111"/>
        <v/>
      </c>
      <c r="H513" s="460" t="str">
        <f t="shared" ca="1" si="111"/>
        <v/>
      </c>
      <c r="I513" s="460" t="str">
        <f t="shared" ca="1" si="111"/>
        <v/>
      </c>
      <c r="J513" s="460" t="str">
        <f t="shared" ca="1" si="111"/>
        <v/>
      </c>
      <c r="K513" s="460" t="str">
        <f t="shared" ca="1" si="111"/>
        <v/>
      </c>
      <c r="L513" s="460" t="str">
        <f t="shared" ca="1" si="111"/>
        <v/>
      </c>
      <c r="M513" s="460" t="str">
        <f t="shared" ca="1" si="111"/>
        <v/>
      </c>
      <c r="N513" s="460" t="str">
        <f t="shared" ca="1" si="111"/>
        <v/>
      </c>
      <c r="O513" s="461" t="str">
        <f t="shared" ca="1" si="111"/>
        <v/>
      </c>
      <c r="P513" s="474" t="str">
        <f t="shared" ca="1" si="111"/>
        <v/>
      </c>
      <c r="Q513" s="475" t="str">
        <f t="shared" ca="1" si="111"/>
        <v/>
      </c>
      <c r="R513" s="476">
        <f ca="1">IF(OR($BG$2=0,$AR513=""),,IF($AR513="本月合计",IF(ROW()=$BG$3,SUM($R$6:$R512),SUM(INDIRECT("$R$"&amp;OFFSET($AU$3,,MATCH(ROW(),$AU$3:$BF$3,)-2)+2&amp;":$R"&amp;ROW()-1))),IF($AR513="本年累计",SUMIF($AR$6:$AR513,"本月合计",$R$6:$R512),INDEX(凭证录入!L:L,$AR513))))</f>
        <v>0</v>
      </c>
      <c r="S513" s="459" t="str">
        <f t="shared" ca="1" si="112"/>
        <v/>
      </c>
      <c r="T513" s="460" t="str">
        <f t="shared" ca="1" si="112"/>
        <v/>
      </c>
      <c r="U513" s="460" t="str">
        <f t="shared" ca="1" si="112"/>
        <v/>
      </c>
      <c r="V513" s="460" t="str">
        <f t="shared" ca="1" si="112"/>
        <v/>
      </c>
      <c r="W513" s="460" t="str">
        <f t="shared" ca="1" si="112"/>
        <v/>
      </c>
      <c r="X513" s="460" t="str">
        <f t="shared" ca="1" si="112"/>
        <v/>
      </c>
      <c r="Y513" s="460" t="str">
        <f t="shared" ca="1" si="112"/>
        <v/>
      </c>
      <c r="Z513" s="460" t="str">
        <f t="shared" ca="1" si="112"/>
        <v/>
      </c>
      <c r="AA513" s="461" t="str">
        <f t="shared" ca="1" si="112"/>
        <v/>
      </c>
      <c r="AB513" s="474" t="str">
        <f t="shared" ca="1" si="112"/>
        <v/>
      </c>
      <c r="AC513" s="475" t="str">
        <f t="shared" ca="1" si="112"/>
        <v/>
      </c>
      <c r="AD513" s="477" t="str">
        <f t="shared" ca="1" si="102"/>
        <v/>
      </c>
      <c r="AE513" s="478">
        <f t="shared" ca="1" si="103"/>
        <v>0</v>
      </c>
      <c r="AF513" s="459" t="str">
        <f t="shared" ca="1" si="110"/>
        <v/>
      </c>
      <c r="AG513" s="460" t="str">
        <f t="shared" ca="1" si="110"/>
        <v/>
      </c>
      <c r="AH513" s="460" t="str">
        <f t="shared" ca="1" si="110"/>
        <v/>
      </c>
      <c r="AI513" s="460" t="str">
        <f t="shared" ca="1" si="110"/>
        <v/>
      </c>
      <c r="AJ513" s="460" t="str">
        <f t="shared" ca="1" si="110"/>
        <v/>
      </c>
      <c r="AK513" s="460" t="str">
        <f t="shared" ca="1" si="110"/>
        <v/>
      </c>
      <c r="AL513" s="460" t="str">
        <f t="shared" ca="1" si="110"/>
        <v/>
      </c>
      <c r="AM513" s="460" t="str">
        <f t="shared" ca="1" si="110"/>
        <v/>
      </c>
      <c r="AN513" s="461" t="str">
        <f t="shared" ca="1" si="110"/>
        <v/>
      </c>
      <c r="AO513" s="474" t="str">
        <f t="shared" ca="1" si="110"/>
        <v/>
      </c>
      <c r="AP513" s="475" t="str">
        <f t="shared" ca="1" si="110"/>
        <v/>
      </c>
      <c r="AQ513" s="479" t="str">
        <f t="array" aca="1" ref="AQ513" ca="1">IF(ROW()-5&lt;=COUNTIF(科目编号,$AR$2),SMALL(IF(科目编号=$AR$2,ROW(科目编号),""),ROW()-5),"")</f>
        <v/>
      </c>
      <c r="AR513" s="480" t="str">
        <f ca="1">IF($BG$2=0,"",IF(AR512="本月合计","本年累计",IF(OR(ROW()=$AU$3,ROW()=$AV$3,ROW()=$AW$3,ROW()=$AX$3,ROW()=$AY$3,ROW()=$AZ$3,ROW()=$BA$3,ROW()=$BB$3,ROW()=$BC$3,ROW()=$BD$3,ROW()=$BE$3,ROW()=$BF$3),"本月合计",IF(ROW()&lt;7,$AQ$6,OFFSET($AQ$6,COUNT($AR$6:AR512),0)))))</f>
        <v/>
      </c>
    </row>
    <row r="514" spans="1:44">
      <c r="A514" s="469" t="str">
        <f ca="1">IFERROR(INDEX(凭证录入!A:A,$AR514),"")</f>
        <v/>
      </c>
      <c r="B514" s="469" t="str">
        <f ca="1">IFERROR(INDEX(凭证录入!B:B,$AR514),"")</f>
        <v/>
      </c>
      <c r="C514" s="470" t="str">
        <f ca="1">IFERROR(INDEX(凭证录入!G:G,$AR514),"")</f>
        <v/>
      </c>
      <c r="D514" s="471" t="str">
        <f ca="1">IFERROR(INDEX(凭证录入!F:F,$AR514),"")</f>
        <v/>
      </c>
      <c r="E514" s="472" t="str">
        <f ca="1">IFERROR(INDEX(凭证录入!H:H,$AR514),$AR514)</f>
        <v/>
      </c>
      <c r="F514" s="473">
        <f ca="1">IF(OR($BG$2=0,$AR514=""),,IF($AR514="本月合计",IF(ROW()=$BG$3,SUM($F$6:$F513),SUM(INDIRECT("$F$"&amp;OFFSET($AU$3,,MATCH(ROW(),$AU$3:$BF$3,)-2)+2&amp;":$E"&amp;ROW()-1))),IF($AR514="本年累计",SUMIF($AR$6:$AR514,"本月合计",$F$6:$F513),INDEX(凭证录入!K:K,$AR514))))</f>
        <v>0</v>
      </c>
      <c r="G514" s="459" t="str">
        <f t="shared" ca="1" si="111"/>
        <v/>
      </c>
      <c r="H514" s="460" t="str">
        <f t="shared" ca="1" si="111"/>
        <v/>
      </c>
      <c r="I514" s="460" t="str">
        <f t="shared" ca="1" si="111"/>
        <v/>
      </c>
      <c r="J514" s="460" t="str">
        <f t="shared" ca="1" si="111"/>
        <v/>
      </c>
      <c r="K514" s="460" t="str">
        <f t="shared" ca="1" si="111"/>
        <v/>
      </c>
      <c r="L514" s="460" t="str">
        <f t="shared" ca="1" si="111"/>
        <v/>
      </c>
      <c r="M514" s="460" t="str">
        <f t="shared" ca="1" si="111"/>
        <v/>
      </c>
      <c r="N514" s="460" t="str">
        <f t="shared" ca="1" si="111"/>
        <v/>
      </c>
      <c r="O514" s="461" t="str">
        <f t="shared" ca="1" si="111"/>
        <v/>
      </c>
      <c r="P514" s="474" t="str">
        <f t="shared" ca="1" si="111"/>
        <v/>
      </c>
      <c r="Q514" s="475" t="str">
        <f t="shared" ca="1" si="111"/>
        <v/>
      </c>
      <c r="R514" s="476">
        <f ca="1">IF(OR($BG$2=0,$AR514=""),,IF($AR514="本月合计",IF(ROW()=$BG$3,SUM($R$6:$R513),SUM(INDIRECT("$R$"&amp;OFFSET($AU$3,,MATCH(ROW(),$AU$3:$BF$3,)-2)+2&amp;":$R"&amp;ROW()-1))),IF($AR514="本年累计",SUMIF($AR$6:$AR514,"本月合计",$R$6:$R513),INDEX(凭证录入!L:L,$AR514))))</f>
        <v>0</v>
      </c>
      <c r="S514" s="459" t="str">
        <f t="shared" ca="1" si="112"/>
        <v/>
      </c>
      <c r="T514" s="460" t="str">
        <f t="shared" ca="1" si="112"/>
        <v/>
      </c>
      <c r="U514" s="460" t="str">
        <f t="shared" ca="1" si="112"/>
        <v/>
      </c>
      <c r="V514" s="460" t="str">
        <f t="shared" ca="1" si="112"/>
        <v/>
      </c>
      <c r="W514" s="460" t="str">
        <f t="shared" ca="1" si="112"/>
        <v/>
      </c>
      <c r="X514" s="460" t="str">
        <f t="shared" ca="1" si="112"/>
        <v/>
      </c>
      <c r="Y514" s="460" t="str">
        <f t="shared" ca="1" si="112"/>
        <v/>
      </c>
      <c r="Z514" s="460" t="str">
        <f t="shared" ca="1" si="112"/>
        <v/>
      </c>
      <c r="AA514" s="461" t="str">
        <f t="shared" ca="1" si="112"/>
        <v/>
      </c>
      <c r="AB514" s="474" t="str">
        <f t="shared" ca="1" si="112"/>
        <v/>
      </c>
      <c r="AC514" s="475" t="str">
        <f t="shared" ca="1" si="112"/>
        <v/>
      </c>
      <c r="AD514" s="477" t="str">
        <f t="shared" ca="1" si="102"/>
        <v/>
      </c>
      <c r="AE514" s="478">
        <f t="shared" ca="1" si="103"/>
        <v>0</v>
      </c>
      <c r="AF514" s="459" t="str">
        <f t="shared" ca="1" si="110"/>
        <v/>
      </c>
      <c r="AG514" s="460" t="str">
        <f t="shared" ca="1" si="110"/>
        <v/>
      </c>
      <c r="AH514" s="460" t="str">
        <f t="shared" ca="1" si="110"/>
        <v/>
      </c>
      <c r="AI514" s="460" t="str">
        <f t="shared" ca="1" si="110"/>
        <v/>
      </c>
      <c r="AJ514" s="460" t="str">
        <f t="shared" ca="1" si="110"/>
        <v/>
      </c>
      <c r="AK514" s="460" t="str">
        <f t="shared" ca="1" si="110"/>
        <v/>
      </c>
      <c r="AL514" s="460" t="str">
        <f t="shared" ca="1" si="110"/>
        <v/>
      </c>
      <c r="AM514" s="460" t="str">
        <f t="shared" ca="1" si="110"/>
        <v/>
      </c>
      <c r="AN514" s="461" t="str">
        <f t="shared" ca="1" si="110"/>
        <v/>
      </c>
      <c r="AO514" s="474" t="str">
        <f t="shared" ca="1" si="110"/>
        <v/>
      </c>
      <c r="AP514" s="475" t="str">
        <f t="shared" ca="1" si="110"/>
        <v/>
      </c>
      <c r="AQ514" s="479" t="str">
        <f t="array" aca="1" ref="AQ514" ca="1">IF(ROW()-5&lt;=COUNTIF(科目编号,$AR$2),SMALL(IF(科目编号=$AR$2,ROW(科目编号),""),ROW()-5),"")</f>
        <v/>
      </c>
      <c r="AR514" s="480" t="str">
        <f ca="1">IF($BG$2=0,"",IF(AR513="本月合计","本年累计",IF(OR(ROW()=$AU$3,ROW()=$AV$3,ROW()=$AW$3,ROW()=$AX$3,ROW()=$AY$3,ROW()=$AZ$3,ROW()=$BA$3,ROW()=$BB$3,ROW()=$BC$3,ROW()=$BD$3,ROW()=$BE$3,ROW()=$BF$3),"本月合计",IF(ROW()&lt;7,$AQ$6,OFFSET($AQ$6,COUNT($AR$6:AR513),0)))))</f>
        <v/>
      </c>
    </row>
    <row r="515" spans="1:44">
      <c r="A515" s="469" t="str">
        <f ca="1">IFERROR(INDEX(凭证录入!A:A,$AR515),"")</f>
        <v/>
      </c>
      <c r="B515" s="469" t="str">
        <f ca="1">IFERROR(INDEX(凭证录入!B:B,$AR515),"")</f>
        <v/>
      </c>
      <c r="C515" s="470" t="str">
        <f ca="1">IFERROR(INDEX(凭证录入!G:G,$AR515),"")</f>
        <v/>
      </c>
      <c r="D515" s="471" t="str">
        <f ca="1">IFERROR(INDEX(凭证录入!F:F,$AR515),"")</f>
        <v/>
      </c>
      <c r="E515" s="472" t="str">
        <f ca="1">IFERROR(INDEX(凭证录入!H:H,$AR515),$AR515)</f>
        <v/>
      </c>
      <c r="F515" s="473">
        <f ca="1">IF(OR($BG$2=0,$AR515=""),,IF($AR515="本月合计",IF(ROW()=$BG$3,SUM($F$6:$F514),SUM(INDIRECT("$F$"&amp;OFFSET($AU$3,,MATCH(ROW(),$AU$3:$BF$3,)-2)+2&amp;":$E"&amp;ROW()-1))),IF($AR515="本年累计",SUMIF($AR$6:$AR515,"本月合计",$F$6:$F514),INDEX(凭证录入!K:K,$AR515))))</f>
        <v>0</v>
      </c>
      <c r="G515" s="459" t="str">
        <f t="shared" ca="1" si="111"/>
        <v/>
      </c>
      <c r="H515" s="460" t="str">
        <f t="shared" ca="1" si="111"/>
        <v/>
      </c>
      <c r="I515" s="460" t="str">
        <f t="shared" ca="1" si="111"/>
        <v/>
      </c>
      <c r="J515" s="460" t="str">
        <f t="shared" ca="1" si="111"/>
        <v/>
      </c>
      <c r="K515" s="460" t="str">
        <f t="shared" ca="1" si="111"/>
        <v/>
      </c>
      <c r="L515" s="460" t="str">
        <f t="shared" ca="1" si="111"/>
        <v/>
      </c>
      <c r="M515" s="460" t="str">
        <f t="shared" ca="1" si="111"/>
        <v/>
      </c>
      <c r="N515" s="460" t="str">
        <f t="shared" ca="1" si="111"/>
        <v/>
      </c>
      <c r="O515" s="461" t="str">
        <f t="shared" ca="1" si="111"/>
        <v/>
      </c>
      <c r="P515" s="474" t="str">
        <f t="shared" ca="1" si="111"/>
        <v/>
      </c>
      <c r="Q515" s="475" t="str">
        <f t="shared" ca="1" si="111"/>
        <v/>
      </c>
      <c r="R515" s="476">
        <f ca="1">IF(OR($BG$2=0,$AR515=""),,IF($AR515="本月合计",IF(ROW()=$BG$3,SUM($R$6:$R514),SUM(INDIRECT("$R$"&amp;OFFSET($AU$3,,MATCH(ROW(),$AU$3:$BF$3,)-2)+2&amp;":$R"&amp;ROW()-1))),IF($AR515="本年累计",SUMIF($AR$6:$AR515,"本月合计",$R$6:$R514),INDEX(凭证录入!L:L,$AR515))))</f>
        <v>0</v>
      </c>
      <c r="S515" s="459" t="str">
        <f t="shared" ca="1" si="112"/>
        <v/>
      </c>
      <c r="T515" s="460" t="str">
        <f t="shared" ca="1" si="112"/>
        <v/>
      </c>
      <c r="U515" s="460" t="str">
        <f t="shared" ca="1" si="112"/>
        <v/>
      </c>
      <c r="V515" s="460" t="str">
        <f t="shared" ca="1" si="112"/>
        <v/>
      </c>
      <c r="W515" s="460" t="str">
        <f t="shared" ca="1" si="112"/>
        <v/>
      </c>
      <c r="X515" s="460" t="str">
        <f t="shared" ca="1" si="112"/>
        <v/>
      </c>
      <c r="Y515" s="460" t="str">
        <f t="shared" ca="1" si="112"/>
        <v/>
      </c>
      <c r="Z515" s="460" t="str">
        <f t="shared" ca="1" si="112"/>
        <v/>
      </c>
      <c r="AA515" s="461" t="str">
        <f t="shared" ca="1" si="112"/>
        <v/>
      </c>
      <c r="AB515" s="474" t="str">
        <f t="shared" ca="1" si="112"/>
        <v/>
      </c>
      <c r="AC515" s="475" t="str">
        <f t="shared" ca="1" si="112"/>
        <v/>
      </c>
      <c r="AD515" s="477" t="str">
        <f t="shared" ca="1" si="102"/>
        <v/>
      </c>
      <c r="AE515" s="478">
        <f t="shared" ca="1" si="103"/>
        <v>0</v>
      </c>
      <c r="AF515" s="459" t="str">
        <f t="shared" ca="1" si="110"/>
        <v/>
      </c>
      <c r="AG515" s="460" t="str">
        <f t="shared" ca="1" si="110"/>
        <v/>
      </c>
      <c r="AH515" s="460" t="str">
        <f t="shared" ca="1" si="110"/>
        <v/>
      </c>
      <c r="AI515" s="460" t="str">
        <f t="shared" ca="1" si="110"/>
        <v/>
      </c>
      <c r="AJ515" s="460" t="str">
        <f t="shared" ca="1" si="110"/>
        <v/>
      </c>
      <c r="AK515" s="460" t="str">
        <f t="shared" ca="1" si="110"/>
        <v/>
      </c>
      <c r="AL515" s="460" t="str">
        <f t="shared" ca="1" si="110"/>
        <v/>
      </c>
      <c r="AM515" s="460" t="str">
        <f t="shared" ca="1" si="110"/>
        <v/>
      </c>
      <c r="AN515" s="461" t="str">
        <f t="shared" ca="1" si="110"/>
        <v/>
      </c>
      <c r="AO515" s="474" t="str">
        <f t="shared" ca="1" si="110"/>
        <v/>
      </c>
      <c r="AP515" s="475" t="str">
        <f t="shared" ca="1" si="110"/>
        <v/>
      </c>
      <c r="AQ515" s="479" t="str">
        <f t="array" aca="1" ref="AQ515" ca="1">IF(ROW()-5&lt;=COUNTIF(科目编号,$AR$2),SMALL(IF(科目编号=$AR$2,ROW(科目编号),""),ROW()-5),"")</f>
        <v/>
      </c>
      <c r="AR515" s="480" t="str">
        <f ca="1">IF($BG$2=0,"",IF(AR514="本月合计","本年累计",IF(OR(ROW()=$AU$3,ROW()=$AV$3,ROW()=$AW$3,ROW()=$AX$3,ROW()=$AY$3,ROW()=$AZ$3,ROW()=$BA$3,ROW()=$BB$3,ROW()=$BC$3,ROW()=$BD$3,ROW()=$BE$3,ROW()=$BF$3),"本月合计",IF(ROW()&lt;7,$AQ$6,OFFSET($AQ$6,COUNT($AR$6:AR514),0)))))</f>
        <v/>
      </c>
    </row>
    <row r="516" spans="1:44">
      <c r="A516" s="469" t="str">
        <f ca="1">IFERROR(INDEX(凭证录入!A:A,$AR516),"")</f>
        <v/>
      </c>
      <c r="B516" s="469" t="str">
        <f ca="1">IFERROR(INDEX(凭证录入!B:B,$AR516),"")</f>
        <v/>
      </c>
      <c r="C516" s="470" t="str">
        <f ca="1">IFERROR(INDEX(凭证录入!G:G,$AR516),"")</f>
        <v/>
      </c>
      <c r="D516" s="471" t="str">
        <f ca="1">IFERROR(INDEX(凭证录入!F:F,$AR516),"")</f>
        <v/>
      </c>
      <c r="E516" s="472" t="str">
        <f ca="1">IFERROR(INDEX(凭证录入!H:H,$AR516),$AR516)</f>
        <v/>
      </c>
      <c r="F516" s="473">
        <f ca="1">IF(OR($BG$2=0,$AR516=""),,IF($AR516="本月合计",IF(ROW()=$BG$3,SUM($F$6:$F515),SUM(INDIRECT("$F$"&amp;OFFSET($AU$3,,MATCH(ROW(),$AU$3:$BF$3,)-2)+2&amp;":$E"&amp;ROW()-1))),IF($AR516="本年累计",SUMIF($AR$6:$AR516,"本月合计",$F$6:$F515),INDEX(凭证录入!K:K,$AR516))))</f>
        <v>0</v>
      </c>
      <c r="G516" s="459" t="str">
        <f t="shared" ca="1" si="111"/>
        <v/>
      </c>
      <c r="H516" s="460" t="str">
        <f t="shared" ca="1" si="111"/>
        <v/>
      </c>
      <c r="I516" s="460" t="str">
        <f t="shared" ca="1" si="111"/>
        <v/>
      </c>
      <c r="J516" s="460" t="str">
        <f t="shared" ca="1" si="111"/>
        <v/>
      </c>
      <c r="K516" s="460" t="str">
        <f t="shared" ca="1" si="111"/>
        <v/>
      </c>
      <c r="L516" s="460" t="str">
        <f t="shared" ca="1" si="111"/>
        <v/>
      </c>
      <c r="M516" s="460" t="str">
        <f t="shared" ca="1" si="111"/>
        <v/>
      </c>
      <c r="N516" s="460" t="str">
        <f t="shared" ca="1" si="111"/>
        <v/>
      </c>
      <c r="O516" s="461" t="str">
        <f t="shared" ca="1" si="111"/>
        <v/>
      </c>
      <c r="P516" s="474" t="str">
        <f t="shared" ca="1" si="111"/>
        <v/>
      </c>
      <c r="Q516" s="475" t="str">
        <f t="shared" ca="1" si="111"/>
        <v/>
      </c>
      <c r="R516" s="476">
        <f ca="1">IF(OR($BG$2=0,$AR516=""),,IF($AR516="本月合计",IF(ROW()=$BG$3,SUM($R$6:$R515),SUM(INDIRECT("$R$"&amp;OFFSET($AU$3,,MATCH(ROW(),$AU$3:$BF$3,)-2)+2&amp;":$R"&amp;ROW()-1))),IF($AR516="本年累计",SUMIF($AR$6:$AR516,"本月合计",$R$6:$R515),INDEX(凭证录入!L:L,$AR516))))</f>
        <v>0</v>
      </c>
      <c r="S516" s="459" t="str">
        <f t="shared" ca="1" si="112"/>
        <v/>
      </c>
      <c r="T516" s="460" t="str">
        <f t="shared" ca="1" si="112"/>
        <v/>
      </c>
      <c r="U516" s="460" t="str">
        <f t="shared" ca="1" si="112"/>
        <v/>
      </c>
      <c r="V516" s="460" t="str">
        <f t="shared" ca="1" si="112"/>
        <v/>
      </c>
      <c r="W516" s="460" t="str">
        <f t="shared" ca="1" si="112"/>
        <v/>
      </c>
      <c r="X516" s="460" t="str">
        <f t="shared" ca="1" si="112"/>
        <v/>
      </c>
      <c r="Y516" s="460" t="str">
        <f t="shared" ca="1" si="112"/>
        <v/>
      </c>
      <c r="Z516" s="460" t="str">
        <f t="shared" ca="1" si="112"/>
        <v/>
      </c>
      <c r="AA516" s="461" t="str">
        <f t="shared" ca="1" si="112"/>
        <v/>
      </c>
      <c r="AB516" s="474" t="str">
        <f t="shared" ca="1" si="112"/>
        <v/>
      </c>
      <c r="AC516" s="475" t="str">
        <f t="shared" ca="1" si="112"/>
        <v/>
      </c>
      <c r="AD516" s="477" t="str">
        <f t="shared" ca="1" si="102"/>
        <v/>
      </c>
      <c r="AE516" s="478">
        <f t="shared" ca="1" si="103"/>
        <v>0</v>
      </c>
      <c r="AF516" s="459" t="str">
        <f t="shared" ca="1" si="110"/>
        <v/>
      </c>
      <c r="AG516" s="460" t="str">
        <f t="shared" ca="1" si="110"/>
        <v/>
      </c>
      <c r="AH516" s="460" t="str">
        <f t="shared" ca="1" si="110"/>
        <v/>
      </c>
      <c r="AI516" s="460" t="str">
        <f t="shared" ca="1" si="110"/>
        <v/>
      </c>
      <c r="AJ516" s="460" t="str">
        <f t="shared" ca="1" si="110"/>
        <v/>
      </c>
      <c r="AK516" s="460" t="str">
        <f t="shared" ca="1" si="110"/>
        <v/>
      </c>
      <c r="AL516" s="460" t="str">
        <f t="shared" ca="1" si="110"/>
        <v/>
      </c>
      <c r="AM516" s="460" t="str">
        <f t="shared" ca="1" si="110"/>
        <v/>
      </c>
      <c r="AN516" s="461" t="str">
        <f t="shared" ca="1" si="110"/>
        <v/>
      </c>
      <c r="AO516" s="474" t="str">
        <f t="shared" ca="1" si="110"/>
        <v/>
      </c>
      <c r="AP516" s="475" t="str">
        <f t="shared" ca="1" si="110"/>
        <v/>
      </c>
      <c r="AQ516" s="479" t="str">
        <f t="array" aca="1" ref="AQ516" ca="1">IF(ROW()-5&lt;=COUNTIF(科目编号,$AR$2),SMALL(IF(科目编号=$AR$2,ROW(科目编号),""),ROW()-5),"")</f>
        <v/>
      </c>
      <c r="AR516" s="480" t="str">
        <f ca="1">IF($BG$2=0,"",IF(AR515="本月合计","本年累计",IF(OR(ROW()=$AU$3,ROW()=$AV$3,ROW()=$AW$3,ROW()=$AX$3,ROW()=$AY$3,ROW()=$AZ$3,ROW()=$BA$3,ROW()=$BB$3,ROW()=$BC$3,ROW()=$BD$3,ROW()=$BE$3,ROW()=$BF$3),"本月合计",IF(ROW()&lt;7,$AQ$6,OFFSET($AQ$6,COUNT($AR$6:AR515),0)))))</f>
        <v/>
      </c>
    </row>
    <row r="517" spans="1:44">
      <c r="A517" s="469" t="str">
        <f ca="1">IFERROR(INDEX(凭证录入!A:A,$AR517),"")</f>
        <v/>
      </c>
      <c r="B517" s="469" t="str">
        <f ca="1">IFERROR(INDEX(凭证录入!B:B,$AR517),"")</f>
        <v/>
      </c>
      <c r="C517" s="470" t="str">
        <f ca="1">IFERROR(INDEX(凭证录入!G:G,$AR517),"")</f>
        <v/>
      </c>
      <c r="D517" s="471" t="str">
        <f ca="1">IFERROR(INDEX(凭证录入!F:F,$AR517),"")</f>
        <v/>
      </c>
      <c r="E517" s="472" t="str">
        <f ca="1">IFERROR(INDEX(凭证录入!H:H,$AR517),$AR517)</f>
        <v/>
      </c>
      <c r="F517" s="473">
        <f ca="1">IF(OR($BG$2=0,$AR517=""),,IF($AR517="本月合计",IF(ROW()=$BG$3,SUM($F$6:$F516),SUM(INDIRECT("$F$"&amp;OFFSET($AU$3,,MATCH(ROW(),$AU$3:$BF$3,)-2)+2&amp;":$E"&amp;ROW()-1))),IF($AR517="本年累计",SUMIF($AR$6:$AR517,"本月合计",$F$6:$F516),INDEX(凭证录入!K:K,$AR517))))</f>
        <v>0</v>
      </c>
      <c r="G517" s="459" t="str">
        <f t="shared" ca="1" si="111"/>
        <v/>
      </c>
      <c r="H517" s="460" t="str">
        <f t="shared" ca="1" si="111"/>
        <v/>
      </c>
      <c r="I517" s="460" t="str">
        <f t="shared" ca="1" si="111"/>
        <v/>
      </c>
      <c r="J517" s="460" t="str">
        <f t="shared" ca="1" si="111"/>
        <v/>
      </c>
      <c r="K517" s="460" t="str">
        <f t="shared" ca="1" si="111"/>
        <v/>
      </c>
      <c r="L517" s="460" t="str">
        <f t="shared" ca="1" si="111"/>
        <v/>
      </c>
      <c r="M517" s="460" t="str">
        <f t="shared" ca="1" si="111"/>
        <v/>
      </c>
      <c r="N517" s="460" t="str">
        <f t="shared" ca="1" si="111"/>
        <v/>
      </c>
      <c r="O517" s="461" t="str">
        <f t="shared" ca="1" si="111"/>
        <v/>
      </c>
      <c r="P517" s="474" t="str">
        <f t="shared" ca="1" si="111"/>
        <v/>
      </c>
      <c r="Q517" s="475" t="str">
        <f t="shared" ca="1" si="111"/>
        <v/>
      </c>
      <c r="R517" s="476">
        <f ca="1">IF(OR($BG$2=0,$AR517=""),,IF($AR517="本月合计",IF(ROW()=$BG$3,SUM($R$6:$R516),SUM(INDIRECT("$R$"&amp;OFFSET($AU$3,,MATCH(ROW(),$AU$3:$BF$3,)-2)+2&amp;":$R"&amp;ROW()-1))),IF($AR517="本年累计",SUMIF($AR$6:$AR517,"本月合计",$R$6:$R516),INDEX(凭证录入!L:L,$AR517))))</f>
        <v>0</v>
      </c>
      <c r="S517" s="459" t="str">
        <f t="shared" ca="1" si="112"/>
        <v/>
      </c>
      <c r="T517" s="460" t="str">
        <f t="shared" ca="1" si="112"/>
        <v/>
      </c>
      <c r="U517" s="460" t="str">
        <f t="shared" ca="1" si="112"/>
        <v/>
      </c>
      <c r="V517" s="460" t="str">
        <f t="shared" ca="1" si="112"/>
        <v/>
      </c>
      <c r="W517" s="460" t="str">
        <f t="shared" ca="1" si="112"/>
        <v/>
      </c>
      <c r="X517" s="460" t="str">
        <f t="shared" ca="1" si="112"/>
        <v/>
      </c>
      <c r="Y517" s="460" t="str">
        <f t="shared" ca="1" si="112"/>
        <v/>
      </c>
      <c r="Z517" s="460" t="str">
        <f t="shared" ca="1" si="112"/>
        <v/>
      </c>
      <c r="AA517" s="461" t="str">
        <f t="shared" ca="1" si="112"/>
        <v/>
      </c>
      <c r="AB517" s="474" t="str">
        <f t="shared" ca="1" si="112"/>
        <v/>
      </c>
      <c r="AC517" s="475" t="str">
        <f t="shared" ca="1" si="112"/>
        <v/>
      </c>
      <c r="AD517" s="477" t="str">
        <f t="shared" ca="1" si="102"/>
        <v/>
      </c>
      <c r="AE517" s="478">
        <f t="shared" ca="1" si="103"/>
        <v>0</v>
      </c>
      <c r="AF517" s="459" t="str">
        <f t="shared" ref="AF517:AP532" ca="1" si="113">LEFT(RIGHT(TEXT($AE517/1%," ￥0; ￥-0;"),43-COLUMN()))</f>
        <v/>
      </c>
      <c r="AG517" s="460" t="str">
        <f t="shared" ca="1" si="113"/>
        <v/>
      </c>
      <c r="AH517" s="460" t="str">
        <f t="shared" ca="1" si="113"/>
        <v/>
      </c>
      <c r="AI517" s="460" t="str">
        <f t="shared" ca="1" si="113"/>
        <v/>
      </c>
      <c r="AJ517" s="460" t="str">
        <f t="shared" ca="1" si="113"/>
        <v/>
      </c>
      <c r="AK517" s="460" t="str">
        <f t="shared" ca="1" si="113"/>
        <v/>
      </c>
      <c r="AL517" s="460" t="str">
        <f t="shared" ca="1" si="113"/>
        <v/>
      </c>
      <c r="AM517" s="460" t="str">
        <f t="shared" ca="1" si="113"/>
        <v/>
      </c>
      <c r="AN517" s="461" t="str">
        <f t="shared" ca="1" si="113"/>
        <v/>
      </c>
      <c r="AO517" s="474" t="str">
        <f t="shared" ca="1" si="113"/>
        <v/>
      </c>
      <c r="AP517" s="475" t="str">
        <f t="shared" ca="1" si="113"/>
        <v/>
      </c>
      <c r="AQ517" s="479" t="str">
        <f t="array" aca="1" ref="AQ517" ca="1">IF(ROW()-5&lt;=COUNTIF(科目编号,$AR$2),SMALL(IF(科目编号=$AR$2,ROW(科目编号),""),ROW()-5),"")</f>
        <v/>
      </c>
      <c r="AR517" s="480" t="str">
        <f ca="1">IF($BG$2=0,"",IF(AR516="本月合计","本年累计",IF(OR(ROW()=$AU$3,ROW()=$AV$3,ROW()=$AW$3,ROW()=$AX$3,ROW()=$AY$3,ROW()=$AZ$3,ROW()=$BA$3,ROW()=$BB$3,ROW()=$BC$3,ROW()=$BD$3,ROW()=$BE$3,ROW()=$BF$3),"本月合计",IF(ROW()&lt;7,$AQ$6,OFFSET($AQ$6,COUNT($AR$6:AR516),0)))))</f>
        <v/>
      </c>
    </row>
    <row r="518" spans="1:44">
      <c r="A518" s="469" t="str">
        <f ca="1">IFERROR(INDEX(凭证录入!A:A,$AR518),"")</f>
        <v/>
      </c>
      <c r="B518" s="469" t="str">
        <f ca="1">IFERROR(INDEX(凭证录入!B:B,$AR518),"")</f>
        <v/>
      </c>
      <c r="C518" s="470" t="str">
        <f ca="1">IFERROR(INDEX(凭证录入!G:G,$AR518),"")</f>
        <v/>
      </c>
      <c r="D518" s="471" t="str">
        <f ca="1">IFERROR(INDEX(凭证录入!F:F,$AR518),"")</f>
        <v/>
      </c>
      <c r="E518" s="472" t="str">
        <f ca="1">IFERROR(INDEX(凭证录入!H:H,$AR518),$AR518)</f>
        <v/>
      </c>
      <c r="F518" s="473">
        <f ca="1">IF(OR($BG$2=0,$AR518=""),,IF($AR518="本月合计",IF(ROW()=$BG$3,SUM($F$6:$F517),SUM(INDIRECT("$F$"&amp;OFFSET($AU$3,,MATCH(ROW(),$AU$3:$BF$3,)-2)+2&amp;":$E"&amp;ROW()-1))),IF($AR518="本年累计",SUMIF($AR$6:$AR518,"本月合计",$F$6:$F517),INDEX(凭证录入!K:K,$AR518))))</f>
        <v>0</v>
      </c>
      <c r="G518" s="459" t="str">
        <f t="shared" ref="G518:Q533" ca="1" si="114">LEFT(RIGHT(TEXT($F518/1%," ￥0; ￥-0;"),18-COLUMN()))</f>
        <v/>
      </c>
      <c r="H518" s="460" t="str">
        <f t="shared" ca="1" si="114"/>
        <v/>
      </c>
      <c r="I518" s="460" t="str">
        <f t="shared" ca="1" si="114"/>
        <v/>
      </c>
      <c r="J518" s="460" t="str">
        <f t="shared" ca="1" si="114"/>
        <v/>
      </c>
      <c r="K518" s="460" t="str">
        <f t="shared" ca="1" si="114"/>
        <v/>
      </c>
      <c r="L518" s="460" t="str">
        <f t="shared" ca="1" si="114"/>
        <v/>
      </c>
      <c r="M518" s="460" t="str">
        <f t="shared" ca="1" si="114"/>
        <v/>
      </c>
      <c r="N518" s="460" t="str">
        <f t="shared" ca="1" si="114"/>
        <v/>
      </c>
      <c r="O518" s="461" t="str">
        <f t="shared" ca="1" si="114"/>
        <v/>
      </c>
      <c r="P518" s="474" t="str">
        <f t="shared" ca="1" si="114"/>
        <v/>
      </c>
      <c r="Q518" s="475" t="str">
        <f t="shared" ca="1" si="114"/>
        <v/>
      </c>
      <c r="R518" s="476">
        <f ca="1">IF(OR($BG$2=0,$AR518=""),,IF($AR518="本月合计",IF(ROW()=$BG$3,SUM($R$6:$R517),SUM(INDIRECT("$R$"&amp;OFFSET($AU$3,,MATCH(ROW(),$AU$3:$BF$3,)-2)+2&amp;":$R"&amp;ROW()-1))),IF($AR518="本年累计",SUMIF($AR$6:$AR518,"本月合计",$R$6:$R517),INDEX(凭证录入!L:L,$AR518))))</f>
        <v>0</v>
      </c>
      <c r="S518" s="459" t="str">
        <f t="shared" ref="S518:AC533" ca="1" si="115">LEFT(RIGHT(TEXT($R518/1%," ￥0; ￥-0;"),30-COLUMN()))</f>
        <v/>
      </c>
      <c r="T518" s="460" t="str">
        <f t="shared" ca="1" si="115"/>
        <v/>
      </c>
      <c r="U518" s="460" t="str">
        <f t="shared" ca="1" si="115"/>
        <v/>
      </c>
      <c r="V518" s="460" t="str">
        <f t="shared" ca="1" si="115"/>
        <v/>
      </c>
      <c r="W518" s="460" t="str">
        <f t="shared" ca="1" si="115"/>
        <v/>
      </c>
      <c r="X518" s="460" t="str">
        <f t="shared" ca="1" si="115"/>
        <v/>
      </c>
      <c r="Y518" s="460" t="str">
        <f t="shared" ca="1" si="115"/>
        <v/>
      </c>
      <c r="Z518" s="460" t="str">
        <f t="shared" ca="1" si="115"/>
        <v/>
      </c>
      <c r="AA518" s="461" t="str">
        <f t="shared" ca="1" si="115"/>
        <v/>
      </c>
      <c r="AB518" s="474" t="str">
        <f t="shared" ca="1" si="115"/>
        <v/>
      </c>
      <c r="AC518" s="475" t="str">
        <f t="shared" ca="1" si="115"/>
        <v/>
      </c>
      <c r="AD518" s="477" t="str">
        <f t="shared" ref="AD518:AD581" ca="1" si="116">IF(OR($BG$2=0,$AR518="",$AR518="本月合计",$AR518="本年累计"),"",IF(OR(AND($AD517="",$AE517="",$AD515&lt;&gt;"借",$AD515&lt;&gt;"贷",($F518-$R518)&gt;=0),AND($AD517="",$AE517&lt;&gt;"",$AD515="借",($AE516+$F518-$R518)&gt;=0),AND($AD517="",$AE517&lt;&gt;"",$AD515="贷",(-$AE516+$F518-$R518)&gt;=0),AND($AD517="借",($AE517+$F518-$R518)&gt;=0),AND($AD517="贷",(-$AE517+$F518-$R518)&gt;=0),),"借","贷"))</f>
        <v/>
      </c>
      <c r="AE518" s="478">
        <f t="shared" ref="AE518:AE581" ca="1" si="117">IF(OR($BG$2=0,$AR518=""),,IF(OR($AR518="本月合计",$AR518="本年累计"),$AE517,IF(OR(AD517="借",AND(AD517="",AD516="",AD515="借")),ABS(AE517+F518-R518),ABS(-AE517+F518-R518))))</f>
        <v>0</v>
      </c>
      <c r="AF518" s="459" t="str">
        <f t="shared" ca="1" si="113"/>
        <v/>
      </c>
      <c r="AG518" s="460" t="str">
        <f t="shared" ca="1" si="113"/>
        <v/>
      </c>
      <c r="AH518" s="460" t="str">
        <f t="shared" ca="1" si="113"/>
        <v/>
      </c>
      <c r="AI518" s="460" t="str">
        <f t="shared" ca="1" si="113"/>
        <v/>
      </c>
      <c r="AJ518" s="460" t="str">
        <f t="shared" ca="1" si="113"/>
        <v/>
      </c>
      <c r="AK518" s="460" t="str">
        <f t="shared" ca="1" si="113"/>
        <v/>
      </c>
      <c r="AL518" s="460" t="str">
        <f t="shared" ca="1" si="113"/>
        <v/>
      </c>
      <c r="AM518" s="460" t="str">
        <f t="shared" ca="1" si="113"/>
        <v/>
      </c>
      <c r="AN518" s="461" t="str">
        <f t="shared" ca="1" si="113"/>
        <v/>
      </c>
      <c r="AO518" s="474" t="str">
        <f t="shared" ca="1" si="113"/>
        <v/>
      </c>
      <c r="AP518" s="475" t="str">
        <f t="shared" ca="1" si="113"/>
        <v/>
      </c>
      <c r="AQ518" s="479" t="str">
        <f t="array" aca="1" ref="AQ518" ca="1">IF(ROW()-5&lt;=COUNTIF(科目编号,$AR$2),SMALL(IF(科目编号=$AR$2,ROW(科目编号),""),ROW()-5),"")</f>
        <v/>
      </c>
      <c r="AR518" s="480" t="str">
        <f ca="1">IF($BG$2=0,"",IF(AR517="本月合计","本年累计",IF(OR(ROW()=$AU$3,ROW()=$AV$3,ROW()=$AW$3,ROW()=$AX$3,ROW()=$AY$3,ROW()=$AZ$3,ROW()=$BA$3,ROW()=$BB$3,ROW()=$BC$3,ROW()=$BD$3,ROW()=$BE$3,ROW()=$BF$3),"本月合计",IF(ROW()&lt;7,$AQ$6,OFFSET($AQ$6,COUNT($AR$6:AR517),0)))))</f>
        <v/>
      </c>
    </row>
    <row r="519" spans="1:44">
      <c r="A519" s="469" t="str">
        <f ca="1">IFERROR(INDEX(凭证录入!A:A,$AR519),"")</f>
        <v/>
      </c>
      <c r="B519" s="469" t="str">
        <f ca="1">IFERROR(INDEX(凭证录入!B:B,$AR519),"")</f>
        <v/>
      </c>
      <c r="C519" s="470" t="str">
        <f ca="1">IFERROR(INDEX(凭证录入!G:G,$AR519),"")</f>
        <v/>
      </c>
      <c r="D519" s="471" t="str">
        <f ca="1">IFERROR(INDEX(凭证录入!F:F,$AR519),"")</f>
        <v/>
      </c>
      <c r="E519" s="472" t="str">
        <f ca="1">IFERROR(INDEX(凭证录入!H:H,$AR519),$AR519)</f>
        <v/>
      </c>
      <c r="F519" s="473">
        <f ca="1">IF(OR($BG$2=0,$AR519=""),,IF($AR519="本月合计",IF(ROW()=$BG$3,SUM($F$6:$F518),SUM(INDIRECT("$F$"&amp;OFFSET($AU$3,,MATCH(ROW(),$AU$3:$BF$3,)-2)+2&amp;":$E"&amp;ROW()-1))),IF($AR519="本年累计",SUMIF($AR$6:$AR519,"本月合计",$F$6:$F518),INDEX(凭证录入!K:K,$AR519))))</f>
        <v>0</v>
      </c>
      <c r="G519" s="459" t="str">
        <f t="shared" ca="1" si="114"/>
        <v/>
      </c>
      <c r="H519" s="460" t="str">
        <f t="shared" ca="1" si="114"/>
        <v/>
      </c>
      <c r="I519" s="460" t="str">
        <f t="shared" ca="1" si="114"/>
        <v/>
      </c>
      <c r="J519" s="460" t="str">
        <f t="shared" ca="1" si="114"/>
        <v/>
      </c>
      <c r="K519" s="460" t="str">
        <f t="shared" ca="1" si="114"/>
        <v/>
      </c>
      <c r="L519" s="460" t="str">
        <f t="shared" ca="1" si="114"/>
        <v/>
      </c>
      <c r="M519" s="460" t="str">
        <f t="shared" ca="1" si="114"/>
        <v/>
      </c>
      <c r="N519" s="460" t="str">
        <f t="shared" ca="1" si="114"/>
        <v/>
      </c>
      <c r="O519" s="461" t="str">
        <f t="shared" ca="1" si="114"/>
        <v/>
      </c>
      <c r="P519" s="474" t="str">
        <f t="shared" ca="1" si="114"/>
        <v/>
      </c>
      <c r="Q519" s="475" t="str">
        <f t="shared" ca="1" si="114"/>
        <v/>
      </c>
      <c r="R519" s="476">
        <f ca="1">IF(OR($BG$2=0,$AR519=""),,IF($AR519="本月合计",IF(ROW()=$BG$3,SUM($R$6:$R518),SUM(INDIRECT("$R$"&amp;OFFSET($AU$3,,MATCH(ROW(),$AU$3:$BF$3,)-2)+2&amp;":$R"&amp;ROW()-1))),IF($AR519="本年累计",SUMIF($AR$6:$AR519,"本月合计",$R$6:$R518),INDEX(凭证录入!L:L,$AR519))))</f>
        <v>0</v>
      </c>
      <c r="S519" s="459" t="str">
        <f t="shared" ca="1" si="115"/>
        <v/>
      </c>
      <c r="T519" s="460" t="str">
        <f t="shared" ca="1" si="115"/>
        <v/>
      </c>
      <c r="U519" s="460" t="str">
        <f t="shared" ca="1" si="115"/>
        <v/>
      </c>
      <c r="V519" s="460" t="str">
        <f t="shared" ca="1" si="115"/>
        <v/>
      </c>
      <c r="W519" s="460" t="str">
        <f t="shared" ca="1" si="115"/>
        <v/>
      </c>
      <c r="X519" s="460" t="str">
        <f t="shared" ca="1" si="115"/>
        <v/>
      </c>
      <c r="Y519" s="460" t="str">
        <f t="shared" ca="1" si="115"/>
        <v/>
      </c>
      <c r="Z519" s="460" t="str">
        <f t="shared" ca="1" si="115"/>
        <v/>
      </c>
      <c r="AA519" s="461" t="str">
        <f t="shared" ca="1" si="115"/>
        <v/>
      </c>
      <c r="AB519" s="474" t="str">
        <f t="shared" ca="1" si="115"/>
        <v/>
      </c>
      <c r="AC519" s="475" t="str">
        <f t="shared" ca="1" si="115"/>
        <v/>
      </c>
      <c r="AD519" s="477" t="str">
        <f t="shared" ca="1" si="116"/>
        <v/>
      </c>
      <c r="AE519" s="478">
        <f t="shared" ca="1" si="117"/>
        <v>0</v>
      </c>
      <c r="AF519" s="459" t="str">
        <f t="shared" ca="1" si="113"/>
        <v/>
      </c>
      <c r="AG519" s="460" t="str">
        <f t="shared" ca="1" si="113"/>
        <v/>
      </c>
      <c r="AH519" s="460" t="str">
        <f t="shared" ca="1" si="113"/>
        <v/>
      </c>
      <c r="AI519" s="460" t="str">
        <f t="shared" ca="1" si="113"/>
        <v/>
      </c>
      <c r="AJ519" s="460" t="str">
        <f t="shared" ca="1" si="113"/>
        <v/>
      </c>
      <c r="AK519" s="460" t="str">
        <f t="shared" ca="1" si="113"/>
        <v/>
      </c>
      <c r="AL519" s="460" t="str">
        <f t="shared" ca="1" si="113"/>
        <v/>
      </c>
      <c r="AM519" s="460" t="str">
        <f t="shared" ca="1" si="113"/>
        <v/>
      </c>
      <c r="AN519" s="461" t="str">
        <f t="shared" ca="1" si="113"/>
        <v/>
      </c>
      <c r="AO519" s="474" t="str">
        <f t="shared" ca="1" si="113"/>
        <v/>
      </c>
      <c r="AP519" s="475" t="str">
        <f t="shared" ca="1" si="113"/>
        <v/>
      </c>
      <c r="AQ519" s="479" t="str">
        <f t="array" aca="1" ref="AQ519" ca="1">IF(ROW()-5&lt;=COUNTIF(科目编号,$AR$2),SMALL(IF(科目编号=$AR$2,ROW(科目编号),""),ROW()-5),"")</f>
        <v/>
      </c>
      <c r="AR519" s="480" t="str">
        <f ca="1">IF($BG$2=0,"",IF(AR518="本月合计","本年累计",IF(OR(ROW()=$AU$3,ROW()=$AV$3,ROW()=$AW$3,ROW()=$AX$3,ROW()=$AY$3,ROW()=$AZ$3,ROW()=$BA$3,ROW()=$BB$3,ROW()=$BC$3,ROW()=$BD$3,ROW()=$BE$3,ROW()=$BF$3),"本月合计",IF(ROW()&lt;7,$AQ$6,OFFSET($AQ$6,COUNT($AR$6:AR518),0)))))</f>
        <v/>
      </c>
    </row>
    <row r="520" spans="1:44">
      <c r="A520" s="469" t="str">
        <f ca="1">IFERROR(INDEX(凭证录入!A:A,$AR520),"")</f>
        <v/>
      </c>
      <c r="B520" s="469" t="str">
        <f ca="1">IFERROR(INDEX(凭证录入!B:B,$AR520),"")</f>
        <v/>
      </c>
      <c r="C520" s="470" t="str">
        <f ca="1">IFERROR(INDEX(凭证录入!G:G,$AR520),"")</f>
        <v/>
      </c>
      <c r="D520" s="471" t="str">
        <f ca="1">IFERROR(INDEX(凭证录入!F:F,$AR520),"")</f>
        <v/>
      </c>
      <c r="E520" s="472" t="str">
        <f ca="1">IFERROR(INDEX(凭证录入!H:H,$AR520),$AR520)</f>
        <v/>
      </c>
      <c r="F520" s="473">
        <f ca="1">IF(OR($BG$2=0,$AR520=""),,IF($AR520="本月合计",IF(ROW()=$BG$3,SUM($F$6:$F519),SUM(INDIRECT("$F$"&amp;OFFSET($AU$3,,MATCH(ROW(),$AU$3:$BF$3,)-2)+2&amp;":$E"&amp;ROW()-1))),IF($AR520="本年累计",SUMIF($AR$6:$AR520,"本月合计",$F$6:$F519),INDEX(凭证录入!K:K,$AR520))))</f>
        <v>0</v>
      </c>
      <c r="G520" s="459" t="str">
        <f t="shared" ca="1" si="114"/>
        <v/>
      </c>
      <c r="H520" s="460" t="str">
        <f t="shared" ca="1" si="114"/>
        <v/>
      </c>
      <c r="I520" s="460" t="str">
        <f t="shared" ca="1" si="114"/>
        <v/>
      </c>
      <c r="J520" s="460" t="str">
        <f t="shared" ca="1" si="114"/>
        <v/>
      </c>
      <c r="K520" s="460" t="str">
        <f t="shared" ca="1" si="114"/>
        <v/>
      </c>
      <c r="L520" s="460" t="str">
        <f t="shared" ca="1" si="114"/>
        <v/>
      </c>
      <c r="M520" s="460" t="str">
        <f t="shared" ca="1" si="114"/>
        <v/>
      </c>
      <c r="N520" s="460" t="str">
        <f t="shared" ca="1" si="114"/>
        <v/>
      </c>
      <c r="O520" s="461" t="str">
        <f t="shared" ca="1" si="114"/>
        <v/>
      </c>
      <c r="P520" s="474" t="str">
        <f t="shared" ca="1" si="114"/>
        <v/>
      </c>
      <c r="Q520" s="475" t="str">
        <f t="shared" ca="1" si="114"/>
        <v/>
      </c>
      <c r="R520" s="476">
        <f ca="1">IF(OR($BG$2=0,$AR520=""),,IF($AR520="本月合计",IF(ROW()=$BG$3,SUM($R$6:$R519),SUM(INDIRECT("$R$"&amp;OFFSET($AU$3,,MATCH(ROW(),$AU$3:$BF$3,)-2)+2&amp;":$R"&amp;ROW()-1))),IF($AR520="本年累计",SUMIF($AR$6:$AR520,"本月合计",$R$6:$R519),INDEX(凭证录入!L:L,$AR520))))</f>
        <v>0</v>
      </c>
      <c r="S520" s="459" t="str">
        <f t="shared" ca="1" si="115"/>
        <v/>
      </c>
      <c r="T520" s="460" t="str">
        <f t="shared" ca="1" si="115"/>
        <v/>
      </c>
      <c r="U520" s="460" t="str">
        <f t="shared" ca="1" si="115"/>
        <v/>
      </c>
      <c r="V520" s="460" t="str">
        <f t="shared" ca="1" si="115"/>
        <v/>
      </c>
      <c r="W520" s="460" t="str">
        <f t="shared" ca="1" si="115"/>
        <v/>
      </c>
      <c r="X520" s="460" t="str">
        <f t="shared" ca="1" si="115"/>
        <v/>
      </c>
      <c r="Y520" s="460" t="str">
        <f t="shared" ca="1" si="115"/>
        <v/>
      </c>
      <c r="Z520" s="460" t="str">
        <f t="shared" ca="1" si="115"/>
        <v/>
      </c>
      <c r="AA520" s="461" t="str">
        <f t="shared" ca="1" si="115"/>
        <v/>
      </c>
      <c r="AB520" s="474" t="str">
        <f t="shared" ca="1" si="115"/>
        <v/>
      </c>
      <c r="AC520" s="475" t="str">
        <f t="shared" ca="1" si="115"/>
        <v/>
      </c>
      <c r="AD520" s="477" t="str">
        <f t="shared" ca="1" si="116"/>
        <v/>
      </c>
      <c r="AE520" s="478">
        <f t="shared" ca="1" si="117"/>
        <v>0</v>
      </c>
      <c r="AF520" s="459" t="str">
        <f t="shared" ca="1" si="113"/>
        <v/>
      </c>
      <c r="AG520" s="460" t="str">
        <f t="shared" ca="1" si="113"/>
        <v/>
      </c>
      <c r="AH520" s="460" t="str">
        <f t="shared" ca="1" si="113"/>
        <v/>
      </c>
      <c r="AI520" s="460" t="str">
        <f t="shared" ca="1" si="113"/>
        <v/>
      </c>
      <c r="AJ520" s="460" t="str">
        <f t="shared" ca="1" si="113"/>
        <v/>
      </c>
      <c r="AK520" s="460" t="str">
        <f t="shared" ca="1" si="113"/>
        <v/>
      </c>
      <c r="AL520" s="460" t="str">
        <f t="shared" ca="1" si="113"/>
        <v/>
      </c>
      <c r="AM520" s="460" t="str">
        <f t="shared" ca="1" si="113"/>
        <v/>
      </c>
      <c r="AN520" s="461" t="str">
        <f t="shared" ca="1" si="113"/>
        <v/>
      </c>
      <c r="AO520" s="474" t="str">
        <f t="shared" ca="1" si="113"/>
        <v/>
      </c>
      <c r="AP520" s="475" t="str">
        <f t="shared" ca="1" si="113"/>
        <v/>
      </c>
      <c r="AQ520" s="479" t="str">
        <f t="array" aca="1" ref="AQ520" ca="1">IF(ROW()-5&lt;=COUNTIF(科目编号,$AR$2),SMALL(IF(科目编号=$AR$2,ROW(科目编号),""),ROW()-5),"")</f>
        <v/>
      </c>
      <c r="AR520" s="480" t="str">
        <f ca="1">IF($BG$2=0,"",IF(AR519="本月合计","本年累计",IF(OR(ROW()=$AU$3,ROW()=$AV$3,ROW()=$AW$3,ROW()=$AX$3,ROW()=$AY$3,ROW()=$AZ$3,ROW()=$BA$3,ROW()=$BB$3,ROW()=$BC$3,ROW()=$BD$3,ROW()=$BE$3,ROW()=$BF$3),"本月合计",IF(ROW()&lt;7,$AQ$6,OFFSET($AQ$6,COUNT($AR$6:AR519),0)))))</f>
        <v/>
      </c>
    </row>
    <row r="521" spans="1:44">
      <c r="A521" s="469" t="str">
        <f ca="1">IFERROR(INDEX(凭证录入!A:A,$AR521),"")</f>
        <v/>
      </c>
      <c r="B521" s="469" t="str">
        <f ca="1">IFERROR(INDEX(凭证录入!B:B,$AR521),"")</f>
        <v/>
      </c>
      <c r="C521" s="470" t="str">
        <f ca="1">IFERROR(INDEX(凭证录入!G:G,$AR521),"")</f>
        <v/>
      </c>
      <c r="D521" s="471" t="str">
        <f ca="1">IFERROR(INDEX(凭证录入!F:F,$AR521),"")</f>
        <v/>
      </c>
      <c r="E521" s="472" t="str">
        <f ca="1">IFERROR(INDEX(凭证录入!H:H,$AR521),$AR521)</f>
        <v/>
      </c>
      <c r="F521" s="473">
        <f ca="1">IF(OR($BG$2=0,$AR521=""),,IF($AR521="本月合计",IF(ROW()=$BG$3,SUM($F$6:$F520),SUM(INDIRECT("$F$"&amp;OFFSET($AU$3,,MATCH(ROW(),$AU$3:$BF$3,)-2)+2&amp;":$E"&amp;ROW()-1))),IF($AR521="本年累计",SUMIF($AR$6:$AR521,"本月合计",$F$6:$F520),INDEX(凭证录入!K:K,$AR521))))</f>
        <v>0</v>
      </c>
      <c r="G521" s="459" t="str">
        <f t="shared" ca="1" si="114"/>
        <v/>
      </c>
      <c r="H521" s="460" t="str">
        <f t="shared" ca="1" si="114"/>
        <v/>
      </c>
      <c r="I521" s="460" t="str">
        <f t="shared" ca="1" si="114"/>
        <v/>
      </c>
      <c r="J521" s="460" t="str">
        <f t="shared" ca="1" si="114"/>
        <v/>
      </c>
      <c r="K521" s="460" t="str">
        <f t="shared" ca="1" si="114"/>
        <v/>
      </c>
      <c r="L521" s="460" t="str">
        <f t="shared" ca="1" si="114"/>
        <v/>
      </c>
      <c r="M521" s="460" t="str">
        <f t="shared" ca="1" si="114"/>
        <v/>
      </c>
      <c r="N521" s="460" t="str">
        <f t="shared" ca="1" si="114"/>
        <v/>
      </c>
      <c r="O521" s="461" t="str">
        <f t="shared" ca="1" si="114"/>
        <v/>
      </c>
      <c r="P521" s="474" t="str">
        <f t="shared" ca="1" si="114"/>
        <v/>
      </c>
      <c r="Q521" s="475" t="str">
        <f t="shared" ca="1" si="114"/>
        <v/>
      </c>
      <c r="R521" s="476">
        <f ca="1">IF(OR($BG$2=0,$AR521=""),,IF($AR521="本月合计",IF(ROW()=$BG$3,SUM($R$6:$R520),SUM(INDIRECT("$R$"&amp;OFFSET($AU$3,,MATCH(ROW(),$AU$3:$BF$3,)-2)+2&amp;":$R"&amp;ROW()-1))),IF($AR521="本年累计",SUMIF($AR$6:$AR521,"本月合计",$R$6:$R520),INDEX(凭证录入!L:L,$AR521))))</f>
        <v>0</v>
      </c>
      <c r="S521" s="459" t="str">
        <f t="shared" ca="1" si="115"/>
        <v/>
      </c>
      <c r="T521" s="460" t="str">
        <f t="shared" ca="1" si="115"/>
        <v/>
      </c>
      <c r="U521" s="460" t="str">
        <f t="shared" ca="1" si="115"/>
        <v/>
      </c>
      <c r="V521" s="460" t="str">
        <f t="shared" ca="1" si="115"/>
        <v/>
      </c>
      <c r="W521" s="460" t="str">
        <f t="shared" ca="1" si="115"/>
        <v/>
      </c>
      <c r="X521" s="460" t="str">
        <f t="shared" ca="1" si="115"/>
        <v/>
      </c>
      <c r="Y521" s="460" t="str">
        <f t="shared" ca="1" si="115"/>
        <v/>
      </c>
      <c r="Z521" s="460" t="str">
        <f t="shared" ca="1" si="115"/>
        <v/>
      </c>
      <c r="AA521" s="461" t="str">
        <f t="shared" ca="1" si="115"/>
        <v/>
      </c>
      <c r="AB521" s="474" t="str">
        <f t="shared" ca="1" si="115"/>
        <v/>
      </c>
      <c r="AC521" s="475" t="str">
        <f t="shared" ca="1" si="115"/>
        <v/>
      </c>
      <c r="AD521" s="477" t="str">
        <f t="shared" ca="1" si="116"/>
        <v/>
      </c>
      <c r="AE521" s="478">
        <f t="shared" ca="1" si="117"/>
        <v>0</v>
      </c>
      <c r="AF521" s="459" t="str">
        <f t="shared" ca="1" si="113"/>
        <v/>
      </c>
      <c r="AG521" s="460" t="str">
        <f t="shared" ca="1" si="113"/>
        <v/>
      </c>
      <c r="AH521" s="460" t="str">
        <f t="shared" ca="1" si="113"/>
        <v/>
      </c>
      <c r="AI521" s="460" t="str">
        <f t="shared" ca="1" si="113"/>
        <v/>
      </c>
      <c r="AJ521" s="460" t="str">
        <f t="shared" ca="1" si="113"/>
        <v/>
      </c>
      <c r="AK521" s="460" t="str">
        <f t="shared" ca="1" si="113"/>
        <v/>
      </c>
      <c r="AL521" s="460" t="str">
        <f t="shared" ca="1" si="113"/>
        <v/>
      </c>
      <c r="AM521" s="460" t="str">
        <f t="shared" ca="1" si="113"/>
        <v/>
      </c>
      <c r="AN521" s="461" t="str">
        <f t="shared" ca="1" si="113"/>
        <v/>
      </c>
      <c r="AO521" s="474" t="str">
        <f t="shared" ca="1" si="113"/>
        <v/>
      </c>
      <c r="AP521" s="475" t="str">
        <f t="shared" ca="1" si="113"/>
        <v/>
      </c>
      <c r="AQ521" s="479" t="str">
        <f t="array" aca="1" ref="AQ521" ca="1">IF(ROW()-5&lt;=COUNTIF(科目编号,$AR$2),SMALL(IF(科目编号=$AR$2,ROW(科目编号),""),ROW()-5),"")</f>
        <v/>
      </c>
      <c r="AR521" s="480" t="str">
        <f ca="1">IF($BG$2=0,"",IF(AR520="本月合计","本年累计",IF(OR(ROW()=$AU$3,ROW()=$AV$3,ROW()=$AW$3,ROW()=$AX$3,ROW()=$AY$3,ROW()=$AZ$3,ROW()=$BA$3,ROW()=$BB$3,ROW()=$BC$3,ROW()=$BD$3,ROW()=$BE$3,ROW()=$BF$3),"本月合计",IF(ROW()&lt;7,$AQ$6,OFFSET($AQ$6,COUNT($AR$6:AR520),0)))))</f>
        <v/>
      </c>
    </row>
    <row r="522" spans="1:44">
      <c r="A522" s="469" t="str">
        <f ca="1">IFERROR(INDEX(凭证录入!A:A,$AR522),"")</f>
        <v/>
      </c>
      <c r="B522" s="469" t="str">
        <f ca="1">IFERROR(INDEX(凭证录入!B:B,$AR522),"")</f>
        <v/>
      </c>
      <c r="C522" s="470" t="str">
        <f ca="1">IFERROR(INDEX(凭证录入!G:G,$AR522),"")</f>
        <v/>
      </c>
      <c r="D522" s="471" t="str">
        <f ca="1">IFERROR(INDEX(凭证录入!F:F,$AR522),"")</f>
        <v/>
      </c>
      <c r="E522" s="472" t="str">
        <f ca="1">IFERROR(INDEX(凭证录入!H:H,$AR522),$AR522)</f>
        <v/>
      </c>
      <c r="F522" s="473">
        <f ca="1">IF(OR($BG$2=0,$AR522=""),,IF($AR522="本月合计",IF(ROW()=$BG$3,SUM($F$6:$F521),SUM(INDIRECT("$F$"&amp;OFFSET($AU$3,,MATCH(ROW(),$AU$3:$BF$3,)-2)+2&amp;":$E"&amp;ROW()-1))),IF($AR522="本年累计",SUMIF($AR$6:$AR522,"本月合计",$F$6:$F521),INDEX(凭证录入!K:K,$AR522))))</f>
        <v>0</v>
      </c>
      <c r="G522" s="459" t="str">
        <f t="shared" ca="1" si="114"/>
        <v/>
      </c>
      <c r="H522" s="460" t="str">
        <f t="shared" ca="1" si="114"/>
        <v/>
      </c>
      <c r="I522" s="460" t="str">
        <f t="shared" ca="1" si="114"/>
        <v/>
      </c>
      <c r="J522" s="460" t="str">
        <f t="shared" ca="1" si="114"/>
        <v/>
      </c>
      <c r="K522" s="460" t="str">
        <f t="shared" ca="1" si="114"/>
        <v/>
      </c>
      <c r="L522" s="460" t="str">
        <f t="shared" ca="1" si="114"/>
        <v/>
      </c>
      <c r="M522" s="460" t="str">
        <f t="shared" ca="1" si="114"/>
        <v/>
      </c>
      <c r="N522" s="460" t="str">
        <f t="shared" ca="1" si="114"/>
        <v/>
      </c>
      <c r="O522" s="461" t="str">
        <f t="shared" ca="1" si="114"/>
        <v/>
      </c>
      <c r="P522" s="474" t="str">
        <f t="shared" ca="1" si="114"/>
        <v/>
      </c>
      <c r="Q522" s="475" t="str">
        <f t="shared" ca="1" si="114"/>
        <v/>
      </c>
      <c r="R522" s="476">
        <f ca="1">IF(OR($BG$2=0,$AR522=""),,IF($AR522="本月合计",IF(ROW()=$BG$3,SUM($R$6:$R521),SUM(INDIRECT("$R$"&amp;OFFSET($AU$3,,MATCH(ROW(),$AU$3:$BF$3,)-2)+2&amp;":$R"&amp;ROW()-1))),IF($AR522="本年累计",SUMIF($AR$6:$AR522,"本月合计",$R$6:$R521),INDEX(凭证录入!L:L,$AR522))))</f>
        <v>0</v>
      </c>
      <c r="S522" s="459" t="str">
        <f t="shared" ca="1" si="115"/>
        <v/>
      </c>
      <c r="T522" s="460" t="str">
        <f t="shared" ca="1" si="115"/>
        <v/>
      </c>
      <c r="U522" s="460" t="str">
        <f t="shared" ca="1" si="115"/>
        <v/>
      </c>
      <c r="V522" s="460" t="str">
        <f t="shared" ca="1" si="115"/>
        <v/>
      </c>
      <c r="W522" s="460" t="str">
        <f t="shared" ca="1" si="115"/>
        <v/>
      </c>
      <c r="X522" s="460" t="str">
        <f t="shared" ca="1" si="115"/>
        <v/>
      </c>
      <c r="Y522" s="460" t="str">
        <f t="shared" ca="1" si="115"/>
        <v/>
      </c>
      <c r="Z522" s="460" t="str">
        <f t="shared" ca="1" si="115"/>
        <v/>
      </c>
      <c r="AA522" s="461" t="str">
        <f t="shared" ca="1" si="115"/>
        <v/>
      </c>
      <c r="AB522" s="474" t="str">
        <f t="shared" ca="1" si="115"/>
        <v/>
      </c>
      <c r="AC522" s="475" t="str">
        <f t="shared" ca="1" si="115"/>
        <v/>
      </c>
      <c r="AD522" s="477" t="str">
        <f t="shared" ca="1" si="116"/>
        <v/>
      </c>
      <c r="AE522" s="478">
        <f t="shared" ca="1" si="117"/>
        <v>0</v>
      </c>
      <c r="AF522" s="459" t="str">
        <f t="shared" ca="1" si="113"/>
        <v/>
      </c>
      <c r="AG522" s="460" t="str">
        <f t="shared" ca="1" si="113"/>
        <v/>
      </c>
      <c r="AH522" s="460" t="str">
        <f t="shared" ca="1" si="113"/>
        <v/>
      </c>
      <c r="AI522" s="460" t="str">
        <f t="shared" ca="1" si="113"/>
        <v/>
      </c>
      <c r="AJ522" s="460" t="str">
        <f t="shared" ca="1" si="113"/>
        <v/>
      </c>
      <c r="AK522" s="460" t="str">
        <f t="shared" ca="1" si="113"/>
        <v/>
      </c>
      <c r="AL522" s="460" t="str">
        <f t="shared" ca="1" si="113"/>
        <v/>
      </c>
      <c r="AM522" s="460" t="str">
        <f t="shared" ca="1" si="113"/>
        <v/>
      </c>
      <c r="AN522" s="461" t="str">
        <f t="shared" ca="1" si="113"/>
        <v/>
      </c>
      <c r="AO522" s="474" t="str">
        <f t="shared" ca="1" si="113"/>
        <v/>
      </c>
      <c r="AP522" s="475" t="str">
        <f t="shared" ca="1" si="113"/>
        <v/>
      </c>
      <c r="AQ522" s="479" t="str">
        <f t="array" aca="1" ref="AQ522" ca="1">IF(ROW()-5&lt;=COUNTIF(科目编号,$AR$2),SMALL(IF(科目编号=$AR$2,ROW(科目编号),""),ROW()-5),"")</f>
        <v/>
      </c>
      <c r="AR522" s="480" t="str">
        <f ca="1">IF($BG$2=0,"",IF(AR521="本月合计","本年累计",IF(OR(ROW()=$AU$3,ROW()=$AV$3,ROW()=$AW$3,ROW()=$AX$3,ROW()=$AY$3,ROW()=$AZ$3,ROW()=$BA$3,ROW()=$BB$3,ROW()=$BC$3,ROW()=$BD$3,ROW()=$BE$3,ROW()=$BF$3),"本月合计",IF(ROW()&lt;7,$AQ$6,OFFSET($AQ$6,COUNT($AR$6:AR521),0)))))</f>
        <v/>
      </c>
    </row>
    <row r="523" spans="1:44">
      <c r="A523" s="469" t="str">
        <f ca="1">IFERROR(INDEX(凭证录入!A:A,$AR523),"")</f>
        <v/>
      </c>
      <c r="B523" s="469" t="str">
        <f ca="1">IFERROR(INDEX(凭证录入!B:B,$AR523),"")</f>
        <v/>
      </c>
      <c r="C523" s="470" t="str">
        <f ca="1">IFERROR(INDEX(凭证录入!G:G,$AR523),"")</f>
        <v/>
      </c>
      <c r="D523" s="471" t="str">
        <f ca="1">IFERROR(INDEX(凭证录入!F:F,$AR523),"")</f>
        <v/>
      </c>
      <c r="E523" s="472" t="str">
        <f ca="1">IFERROR(INDEX(凭证录入!H:H,$AR523),$AR523)</f>
        <v/>
      </c>
      <c r="F523" s="473">
        <f ca="1">IF(OR($BG$2=0,$AR523=""),,IF($AR523="本月合计",IF(ROW()=$BG$3,SUM($F$6:$F522),SUM(INDIRECT("$F$"&amp;OFFSET($AU$3,,MATCH(ROW(),$AU$3:$BF$3,)-2)+2&amp;":$E"&amp;ROW()-1))),IF($AR523="本年累计",SUMIF($AR$6:$AR523,"本月合计",$F$6:$F522),INDEX(凭证录入!K:K,$AR523))))</f>
        <v>0</v>
      </c>
      <c r="G523" s="459" t="str">
        <f t="shared" ca="1" si="114"/>
        <v/>
      </c>
      <c r="H523" s="460" t="str">
        <f t="shared" ca="1" si="114"/>
        <v/>
      </c>
      <c r="I523" s="460" t="str">
        <f t="shared" ca="1" si="114"/>
        <v/>
      </c>
      <c r="J523" s="460" t="str">
        <f t="shared" ca="1" si="114"/>
        <v/>
      </c>
      <c r="K523" s="460" t="str">
        <f t="shared" ca="1" si="114"/>
        <v/>
      </c>
      <c r="L523" s="460" t="str">
        <f t="shared" ca="1" si="114"/>
        <v/>
      </c>
      <c r="M523" s="460" t="str">
        <f t="shared" ca="1" si="114"/>
        <v/>
      </c>
      <c r="N523" s="460" t="str">
        <f t="shared" ca="1" si="114"/>
        <v/>
      </c>
      <c r="O523" s="461" t="str">
        <f t="shared" ca="1" si="114"/>
        <v/>
      </c>
      <c r="P523" s="474" t="str">
        <f t="shared" ca="1" si="114"/>
        <v/>
      </c>
      <c r="Q523" s="475" t="str">
        <f t="shared" ca="1" si="114"/>
        <v/>
      </c>
      <c r="R523" s="476">
        <f ca="1">IF(OR($BG$2=0,$AR523=""),,IF($AR523="本月合计",IF(ROW()=$BG$3,SUM($R$6:$R522),SUM(INDIRECT("$R$"&amp;OFFSET($AU$3,,MATCH(ROW(),$AU$3:$BF$3,)-2)+2&amp;":$R"&amp;ROW()-1))),IF($AR523="本年累计",SUMIF($AR$6:$AR523,"本月合计",$R$6:$R522),INDEX(凭证录入!L:L,$AR523))))</f>
        <v>0</v>
      </c>
      <c r="S523" s="459" t="str">
        <f t="shared" ca="1" si="115"/>
        <v/>
      </c>
      <c r="T523" s="460" t="str">
        <f t="shared" ca="1" si="115"/>
        <v/>
      </c>
      <c r="U523" s="460" t="str">
        <f t="shared" ca="1" si="115"/>
        <v/>
      </c>
      <c r="V523" s="460" t="str">
        <f t="shared" ca="1" si="115"/>
        <v/>
      </c>
      <c r="W523" s="460" t="str">
        <f t="shared" ca="1" si="115"/>
        <v/>
      </c>
      <c r="X523" s="460" t="str">
        <f t="shared" ca="1" si="115"/>
        <v/>
      </c>
      <c r="Y523" s="460" t="str">
        <f t="shared" ca="1" si="115"/>
        <v/>
      </c>
      <c r="Z523" s="460" t="str">
        <f t="shared" ca="1" si="115"/>
        <v/>
      </c>
      <c r="AA523" s="461" t="str">
        <f t="shared" ca="1" si="115"/>
        <v/>
      </c>
      <c r="AB523" s="474" t="str">
        <f t="shared" ca="1" si="115"/>
        <v/>
      </c>
      <c r="AC523" s="475" t="str">
        <f t="shared" ca="1" si="115"/>
        <v/>
      </c>
      <c r="AD523" s="477" t="str">
        <f t="shared" ca="1" si="116"/>
        <v/>
      </c>
      <c r="AE523" s="478">
        <f t="shared" ca="1" si="117"/>
        <v>0</v>
      </c>
      <c r="AF523" s="459" t="str">
        <f t="shared" ca="1" si="113"/>
        <v/>
      </c>
      <c r="AG523" s="460" t="str">
        <f t="shared" ca="1" si="113"/>
        <v/>
      </c>
      <c r="AH523" s="460" t="str">
        <f t="shared" ca="1" si="113"/>
        <v/>
      </c>
      <c r="AI523" s="460" t="str">
        <f t="shared" ca="1" si="113"/>
        <v/>
      </c>
      <c r="AJ523" s="460" t="str">
        <f t="shared" ca="1" si="113"/>
        <v/>
      </c>
      <c r="AK523" s="460" t="str">
        <f t="shared" ca="1" si="113"/>
        <v/>
      </c>
      <c r="AL523" s="460" t="str">
        <f t="shared" ca="1" si="113"/>
        <v/>
      </c>
      <c r="AM523" s="460" t="str">
        <f t="shared" ca="1" si="113"/>
        <v/>
      </c>
      <c r="AN523" s="461" t="str">
        <f t="shared" ca="1" si="113"/>
        <v/>
      </c>
      <c r="AO523" s="474" t="str">
        <f t="shared" ca="1" si="113"/>
        <v/>
      </c>
      <c r="AP523" s="475" t="str">
        <f t="shared" ca="1" si="113"/>
        <v/>
      </c>
      <c r="AQ523" s="479" t="str">
        <f t="array" aca="1" ref="AQ523" ca="1">IF(ROW()-5&lt;=COUNTIF(科目编号,$AR$2),SMALL(IF(科目编号=$AR$2,ROW(科目编号),""),ROW()-5),"")</f>
        <v/>
      </c>
      <c r="AR523" s="480" t="str">
        <f ca="1">IF($BG$2=0,"",IF(AR522="本月合计","本年累计",IF(OR(ROW()=$AU$3,ROW()=$AV$3,ROW()=$AW$3,ROW()=$AX$3,ROW()=$AY$3,ROW()=$AZ$3,ROW()=$BA$3,ROW()=$BB$3,ROW()=$BC$3,ROW()=$BD$3,ROW()=$BE$3,ROW()=$BF$3),"本月合计",IF(ROW()&lt;7,$AQ$6,OFFSET($AQ$6,COUNT($AR$6:AR522),0)))))</f>
        <v/>
      </c>
    </row>
    <row r="524" spans="1:44">
      <c r="A524" s="469" t="str">
        <f ca="1">IFERROR(INDEX(凭证录入!A:A,$AR524),"")</f>
        <v/>
      </c>
      <c r="B524" s="469" t="str">
        <f ca="1">IFERROR(INDEX(凭证录入!B:B,$AR524),"")</f>
        <v/>
      </c>
      <c r="C524" s="470" t="str">
        <f ca="1">IFERROR(INDEX(凭证录入!G:G,$AR524),"")</f>
        <v/>
      </c>
      <c r="D524" s="471" t="str">
        <f ca="1">IFERROR(INDEX(凭证录入!F:F,$AR524),"")</f>
        <v/>
      </c>
      <c r="E524" s="472" t="str">
        <f ca="1">IFERROR(INDEX(凭证录入!H:H,$AR524),$AR524)</f>
        <v/>
      </c>
      <c r="F524" s="473">
        <f ca="1">IF(OR($BG$2=0,$AR524=""),,IF($AR524="本月合计",IF(ROW()=$BG$3,SUM($F$6:$F523),SUM(INDIRECT("$F$"&amp;OFFSET($AU$3,,MATCH(ROW(),$AU$3:$BF$3,)-2)+2&amp;":$E"&amp;ROW()-1))),IF($AR524="本年累计",SUMIF($AR$6:$AR524,"本月合计",$F$6:$F523),INDEX(凭证录入!K:K,$AR524))))</f>
        <v>0</v>
      </c>
      <c r="G524" s="459" t="str">
        <f t="shared" ca="1" si="114"/>
        <v/>
      </c>
      <c r="H524" s="460" t="str">
        <f t="shared" ca="1" si="114"/>
        <v/>
      </c>
      <c r="I524" s="460" t="str">
        <f t="shared" ca="1" si="114"/>
        <v/>
      </c>
      <c r="J524" s="460" t="str">
        <f t="shared" ca="1" si="114"/>
        <v/>
      </c>
      <c r="K524" s="460" t="str">
        <f t="shared" ca="1" si="114"/>
        <v/>
      </c>
      <c r="L524" s="460" t="str">
        <f t="shared" ca="1" si="114"/>
        <v/>
      </c>
      <c r="M524" s="460" t="str">
        <f t="shared" ca="1" si="114"/>
        <v/>
      </c>
      <c r="N524" s="460" t="str">
        <f t="shared" ca="1" si="114"/>
        <v/>
      </c>
      <c r="O524" s="461" t="str">
        <f t="shared" ca="1" si="114"/>
        <v/>
      </c>
      <c r="P524" s="474" t="str">
        <f t="shared" ca="1" si="114"/>
        <v/>
      </c>
      <c r="Q524" s="475" t="str">
        <f t="shared" ca="1" si="114"/>
        <v/>
      </c>
      <c r="R524" s="476">
        <f ca="1">IF(OR($BG$2=0,$AR524=""),,IF($AR524="本月合计",IF(ROW()=$BG$3,SUM($R$6:$R523),SUM(INDIRECT("$R$"&amp;OFFSET($AU$3,,MATCH(ROW(),$AU$3:$BF$3,)-2)+2&amp;":$R"&amp;ROW()-1))),IF($AR524="本年累计",SUMIF($AR$6:$AR524,"本月合计",$R$6:$R523),INDEX(凭证录入!L:L,$AR524))))</f>
        <v>0</v>
      </c>
      <c r="S524" s="459" t="str">
        <f t="shared" ca="1" si="115"/>
        <v/>
      </c>
      <c r="T524" s="460" t="str">
        <f t="shared" ca="1" si="115"/>
        <v/>
      </c>
      <c r="U524" s="460" t="str">
        <f t="shared" ca="1" si="115"/>
        <v/>
      </c>
      <c r="V524" s="460" t="str">
        <f t="shared" ca="1" si="115"/>
        <v/>
      </c>
      <c r="W524" s="460" t="str">
        <f t="shared" ca="1" si="115"/>
        <v/>
      </c>
      <c r="X524" s="460" t="str">
        <f t="shared" ca="1" si="115"/>
        <v/>
      </c>
      <c r="Y524" s="460" t="str">
        <f t="shared" ca="1" si="115"/>
        <v/>
      </c>
      <c r="Z524" s="460" t="str">
        <f t="shared" ca="1" si="115"/>
        <v/>
      </c>
      <c r="AA524" s="461" t="str">
        <f t="shared" ca="1" si="115"/>
        <v/>
      </c>
      <c r="AB524" s="474" t="str">
        <f t="shared" ca="1" si="115"/>
        <v/>
      </c>
      <c r="AC524" s="475" t="str">
        <f t="shared" ca="1" si="115"/>
        <v/>
      </c>
      <c r="AD524" s="477" t="str">
        <f t="shared" ca="1" si="116"/>
        <v/>
      </c>
      <c r="AE524" s="478">
        <f t="shared" ca="1" si="117"/>
        <v>0</v>
      </c>
      <c r="AF524" s="459" t="str">
        <f t="shared" ca="1" si="113"/>
        <v/>
      </c>
      <c r="AG524" s="460" t="str">
        <f t="shared" ca="1" si="113"/>
        <v/>
      </c>
      <c r="AH524" s="460" t="str">
        <f t="shared" ca="1" si="113"/>
        <v/>
      </c>
      <c r="AI524" s="460" t="str">
        <f t="shared" ca="1" si="113"/>
        <v/>
      </c>
      <c r="AJ524" s="460" t="str">
        <f t="shared" ca="1" si="113"/>
        <v/>
      </c>
      <c r="AK524" s="460" t="str">
        <f t="shared" ca="1" si="113"/>
        <v/>
      </c>
      <c r="AL524" s="460" t="str">
        <f t="shared" ca="1" si="113"/>
        <v/>
      </c>
      <c r="AM524" s="460" t="str">
        <f t="shared" ca="1" si="113"/>
        <v/>
      </c>
      <c r="AN524" s="461" t="str">
        <f t="shared" ca="1" si="113"/>
        <v/>
      </c>
      <c r="AO524" s="474" t="str">
        <f t="shared" ca="1" si="113"/>
        <v/>
      </c>
      <c r="AP524" s="475" t="str">
        <f t="shared" ca="1" si="113"/>
        <v/>
      </c>
      <c r="AQ524" s="479" t="str">
        <f t="array" aca="1" ref="AQ524" ca="1">IF(ROW()-5&lt;=COUNTIF(科目编号,$AR$2),SMALL(IF(科目编号=$AR$2,ROW(科目编号),""),ROW()-5),"")</f>
        <v/>
      </c>
      <c r="AR524" s="480" t="str">
        <f ca="1">IF($BG$2=0,"",IF(AR523="本月合计","本年累计",IF(OR(ROW()=$AU$3,ROW()=$AV$3,ROW()=$AW$3,ROW()=$AX$3,ROW()=$AY$3,ROW()=$AZ$3,ROW()=$BA$3,ROW()=$BB$3,ROW()=$BC$3,ROW()=$BD$3,ROW()=$BE$3,ROW()=$BF$3),"本月合计",IF(ROW()&lt;7,$AQ$6,OFFSET($AQ$6,COUNT($AR$6:AR523),0)))))</f>
        <v/>
      </c>
    </row>
    <row r="525" spans="1:44">
      <c r="A525" s="469" t="str">
        <f ca="1">IFERROR(INDEX(凭证录入!A:A,$AR525),"")</f>
        <v/>
      </c>
      <c r="B525" s="469" t="str">
        <f ca="1">IFERROR(INDEX(凭证录入!B:B,$AR525),"")</f>
        <v/>
      </c>
      <c r="C525" s="470" t="str">
        <f ca="1">IFERROR(INDEX(凭证录入!G:G,$AR525),"")</f>
        <v/>
      </c>
      <c r="D525" s="471" t="str">
        <f ca="1">IFERROR(INDEX(凭证录入!F:F,$AR525),"")</f>
        <v/>
      </c>
      <c r="E525" s="472" t="str">
        <f ca="1">IFERROR(INDEX(凭证录入!H:H,$AR525),$AR525)</f>
        <v/>
      </c>
      <c r="F525" s="473">
        <f ca="1">IF(OR($BG$2=0,$AR525=""),,IF($AR525="本月合计",IF(ROW()=$BG$3,SUM($F$6:$F524),SUM(INDIRECT("$F$"&amp;OFFSET($AU$3,,MATCH(ROW(),$AU$3:$BF$3,)-2)+2&amp;":$E"&amp;ROW()-1))),IF($AR525="本年累计",SUMIF($AR$6:$AR525,"本月合计",$F$6:$F524),INDEX(凭证录入!K:K,$AR525))))</f>
        <v>0</v>
      </c>
      <c r="G525" s="459" t="str">
        <f t="shared" ca="1" si="114"/>
        <v/>
      </c>
      <c r="H525" s="460" t="str">
        <f t="shared" ca="1" si="114"/>
        <v/>
      </c>
      <c r="I525" s="460" t="str">
        <f t="shared" ca="1" si="114"/>
        <v/>
      </c>
      <c r="J525" s="460" t="str">
        <f t="shared" ca="1" si="114"/>
        <v/>
      </c>
      <c r="K525" s="460" t="str">
        <f t="shared" ca="1" si="114"/>
        <v/>
      </c>
      <c r="L525" s="460" t="str">
        <f t="shared" ca="1" si="114"/>
        <v/>
      </c>
      <c r="M525" s="460" t="str">
        <f t="shared" ca="1" si="114"/>
        <v/>
      </c>
      <c r="N525" s="460" t="str">
        <f t="shared" ca="1" si="114"/>
        <v/>
      </c>
      <c r="O525" s="461" t="str">
        <f t="shared" ca="1" si="114"/>
        <v/>
      </c>
      <c r="P525" s="474" t="str">
        <f t="shared" ca="1" si="114"/>
        <v/>
      </c>
      <c r="Q525" s="475" t="str">
        <f t="shared" ca="1" si="114"/>
        <v/>
      </c>
      <c r="R525" s="476">
        <f ca="1">IF(OR($BG$2=0,$AR525=""),,IF($AR525="本月合计",IF(ROW()=$BG$3,SUM($R$6:$R524),SUM(INDIRECT("$R$"&amp;OFFSET($AU$3,,MATCH(ROW(),$AU$3:$BF$3,)-2)+2&amp;":$R"&amp;ROW()-1))),IF($AR525="本年累计",SUMIF($AR$6:$AR525,"本月合计",$R$6:$R524),INDEX(凭证录入!L:L,$AR525))))</f>
        <v>0</v>
      </c>
      <c r="S525" s="459" t="str">
        <f t="shared" ca="1" si="115"/>
        <v/>
      </c>
      <c r="T525" s="460" t="str">
        <f t="shared" ca="1" si="115"/>
        <v/>
      </c>
      <c r="U525" s="460" t="str">
        <f t="shared" ca="1" si="115"/>
        <v/>
      </c>
      <c r="V525" s="460" t="str">
        <f t="shared" ca="1" si="115"/>
        <v/>
      </c>
      <c r="W525" s="460" t="str">
        <f t="shared" ca="1" si="115"/>
        <v/>
      </c>
      <c r="X525" s="460" t="str">
        <f t="shared" ca="1" si="115"/>
        <v/>
      </c>
      <c r="Y525" s="460" t="str">
        <f t="shared" ca="1" si="115"/>
        <v/>
      </c>
      <c r="Z525" s="460" t="str">
        <f t="shared" ca="1" si="115"/>
        <v/>
      </c>
      <c r="AA525" s="461" t="str">
        <f t="shared" ca="1" si="115"/>
        <v/>
      </c>
      <c r="AB525" s="474" t="str">
        <f t="shared" ca="1" si="115"/>
        <v/>
      </c>
      <c r="AC525" s="475" t="str">
        <f t="shared" ca="1" si="115"/>
        <v/>
      </c>
      <c r="AD525" s="477" t="str">
        <f t="shared" ca="1" si="116"/>
        <v/>
      </c>
      <c r="AE525" s="478">
        <f t="shared" ca="1" si="117"/>
        <v>0</v>
      </c>
      <c r="AF525" s="459" t="str">
        <f t="shared" ca="1" si="113"/>
        <v/>
      </c>
      <c r="AG525" s="460" t="str">
        <f t="shared" ca="1" si="113"/>
        <v/>
      </c>
      <c r="AH525" s="460" t="str">
        <f t="shared" ca="1" si="113"/>
        <v/>
      </c>
      <c r="AI525" s="460" t="str">
        <f t="shared" ca="1" si="113"/>
        <v/>
      </c>
      <c r="AJ525" s="460" t="str">
        <f t="shared" ca="1" si="113"/>
        <v/>
      </c>
      <c r="AK525" s="460" t="str">
        <f t="shared" ca="1" si="113"/>
        <v/>
      </c>
      <c r="AL525" s="460" t="str">
        <f t="shared" ca="1" si="113"/>
        <v/>
      </c>
      <c r="AM525" s="460" t="str">
        <f t="shared" ca="1" si="113"/>
        <v/>
      </c>
      <c r="AN525" s="461" t="str">
        <f t="shared" ca="1" si="113"/>
        <v/>
      </c>
      <c r="AO525" s="474" t="str">
        <f t="shared" ca="1" si="113"/>
        <v/>
      </c>
      <c r="AP525" s="475" t="str">
        <f t="shared" ca="1" si="113"/>
        <v/>
      </c>
      <c r="AQ525" s="479" t="str">
        <f t="array" aca="1" ref="AQ525" ca="1">IF(ROW()-5&lt;=COUNTIF(科目编号,$AR$2),SMALL(IF(科目编号=$AR$2,ROW(科目编号),""),ROW()-5),"")</f>
        <v/>
      </c>
      <c r="AR525" s="480" t="str">
        <f ca="1">IF($BG$2=0,"",IF(AR524="本月合计","本年累计",IF(OR(ROW()=$AU$3,ROW()=$AV$3,ROW()=$AW$3,ROW()=$AX$3,ROW()=$AY$3,ROW()=$AZ$3,ROW()=$BA$3,ROW()=$BB$3,ROW()=$BC$3,ROW()=$BD$3,ROW()=$BE$3,ROW()=$BF$3),"本月合计",IF(ROW()&lt;7,$AQ$6,OFFSET($AQ$6,COUNT($AR$6:AR524),0)))))</f>
        <v/>
      </c>
    </row>
    <row r="526" spans="1:44">
      <c r="A526" s="469" t="str">
        <f ca="1">IFERROR(INDEX(凭证录入!A:A,$AR526),"")</f>
        <v/>
      </c>
      <c r="B526" s="469" t="str">
        <f ca="1">IFERROR(INDEX(凭证录入!B:B,$AR526),"")</f>
        <v/>
      </c>
      <c r="C526" s="470" t="str">
        <f ca="1">IFERROR(INDEX(凭证录入!G:G,$AR526),"")</f>
        <v/>
      </c>
      <c r="D526" s="471" t="str">
        <f ca="1">IFERROR(INDEX(凭证录入!F:F,$AR526),"")</f>
        <v/>
      </c>
      <c r="E526" s="472" t="str">
        <f ca="1">IFERROR(INDEX(凭证录入!H:H,$AR526),$AR526)</f>
        <v/>
      </c>
      <c r="F526" s="473">
        <f ca="1">IF(OR($BG$2=0,$AR526=""),,IF($AR526="本月合计",IF(ROW()=$BG$3,SUM($F$6:$F525),SUM(INDIRECT("$F$"&amp;OFFSET($AU$3,,MATCH(ROW(),$AU$3:$BF$3,)-2)+2&amp;":$E"&amp;ROW()-1))),IF($AR526="本年累计",SUMIF($AR$6:$AR526,"本月合计",$F$6:$F525),INDEX(凭证录入!K:K,$AR526))))</f>
        <v>0</v>
      </c>
      <c r="G526" s="459" t="str">
        <f t="shared" ca="1" si="114"/>
        <v/>
      </c>
      <c r="H526" s="460" t="str">
        <f t="shared" ca="1" si="114"/>
        <v/>
      </c>
      <c r="I526" s="460" t="str">
        <f t="shared" ca="1" si="114"/>
        <v/>
      </c>
      <c r="J526" s="460" t="str">
        <f t="shared" ca="1" si="114"/>
        <v/>
      </c>
      <c r="K526" s="460" t="str">
        <f t="shared" ca="1" si="114"/>
        <v/>
      </c>
      <c r="L526" s="460" t="str">
        <f t="shared" ca="1" si="114"/>
        <v/>
      </c>
      <c r="M526" s="460" t="str">
        <f t="shared" ca="1" si="114"/>
        <v/>
      </c>
      <c r="N526" s="460" t="str">
        <f t="shared" ca="1" si="114"/>
        <v/>
      </c>
      <c r="O526" s="461" t="str">
        <f t="shared" ca="1" si="114"/>
        <v/>
      </c>
      <c r="P526" s="474" t="str">
        <f t="shared" ca="1" si="114"/>
        <v/>
      </c>
      <c r="Q526" s="475" t="str">
        <f t="shared" ca="1" si="114"/>
        <v/>
      </c>
      <c r="R526" s="476">
        <f ca="1">IF(OR($BG$2=0,$AR526=""),,IF($AR526="本月合计",IF(ROW()=$BG$3,SUM($R$6:$R525),SUM(INDIRECT("$R$"&amp;OFFSET($AU$3,,MATCH(ROW(),$AU$3:$BF$3,)-2)+2&amp;":$R"&amp;ROW()-1))),IF($AR526="本年累计",SUMIF($AR$6:$AR526,"本月合计",$R$6:$R525),INDEX(凭证录入!L:L,$AR526))))</f>
        <v>0</v>
      </c>
      <c r="S526" s="459" t="str">
        <f t="shared" ca="1" si="115"/>
        <v/>
      </c>
      <c r="T526" s="460" t="str">
        <f t="shared" ca="1" si="115"/>
        <v/>
      </c>
      <c r="U526" s="460" t="str">
        <f t="shared" ca="1" si="115"/>
        <v/>
      </c>
      <c r="V526" s="460" t="str">
        <f t="shared" ca="1" si="115"/>
        <v/>
      </c>
      <c r="W526" s="460" t="str">
        <f t="shared" ca="1" si="115"/>
        <v/>
      </c>
      <c r="X526" s="460" t="str">
        <f t="shared" ca="1" si="115"/>
        <v/>
      </c>
      <c r="Y526" s="460" t="str">
        <f t="shared" ca="1" si="115"/>
        <v/>
      </c>
      <c r="Z526" s="460" t="str">
        <f t="shared" ca="1" si="115"/>
        <v/>
      </c>
      <c r="AA526" s="461" t="str">
        <f t="shared" ca="1" si="115"/>
        <v/>
      </c>
      <c r="AB526" s="474" t="str">
        <f t="shared" ca="1" si="115"/>
        <v/>
      </c>
      <c r="AC526" s="475" t="str">
        <f t="shared" ca="1" si="115"/>
        <v/>
      </c>
      <c r="AD526" s="477" t="str">
        <f t="shared" ca="1" si="116"/>
        <v/>
      </c>
      <c r="AE526" s="478">
        <f t="shared" ca="1" si="117"/>
        <v>0</v>
      </c>
      <c r="AF526" s="459" t="str">
        <f t="shared" ca="1" si="113"/>
        <v/>
      </c>
      <c r="AG526" s="460" t="str">
        <f t="shared" ca="1" si="113"/>
        <v/>
      </c>
      <c r="AH526" s="460" t="str">
        <f t="shared" ca="1" si="113"/>
        <v/>
      </c>
      <c r="AI526" s="460" t="str">
        <f t="shared" ca="1" si="113"/>
        <v/>
      </c>
      <c r="AJ526" s="460" t="str">
        <f t="shared" ca="1" si="113"/>
        <v/>
      </c>
      <c r="AK526" s="460" t="str">
        <f t="shared" ca="1" si="113"/>
        <v/>
      </c>
      <c r="AL526" s="460" t="str">
        <f t="shared" ca="1" si="113"/>
        <v/>
      </c>
      <c r="AM526" s="460" t="str">
        <f t="shared" ca="1" si="113"/>
        <v/>
      </c>
      <c r="AN526" s="461" t="str">
        <f t="shared" ca="1" si="113"/>
        <v/>
      </c>
      <c r="AO526" s="474" t="str">
        <f t="shared" ca="1" si="113"/>
        <v/>
      </c>
      <c r="AP526" s="475" t="str">
        <f t="shared" ca="1" si="113"/>
        <v/>
      </c>
      <c r="AQ526" s="479" t="str">
        <f t="array" aca="1" ref="AQ526" ca="1">IF(ROW()-5&lt;=COUNTIF(科目编号,$AR$2),SMALL(IF(科目编号=$AR$2,ROW(科目编号),""),ROW()-5),"")</f>
        <v/>
      </c>
      <c r="AR526" s="480" t="str">
        <f ca="1">IF($BG$2=0,"",IF(AR525="本月合计","本年累计",IF(OR(ROW()=$AU$3,ROW()=$AV$3,ROW()=$AW$3,ROW()=$AX$3,ROW()=$AY$3,ROW()=$AZ$3,ROW()=$BA$3,ROW()=$BB$3,ROW()=$BC$3,ROW()=$BD$3,ROW()=$BE$3,ROW()=$BF$3),"本月合计",IF(ROW()&lt;7,$AQ$6,OFFSET($AQ$6,COUNT($AR$6:AR525),0)))))</f>
        <v/>
      </c>
    </row>
    <row r="527" spans="1:44">
      <c r="A527" s="469" t="str">
        <f ca="1">IFERROR(INDEX(凭证录入!A:A,$AR527),"")</f>
        <v/>
      </c>
      <c r="B527" s="469" t="str">
        <f ca="1">IFERROR(INDEX(凭证录入!B:B,$AR527),"")</f>
        <v/>
      </c>
      <c r="C527" s="470" t="str">
        <f ca="1">IFERROR(INDEX(凭证录入!G:G,$AR527),"")</f>
        <v/>
      </c>
      <c r="D527" s="471" t="str">
        <f ca="1">IFERROR(INDEX(凭证录入!F:F,$AR527),"")</f>
        <v/>
      </c>
      <c r="E527" s="472" t="str">
        <f ca="1">IFERROR(INDEX(凭证录入!H:H,$AR527),$AR527)</f>
        <v/>
      </c>
      <c r="F527" s="473">
        <f ca="1">IF(OR($BG$2=0,$AR527=""),,IF($AR527="本月合计",IF(ROW()=$BG$3,SUM($F$6:$F526),SUM(INDIRECT("$F$"&amp;OFFSET($AU$3,,MATCH(ROW(),$AU$3:$BF$3,)-2)+2&amp;":$E"&amp;ROW()-1))),IF($AR527="本年累计",SUMIF($AR$6:$AR527,"本月合计",$F$6:$F526),INDEX(凭证录入!K:K,$AR527))))</f>
        <v>0</v>
      </c>
      <c r="G527" s="459" t="str">
        <f t="shared" ca="1" si="114"/>
        <v/>
      </c>
      <c r="H527" s="460" t="str">
        <f t="shared" ca="1" si="114"/>
        <v/>
      </c>
      <c r="I527" s="460" t="str">
        <f t="shared" ca="1" si="114"/>
        <v/>
      </c>
      <c r="J527" s="460" t="str">
        <f t="shared" ca="1" si="114"/>
        <v/>
      </c>
      <c r="K527" s="460" t="str">
        <f t="shared" ca="1" si="114"/>
        <v/>
      </c>
      <c r="L527" s="460" t="str">
        <f t="shared" ca="1" si="114"/>
        <v/>
      </c>
      <c r="M527" s="460" t="str">
        <f t="shared" ca="1" si="114"/>
        <v/>
      </c>
      <c r="N527" s="460" t="str">
        <f t="shared" ca="1" si="114"/>
        <v/>
      </c>
      <c r="O527" s="461" t="str">
        <f t="shared" ca="1" si="114"/>
        <v/>
      </c>
      <c r="P527" s="474" t="str">
        <f t="shared" ca="1" si="114"/>
        <v/>
      </c>
      <c r="Q527" s="475" t="str">
        <f t="shared" ca="1" si="114"/>
        <v/>
      </c>
      <c r="R527" s="476">
        <f ca="1">IF(OR($BG$2=0,$AR527=""),,IF($AR527="本月合计",IF(ROW()=$BG$3,SUM($R$6:$R526),SUM(INDIRECT("$R$"&amp;OFFSET($AU$3,,MATCH(ROW(),$AU$3:$BF$3,)-2)+2&amp;":$R"&amp;ROW()-1))),IF($AR527="本年累计",SUMIF($AR$6:$AR527,"本月合计",$R$6:$R526),INDEX(凭证录入!L:L,$AR527))))</f>
        <v>0</v>
      </c>
      <c r="S527" s="459" t="str">
        <f t="shared" ca="1" si="115"/>
        <v/>
      </c>
      <c r="T527" s="460" t="str">
        <f t="shared" ca="1" si="115"/>
        <v/>
      </c>
      <c r="U527" s="460" t="str">
        <f t="shared" ca="1" si="115"/>
        <v/>
      </c>
      <c r="V527" s="460" t="str">
        <f t="shared" ca="1" si="115"/>
        <v/>
      </c>
      <c r="W527" s="460" t="str">
        <f t="shared" ca="1" si="115"/>
        <v/>
      </c>
      <c r="X527" s="460" t="str">
        <f t="shared" ca="1" si="115"/>
        <v/>
      </c>
      <c r="Y527" s="460" t="str">
        <f t="shared" ca="1" si="115"/>
        <v/>
      </c>
      <c r="Z527" s="460" t="str">
        <f t="shared" ca="1" si="115"/>
        <v/>
      </c>
      <c r="AA527" s="461" t="str">
        <f t="shared" ca="1" si="115"/>
        <v/>
      </c>
      <c r="AB527" s="474" t="str">
        <f t="shared" ca="1" si="115"/>
        <v/>
      </c>
      <c r="AC527" s="475" t="str">
        <f t="shared" ca="1" si="115"/>
        <v/>
      </c>
      <c r="AD527" s="477" t="str">
        <f t="shared" ca="1" si="116"/>
        <v/>
      </c>
      <c r="AE527" s="478">
        <f t="shared" ca="1" si="117"/>
        <v>0</v>
      </c>
      <c r="AF527" s="459" t="str">
        <f t="shared" ca="1" si="113"/>
        <v/>
      </c>
      <c r="AG527" s="460" t="str">
        <f t="shared" ca="1" si="113"/>
        <v/>
      </c>
      <c r="AH527" s="460" t="str">
        <f t="shared" ca="1" si="113"/>
        <v/>
      </c>
      <c r="AI527" s="460" t="str">
        <f t="shared" ca="1" si="113"/>
        <v/>
      </c>
      <c r="AJ527" s="460" t="str">
        <f t="shared" ca="1" si="113"/>
        <v/>
      </c>
      <c r="AK527" s="460" t="str">
        <f t="shared" ca="1" si="113"/>
        <v/>
      </c>
      <c r="AL527" s="460" t="str">
        <f t="shared" ca="1" si="113"/>
        <v/>
      </c>
      <c r="AM527" s="460" t="str">
        <f t="shared" ca="1" si="113"/>
        <v/>
      </c>
      <c r="AN527" s="461" t="str">
        <f t="shared" ca="1" si="113"/>
        <v/>
      </c>
      <c r="AO527" s="474" t="str">
        <f t="shared" ca="1" si="113"/>
        <v/>
      </c>
      <c r="AP527" s="475" t="str">
        <f t="shared" ca="1" si="113"/>
        <v/>
      </c>
      <c r="AQ527" s="479" t="str">
        <f t="array" aca="1" ref="AQ527" ca="1">IF(ROW()-5&lt;=COUNTIF(科目编号,$AR$2),SMALL(IF(科目编号=$AR$2,ROW(科目编号),""),ROW()-5),"")</f>
        <v/>
      </c>
      <c r="AR527" s="480" t="str">
        <f ca="1">IF($BG$2=0,"",IF(AR526="本月合计","本年累计",IF(OR(ROW()=$AU$3,ROW()=$AV$3,ROW()=$AW$3,ROW()=$AX$3,ROW()=$AY$3,ROW()=$AZ$3,ROW()=$BA$3,ROW()=$BB$3,ROW()=$BC$3,ROW()=$BD$3,ROW()=$BE$3,ROW()=$BF$3),"本月合计",IF(ROW()&lt;7,$AQ$6,OFFSET($AQ$6,COUNT($AR$6:AR526),0)))))</f>
        <v/>
      </c>
    </row>
    <row r="528" spans="1:44">
      <c r="A528" s="469" t="str">
        <f ca="1">IFERROR(INDEX(凭证录入!A:A,$AR528),"")</f>
        <v/>
      </c>
      <c r="B528" s="469" t="str">
        <f ca="1">IFERROR(INDEX(凭证录入!B:B,$AR528),"")</f>
        <v/>
      </c>
      <c r="C528" s="470" t="str">
        <f ca="1">IFERROR(INDEX(凭证录入!G:G,$AR528),"")</f>
        <v/>
      </c>
      <c r="D528" s="471" t="str">
        <f ca="1">IFERROR(INDEX(凭证录入!F:F,$AR528),"")</f>
        <v/>
      </c>
      <c r="E528" s="472" t="str">
        <f ca="1">IFERROR(INDEX(凭证录入!H:H,$AR528),$AR528)</f>
        <v/>
      </c>
      <c r="F528" s="473">
        <f ca="1">IF(OR($BG$2=0,$AR528=""),,IF($AR528="本月合计",IF(ROW()=$BG$3,SUM($F$6:$F527),SUM(INDIRECT("$F$"&amp;OFFSET($AU$3,,MATCH(ROW(),$AU$3:$BF$3,)-2)+2&amp;":$E"&amp;ROW()-1))),IF($AR528="本年累计",SUMIF($AR$6:$AR528,"本月合计",$F$6:$F527),INDEX(凭证录入!K:K,$AR528))))</f>
        <v>0</v>
      </c>
      <c r="G528" s="459" t="str">
        <f t="shared" ca="1" si="114"/>
        <v/>
      </c>
      <c r="H528" s="460" t="str">
        <f t="shared" ca="1" si="114"/>
        <v/>
      </c>
      <c r="I528" s="460" t="str">
        <f t="shared" ca="1" si="114"/>
        <v/>
      </c>
      <c r="J528" s="460" t="str">
        <f t="shared" ca="1" si="114"/>
        <v/>
      </c>
      <c r="K528" s="460" t="str">
        <f t="shared" ca="1" si="114"/>
        <v/>
      </c>
      <c r="L528" s="460" t="str">
        <f t="shared" ca="1" si="114"/>
        <v/>
      </c>
      <c r="M528" s="460" t="str">
        <f t="shared" ca="1" si="114"/>
        <v/>
      </c>
      <c r="N528" s="460" t="str">
        <f t="shared" ca="1" si="114"/>
        <v/>
      </c>
      <c r="O528" s="461" t="str">
        <f t="shared" ca="1" si="114"/>
        <v/>
      </c>
      <c r="P528" s="474" t="str">
        <f t="shared" ca="1" si="114"/>
        <v/>
      </c>
      <c r="Q528" s="475" t="str">
        <f t="shared" ca="1" si="114"/>
        <v/>
      </c>
      <c r="R528" s="476">
        <f ca="1">IF(OR($BG$2=0,$AR528=""),,IF($AR528="本月合计",IF(ROW()=$BG$3,SUM($R$6:$R527),SUM(INDIRECT("$R$"&amp;OFFSET($AU$3,,MATCH(ROW(),$AU$3:$BF$3,)-2)+2&amp;":$R"&amp;ROW()-1))),IF($AR528="本年累计",SUMIF($AR$6:$AR528,"本月合计",$R$6:$R527),INDEX(凭证录入!L:L,$AR528))))</f>
        <v>0</v>
      </c>
      <c r="S528" s="459" t="str">
        <f t="shared" ca="1" si="115"/>
        <v/>
      </c>
      <c r="T528" s="460" t="str">
        <f t="shared" ca="1" si="115"/>
        <v/>
      </c>
      <c r="U528" s="460" t="str">
        <f t="shared" ca="1" si="115"/>
        <v/>
      </c>
      <c r="V528" s="460" t="str">
        <f t="shared" ca="1" si="115"/>
        <v/>
      </c>
      <c r="W528" s="460" t="str">
        <f t="shared" ca="1" si="115"/>
        <v/>
      </c>
      <c r="X528" s="460" t="str">
        <f t="shared" ca="1" si="115"/>
        <v/>
      </c>
      <c r="Y528" s="460" t="str">
        <f t="shared" ca="1" si="115"/>
        <v/>
      </c>
      <c r="Z528" s="460" t="str">
        <f t="shared" ca="1" si="115"/>
        <v/>
      </c>
      <c r="AA528" s="461" t="str">
        <f t="shared" ca="1" si="115"/>
        <v/>
      </c>
      <c r="AB528" s="474" t="str">
        <f t="shared" ca="1" si="115"/>
        <v/>
      </c>
      <c r="AC528" s="475" t="str">
        <f t="shared" ca="1" si="115"/>
        <v/>
      </c>
      <c r="AD528" s="477" t="str">
        <f t="shared" ca="1" si="116"/>
        <v/>
      </c>
      <c r="AE528" s="478">
        <f t="shared" ca="1" si="117"/>
        <v>0</v>
      </c>
      <c r="AF528" s="459" t="str">
        <f t="shared" ca="1" si="113"/>
        <v/>
      </c>
      <c r="AG528" s="460" t="str">
        <f t="shared" ca="1" si="113"/>
        <v/>
      </c>
      <c r="AH528" s="460" t="str">
        <f t="shared" ca="1" si="113"/>
        <v/>
      </c>
      <c r="AI528" s="460" t="str">
        <f t="shared" ca="1" si="113"/>
        <v/>
      </c>
      <c r="AJ528" s="460" t="str">
        <f t="shared" ca="1" si="113"/>
        <v/>
      </c>
      <c r="AK528" s="460" t="str">
        <f t="shared" ca="1" si="113"/>
        <v/>
      </c>
      <c r="AL528" s="460" t="str">
        <f t="shared" ca="1" si="113"/>
        <v/>
      </c>
      <c r="AM528" s="460" t="str">
        <f t="shared" ca="1" si="113"/>
        <v/>
      </c>
      <c r="AN528" s="461" t="str">
        <f t="shared" ca="1" si="113"/>
        <v/>
      </c>
      <c r="AO528" s="474" t="str">
        <f t="shared" ca="1" si="113"/>
        <v/>
      </c>
      <c r="AP528" s="475" t="str">
        <f t="shared" ca="1" si="113"/>
        <v/>
      </c>
      <c r="AQ528" s="479" t="str">
        <f t="array" aca="1" ref="AQ528" ca="1">IF(ROW()-5&lt;=COUNTIF(科目编号,$AR$2),SMALL(IF(科目编号=$AR$2,ROW(科目编号),""),ROW()-5),"")</f>
        <v/>
      </c>
      <c r="AR528" s="480" t="str">
        <f ca="1">IF($BG$2=0,"",IF(AR527="本月合计","本年累计",IF(OR(ROW()=$AU$3,ROW()=$AV$3,ROW()=$AW$3,ROW()=$AX$3,ROW()=$AY$3,ROW()=$AZ$3,ROW()=$BA$3,ROW()=$BB$3,ROW()=$BC$3,ROW()=$BD$3,ROW()=$BE$3,ROW()=$BF$3),"本月合计",IF(ROW()&lt;7,$AQ$6,OFFSET($AQ$6,COUNT($AR$6:AR527),0)))))</f>
        <v/>
      </c>
    </row>
    <row r="529" spans="1:44">
      <c r="A529" s="469" t="str">
        <f ca="1">IFERROR(INDEX(凭证录入!A:A,$AR529),"")</f>
        <v/>
      </c>
      <c r="B529" s="469" t="str">
        <f ca="1">IFERROR(INDEX(凭证录入!B:B,$AR529),"")</f>
        <v/>
      </c>
      <c r="C529" s="470" t="str">
        <f ca="1">IFERROR(INDEX(凭证录入!G:G,$AR529),"")</f>
        <v/>
      </c>
      <c r="D529" s="471" t="str">
        <f ca="1">IFERROR(INDEX(凭证录入!F:F,$AR529),"")</f>
        <v/>
      </c>
      <c r="E529" s="472" t="str">
        <f ca="1">IFERROR(INDEX(凭证录入!H:H,$AR529),$AR529)</f>
        <v/>
      </c>
      <c r="F529" s="473">
        <f ca="1">IF(OR($BG$2=0,$AR529=""),,IF($AR529="本月合计",IF(ROW()=$BG$3,SUM($F$6:$F528),SUM(INDIRECT("$F$"&amp;OFFSET($AU$3,,MATCH(ROW(),$AU$3:$BF$3,)-2)+2&amp;":$E"&amp;ROW()-1))),IF($AR529="本年累计",SUMIF($AR$6:$AR529,"本月合计",$F$6:$F528),INDEX(凭证录入!K:K,$AR529))))</f>
        <v>0</v>
      </c>
      <c r="G529" s="459" t="str">
        <f t="shared" ca="1" si="114"/>
        <v/>
      </c>
      <c r="H529" s="460" t="str">
        <f t="shared" ca="1" si="114"/>
        <v/>
      </c>
      <c r="I529" s="460" t="str">
        <f t="shared" ca="1" si="114"/>
        <v/>
      </c>
      <c r="J529" s="460" t="str">
        <f t="shared" ca="1" si="114"/>
        <v/>
      </c>
      <c r="K529" s="460" t="str">
        <f t="shared" ca="1" si="114"/>
        <v/>
      </c>
      <c r="L529" s="460" t="str">
        <f t="shared" ca="1" si="114"/>
        <v/>
      </c>
      <c r="M529" s="460" t="str">
        <f t="shared" ca="1" si="114"/>
        <v/>
      </c>
      <c r="N529" s="460" t="str">
        <f t="shared" ca="1" si="114"/>
        <v/>
      </c>
      <c r="O529" s="461" t="str">
        <f t="shared" ca="1" si="114"/>
        <v/>
      </c>
      <c r="P529" s="474" t="str">
        <f t="shared" ca="1" si="114"/>
        <v/>
      </c>
      <c r="Q529" s="475" t="str">
        <f t="shared" ca="1" si="114"/>
        <v/>
      </c>
      <c r="R529" s="476">
        <f ca="1">IF(OR($BG$2=0,$AR529=""),,IF($AR529="本月合计",IF(ROW()=$BG$3,SUM($R$6:$R528),SUM(INDIRECT("$R$"&amp;OFFSET($AU$3,,MATCH(ROW(),$AU$3:$BF$3,)-2)+2&amp;":$R"&amp;ROW()-1))),IF($AR529="本年累计",SUMIF($AR$6:$AR529,"本月合计",$R$6:$R528),INDEX(凭证录入!L:L,$AR529))))</f>
        <v>0</v>
      </c>
      <c r="S529" s="459" t="str">
        <f t="shared" ca="1" si="115"/>
        <v/>
      </c>
      <c r="T529" s="460" t="str">
        <f t="shared" ca="1" si="115"/>
        <v/>
      </c>
      <c r="U529" s="460" t="str">
        <f t="shared" ca="1" si="115"/>
        <v/>
      </c>
      <c r="V529" s="460" t="str">
        <f t="shared" ca="1" si="115"/>
        <v/>
      </c>
      <c r="W529" s="460" t="str">
        <f t="shared" ca="1" si="115"/>
        <v/>
      </c>
      <c r="X529" s="460" t="str">
        <f t="shared" ca="1" si="115"/>
        <v/>
      </c>
      <c r="Y529" s="460" t="str">
        <f t="shared" ca="1" si="115"/>
        <v/>
      </c>
      <c r="Z529" s="460" t="str">
        <f t="shared" ca="1" si="115"/>
        <v/>
      </c>
      <c r="AA529" s="461" t="str">
        <f t="shared" ca="1" si="115"/>
        <v/>
      </c>
      <c r="AB529" s="474" t="str">
        <f t="shared" ca="1" si="115"/>
        <v/>
      </c>
      <c r="AC529" s="475" t="str">
        <f t="shared" ca="1" si="115"/>
        <v/>
      </c>
      <c r="AD529" s="477" t="str">
        <f t="shared" ca="1" si="116"/>
        <v/>
      </c>
      <c r="AE529" s="478">
        <f t="shared" ca="1" si="117"/>
        <v>0</v>
      </c>
      <c r="AF529" s="459" t="str">
        <f t="shared" ca="1" si="113"/>
        <v/>
      </c>
      <c r="AG529" s="460" t="str">
        <f t="shared" ca="1" si="113"/>
        <v/>
      </c>
      <c r="AH529" s="460" t="str">
        <f t="shared" ca="1" si="113"/>
        <v/>
      </c>
      <c r="AI529" s="460" t="str">
        <f t="shared" ca="1" si="113"/>
        <v/>
      </c>
      <c r="AJ529" s="460" t="str">
        <f t="shared" ca="1" si="113"/>
        <v/>
      </c>
      <c r="AK529" s="460" t="str">
        <f t="shared" ca="1" si="113"/>
        <v/>
      </c>
      <c r="AL529" s="460" t="str">
        <f t="shared" ca="1" si="113"/>
        <v/>
      </c>
      <c r="AM529" s="460" t="str">
        <f t="shared" ca="1" si="113"/>
        <v/>
      </c>
      <c r="AN529" s="461" t="str">
        <f t="shared" ca="1" si="113"/>
        <v/>
      </c>
      <c r="AO529" s="474" t="str">
        <f t="shared" ca="1" si="113"/>
        <v/>
      </c>
      <c r="AP529" s="475" t="str">
        <f t="shared" ca="1" si="113"/>
        <v/>
      </c>
      <c r="AQ529" s="479" t="str">
        <f t="array" aca="1" ref="AQ529" ca="1">IF(ROW()-5&lt;=COUNTIF(科目编号,$AR$2),SMALL(IF(科目编号=$AR$2,ROW(科目编号),""),ROW()-5),"")</f>
        <v/>
      </c>
      <c r="AR529" s="480" t="str">
        <f ca="1">IF($BG$2=0,"",IF(AR528="本月合计","本年累计",IF(OR(ROW()=$AU$3,ROW()=$AV$3,ROW()=$AW$3,ROW()=$AX$3,ROW()=$AY$3,ROW()=$AZ$3,ROW()=$BA$3,ROW()=$BB$3,ROW()=$BC$3,ROW()=$BD$3,ROW()=$BE$3,ROW()=$BF$3),"本月合计",IF(ROW()&lt;7,$AQ$6,OFFSET($AQ$6,COUNT($AR$6:AR528),0)))))</f>
        <v/>
      </c>
    </row>
    <row r="530" spans="1:44">
      <c r="A530" s="469" t="str">
        <f ca="1">IFERROR(INDEX(凭证录入!A:A,$AR530),"")</f>
        <v/>
      </c>
      <c r="B530" s="469" t="str">
        <f ca="1">IFERROR(INDEX(凭证录入!B:B,$AR530),"")</f>
        <v/>
      </c>
      <c r="C530" s="470" t="str">
        <f ca="1">IFERROR(INDEX(凭证录入!G:G,$AR530),"")</f>
        <v/>
      </c>
      <c r="D530" s="471" t="str">
        <f ca="1">IFERROR(INDEX(凭证录入!F:F,$AR530),"")</f>
        <v/>
      </c>
      <c r="E530" s="472" t="str">
        <f ca="1">IFERROR(INDEX(凭证录入!H:H,$AR530),$AR530)</f>
        <v/>
      </c>
      <c r="F530" s="473">
        <f ca="1">IF(OR($BG$2=0,$AR530=""),,IF($AR530="本月合计",IF(ROW()=$BG$3,SUM($F$6:$F529),SUM(INDIRECT("$F$"&amp;OFFSET($AU$3,,MATCH(ROW(),$AU$3:$BF$3,)-2)+2&amp;":$E"&amp;ROW()-1))),IF($AR530="本年累计",SUMIF($AR$6:$AR530,"本月合计",$F$6:$F529),INDEX(凭证录入!K:K,$AR530))))</f>
        <v>0</v>
      </c>
      <c r="G530" s="459" t="str">
        <f t="shared" ca="1" si="114"/>
        <v/>
      </c>
      <c r="H530" s="460" t="str">
        <f t="shared" ca="1" si="114"/>
        <v/>
      </c>
      <c r="I530" s="460" t="str">
        <f t="shared" ca="1" si="114"/>
        <v/>
      </c>
      <c r="J530" s="460" t="str">
        <f t="shared" ca="1" si="114"/>
        <v/>
      </c>
      <c r="K530" s="460" t="str">
        <f t="shared" ca="1" si="114"/>
        <v/>
      </c>
      <c r="L530" s="460" t="str">
        <f t="shared" ca="1" si="114"/>
        <v/>
      </c>
      <c r="M530" s="460" t="str">
        <f t="shared" ca="1" si="114"/>
        <v/>
      </c>
      <c r="N530" s="460" t="str">
        <f t="shared" ca="1" si="114"/>
        <v/>
      </c>
      <c r="O530" s="461" t="str">
        <f t="shared" ca="1" si="114"/>
        <v/>
      </c>
      <c r="P530" s="474" t="str">
        <f t="shared" ca="1" si="114"/>
        <v/>
      </c>
      <c r="Q530" s="475" t="str">
        <f t="shared" ca="1" si="114"/>
        <v/>
      </c>
      <c r="R530" s="476">
        <f ca="1">IF(OR($BG$2=0,$AR530=""),,IF($AR530="本月合计",IF(ROW()=$BG$3,SUM($R$6:$R529),SUM(INDIRECT("$R$"&amp;OFFSET($AU$3,,MATCH(ROW(),$AU$3:$BF$3,)-2)+2&amp;":$R"&amp;ROW()-1))),IF($AR530="本年累计",SUMIF($AR$6:$AR530,"本月合计",$R$6:$R529),INDEX(凭证录入!L:L,$AR530))))</f>
        <v>0</v>
      </c>
      <c r="S530" s="459" t="str">
        <f t="shared" ca="1" si="115"/>
        <v/>
      </c>
      <c r="T530" s="460" t="str">
        <f t="shared" ca="1" si="115"/>
        <v/>
      </c>
      <c r="U530" s="460" t="str">
        <f t="shared" ca="1" si="115"/>
        <v/>
      </c>
      <c r="V530" s="460" t="str">
        <f t="shared" ca="1" si="115"/>
        <v/>
      </c>
      <c r="W530" s="460" t="str">
        <f t="shared" ca="1" si="115"/>
        <v/>
      </c>
      <c r="X530" s="460" t="str">
        <f t="shared" ca="1" si="115"/>
        <v/>
      </c>
      <c r="Y530" s="460" t="str">
        <f t="shared" ca="1" si="115"/>
        <v/>
      </c>
      <c r="Z530" s="460" t="str">
        <f t="shared" ca="1" si="115"/>
        <v/>
      </c>
      <c r="AA530" s="461" t="str">
        <f t="shared" ca="1" si="115"/>
        <v/>
      </c>
      <c r="AB530" s="474" t="str">
        <f t="shared" ca="1" si="115"/>
        <v/>
      </c>
      <c r="AC530" s="475" t="str">
        <f t="shared" ca="1" si="115"/>
        <v/>
      </c>
      <c r="AD530" s="477" t="str">
        <f t="shared" ca="1" si="116"/>
        <v/>
      </c>
      <c r="AE530" s="478">
        <f t="shared" ca="1" si="117"/>
        <v>0</v>
      </c>
      <c r="AF530" s="459" t="str">
        <f t="shared" ca="1" si="113"/>
        <v/>
      </c>
      <c r="AG530" s="460" t="str">
        <f t="shared" ca="1" si="113"/>
        <v/>
      </c>
      <c r="AH530" s="460" t="str">
        <f t="shared" ca="1" si="113"/>
        <v/>
      </c>
      <c r="AI530" s="460" t="str">
        <f t="shared" ca="1" si="113"/>
        <v/>
      </c>
      <c r="AJ530" s="460" t="str">
        <f t="shared" ca="1" si="113"/>
        <v/>
      </c>
      <c r="AK530" s="460" t="str">
        <f t="shared" ca="1" si="113"/>
        <v/>
      </c>
      <c r="AL530" s="460" t="str">
        <f t="shared" ca="1" si="113"/>
        <v/>
      </c>
      <c r="AM530" s="460" t="str">
        <f t="shared" ca="1" si="113"/>
        <v/>
      </c>
      <c r="AN530" s="461" t="str">
        <f t="shared" ca="1" si="113"/>
        <v/>
      </c>
      <c r="AO530" s="474" t="str">
        <f t="shared" ca="1" si="113"/>
        <v/>
      </c>
      <c r="AP530" s="475" t="str">
        <f t="shared" ca="1" si="113"/>
        <v/>
      </c>
      <c r="AQ530" s="479" t="str">
        <f t="array" aca="1" ref="AQ530" ca="1">IF(ROW()-5&lt;=COUNTIF(科目编号,$AR$2),SMALL(IF(科目编号=$AR$2,ROW(科目编号),""),ROW()-5),"")</f>
        <v/>
      </c>
      <c r="AR530" s="480" t="str">
        <f ca="1">IF($BG$2=0,"",IF(AR529="本月合计","本年累计",IF(OR(ROW()=$AU$3,ROW()=$AV$3,ROW()=$AW$3,ROW()=$AX$3,ROW()=$AY$3,ROW()=$AZ$3,ROW()=$BA$3,ROW()=$BB$3,ROW()=$BC$3,ROW()=$BD$3,ROW()=$BE$3,ROW()=$BF$3),"本月合计",IF(ROW()&lt;7,$AQ$6,OFFSET($AQ$6,COUNT($AR$6:AR529),0)))))</f>
        <v/>
      </c>
    </row>
    <row r="531" spans="1:44">
      <c r="A531" s="469" t="str">
        <f ca="1">IFERROR(INDEX(凭证录入!A:A,$AR531),"")</f>
        <v/>
      </c>
      <c r="B531" s="469" t="str">
        <f ca="1">IFERROR(INDEX(凭证录入!B:B,$AR531),"")</f>
        <v/>
      </c>
      <c r="C531" s="470" t="str">
        <f ca="1">IFERROR(INDEX(凭证录入!G:G,$AR531),"")</f>
        <v/>
      </c>
      <c r="D531" s="471" t="str">
        <f ca="1">IFERROR(INDEX(凭证录入!F:F,$AR531),"")</f>
        <v/>
      </c>
      <c r="E531" s="472" t="str">
        <f ca="1">IFERROR(INDEX(凭证录入!H:H,$AR531),$AR531)</f>
        <v/>
      </c>
      <c r="F531" s="473">
        <f ca="1">IF(OR($BG$2=0,$AR531=""),,IF($AR531="本月合计",IF(ROW()=$BG$3,SUM($F$6:$F530),SUM(INDIRECT("$F$"&amp;OFFSET($AU$3,,MATCH(ROW(),$AU$3:$BF$3,)-2)+2&amp;":$E"&amp;ROW()-1))),IF($AR531="本年累计",SUMIF($AR$6:$AR531,"本月合计",$F$6:$F530),INDEX(凭证录入!K:K,$AR531))))</f>
        <v>0</v>
      </c>
      <c r="G531" s="459" t="str">
        <f t="shared" ca="1" si="114"/>
        <v/>
      </c>
      <c r="H531" s="460" t="str">
        <f t="shared" ca="1" si="114"/>
        <v/>
      </c>
      <c r="I531" s="460" t="str">
        <f t="shared" ca="1" si="114"/>
        <v/>
      </c>
      <c r="J531" s="460" t="str">
        <f t="shared" ca="1" si="114"/>
        <v/>
      </c>
      <c r="K531" s="460" t="str">
        <f t="shared" ca="1" si="114"/>
        <v/>
      </c>
      <c r="L531" s="460" t="str">
        <f t="shared" ca="1" si="114"/>
        <v/>
      </c>
      <c r="M531" s="460" t="str">
        <f t="shared" ca="1" si="114"/>
        <v/>
      </c>
      <c r="N531" s="460" t="str">
        <f t="shared" ca="1" si="114"/>
        <v/>
      </c>
      <c r="O531" s="461" t="str">
        <f t="shared" ca="1" si="114"/>
        <v/>
      </c>
      <c r="P531" s="474" t="str">
        <f t="shared" ca="1" si="114"/>
        <v/>
      </c>
      <c r="Q531" s="475" t="str">
        <f t="shared" ca="1" si="114"/>
        <v/>
      </c>
      <c r="R531" s="476">
        <f ca="1">IF(OR($BG$2=0,$AR531=""),,IF($AR531="本月合计",IF(ROW()=$BG$3,SUM($R$6:$R530),SUM(INDIRECT("$R$"&amp;OFFSET($AU$3,,MATCH(ROW(),$AU$3:$BF$3,)-2)+2&amp;":$R"&amp;ROW()-1))),IF($AR531="本年累计",SUMIF($AR$6:$AR531,"本月合计",$R$6:$R530),INDEX(凭证录入!L:L,$AR531))))</f>
        <v>0</v>
      </c>
      <c r="S531" s="459" t="str">
        <f t="shared" ca="1" si="115"/>
        <v/>
      </c>
      <c r="T531" s="460" t="str">
        <f t="shared" ca="1" si="115"/>
        <v/>
      </c>
      <c r="U531" s="460" t="str">
        <f t="shared" ca="1" si="115"/>
        <v/>
      </c>
      <c r="V531" s="460" t="str">
        <f t="shared" ca="1" si="115"/>
        <v/>
      </c>
      <c r="W531" s="460" t="str">
        <f t="shared" ca="1" si="115"/>
        <v/>
      </c>
      <c r="X531" s="460" t="str">
        <f t="shared" ca="1" si="115"/>
        <v/>
      </c>
      <c r="Y531" s="460" t="str">
        <f t="shared" ca="1" si="115"/>
        <v/>
      </c>
      <c r="Z531" s="460" t="str">
        <f t="shared" ca="1" si="115"/>
        <v/>
      </c>
      <c r="AA531" s="461" t="str">
        <f t="shared" ca="1" si="115"/>
        <v/>
      </c>
      <c r="AB531" s="474" t="str">
        <f t="shared" ca="1" si="115"/>
        <v/>
      </c>
      <c r="AC531" s="475" t="str">
        <f t="shared" ca="1" si="115"/>
        <v/>
      </c>
      <c r="AD531" s="477" t="str">
        <f t="shared" ca="1" si="116"/>
        <v/>
      </c>
      <c r="AE531" s="478">
        <f t="shared" ca="1" si="117"/>
        <v>0</v>
      </c>
      <c r="AF531" s="459" t="str">
        <f t="shared" ca="1" si="113"/>
        <v/>
      </c>
      <c r="AG531" s="460" t="str">
        <f t="shared" ca="1" si="113"/>
        <v/>
      </c>
      <c r="AH531" s="460" t="str">
        <f t="shared" ca="1" si="113"/>
        <v/>
      </c>
      <c r="AI531" s="460" t="str">
        <f t="shared" ca="1" si="113"/>
        <v/>
      </c>
      <c r="AJ531" s="460" t="str">
        <f t="shared" ca="1" si="113"/>
        <v/>
      </c>
      <c r="AK531" s="460" t="str">
        <f t="shared" ca="1" si="113"/>
        <v/>
      </c>
      <c r="AL531" s="460" t="str">
        <f t="shared" ca="1" si="113"/>
        <v/>
      </c>
      <c r="AM531" s="460" t="str">
        <f t="shared" ca="1" si="113"/>
        <v/>
      </c>
      <c r="AN531" s="461" t="str">
        <f t="shared" ca="1" si="113"/>
        <v/>
      </c>
      <c r="AO531" s="474" t="str">
        <f t="shared" ca="1" si="113"/>
        <v/>
      </c>
      <c r="AP531" s="475" t="str">
        <f t="shared" ca="1" si="113"/>
        <v/>
      </c>
      <c r="AQ531" s="479" t="str">
        <f t="array" aca="1" ref="AQ531" ca="1">IF(ROW()-5&lt;=COUNTIF(科目编号,$AR$2),SMALL(IF(科目编号=$AR$2,ROW(科目编号),""),ROW()-5),"")</f>
        <v/>
      </c>
      <c r="AR531" s="480" t="str">
        <f ca="1">IF($BG$2=0,"",IF(AR530="本月合计","本年累计",IF(OR(ROW()=$AU$3,ROW()=$AV$3,ROW()=$AW$3,ROW()=$AX$3,ROW()=$AY$3,ROW()=$AZ$3,ROW()=$BA$3,ROW()=$BB$3,ROW()=$BC$3,ROW()=$BD$3,ROW()=$BE$3,ROW()=$BF$3),"本月合计",IF(ROW()&lt;7,$AQ$6,OFFSET($AQ$6,COUNT($AR$6:AR530),0)))))</f>
        <v/>
      </c>
    </row>
    <row r="532" spans="1:44">
      <c r="A532" s="469" t="str">
        <f ca="1">IFERROR(INDEX(凭证录入!A:A,$AR532),"")</f>
        <v/>
      </c>
      <c r="B532" s="469" t="str">
        <f ca="1">IFERROR(INDEX(凭证录入!B:B,$AR532),"")</f>
        <v/>
      </c>
      <c r="C532" s="470" t="str">
        <f ca="1">IFERROR(INDEX(凭证录入!G:G,$AR532),"")</f>
        <v/>
      </c>
      <c r="D532" s="471" t="str">
        <f ca="1">IFERROR(INDEX(凭证录入!F:F,$AR532),"")</f>
        <v/>
      </c>
      <c r="E532" s="472" t="str">
        <f ca="1">IFERROR(INDEX(凭证录入!H:H,$AR532),$AR532)</f>
        <v/>
      </c>
      <c r="F532" s="473">
        <f ca="1">IF(OR($BG$2=0,$AR532=""),,IF($AR532="本月合计",IF(ROW()=$BG$3,SUM($F$6:$F531),SUM(INDIRECT("$F$"&amp;OFFSET($AU$3,,MATCH(ROW(),$AU$3:$BF$3,)-2)+2&amp;":$E"&amp;ROW()-1))),IF($AR532="本年累计",SUMIF($AR$6:$AR532,"本月合计",$F$6:$F531),INDEX(凭证录入!K:K,$AR532))))</f>
        <v>0</v>
      </c>
      <c r="G532" s="459" t="str">
        <f t="shared" ca="1" si="114"/>
        <v/>
      </c>
      <c r="H532" s="460" t="str">
        <f t="shared" ca="1" si="114"/>
        <v/>
      </c>
      <c r="I532" s="460" t="str">
        <f t="shared" ca="1" si="114"/>
        <v/>
      </c>
      <c r="J532" s="460" t="str">
        <f t="shared" ca="1" si="114"/>
        <v/>
      </c>
      <c r="K532" s="460" t="str">
        <f t="shared" ca="1" si="114"/>
        <v/>
      </c>
      <c r="L532" s="460" t="str">
        <f t="shared" ca="1" si="114"/>
        <v/>
      </c>
      <c r="M532" s="460" t="str">
        <f t="shared" ca="1" si="114"/>
        <v/>
      </c>
      <c r="N532" s="460" t="str">
        <f t="shared" ca="1" si="114"/>
        <v/>
      </c>
      <c r="O532" s="461" t="str">
        <f t="shared" ca="1" si="114"/>
        <v/>
      </c>
      <c r="P532" s="474" t="str">
        <f t="shared" ca="1" si="114"/>
        <v/>
      </c>
      <c r="Q532" s="475" t="str">
        <f t="shared" ca="1" si="114"/>
        <v/>
      </c>
      <c r="R532" s="476">
        <f ca="1">IF(OR($BG$2=0,$AR532=""),,IF($AR532="本月合计",IF(ROW()=$BG$3,SUM($R$6:$R531),SUM(INDIRECT("$R$"&amp;OFFSET($AU$3,,MATCH(ROW(),$AU$3:$BF$3,)-2)+2&amp;":$R"&amp;ROW()-1))),IF($AR532="本年累计",SUMIF($AR$6:$AR532,"本月合计",$R$6:$R531),INDEX(凭证录入!L:L,$AR532))))</f>
        <v>0</v>
      </c>
      <c r="S532" s="459" t="str">
        <f t="shared" ca="1" si="115"/>
        <v/>
      </c>
      <c r="T532" s="460" t="str">
        <f t="shared" ca="1" si="115"/>
        <v/>
      </c>
      <c r="U532" s="460" t="str">
        <f t="shared" ca="1" si="115"/>
        <v/>
      </c>
      <c r="V532" s="460" t="str">
        <f t="shared" ca="1" si="115"/>
        <v/>
      </c>
      <c r="W532" s="460" t="str">
        <f t="shared" ca="1" si="115"/>
        <v/>
      </c>
      <c r="X532" s="460" t="str">
        <f t="shared" ca="1" si="115"/>
        <v/>
      </c>
      <c r="Y532" s="460" t="str">
        <f t="shared" ca="1" si="115"/>
        <v/>
      </c>
      <c r="Z532" s="460" t="str">
        <f t="shared" ca="1" si="115"/>
        <v/>
      </c>
      <c r="AA532" s="461" t="str">
        <f t="shared" ca="1" si="115"/>
        <v/>
      </c>
      <c r="AB532" s="474" t="str">
        <f t="shared" ca="1" si="115"/>
        <v/>
      </c>
      <c r="AC532" s="475" t="str">
        <f t="shared" ca="1" si="115"/>
        <v/>
      </c>
      <c r="AD532" s="477" t="str">
        <f t="shared" ca="1" si="116"/>
        <v/>
      </c>
      <c r="AE532" s="478">
        <f t="shared" ca="1" si="117"/>
        <v>0</v>
      </c>
      <c r="AF532" s="459" t="str">
        <f t="shared" ca="1" si="113"/>
        <v/>
      </c>
      <c r="AG532" s="460" t="str">
        <f t="shared" ca="1" si="113"/>
        <v/>
      </c>
      <c r="AH532" s="460" t="str">
        <f t="shared" ca="1" si="113"/>
        <v/>
      </c>
      <c r="AI532" s="460" t="str">
        <f t="shared" ca="1" si="113"/>
        <v/>
      </c>
      <c r="AJ532" s="460" t="str">
        <f t="shared" ca="1" si="113"/>
        <v/>
      </c>
      <c r="AK532" s="460" t="str">
        <f t="shared" ca="1" si="113"/>
        <v/>
      </c>
      <c r="AL532" s="460" t="str">
        <f t="shared" ca="1" si="113"/>
        <v/>
      </c>
      <c r="AM532" s="460" t="str">
        <f t="shared" ca="1" si="113"/>
        <v/>
      </c>
      <c r="AN532" s="461" t="str">
        <f t="shared" ca="1" si="113"/>
        <v/>
      </c>
      <c r="AO532" s="474" t="str">
        <f t="shared" ca="1" si="113"/>
        <v/>
      </c>
      <c r="AP532" s="475" t="str">
        <f t="shared" ca="1" si="113"/>
        <v/>
      </c>
      <c r="AQ532" s="479" t="str">
        <f t="array" aca="1" ref="AQ532" ca="1">IF(ROW()-5&lt;=COUNTIF(科目编号,$AR$2),SMALL(IF(科目编号=$AR$2,ROW(科目编号),""),ROW()-5),"")</f>
        <v/>
      </c>
      <c r="AR532" s="480" t="str">
        <f ca="1">IF($BG$2=0,"",IF(AR531="本月合计","本年累计",IF(OR(ROW()=$AU$3,ROW()=$AV$3,ROW()=$AW$3,ROW()=$AX$3,ROW()=$AY$3,ROW()=$AZ$3,ROW()=$BA$3,ROW()=$BB$3,ROW()=$BC$3,ROW()=$BD$3,ROW()=$BE$3,ROW()=$BF$3),"本月合计",IF(ROW()&lt;7,$AQ$6,OFFSET($AQ$6,COUNT($AR$6:AR531),0)))))</f>
        <v/>
      </c>
    </row>
    <row r="533" spans="1:44">
      <c r="A533" s="469" t="str">
        <f ca="1">IFERROR(INDEX(凭证录入!A:A,$AR533),"")</f>
        <v/>
      </c>
      <c r="B533" s="469" t="str">
        <f ca="1">IFERROR(INDEX(凭证录入!B:B,$AR533),"")</f>
        <v/>
      </c>
      <c r="C533" s="470" t="str">
        <f ca="1">IFERROR(INDEX(凭证录入!G:G,$AR533),"")</f>
        <v/>
      </c>
      <c r="D533" s="471" t="str">
        <f ca="1">IFERROR(INDEX(凭证录入!F:F,$AR533),"")</f>
        <v/>
      </c>
      <c r="E533" s="472" t="str">
        <f ca="1">IFERROR(INDEX(凭证录入!H:H,$AR533),$AR533)</f>
        <v/>
      </c>
      <c r="F533" s="473">
        <f ca="1">IF(OR($BG$2=0,$AR533=""),,IF($AR533="本月合计",IF(ROW()=$BG$3,SUM($F$6:$F532),SUM(INDIRECT("$F$"&amp;OFFSET($AU$3,,MATCH(ROW(),$AU$3:$BF$3,)-2)+2&amp;":$E"&amp;ROW()-1))),IF($AR533="本年累计",SUMIF($AR$6:$AR533,"本月合计",$F$6:$F532),INDEX(凭证录入!K:K,$AR533))))</f>
        <v>0</v>
      </c>
      <c r="G533" s="459" t="str">
        <f t="shared" ca="1" si="114"/>
        <v/>
      </c>
      <c r="H533" s="460" t="str">
        <f t="shared" ca="1" si="114"/>
        <v/>
      </c>
      <c r="I533" s="460" t="str">
        <f t="shared" ca="1" si="114"/>
        <v/>
      </c>
      <c r="J533" s="460" t="str">
        <f t="shared" ca="1" si="114"/>
        <v/>
      </c>
      <c r="K533" s="460" t="str">
        <f t="shared" ca="1" si="114"/>
        <v/>
      </c>
      <c r="L533" s="460" t="str">
        <f t="shared" ca="1" si="114"/>
        <v/>
      </c>
      <c r="M533" s="460" t="str">
        <f t="shared" ca="1" si="114"/>
        <v/>
      </c>
      <c r="N533" s="460" t="str">
        <f t="shared" ca="1" si="114"/>
        <v/>
      </c>
      <c r="O533" s="461" t="str">
        <f t="shared" ca="1" si="114"/>
        <v/>
      </c>
      <c r="P533" s="474" t="str">
        <f t="shared" ca="1" si="114"/>
        <v/>
      </c>
      <c r="Q533" s="475" t="str">
        <f t="shared" ca="1" si="114"/>
        <v/>
      </c>
      <c r="R533" s="476">
        <f ca="1">IF(OR($BG$2=0,$AR533=""),,IF($AR533="本月合计",IF(ROW()=$BG$3,SUM($R$6:$R532),SUM(INDIRECT("$R$"&amp;OFFSET($AU$3,,MATCH(ROW(),$AU$3:$BF$3,)-2)+2&amp;":$R"&amp;ROW()-1))),IF($AR533="本年累计",SUMIF($AR$6:$AR533,"本月合计",$R$6:$R532),INDEX(凭证录入!L:L,$AR533))))</f>
        <v>0</v>
      </c>
      <c r="S533" s="459" t="str">
        <f t="shared" ca="1" si="115"/>
        <v/>
      </c>
      <c r="T533" s="460" t="str">
        <f t="shared" ca="1" si="115"/>
        <v/>
      </c>
      <c r="U533" s="460" t="str">
        <f t="shared" ca="1" si="115"/>
        <v/>
      </c>
      <c r="V533" s="460" t="str">
        <f t="shared" ca="1" si="115"/>
        <v/>
      </c>
      <c r="W533" s="460" t="str">
        <f t="shared" ca="1" si="115"/>
        <v/>
      </c>
      <c r="X533" s="460" t="str">
        <f t="shared" ca="1" si="115"/>
        <v/>
      </c>
      <c r="Y533" s="460" t="str">
        <f t="shared" ca="1" si="115"/>
        <v/>
      </c>
      <c r="Z533" s="460" t="str">
        <f t="shared" ca="1" si="115"/>
        <v/>
      </c>
      <c r="AA533" s="461" t="str">
        <f t="shared" ca="1" si="115"/>
        <v/>
      </c>
      <c r="AB533" s="474" t="str">
        <f t="shared" ca="1" si="115"/>
        <v/>
      </c>
      <c r="AC533" s="475" t="str">
        <f t="shared" ca="1" si="115"/>
        <v/>
      </c>
      <c r="AD533" s="477" t="str">
        <f t="shared" ca="1" si="116"/>
        <v/>
      </c>
      <c r="AE533" s="478">
        <f t="shared" ca="1" si="117"/>
        <v>0</v>
      </c>
      <c r="AF533" s="459" t="str">
        <f t="shared" ref="AF533:AP548" ca="1" si="118">LEFT(RIGHT(TEXT($AE533/1%," ￥0; ￥-0;"),43-COLUMN()))</f>
        <v/>
      </c>
      <c r="AG533" s="460" t="str">
        <f t="shared" ca="1" si="118"/>
        <v/>
      </c>
      <c r="AH533" s="460" t="str">
        <f t="shared" ca="1" si="118"/>
        <v/>
      </c>
      <c r="AI533" s="460" t="str">
        <f t="shared" ca="1" si="118"/>
        <v/>
      </c>
      <c r="AJ533" s="460" t="str">
        <f t="shared" ca="1" si="118"/>
        <v/>
      </c>
      <c r="AK533" s="460" t="str">
        <f t="shared" ca="1" si="118"/>
        <v/>
      </c>
      <c r="AL533" s="460" t="str">
        <f t="shared" ca="1" si="118"/>
        <v/>
      </c>
      <c r="AM533" s="460" t="str">
        <f t="shared" ca="1" si="118"/>
        <v/>
      </c>
      <c r="AN533" s="461" t="str">
        <f t="shared" ca="1" si="118"/>
        <v/>
      </c>
      <c r="AO533" s="474" t="str">
        <f t="shared" ca="1" si="118"/>
        <v/>
      </c>
      <c r="AP533" s="475" t="str">
        <f t="shared" ca="1" si="118"/>
        <v/>
      </c>
      <c r="AQ533" s="479" t="str">
        <f t="array" aca="1" ref="AQ533" ca="1">IF(ROW()-5&lt;=COUNTIF(科目编号,$AR$2),SMALL(IF(科目编号=$AR$2,ROW(科目编号),""),ROW()-5),"")</f>
        <v/>
      </c>
      <c r="AR533" s="480" t="str">
        <f ca="1">IF($BG$2=0,"",IF(AR532="本月合计","本年累计",IF(OR(ROW()=$AU$3,ROW()=$AV$3,ROW()=$AW$3,ROW()=$AX$3,ROW()=$AY$3,ROW()=$AZ$3,ROW()=$BA$3,ROW()=$BB$3,ROW()=$BC$3,ROW()=$BD$3,ROW()=$BE$3,ROW()=$BF$3),"本月合计",IF(ROW()&lt;7,$AQ$6,OFFSET($AQ$6,COUNT($AR$6:AR532),0)))))</f>
        <v/>
      </c>
    </row>
    <row r="534" spans="1:44">
      <c r="A534" s="469" t="str">
        <f ca="1">IFERROR(INDEX(凭证录入!A:A,$AR534),"")</f>
        <v/>
      </c>
      <c r="B534" s="469" t="str">
        <f ca="1">IFERROR(INDEX(凭证录入!B:B,$AR534),"")</f>
        <v/>
      </c>
      <c r="C534" s="470" t="str">
        <f ca="1">IFERROR(INDEX(凭证录入!G:G,$AR534),"")</f>
        <v/>
      </c>
      <c r="D534" s="471" t="str">
        <f ca="1">IFERROR(INDEX(凭证录入!F:F,$AR534),"")</f>
        <v/>
      </c>
      <c r="E534" s="472" t="str">
        <f ca="1">IFERROR(INDEX(凭证录入!H:H,$AR534),$AR534)</f>
        <v/>
      </c>
      <c r="F534" s="473">
        <f ca="1">IF(OR($BG$2=0,$AR534=""),,IF($AR534="本月合计",IF(ROW()=$BG$3,SUM($F$6:$F533),SUM(INDIRECT("$F$"&amp;OFFSET($AU$3,,MATCH(ROW(),$AU$3:$BF$3,)-2)+2&amp;":$E"&amp;ROW()-1))),IF($AR534="本年累计",SUMIF($AR$6:$AR534,"本月合计",$F$6:$F533),INDEX(凭证录入!K:K,$AR534))))</f>
        <v>0</v>
      </c>
      <c r="G534" s="459" t="str">
        <f t="shared" ref="G534:Q549" ca="1" si="119">LEFT(RIGHT(TEXT($F534/1%," ￥0; ￥-0;"),18-COLUMN()))</f>
        <v/>
      </c>
      <c r="H534" s="460" t="str">
        <f t="shared" ca="1" si="119"/>
        <v/>
      </c>
      <c r="I534" s="460" t="str">
        <f t="shared" ca="1" si="119"/>
        <v/>
      </c>
      <c r="J534" s="460" t="str">
        <f t="shared" ca="1" si="119"/>
        <v/>
      </c>
      <c r="K534" s="460" t="str">
        <f t="shared" ca="1" si="119"/>
        <v/>
      </c>
      <c r="L534" s="460" t="str">
        <f t="shared" ca="1" si="119"/>
        <v/>
      </c>
      <c r="M534" s="460" t="str">
        <f t="shared" ca="1" si="119"/>
        <v/>
      </c>
      <c r="N534" s="460" t="str">
        <f t="shared" ca="1" si="119"/>
        <v/>
      </c>
      <c r="O534" s="461" t="str">
        <f t="shared" ca="1" si="119"/>
        <v/>
      </c>
      <c r="P534" s="474" t="str">
        <f t="shared" ca="1" si="119"/>
        <v/>
      </c>
      <c r="Q534" s="475" t="str">
        <f t="shared" ca="1" si="119"/>
        <v/>
      </c>
      <c r="R534" s="476">
        <f ca="1">IF(OR($BG$2=0,$AR534=""),,IF($AR534="本月合计",IF(ROW()=$BG$3,SUM($R$6:$R533),SUM(INDIRECT("$R$"&amp;OFFSET($AU$3,,MATCH(ROW(),$AU$3:$BF$3,)-2)+2&amp;":$R"&amp;ROW()-1))),IF($AR534="本年累计",SUMIF($AR$6:$AR534,"本月合计",$R$6:$R533),INDEX(凭证录入!L:L,$AR534))))</f>
        <v>0</v>
      </c>
      <c r="S534" s="459" t="str">
        <f t="shared" ref="S534:AC549" ca="1" si="120">LEFT(RIGHT(TEXT($R534/1%," ￥0; ￥-0;"),30-COLUMN()))</f>
        <v/>
      </c>
      <c r="T534" s="460" t="str">
        <f t="shared" ca="1" si="120"/>
        <v/>
      </c>
      <c r="U534" s="460" t="str">
        <f t="shared" ca="1" si="120"/>
        <v/>
      </c>
      <c r="V534" s="460" t="str">
        <f t="shared" ca="1" si="120"/>
        <v/>
      </c>
      <c r="W534" s="460" t="str">
        <f t="shared" ca="1" si="120"/>
        <v/>
      </c>
      <c r="X534" s="460" t="str">
        <f t="shared" ca="1" si="120"/>
        <v/>
      </c>
      <c r="Y534" s="460" t="str">
        <f t="shared" ca="1" si="120"/>
        <v/>
      </c>
      <c r="Z534" s="460" t="str">
        <f t="shared" ca="1" si="120"/>
        <v/>
      </c>
      <c r="AA534" s="461" t="str">
        <f t="shared" ca="1" si="120"/>
        <v/>
      </c>
      <c r="AB534" s="474" t="str">
        <f t="shared" ca="1" si="120"/>
        <v/>
      </c>
      <c r="AC534" s="475" t="str">
        <f t="shared" ca="1" si="120"/>
        <v/>
      </c>
      <c r="AD534" s="477" t="str">
        <f t="shared" ca="1" si="116"/>
        <v/>
      </c>
      <c r="AE534" s="478">
        <f t="shared" ca="1" si="117"/>
        <v>0</v>
      </c>
      <c r="AF534" s="459" t="str">
        <f t="shared" ca="1" si="118"/>
        <v/>
      </c>
      <c r="AG534" s="460" t="str">
        <f t="shared" ca="1" si="118"/>
        <v/>
      </c>
      <c r="AH534" s="460" t="str">
        <f t="shared" ca="1" si="118"/>
        <v/>
      </c>
      <c r="AI534" s="460" t="str">
        <f t="shared" ca="1" si="118"/>
        <v/>
      </c>
      <c r="AJ534" s="460" t="str">
        <f t="shared" ca="1" si="118"/>
        <v/>
      </c>
      <c r="AK534" s="460" t="str">
        <f t="shared" ca="1" si="118"/>
        <v/>
      </c>
      <c r="AL534" s="460" t="str">
        <f t="shared" ca="1" si="118"/>
        <v/>
      </c>
      <c r="AM534" s="460" t="str">
        <f t="shared" ca="1" si="118"/>
        <v/>
      </c>
      <c r="AN534" s="461" t="str">
        <f t="shared" ca="1" si="118"/>
        <v/>
      </c>
      <c r="AO534" s="474" t="str">
        <f t="shared" ca="1" si="118"/>
        <v/>
      </c>
      <c r="AP534" s="475" t="str">
        <f t="shared" ca="1" si="118"/>
        <v/>
      </c>
      <c r="AQ534" s="479" t="str">
        <f t="array" aca="1" ref="AQ534" ca="1">IF(ROW()-5&lt;=COUNTIF(科目编号,$AR$2),SMALL(IF(科目编号=$AR$2,ROW(科目编号),""),ROW()-5),"")</f>
        <v/>
      </c>
      <c r="AR534" s="480" t="str">
        <f ca="1">IF($BG$2=0,"",IF(AR533="本月合计","本年累计",IF(OR(ROW()=$AU$3,ROW()=$AV$3,ROW()=$AW$3,ROW()=$AX$3,ROW()=$AY$3,ROW()=$AZ$3,ROW()=$BA$3,ROW()=$BB$3,ROW()=$BC$3,ROW()=$BD$3,ROW()=$BE$3,ROW()=$BF$3),"本月合计",IF(ROW()&lt;7,$AQ$6,OFFSET($AQ$6,COUNT($AR$6:AR533),0)))))</f>
        <v/>
      </c>
    </row>
    <row r="535" spans="1:44">
      <c r="A535" s="469" t="str">
        <f ca="1">IFERROR(INDEX(凭证录入!A:A,$AR535),"")</f>
        <v/>
      </c>
      <c r="B535" s="469" t="str">
        <f ca="1">IFERROR(INDEX(凭证录入!B:B,$AR535),"")</f>
        <v/>
      </c>
      <c r="C535" s="470" t="str">
        <f ca="1">IFERROR(INDEX(凭证录入!G:G,$AR535),"")</f>
        <v/>
      </c>
      <c r="D535" s="471" t="str">
        <f ca="1">IFERROR(INDEX(凭证录入!F:F,$AR535),"")</f>
        <v/>
      </c>
      <c r="E535" s="472" t="str">
        <f ca="1">IFERROR(INDEX(凭证录入!H:H,$AR535),$AR535)</f>
        <v/>
      </c>
      <c r="F535" s="473">
        <f ca="1">IF(OR($BG$2=0,$AR535=""),,IF($AR535="本月合计",IF(ROW()=$BG$3,SUM($F$6:$F534),SUM(INDIRECT("$F$"&amp;OFFSET($AU$3,,MATCH(ROW(),$AU$3:$BF$3,)-2)+2&amp;":$E"&amp;ROW()-1))),IF($AR535="本年累计",SUMIF($AR$6:$AR535,"本月合计",$F$6:$F534),INDEX(凭证录入!K:K,$AR535))))</f>
        <v>0</v>
      </c>
      <c r="G535" s="459" t="str">
        <f t="shared" ca="1" si="119"/>
        <v/>
      </c>
      <c r="H535" s="460" t="str">
        <f t="shared" ca="1" si="119"/>
        <v/>
      </c>
      <c r="I535" s="460" t="str">
        <f t="shared" ca="1" si="119"/>
        <v/>
      </c>
      <c r="J535" s="460" t="str">
        <f t="shared" ca="1" si="119"/>
        <v/>
      </c>
      <c r="K535" s="460" t="str">
        <f t="shared" ca="1" si="119"/>
        <v/>
      </c>
      <c r="L535" s="460" t="str">
        <f t="shared" ca="1" si="119"/>
        <v/>
      </c>
      <c r="M535" s="460" t="str">
        <f t="shared" ca="1" si="119"/>
        <v/>
      </c>
      <c r="N535" s="460" t="str">
        <f t="shared" ca="1" si="119"/>
        <v/>
      </c>
      <c r="O535" s="461" t="str">
        <f t="shared" ca="1" si="119"/>
        <v/>
      </c>
      <c r="P535" s="474" t="str">
        <f t="shared" ca="1" si="119"/>
        <v/>
      </c>
      <c r="Q535" s="475" t="str">
        <f t="shared" ca="1" si="119"/>
        <v/>
      </c>
      <c r="R535" s="476">
        <f ca="1">IF(OR($BG$2=0,$AR535=""),,IF($AR535="本月合计",IF(ROW()=$BG$3,SUM($R$6:$R534),SUM(INDIRECT("$R$"&amp;OFFSET($AU$3,,MATCH(ROW(),$AU$3:$BF$3,)-2)+2&amp;":$R"&amp;ROW()-1))),IF($AR535="本年累计",SUMIF($AR$6:$AR535,"本月合计",$R$6:$R534),INDEX(凭证录入!L:L,$AR535))))</f>
        <v>0</v>
      </c>
      <c r="S535" s="459" t="str">
        <f t="shared" ca="1" si="120"/>
        <v/>
      </c>
      <c r="T535" s="460" t="str">
        <f t="shared" ca="1" si="120"/>
        <v/>
      </c>
      <c r="U535" s="460" t="str">
        <f t="shared" ca="1" si="120"/>
        <v/>
      </c>
      <c r="V535" s="460" t="str">
        <f t="shared" ca="1" si="120"/>
        <v/>
      </c>
      <c r="W535" s="460" t="str">
        <f t="shared" ca="1" si="120"/>
        <v/>
      </c>
      <c r="X535" s="460" t="str">
        <f t="shared" ca="1" si="120"/>
        <v/>
      </c>
      <c r="Y535" s="460" t="str">
        <f t="shared" ca="1" si="120"/>
        <v/>
      </c>
      <c r="Z535" s="460" t="str">
        <f t="shared" ca="1" si="120"/>
        <v/>
      </c>
      <c r="AA535" s="461" t="str">
        <f t="shared" ca="1" si="120"/>
        <v/>
      </c>
      <c r="AB535" s="474" t="str">
        <f t="shared" ca="1" si="120"/>
        <v/>
      </c>
      <c r="AC535" s="475" t="str">
        <f t="shared" ca="1" si="120"/>
        <v/>
      </c>
      <c r="AD535" s="477" t="str">
        <f t="shared" ca="1" si="116"/>
        <v/>
      </c>
      <c r="AE535" s="478">
        <f t="shared" ca="1" si="117"/>
        <v>0</v>
      </c>
      <c r="AF535" s="459" t="str">
        <f t="shared" ca="1" si="118"/>
        <v/>
      </c>
      <c r="AG535" s="460" t="str">
        <f t="shared" ca="1" si="118"/>
        <v/>
      </c>
      <c r="AH535" s="460" t="str">
        <f t="shared" ca="1" si="118"/>
        <v/>
      </c>
      <c r="AI535" s="460" t="str">
        <f t="shared" ca="1" si="118"/>
        <v/>
      </c>
      <c r="AJ535" s="460" t="str">
        <f t="shared" ca="1" si="118"/>
        <v/>
      </c>
      <c r="AK535" s="460" t="str">
        <f t="shared" ca="1" si="118"/>
        <v/>
      </c>
      <c r="AL535" s="460" t="str">
        <f t="shared" ca="1" si="118"/>
        <v/>
      </c>
      <c r="AM535" s="460" t="str">
        <f t="shared" ca="1" si="118"/>
        <v/>
      </c>
      <c r="AN535" s="461" t="str">
        <f t="shared" ca="1" si="118"/>
        <v/>
      </c>
      <c r="AO535" s="474" t="str">
        <f t="shared" ca="1" si="118"/>
        <v/>
      </c>
      <c r="AP535" s="475" t="str">
        <f t="shared" ca="1" si="118"/>
        <v/>
      </c>
      <c r="AQ535" s="479" t="str">
        <f t="array" aca="1" ref="AQ535" ca="1">IF(ROW()-5&lt;=COUNTIF(科目编号,$AR$2),SMALL(IF(科目编号=$AR$2,ROW(科目编号),""),ROW()-5),"")</f>
        <v/>
      </c>
      <c r="AR535" s="480" t="str">
        <f ca="1">IF($BG$2=0,"",IF(AR534="本月合计","本年累计",IF(OR(ROW()=$AU$3,ROW()=$AV$3,ROW()=$AW$3,ROW()=$AX$3,ROW()=$AY$3,ROW()=$AZ$3,ROW()=$BA$3,ROW()=$BB$3,ROW()=$BC$3,ROW()=$BD$3,ROW()=$BE$3,ROW()=$BF$3),"本月合计",IF(ROW()&lt;7,$AQ$6,OFFSET($AQ$6,COUNT($AR$6:AR534),0)))))</f>
        <v/>
      </c>
    </row>
    <row r="536" spans="1:44">
      <c r="A536" s="469" t="str">
        <f ca="1">IFERROR(INDEX(凭证录入!A:A,$AR536),"")</f>
        <v/>
      </c>
      <c r="B536" s="469" t="str">
        <f ca="1">IFERROR(INDEX(凭证录入!B:B,$AR536),"")</f>
        <v/>
      </c>
      <c r="C536" s="470" t="str">
        <f ca="1">IFERROR(INDEX(凭证录入!G:G,$AR536),"")</f>
        <v/>
      </c>
      <c r="D536" s="471" t="str">
        <f ca="1">IFERROR(INDEX(凭证录入!F:F,$AR536),"")</f>
        <v/>
      </c>
      <c r="E536" s="472" t="str">
        <f ca="1">IFERROR(INDEX(凭证录入!H:H,$AR536),$AR536)</f>
        <v/>
      </c>
      <c r="F536" s="473">
        <f ca="1">IF(OR($BG$2=0,$AR536=""),,IF($AR536="本月合计",IF(ROW()=$BG$3,SUM($F$6:$F535),SUM(INDIRECT("$F$"&amp;OFFSET($AU$3,,MATCH(ROW(),$AU$3:$BF$3,)-2)+2&amp;":$E"&amp;ROW()-1))),IF($AR536="本年累计",SUMIF($AR$6:$AR536,"本月合计",$F$6:$F535),INDEX(凭证录入!K:K,$AR536))))</f>
        <v>0</v>
      </c>
      <c r="G536" s="459" t="str">
        <f t="shared" ca="1" si="119"/>
        <v/>
      </c>
      <c r="H536" s="460" t="str">
        <f t="shared" ca="1" si="119"/>
        <v/>
      </c>
      <c r="I536" s="460" t="str">
        <f t="shared" ca="1" si="119"/>
        <v/>
      </c>
      <c r="J536" s="460" t="str">
        <f t="shared" ca="1" si="119"/>
        <v/>
      </c>
      <c r="K536" s="460" t="str">
        <f t="shared" ca="1" si="119"/>
        <v/>
      </c>
      <c r="L536" s="460" t="str">
        <f t="shared" ca="1" si="119"/>
        <v/>
      </c>
      <c r="M536" s="460" t="str">
        <f t="shared" ca="1" si="119"/>
        <v/>
      </c>
      <c r="N536" s="460" t="str">
        <f t="shared" ca="1" si="119"/>
        <v/>
      </c>
      <c r="O536" s="461" t="str">
        <f t="shared" ca="1" si="119"/>
        <v/>
      </c>
      <c r="P536" s="474" t="str">
        <f t="shared" ca="1" si="119"/>
        <v/>
      </c>
      <c r="Q536" s="475" t="str">
        <f t="shared" ca="1" si="119"/>
        <v/>
      </c>
      <c r="R536" s="476">
        <f ca="1">IF(OR($BG$2=0,$AR536=""),,IF($AR536="本月合计",IF(ROW()=$BG$3,SUM($R$6:$R535),SUM(INDIRECT("$R$"&amp;OFFSET($AU$3,,MATCH(ROW(),$AU$3:$BF$3,)-2)+2&amp;":$R"&amp;ROW()-1))),IF($AR536="本年累计",SUMIF($AR$6:$AR536,"本月合计",$R$6:$R535),INDEX(凭证录入!L:L,$AR536))))</f>
        <v>0</v>
      </c>
      <c r="S536" s="459" t="str">
        <f t="shared" ca="1" si="120"/>
        <v/>
      </c>
      <c r="T536" s="460" t="str">
        <f t="shared" ca="1" si="120"/>
        <v/>
      </c>
      <c r="U536" s="460" t="str">
        <f t="shared" ca="1" si="120"/>
        <v/>
      </c>
      <c r="V536" s="460" t="str">
        <f t="shared" ca="1" si="120"/>
        <v/>
      </c>
      <c r="W536" s="460" t="str">
        <f t="shared" ca="1" si="120"/>
        <v/>
      </c>
      <c r="X536" s="460" t="str">
        <f t="shared" ca="1" si="120"/>
        <v/>
      </c>
      <c r="Y536" s="460" t="str">
        <f t="shared" ca="1" si="120"/>
        <v/>
      </c>
      <c r="Z536" s="460" t="str">
        <f t="shared" ca="1" si="120"/>
        <v/>
      </c>
      <c r="AA536" s="461" t="str">
        <f t="shared" ca="1" si="120"/>
        <v/>
      </c>
      <c r="AB536" s="474" t="str">
        <f t="shared" ca="1" si="120"/>
        <v/>
      </c>
      <c r="AC536" s="475" t="str">
        <f t="shared" ca="1" si="120"/>
        <v/>
      </c>
      <c r="AD536" s="477" t="str">
        <f t="shared" ca="1" si="116"/>
        <v/>
      </c>
      <c r="AE536" s="478">
        <f t="shared" ca="1" si="117"/>
        <v>0</v>
      </c>
      <c r="AF536" s="459" t="str">
        <f t="shared" ca="1" si="118"/>
        <v/>
      </c>
      <c r="AG536" s="460" t="str">
        <f t="shared" ca="1" si="118"/>
        <v/>
      </c>
      <c r="AH536" s="460" t="str">
        <f t="shared" ca="1" si="118"/>
        <v/>
      </c>
      <c r="AI536" s="460" t="str">
        <f t="shared" ca="1" si="118"/>
        <v/>
      </c>
      <c r="AJ536" s="460" t="str">
        <f t="shared" ca="1" si="118"/>
        <v/>
      </c>
      <c r="AK536" s="460" t="str">
        <f t="shared" ca="1" si="118"/>
        <v/>
      </c>
      <c r="AL536" s="460" t="str">
        <f t="shared" ca="1" si="118"/>
        <v/>
      </c>
      <c r="AM536" s="460" t="str">
        <f t="shared" ca="1" si="118"/>
        <v/>
      </c>
      <c r="AN536" s="461" t="str">
        <f t="shared" ca="1" si="118"/>
        <v/>
      </c>
      <c r="AO536" s="474" t="str">
        <f t="shared" ca="1" si="118"/>
        <v/>
      </c>
      <c r="AP536" s="475" t="str">
        <f t="shared" ca="1" si="118"/>
        <v/>
      </c>
      <c r="AQ536" s="479" t="str">
        <f t="array" aca="1" ref="AQ536" ca="1">IF(ROW()-5&lt;=COUNTIF(科目编号,$AR$2),SMALL(IF(科目编号=$AR$2,ROW(科目编号),""),ROW()-5),"")</f>
        <v/>
      </c>
      <c r="AR536" s="480" t="str">
        <f ca="1">IF($BG$2=0,"",IF(AR535="本月合计","本年累计",IF(OR(ROW()=$AU$3,ROW()=$AV$3,ROW()=$AW$3,ROW()=$AX$3,ROW()=$AY$3,ROW()=$AZ$3,ROW()=$BA$3,ROW()=$BB$3,ROW()=$BC$3,ROW()=$BD$3,ROW()=$BE$3,ROW()=$BF$3),"本月合计",IF(ROW()&lt;7,$AQ$6,OFFSET($AQ$6,COUNT($AR$6:AR535),0)))))</f>
        <v/>
      </c>
    </row>
    <row r="537" spans="1:44">
      <c r="A537" s="469" t="str">
        <f ca="1">IFERROR(INDEX(凭证录入!A:A,$AR537),"")</f>
        <v/>
      </c>
      <c r="B537" s="469" t="str">
        <f ca="1">IFERROR(INDEX(凭证录入!B:B,$AR537),"")</f>
        <v/>
      </c>
      <c r="C537" s="470" t="str">
        <f ca="1">IFERROR(INDEX(凭证录入!G:G,$AR537),"")</f>
        <v/>
      </c>
      <c r="D537" s="471" t="str">
        <f ca="1">IFERROR(INDEX(凭证录入!F:F,$AR537),"")</f>
        <v/>
      </c>
      <c r="E537" s="472" t="str">
        <f ca="1">IFERROR(INDEX(凭证录入!H:H,$AR537),$AR537)</f>
        <v/>
      </c>
      <c r="F537" s="473">
        <f ca="1">IF(OR($BG$2=0,$AR537=""),,IF($AR537="本月合计",IF(ROW()=$BG$3,SUM($F$6:$F536),SUM(INDIRECT("$F$"&amp;OFFSET($AU$3,,MATCH(ROW(),$AU$3:$BF$3,)-2)+2&amp;":$E"&amp;ROW()-1))),IF($AR537="本年累计",SUMIF($AR$6:$AR537,"本月合计",$F$6:$F536),INDEX(凭证录入!K:K,$AR537))))</f>
        <v>0</v>
      </c>
      <c r="G537" s="459" t="str">
        <f t="shared" ca="1" si="119"/>
        <v/>
      </c>
      <c r="H537" s="460" t="str">
        <f t="shared" ca="1" si="119"/>
        <v/>
      </c>
      <c r="I537" s="460" t="str">
        <f t="shared" ca="1" si="119"/>
        <v/>
      </c>
      <c r="J537" s="460" t="str">
        <f t="shared" ca="1" si="119"/>
        <v/>
      </c>
      <c r="K537" s="460" t="str">
        <f t="shared" ca="1" si="119"/>
        <v/>
      </c>
      <c r="L537" s="460" t="str">
        <f t="shared" ca="1" si="119"/>
        <v/>
      </c>
      <c r="M537" s="460" t="str">
        <f t="shared" ca="1" si="119"/>
        <v/>
      </c>
      <c r="N537" s="460" t="str">
        <f t="shared" ca="1" si="119"/>
        <v/>
      </c>
      <c r="O537" s="461" t="str">
        <f t="shared" ca="1" si="119"/>
        <v/>
      </c>
      <c r="P537" s="474" t="str">
        <f t="shared" ca="1" si="119"/>
        <v/>
      </c>
      <c r="Q537" s="475" t="str">
        <f t="shared" ca="1" si="119"/>
        <v/>
      </c>
      <c r="R537" s="476">
        <f ca="1">IF(OR($BG$2=0,$AR537=""),,IF($AR537="本月合计",IF(ROW()=$BG$3,SUM($R$6:$R536),SUM(INDIRECT("$R$"&amp;OFFSET($AU$3,,MATCH(ROW(),$AU$3:$BF$3,)-2)+2&amp;":$R"&amp;ROW()-1))),IF($AR537="本年累计",SUMIF($AR$6:$AR537,"本月合计",$R$6:$R536),INDEX(凭证录入!L:L,$AR537))))</f>
        <v>0</v>
      </c>
      <c r="S537" s="459" t="str">
        <f t="shared" ca="1" si="120"/>
        <v/>
      </c>
      <c r="T537" s="460" t="str">
        <f t="shared" ca="1" si="120"/>
        <v/>
      </c>
      <c r="U537" s="460" t="str">
        <f t="shared" ca="1" si="120"/>
        <v/>
      </c>
      <c r="V537" s="460" t="str">
        <f t="shared" ca="1" si="120"/>
        <v/>
      </c>
      <c r="W537" s="460" t="str">
        <f t="shared" ca="1" si="120"/>
        <v/>
      </c>
      <c r="X537" s="460" t="str">
        <f t="shared" ca="1" si="120"/>
        <v/>
      </c>
      <c r="Y537" s="460" t="str">
        <f t="shared" ca="1" si="120"/>
        <v/>
      </c>
      <c r="Z537" s="460" t="str">
        <f t="shared" ca="1" si="120"/>
        <v/>
      </c>
      <c r="AA537" s="461" t="str">
        <f t="shared" ca="1" si="120"/>
        <v/>
      </c>
      <c r="AB537" s="474" t="str">
        <f t="shared" ca="1" si="120"/>
        <v/>
      </c>
      <c r="AC537" s="475" t="str">
        <f t="shared" ca="1" si="120"/>
        <v/>
      </c>
      <c r="AD537" s="477" t="str">
        <f t="shared" ca="1" si="116"/>
        <v/>
      </c>
      <c r="AE537" s="478">
        <f t="shared" ca="1" si="117"/>
        <v>0</v>
      </c>
      <c r="AF537" s="459" t="str">
        <f t="shared" ca="1" si="118"/>
        <v/>
      </c>
      <c r="AG537" s="460" t="str">
        <f t="shared" ca="1" si="118"/>
        <v/>
      </c>
      <c r="AH537" s="460" t="str">
        <f t="shared" ca="1" si="118"/>
        <v/>
      </c>
      <c r="AI537" s="460" t="str">
        <f t="shared" ca="1" si="118"/>
        <v/>
      </c>
      <c r="AJ537" s="460" t="str">
        <f t="shared" ca="1" si="118"/>
        <v/>
      </c>
      <c r="AK537" s="460" t="str">
        <f t="shared" ca="1" si="118"/>
        <v/>
      </c>
      <c r="AL537" s="460" t="str">
        <f t="shared" ca="1" si="118"/>
        <v/>
      </c>
      <c r="AM537" s="460" t="str">
        <f t="shared" ca="1" si="118"/>
        <v/>
      </c>
      <c r="AN537" s="461" t="str">
        <f t="shared" ca="1" si="118"/>
        <v/>
      </c>
      <c r="AO537" s="474" t="str">
        <f t="shared" ca="1" si="118"/>
        <v/>
      </c>
      <c r="AP537" s="475" t="str">
        <f t="shared" ca="1" si="118"/>
        <v/>
      </c>
      <c r="AQ537" s="479" t="str">
        <f t="array" aca="1" ref="AQ537" ca="1">IF(ROW()-5&lt;=COUNTIF(科目编号,$AR$2),SMALL(IF(科目编号=$AR$2,ROW(科目编号),""),ROW()-5),"")</f>
        <v/>
      </c>
      <c r="AR537" s="480" t="str">
        <f ca="1">IF($BG$2=0,"",IF(AR536="本月合计","本年累计",IF(OR(ROW()=$AU$3,ROW()=$AV$3,ROW()=$AW$3,ROW()=$AX$3,ROW()=$AY$3,ROW()=$AZ$3,ROW()=$BA$3,ROW()=$BB$3,ROW()=$BC$3,ROW()=$BD$3,ROW()=$BE$3,ROW()=$BF$3),"本月合计",IF(ROW()&lt;7,$AQ$6,OFFSET($AQ$6,COUNT($AR$6:AR536),0)))))</f>
        <v/>
      </c>
    </row>
    <row r="538" spans="1:44">
      <c r="A538" s="469" t="str">
        <f ca="1">IFERROR(INDEX(凭证录入!A:A,$AR538),"")</f>
        <v/>
      </c>
      <c r="B538" s="469" t="str">
        <f ca="1">IFERROR(INDEX(凭证录入!B:B,$AR538),"")</f>
        <v/>
      </c>
      <c r="C538" s="470" t="str">
        <f ca="1">IFERROR(INDEX(凭证录入!G:G,$AR538),"")</f>
        <v/>
      </c>
      <c r="D538" s="471" t="str">
        <f ca="1">IFERROR(INDEX(凭证录入!F:F,$AR538),"")</f>
        <v/>
      </c>
      <c r="E538" s="472" t="str">
        <f ca="1">IFERROR(INDEX(凭证录入!H:H,$AR538),$AR538)</f>
        <v/>
      </c>
      <c r="F538" s="473">
        <f ca="1">IF(OR($BG$2=0,$AR538=""),,IF($AR538="本月合计",IF(ROW()=$BG$3,SUM($F$6:$F537),SUM(INDIRECT("$F$"&amp;OFFSET($AU$3,,MATCH(ROW(),$AU$3:$BF$3,)-2)+2&amp;":$E"&amp;ROW()-1))),IF($AR538="本年累计",SUMIF($AR$6:$AR538,"本月合计",$F$6:$F537),INDEX(凭证录入!K:K,$AR538))))</f>
        <v>0</v>
      </c>
      <c r="G538" s="459" t="str">
        <f t="shared" ca="1" si="119"/>
        <v/>
      </c>
      <c r="H538" s="460" t="str">
        <f t="shared" ca="1" si="119"/>
        <v/>
      </c>
      <c r="I538" s="460" t="str">
        <f t="shared" ca="1" si="119"/>
        <v/>
      </c>
      <c r="J538" s="460" t="str">
        <f t="shared" ca="1" si="119"/>
        <v/>
      </c>
      <c r="K538" s="460" t="str">
        <f t="shared" ca="1" si="119"/>
        <v/>
      </c>
      <c r="L538" s="460" t="str">
        <f t="shared" ca="1" si="119"/>
        <v/>
      </c>
      <c r="M538" s="460" t="str">
        <f t="shared" ca="1" si="119"/>
        <v/>
      </c>
      <c r="N538" s="460" t="str">
        <f t="shared" ca="1" si="119"/>
        <v/>
      </c>
      <c r="O538" s="461" t="str">
        <f t="shared" ca="1" si="119"/>
        <v/>
      </c>
      <c r="P538" s="474" t="str">
        <f t="shared" ca="1" si="119"/>
        <v/>
      </c>
      <c r="Q538" s="475" t="str">
        <f t="shared" ca="1" si="119"/>
        <v/>
      </c>
      <c r="R538" s="476">
        <f ca="1">IF(OR($BG$2=0,$AR538=""),,IF($AR538="本月合计",IF(ROW()=$BG$3,SUM($R$6:$R537),SUM(INDIRECT("$R$"&amp;OFFSET($AU$3,,MATCH(ROW(),$AU$3:$BF$3,)-2)+2&amp;":$R"&amp;ROW()-1))),IF($AR538="本年累计",SUMIF($AR$6:$AR538,"本月合计",$R$6:$R537),INDEX(凭证录入!L:L,$AR538))))</f>
        <v>0</v>
      </c>
      <c r="S538" s="459" t="str">
        <f t="shared" ca="1" si="120"/>
        <v/>
      </c>
      <c r="T538" s="460" t="str">
        <f t="shared" ca="1" si="120"/>
        <v/>
      </c>
      <c r="U538" s="460" t="str">
        <f t="shared" ca="1" si="120"/>
        <v/>
      </c>
      <c r="V538" s="460" t="str">
        <f t="shared" ca="1" si="120"/>
        <v/>
      </c>
      <c r="W538" s="460" t="str">
        <f t="shared" ca="1" si="120"/>
        <v/>
      </c>
      <c r="X538" s="460" t="str">
        <f t="shared" ca="1" si="120"/>
        <v/>
      </c>
      <c r="Y538" s="460" t="str">
        <f t="shared" ca="1" si="120"/>
        <v/>
      </c>
      <c r="Z538" s="460" t="str">
        <f t="shared" ca="1" si="120"/>
        <v/>
      </c>
      <c r="AA538" s="461" t="str">
        <f t="shared" ca="1" si="120"/>
        <v/>
      </c>
      <c r="AB538" s="474" t="str">
        <f t="shared" ca="1" si="120"/>
        <v/>
      </c>
      <c r="AC538" s="475" t="str">
        <f t="shared" ca="1" si="120"/>
        <v/>
      </c>
      <c r="AD538" s="477" t="str">
        <f t="shared" ca="1" si="116"/>
        <v/>
      </c>
      <c r="AE538" s="478">
        <f t="shared" ca="1" si="117"/>
        <v>0</v>
      </c>
      <c r="AF538" s="459" t="str">
        <f t="shared" ca="1" si="118"/>
        <v/>
      </c>
      <c r="AG538" s="460" t="str">
        <f t="shared" ca="1" si="118"/>
        <v/>
      </c>
      <c r="AH538" s="460" t="str">
        <f t="shared" ca="1" si="118"/>
        <v/>
      </c>
      <c r="AI538" s="460" t="str">
        <f t="shared" ca="1" si="118"/>
        <v/>
      </c>
      <c r="AJ538" s="460" t="str">
        <f t="shared" ca="1" si="118"/>
        <v/>
      </c>
      <c r="AK538" s="460" t="str">
        <f t="shared" ca="1" si="118"/>
        <v/>
      </c>
      <c r="AL538" s="460" t="str">
        <f t="shared" ca="1" si="118"/>
        <v/>
      </c>
      <c r="AM538" s="460" t="str">
        <f t="shared" ca="1" si="118"/>
        <v/>
      </c>
      <c r="AN538" s="461" t="str">
        <f t="shared" ca="1" si="118"/>
        <v/>
      </c>
      <c r="AO538" s="474" t="str">
        <f t="shared" ca="1" si="118"/>
        <v/>
      </c>
      <c r="AP538" s="475" t="str">
        <f t="shared" ca="1" si="118"/>
        <v/>
      </c>
      <c r="AQ538" s="479" t="str">
        <f t="array" aca="1" ref="AQ538" ca="1">IF(ROW()-5&lt;=COUNTIF(科目编号,$AR$2),SMALL(IF(科目编号=$AR$2,ROW(科目编号),""),ROW()-5),"")</f>
        <v/>
      </c>
      <c r="AR538" s="480" t="str">
        <f ca="1">IF($BG$2=0,"",IF(AR537="本月合计","本年累计",IF(OR(ROW()=$AU$3,ROW()=$AV$3,ROW()=$AW$3,ROW()=$AX$3,ROW()=$AY$3,ROW()=$AZ$3,ROW()=$BA$3,ROW()=$BB$3,ROW()=$BC$3,ROW()=$BD$3,ROW()=$BE$3,ROW()=$BF$3),"本月合计",IF(ROW()&lt;7,$AQ$6,OFFSET($AQ$6,COUNT($AR$6:AR537),0)))))</f>
        <v/>
      </c>
    </row>
    <row r="539" spans="1:44">
      <c r="A539" s="469" t="str">
        <f ca="1">IFERROR(INDEX(凭证录入!A:A,$AR539),"")</f>
        <v/>
      </c>
      <c r="B539" s="469" t="str">
        <f ca="1">IFERROR(INDEX(凭证录入!B:B,$AR539),"")</f>
        <v/>
      </c>
      <c r="C539" s="470" t="str">
        <f ca="1">IFERROR(INDEX(凭证录入!G:G,$AR539),"")</f>
        <v/>
      </c>
      <c r="D539" s="471" t="str">
        <f ca="1">IFERROR(INDEX(凭证录入!F:F,$AR539),"")</f>
        <v/>
      </c>
      <c r="E539" s="472" t="str">
        <f ca="1">IFERROR(INDEX(凭证录入!H:H,$AR539),$AR539)</f>
        <v/>
      </c>
      <c r="F539" s="473">
        <f ca="1">IF(OR($BG$2=0,$AR539=""),,IF($AR539="本月合计",IF(ROW()=$BG$3,SUM($F$6:$F538),SUM(INDIRECT("$F$"&amp;OFFSET($AU$3,,MATCH(ROW(),$AU$3:$BF$3,)-2)+2&amp;":$E"&amp;ROW()-1))),IF($AR539="本年累计",SUMIF($AR$6:$AR539,"本月合计",$F$6:$F538),INDEX(凭证录入!K:K,$AR539))))</f>
        <v>0</v>
      </c>
      <c r="G539" s="459" t="str">
        <f t="shared" ca="1" si="119"/>
        <v/>
      </c>
      <c r="H539" s="460" t="str">
        <f t="shared" ca="1" si="119"/>
        <v/>
      </c>
      <c r="I539" s="460" t="str">
        <f t="shared" ca="1" si="119"/>
        <v/>
      </c>
      <c r="J539" s="460" t="str">
        <f t="shared" ca="1" si="119"/>
        <v/>
      </c>
      <c r="K539" s="460" t="str">
        <f t="shared" ca="1" si="119"/>
        <v/>
      </c>
      <c r="L539" s="460" t="str">
        <f t="shared" ca="1" si="119"/>
        <v/>
      </c>
      <c r="M539" s="460" t="str">
        <f t="shared" ca="1" si="119"/>
        <v/>
      </c>
      <c r="N539" s="460" t="str">
        <f t="shared" ca="1" si="119"/>
        <v/>
      </c>
      <c r="O539" s="461" t="str">
        <f t="shared" ca="1" si="119"/>
        <v/>
      </c>
      <c r="P539" s="474" t="str">
        <f t="shared" ca="1" si="119"/>
        <v/>
      </c>
      <c r="Q539" s="475" t="str">
        <f t="shared" ca="1" si="119"/>
        <v/>
      </c>
      <c r="R539" s="476">
        <f ca="1">IF(OR($BG$2=0,$AR539=""),,IF($AR539="本月合计",IF(ROW()=$BG$3,SUM($R$6:$R538),SUM(INDIRECT("$R$"&amp;OFFSET($AU$3,,MATCH(ROW(),$AU$3:$BF$3,)-2)+2&amp;":$R"&amp;ROW()-1))),IF($AR539="本年累计",SUMIF($AR$6:$AR539,"本月合计",$R$6:$R538),INDEX(凭证录入!L:L,$AR539))))</f>
        <v>0</v>
      </c>
      <c r="S539" s="459" t="str">
        <f t="shared" ca="1" si="120"/>
        <v/>
      </c>
      <c r="T539" s="460" t="str">
        <f t="shared" ca="1" si="120"/>
        <v/>
      </c>
      <c r="U539" s="460" t="str">
        <f t="shared" ca="1" si="120"/>
        <v/>
      </c>
      <c r="V539" s="460" t="str">
        <f t="shared" ca="1" si="120"/>
        <v/>
      </c>
      <c r="W539" s="460" t="str">
        <f t="shared" ca="1" si="120"/>
        <v/>
      </c>
      <c r="X539" s="460" t="str">
        <f t="shared" ca="1" si="120"/>
        <v/>
      </c>
      <c r="Y539" s="460" t="str">
        <f t="shared" ca="1" si="120"/>
        <v/>
      </c>
      <c r="Z539" s="460" t="str">
        <f t="shared" ca="1" si="120"/>
        <v/>
      </c>
      <c r="AA539" s="461" t="str">
        <f t="shared" ca="1" si="120"/>
        <v/>
      </c>
      <c r="AB539" s="474" t="str">
        <f t="shared" ca="1" si="120"/>
        <v/>
      </c>
      <c r="AC539" s="475" t="str">
        <f t="shared" ca="1" si="120"/>
        <v/>
      </c>
      <c r="AD539" s="477" t="str">
        <f t="shared" ca="1" si="116"/>
        <v/>
      </c>
      <c r="AE539" s="478">
        <f t="shared" ca="1" si="117"/>
        <v>0</v>
      </c>
      <c r="AF539" s="459" t="str">
        <f t="shared" ca="1" si="118"/>
        <v/>
      </c>
      <c r="AG539" s="460" t="str">
        <f t="shared" ca="1" si="118"/>
        <v/>
      </c>
      <c r="AH539" s="460" t="str">
        <f t="shared" ca="1" si="118"/>
        <v/>
      </c>
      <c r="AI539" s="460" t="str">
        <f t="shared" ca="1" si="118"/>
        <v/>
      </c>
      <c r="AJ539" s="460" t="str">
        <f t="shared" ca="1" si="118"/>
        <v/>
      </c>
      <c r="AK539" s="460" t="str">
        <f t="shared" ca="1" si="118"/>
        <v/>
      </c>
      <c r="AL539" s="460" t="str">
        <f t="shared" ca="1" si="118"/>
        <v/>
      </c>
      <c r="AM539" s="460" t="str">
        <f t="shared" ca="1" si="118"/>
        <v/>
      </c>
      <c r="AN539" s="461" t="str">
        <f t="shared" ca="1" si="118"/>
        <v/>
      </c>
      <c r="AO539" s="474" t="str">
        <f t="shared" ca="1" si="118"/>
        <v/>
      </c>
      <c r="AP539" s="475" t="str">
        <f t="shared" ca="1" si="118"/>
        <v/>
      </c>
      <c r="AQ539" s="479" t="str">
        <f t="array" aca="1" ref="AQ539" ca="1">IF(ROW()-5&lt;=COUNTIF(科目编号,$AR$2),SMALL(IF(科目编号=$AR$2,ROW(科目编号),""),ROW()-5),"")</f>
        <v/>
      </c>
      <c r="AR539" s="480" t="str">
        <f ca="1">IF($BG$2=0,"",IF(AR538="本月合计","本年累计",IF(OR(ROW()=$AU$3,ROW()=$AV$3,ROW()=$AW$3,ROW()=$AX$3,ROW()=$AY$3,ROW()=$AZ$3,ROW()=$BA$3,ROW()=$BB$3,ROW()=$BC$3,ROW()=$BD$3,ROW()=$BE$3,ROW()=$BF$3),"本月合计",IF(ROW()&lt;7,$AQ$6,OFFSET($AQ$6,COUNT($AR$6:AR538),0)))))</f>
        <v/>
      </c>
    </row>
    <row r="540" spans="1:44">
      <c r="A540" s="469" t="str">
        <f ca="1">IFERROR(INDEX(凭证录入!A:A,$AR540),"")</f>
        <v/>
      </c>
      <c r="B540" s="469" t="str">
        <f ca="1">IFERROR(INDEX(凭证录入!B:B,$AR540),"")</f>
        <v/>
      </c>
      <c r="C540" s="470" t="str">
        <f ca="1">IFERROR(INDEX(凭证录入!G:G,$AR540),"")</f>
        <v/>
      </c>
      <c r="D540" s="471" t="str">
        <f ca="1">IFERROR(INDEX(凭证录入!F:F,$AR540),"")</f>
        <v/>
      </c>
      <c r="E540" s="472" t="str">
        <f ca="1">IFERROR(INDEX(凭证录入!H:H,$AR540),$AR540)</f>
        <v/>
      </c>
      <c r="F540" s="473">
        <f ca="1">IF(OR($BG$2=0,$AR540=""),,IF($AR540="本月合计",IF(ROW()=$BG$3,SUM($F$6:$F539),SUM(INDIRECT("$F$"&amp;OFFSET($AU$3,,MATCH(ROW(),$AU$3:$BF$3,)-2)+2&amp;":$E"&amp;ROW()-1))),IF($AR540="本年累计",SUMIF($AR$6:$AR540,"本月合计",$F$6:$F539),INDEX(凭证录入!K:K,$AR540))))</f>
        <v>0</v>
      </c>
      <c r="G540" s="459" t="str">
        <f t="shared" ca="1" si="119"/>
        <v/>
      </c>
      <c r="H540" s="460" t="str">
        <f t="shared" ca="1" si="119"/>
        <v/>
      </c>
      <c r="I540" s="460" t="str">
        <f t="shared" ca="1" si="119"/>
        <v/>
      </c>
      <c r="J540" s="460" t="str">
        <f t="shared" ca="1" si="119"/>
        <v/>
      </c>
      <c r="K540" s="460" t="str">
        <f t="shared" ca="1" si="119"/>
        <v/>
      </c>
      <c r="L540" s="460" t="str">
        <f t="shared" ca="1" si="119"/>
        <v/>
      </c>
      <c r="M540" s="460" t="str">
        <f t="shared" ca="1" si="119"/>
        <v/>
      </c>
      <c r="N540" s="460" t="str">
        <f t="shared" ca="1" si="119"/>
        <v/>
      </c>
      <c r="O540" s="461" t="str">
        <f t="shared" ca="1" si="119"/>
        <v/>
      </c>
      <c r="P540" s="474" t="str">
        <f t="shared" ca="1" si="119"/>
        <v/>
      </c>
      <c r="Q540" s="475" t="str">
        <f t="shared" ca="1" si="119"/>
        <v/>
      </c>
      <c r="R540" s="476">
        <f ca="1">IF(OR($BG$2=0,$AR540=""),,IF($AR540="本月合计",IF(ROW()=$BG$3,SUM($R$6:$R539),SUM(INDIRECT("$R$"&amp;OFFSET($AU$3,,MATCH(ROW(),$AU$3:$BF$3,)-2)+2&amp;":$R"&amp;ROW()-1))),IF($AR540="本年累计",SUMIF($AR$6:$AR540,"本月合计",$R$6:$R539),INDEX(凭证录入!L:L,$AR540))))</f>
        <v>0</v>
      </c>
      <c r="S540" s="459" t="str">
        <f t="shared" ca="1" si="120"/>
        <v/>
      </c>
      <c r="T540" s="460" t="str">
        <f t="shared" ca="1" si="120"/>
        <v/>
      </c>
      <c r="U540" s="460" t="str">
        <f t="shared" ca="1" si="120"/>
        <v/>
      </c>
      <c r="V540" s="460" t="str">
        <f t="shared" ca="1" si="120"/>
        <v/>
      </c>
      <c r="W540" s="460" t="str">
        <f t="shared" ca="1" si="120"/>
        <v/>
      </c>
      <c r="X540" s="460" t="str">
        <f t="shared" ca="1" si="120"/>
        <v/>
      </c>
      <c r="Y540" s="460" t="str">
        <f t="shared" ca="1" si="120"/>
        <v/>
      </c>
      <c r="Z540" s="460" t="str">
        <f t="shared" ca="1" si="120"/>
        <v/>
      </c>
      <c r="AA540" s="461" t="str">
        <f t="shared" ca="1" si="120"/>
        <v/>
      </c>
      <c r="AB540" s="474" t="str">
        <f t="shared" ca="1" si="120"/>
        <v/>
      </c>
      <c r="AC540" s="475" t="str">
        <f t="shared" ca="1" si="120"/>
        <v/>
      </c>
      <c r="AD540" s="477" t="str">
        <f t="shared" ca="1" si="116"/>
        <v/>
      </c>
      <c r="AE540" s="478">
        <f t="shared" ca="1" si="117"/>
        <v>0</v>
      </c>
      <c r="AF540" s="459" t="str">
        <f t="shared" ca="1" si="118"/>
        <v/>
      </c>
      <c r="AG540" s="460" t="str">
        <f t="shared" ca="1" si="118"/>
        <v/>
      </c>
      <c r="AH540" s="460" t="str">
        <f t="shared" ca="1" si="118"/>
        <v/>
      </c>
      <c r="AI540" s="460" t="str">
        <f t="shared" ca="1" si="118"/>
        <v/>
      </c>
      <c r="AJ540" s="460" t="str">
        <f t="shared" ca="1" si="118"/>
        <v/>
      </c>
      <c r="AK540" s="460" t="str">
        <f t="shared" ca="1" si="118"/>
        <v/>
      </c>
      <c r="AL540" s="460" t="str">
        <f t="shared" ca="1" si="118"/>
        <v/>
      </c>
      <c r="AM540" s="460" t="str">
        <f t="shared" ca="1" si="118"/>
        <v/>
      </c>
      <c r="AN540" s="461" t="str">
        <f t="shared" ca="1" si="118"/>
        <v/>
      </c>
      <c r="AO540" s="474" t="str">
        <f t="shared" ca="1" si="118"/>
        <v/>
      </c>
      <c r="AP540" s="475" t="str">
        <f t="shared" ca="1" si="118"/>
        <v/>
      </c>
      <c r="AQ540" s="479" t="str">
        <f t="array" aca="1" ref="AQ540" ca="1">IF(ROW()-5&lt;=COUNTIF(科目编号,$AR$2),SMALL(IF(科目编号=$AR$2,ROW(科目编号),""),ROW()-5),"")</f>
        <v/>
      </c>
      <c r="AR540" s="480" t="str">
        <f ca="1">IF($BG$2=0,"",IF(AR539="本月合计","本年累计",IF(OR(ROW()=$AU$3,ROW()=$AV$3,ROW()=$AW$3,ROW()=$AX$3,ROW()=$AY$3,ROW()=$AZ$3,ROW()=$BA$3,ROW()=$BB$3,ROW()=$BC$3,ROW()=$BD$3,ROW()=$BE$3,ROW()=$BF$3),"本月合计",IF(ROW()&lt;7,$AQ$6,OFFSET($AQ$6,COUNT($AR$6:AR539),0)))))</f>
        <v/>
      </c>
    </row>
    <row r="541" spans="1:44">
      <c r="A541" s="469" t="str">
        <f ca="1">IFERROR(INDEX(凭证录入!A:A,$AR541),"")</f>
        <v/>
      </c>
      <c r="B541" s="469" t="str">
        <f ca="1">IFERROR(INDEX(凭证录入!B:B,$AR541),"")</f>
        <v/>
      </c>
      <c r="C541" s="470" t="str">
        <f ca="1">IFERROR(INDEX(凭证录入!G:G,$AR541),"")</f>
        <v/>
      </c>
      <c r="D541" s="471" t="str">
        <f ca="1">IFERROR(INDEX(凭证录入!F:F,$AR541),"")</f>
        <v/>
      </c>
      <c r="E541" s="472" t="str">
        <f ca="1">IFERROR(INDEX(凭证录入!H:H,$AR541),$AR541)</f>
        <v/>
      </c>
      <c r="F541" s="473">
        <f ca="1">IF(OR($BG$2=0,$AR541=""),,IF($AR541="本月合计",IF(ROW()=$BG$3,SUM($F$6:$F540),SUM(INDIRECT("$F$"&amp;OFFSET($AU$3,,MATCH(ROW(),$AU$3:$BF$3,)-2)+2&amp;":$E"&amp;ROW()-1))),IF($AR541="本年累计",SUMIF($AR$6:$AR541,"本月合计",$F$6:$F540),INDEX(凭证录入!K:K,$AR541))))</f>
        <v>0</v>
      </c>
      <c r="G541" s="459" t="str">
        <f t="shared" ca="1" si="119"/>
        <v/>
      </c>
      <c r="H541" s="460" t="str">
        <f t="shared" ca="1" si="119"/>
        <v/>
      </c>
      <c r="I541" s="460" t="str">
        <f t="shared" ca="1" si="119"/>
        <v/>
      </c>
      <c r="J541" s="460" t="str">
        <f t="shared" ca="1" si="119"/>
        <v/>
      </c>
      <c r="K541" s="460" t="str">
        <f t="shared" ca="1" si="119"/>
        <v/>
      </c>
      <c r="L541" s="460" t="str">
        <f t="shared" ca="1" si="119"/>
        <v/>
      </c>
      <c r="M541" s="460" t="str">
        <f t="shared" ca="1" si="119"/>
        <v/>
      </c>
      <c r="N541" s="460" t="str">
        <f t="shared" ca="1" si="119"/>
        <v/>
      </c>
      <c r="O541" s="461" t="str">
        <f t="shared" ca="1" si="119"/>
        <v/>
      </c>
      <c r="P541" s="474" t="str">
        <f t="shared" ca="1" si="119"/>
        <v/>
      </c>
      <c r="Q541" s="475" t="str">
        <f t="shared" ca="1" si="119"/>
        <v/>
      </c>
      <c r="R541" s="476">
        <f ca="1">IF(OR($BG$2=0,$AR541=""),,IF($AR541="本月合计",IF(ROW()=$BG$3,SUM($R$6:$R540),SUM(INDIRECT("$R$"&amp;OFFSET($AU$3,,MATCH(ROW(),$AU$3:$BF$3,)-2)+2&amp;":$R"&amp;ROW()-1))),IF($AR541="本年累计",SUMIF($AR$6:$AR541,"本月合计",$R$6:$R540),INDEX(凭证录入!L:L,$AR541))))</f>
        <v>0</v>
      </c>
      <c r="S541" s="459" t="str">
        <f t="shared" ca="1" si="120"/>
        <v/>
      </c>
      <c r="T541" s="460" t="str">
        <f t="shared" ca="1" si="120"/>
        <v/>
      </c>
      <c r="U541" s="460" t="str">
        <f t="shared" ca="1" si="120"/>
        <v/>
      </c>
      <c r="V541" s="460" t="str">
        <f t="shared" ca="1" si="120"/>
        <v/>
      </c>
      <c r="W541" s="460" t="str">
        <f t="shared" ca="1" si="120"/>
        <v/>
      </c>
      <c r="X541" s="460" t="str">
        <f t="shared" ca="1" si="120"/>
        <v/>
      </c>
      <c r="Y541" s="460" t="str">
        <f t="shared" ca="1" si="120"/>
        <v/>
      </c>
      <c r="Z541" s="460" t="str">
        <f t="shared" ca="1" si="120"/>
        <v/>
      </c>
      <c r="AA541" s="461" t="str">
        <f t="shared" ca="1" si="120"/>
        <v/>
      </c>
      <c r="AB541" s="474" t="str">
        <f t="shared" ca="1" si="120"/>
        <v/>
      </c>
      <c r="AC541" s="475" t="str">
        <f t="shared" ca="1" si="120"/>
        <v/>
      </c>
      <c r="AD541" s="477" t="str">
        <f t="shared" ca="1" si="116"/>
        <v/>
      </c>
      <c r="AE541" s="478">
        <f t="shared" ca="1" si="117"/>
        <v>0</v>
      </c>
      <c r="AF541" s="459" t="str">
        <f t="shared" ca="1" si="118"/>
        <v/>
      </c>
      <c r="AG541" s="460" t="str">
        <f t="shared" ca="1" si="118"/>
        <v/>
      </c>
      <c r="AH541" s="460" t="str">
        <f t="shared" ca="1" si="118"/>
        <v/>
      </c>
      <c r="AI541" s="460" t="str">
        <f t="shared" ca="1" si="118"/>
        <v/>
      </c>
      <c r="AJ541" s="460" t="str">
        <f t="shared" ca="1" si="118"/>
        <v/>
      </c>
      <c r="AK541" s="460" t="str">
        <f t="shared" ca="1" si="118"/>
        <v/>
      </c>
      <c r="AL541" s="460" t="str">
        <f t="shared" ca="1" si="118"/>
        <v/>
      </c>
      <c r="AM541" s="460" t="str">
        <f t="shared" ca="1" si="118"/>
        <v/>
      </c>
      <c r="AN541" s="461" t="str">
        <f t="shared" ca="1" si="118"/>
        <v/>
      </c>
      <c r="AO541" s="474" t="str">
        <f t="shared" ca="1" si="118"/>
        <v/>
      </c>
      <c r="AP541" s="475" t="str">
        <f t="shared" ca="1" si="118"/>
        <v/>
      </c>
      <c r="AQ541" s="479" t="str">
        <f t="array" aca="1" ref="AQ541" ca="1">IF(ROW()-5&lt;=COUNTIF(科目编号,$AR$2),SMALL(IF(科目编号=$AR$2,ROW(科目编号),""),ROW()-5),"")</f>
        <v/>
      </c>
      <c r="AR541" s="480" t="str">
        <f ca="1">IF($BG$2=0,"",IF(AR540="本月合计","本年累计",IF(OR(ROW()=$AU$3,ROW()=$AV$3,ROW()=$AW$3,ROW()=$AX$3,ROW()=$AY$3,ROW()=$AZ$3,ROW()=$BA$3,ROW()=$BB$3,ROW()=$BC$3,ROW()=$BD$3,ROW()=$BE$3,ROW()=$BF$3),"本月合计",IF(ROW()&lt;7,$AQ$6,OFFSET($AQ$6,COUNT($AR$6:AR540),0)))))</f>
        <v/>
      </c>
    </row>
    <row r="542" spans="1:44">
      <c r="A542" s="469" t="str">
        <f ca="1">IFERROR(INDEX(凭证录入!A:A,$AR542),"")</f>
        <v/>
      </c>
      <c r="B542" s="469" t="str">
        <f ca="1">IFERROR(INDEX(凭证录入!B:B,$AR542),"")</f>
        <v/>
      </c>
      <c r="C542" s="470" t="str">
        <f ca="1">IFERROR(INDEX(凭证录入!G:G,$AR542),"")</f>
        <v/>
      </c>
      <c r="D542" s="471" t="str">
        <f ca="1">IFERROR(INDEX(凭证录入!F:F,$AR542),"")</f>
        <v/>
      </c>
      <c r="E542" s="472" t="str">
        <f ca="1">IFERROR(INDEX(凭证录入!H:H,$AR542),$AR542)</f>
        <v/>
      </c>
      <c r="F542" s="473">
        <f ca="1">IF(OR($BG$2=0,$AR542=""),,IF($AR542="本月合计",IF(ROW()=$BG$3,SUM($F$6:$F541),SUM(INDIRECT("$F$"&amp;OFFSET($AU$3,,MATCH(ROW(),$AU$3:$BF$3,)-2)+2&amp;":$E"&amp;ROW()-1))),IF($AR542="本年累计",SUMIF($AR$6:$AR542,"本月合计",$F$6:$F541),INDEX(凭证录入!K:K,$AR542))))</f>
        <v>0</v>
      </c>
      <c r="G542" s="459" t="str">
        <f t="shared" ca="1" si="119"/>
        <v/>
      </c>
      <c r="H542" s="460" t="str">
        <f t="shared" ca="1" si="119"/>
        <v/>
      </c>
      <c r="I542" s="460" t="str">
        <f t="shared" ca="1" si="119"/>
        <v/>
      </c>
      <c r="J542" s="460" t="str">
        <f t="shared" ca="1" si="119"/>
        <v/>
      </c>
      <c r="K542" s="460" t="str">
        <f t="shared" ca="1" si="119"/>
        <v/>
      </c>
      <c r="L542" s="460" t="str">
        <f t="shared" ca="1" si="119"/>
        <v/>
      </c>
      <c r="M542" s="460" t="str">
        <f t="shared" ca="1" si="119"/>
        <v/>
      </c>
      <c r="N542" s="460" t="str">
        <f t="shared" ca="1" si="119"/>
        <v/>
      </c>
      <c r="O542" s="461" t="str">
        <f t="shared" ca="1" si="119"/>
        <v/>
      </c>
      <c r="P542" s="474" t="str">
        <f t="shared" ca="1" si="119"/>
        <v/>
      </c>
      <c r="Q542" s="475" t="str">
        <f t="shared" ca="1" si="119"/>
        <v/>
      </c>
      <c r="R542" s="476">
        <f ca="1">IF(OR($BG$2=0,$AR542=""),,IF($AR542="本月合计",IF(ROW()=$BG$3,SUM($R$6:$R541),SUM(INDIRECT("$R$"&amp;OFFSET($AU$3,,MATCH(ROW(),$AU$3:$BF$3,)-2)+2&amp;":$R"&amp;ROW()-1))),IF($AR542="本年累计",SUMIF($AR$6:$AR542,"本月合计",$R$6:$R541),INDEX(凭证录入!L:L,$AR542))))</f>
        <v>0</v>
      </c>
      <c r="S542" s="459" t="str">
        <f t="shared" ca="1" si="120"/>
        <v/>
      </c>
      <c r="T542" s="460" t="str">
        <f t="shared" ca="1" si="120"/>
        <v/>
      </c>
      <c r="U542" s="460" t="str">
        <f t="shared" ca="1" si="120"/>
        <v/>
      </c>
      <c r="V542" s="460" t="str">
        <f t="shared" ca="1" si="120"/>
        <v/>
      </c>
      <c r="W542" s="460" t="str">
        <f t="shared" ca="1" si="120"/>
        <v/>
      </c>
      <c r="X542" s="460" t="str">
        <f t="shared" ca="1" si="120"/>
        <v/>
      </c>
      <c r="Y542" s="460" t="str">
        <f t="shared" ca="1" si="120"/>
        <v/>
      </c>
      <c r="Z542" s="460" t="str">
        <f t="shared" ca="1" si="120"/>
        <v/>
      </c>
      <c r="AA542" s="461" t="str">
        <f t="shared" ca="1" si="120"/>
        <v/>
      </c>
      <c r="AB542" s="474" t="str">
        <f t="shared" ca="1" si="120"/>
        <v/>
      </c>
      <c r="AC542" s="475" t="str">
        <f t="shared" ca="1" si="120"/>
        <v/>
      </c>
      <c r="AD542" s="477" t="str">
        <f t="shared" ca="1" si="116"/>
        <v/>
      </c>
      <c r="AE542" s="478">
        <f t="shared" ca="1" si="117"/>
        <v>0</v>
      </c>
      <c r="AF542" s="459" t="str">
        <f t="shared" ca="1" si="118"/>
        <v/>
      </c>
      <c r="AG542" s="460" t="str">
        <f t="shared" ca="1" si="118"/>
        <v/>
      </c>
      <c r="AH542" s="460" t="str">
        <f t="shared" ca="1" si="118"/>
        <v/>
      </c>
      <c r="AI542" s="460" t="str">
        <f t="shared" ca="1" si="118"/>
        <v/>
      </c>
      <c r="AJ542" s="460" t="str">
        <f t="shared" ca="1" si="118"/>
        <v/>
      </c>
      <c r="AK542" s="460" t="str">
        <f t="shared" ca="1" si="118"/>
        <v/>
      </c>
      <c r="AL542" s="460" t="str">
        <f t="shared" ca="1" si="118"/>
        <v/>
      </c>
      <c r="AM542" s="460" t="str">
        <f t="shared" ca="1" si="118"/>
        <v/>
      </c>
      <c r="AN542" s="461" t="str">
        <f t="shared" ca="1" si="118"/>
        <v/>
      </c>
      <c r="AO542" s="474" t="str">
        <f t="shared" ca="1" si="118"/>
        <v/>
      </c>
      <c r="AP542" s="475" t="str">
        <f t="shared" ca="1" si="118"/>
        <v/>
      </c>
      <c r="AQ542" s="479" t="str">
        <f t="array" aca="1" ref="AQ542" ca="1">IF(ROW()-5&lt;=COUNTIF(科目编号,$AR$2),SMALL(IF(科目编号=$AR$2,ROW(科目编号),""),ROW()-5),"")</f>
        <v/>
      </c>
      <c r="AR542" s="480" t="str">
        <f ca="1">IF($BG$2=0,"",IF(AR541="本月合计","本年累计",IF(OR(ROW()=$AU$3,ROW()=$AV$3,ROW()=$AW$3,ROW()=$AX$3,ROW()=$AY$3,ROW()=$AZ$3,ROW()=$BA$3,ROW()=$BB$3,ROW()=$BC$3,ROW()=$BD$3,ROW()=$BE$3,ROW()=$BF$3),"本月合计",IF(ROW()&lt;7,$AQ$6,OFFSET($AQ$6,COUNT($AR$6:AR541),0)))))</f>
        <v/>
      </c>
    </row>
    <row r="543" spans="1:44">
      <c r="A543" s="469" t="str">
        <f ca="1">IFERROR(INDEX(凭证录入!A:A,$AR543),"")</f>
        <v/>
      </c>
      <c r="B543" s="469" t="str">
        <f ca="1">IFERROR(INDEX(凭证录入!B:B,$AR543),"")</f>
        <v/>
      </c>
      <c r="C543" s="470" t="str">
        <f ca="1">IFERROR(INDEX(凭证录入!G:G,$AR543),"")</f>
        <v/>
      </c>
      <c r="D543" s="471" t="str">
        <f ca="1">IFERROR(INDEX(凭证录入!F:F,$AR543),"")</f>
        <v/>
      </c>
      <c r="E543" s="472" t="str">
        <f ca="1">IFERROR(INDEX(凭证录入!H:H,$AR543),$AR543)</f>
        <v/>
      </c>
      <c r="F543" s="473">
        <f ca="1">IF(OR($BG$2=0,$AR543=""),,IF($AR543="本月合计",IF(ROW()=$BG$3,SUM($F$6:$F542),SUM(INDIRECT("$F$"&amp;OFFSET($AU$3,,MATCH(ROW(),$AU$3:$BF$3,)-2)+2&amp;":$E"&amp;ROW()-1))),IF($AR543="本年累计",SUMIF($AR$6:$AR543,"本月合计",$F$6:$F542),INDEX(凭证录入!K:K,$AR543))))</f>
        <v>0</v>
      </c>
      <c r="G543" s="459" t="str">
        <f t="shared" ca="1" si="119"/>
        <v/>
      </c>
      <c r="H543" s="460" t="str">
        <f t="shared" ca="1" si="119"/>
        <v/>
      </c>
      <c r="I543" s="460" t="str">
        <f t="shared" ca="1" si="119"/>
        <v/>
      </c>
      <c r="J543" s="460" t="str">
        <f t="shared" ca="1" si="119"/>
        <v/>
      </c>
      <c r="K543" s="460" t="str">
        <f t="shared" ca="1" si="119"/>
        <v/>
      </c>
      <c r="L543" s="460" t="str">
        <f t="shared" ca="1" si="119"/>
        <v/>
      </c>
      <c r="M543" s="460" t="str">
        <f t="shared" ca="1" si="119"/>
        <v/>
      </c>
      <c r="N543" s="460" t="str">
        <f t="shared" ca="1" si="119"/>
        <v/>
      </c>
      <c r="O543" s="461" t="str">
        <f t="shared" ca="1" si="119"/>
        <v/>
      </c>
      <c r="P543" s="474" t="str">
        <f t="shared" ca="1" si="119"/>
        <v/>
      </c>
      <c r="Q543" s="475" t="str">
        <f t="shared" ca="1" si="119"/>
        <v/>
      </c>
      <c r="R543" s="476">
        <f ca="1">IF(OR($BG$2=0,$AR543=""),,IF($AR543="本月合计",IF(ROW()=$BG$3,SUM($R$6:$R542),SUM(INDIRECT("$R$"&amp;OFFSET($AU$3,,MATCH(ROW(),$AU$3:$BF$3,)-2)+2&amp;":$R"&amp;ROW()-1))),IF($AR543="本年累计",SUMIF($AR$6:$AR543,"本月合计",$R$6:$R542),INDEX(凭证录入!L:L,$AR543))))</f>
        <v>0</v>
      </c>
      <c r="S543" s="459" t="str">
        <f t="shared" ca="1" si="120"/>
        <v/>
      </c>
      <c r="T543" s="460" t="str">
        <f t="shared" ca="1" si="120"/>
        <v/>
      </c>
      <c r="U543" s="460" t="str">
        <f t="shared" ca="1" si="120"/>
        <v/>
      </c>
      <c r="V543" s="460" t="str">
        <f t="shared" ca="1" si="120"/>
        <v/>
      </c>
      <c r="W543" s="460" t="str">
        <f t="shared" ca="1" si="120"/>
        <v/>
      </c>
      <c r="X543" s="460" t="str">
        <f t="shared" ca="1" si="120"/>
        <v/>
      </c>
      <c r="Y543" s="460" t="str">
        <f t="shared" ca="1" si="120"/>
        <v/>
      </c>
      <c r="Z543" s="460" t="str">
        <f t="shared" ca="1" si="120"/>
        <v/>
      </c>
      <c r="AA543" s="461" t="str">
        <f t="shared" ca="1" si="120"/>
        <v/>
      </c>
      <c r="AB543" s="474" t="str">
        <f t="shared" ca="1" si="120"/>
        <v/>
      </c>
      <c r="AC543" s="475" t="str">
        <f t="shared" ca="1" si="120"/>
        <v/>
      </c>
      <c r="AD543" s="477" t="str">
        <f t="shared" ca="1" si="116"/>
        <v/>
      </c>
      <c r="AE543" s="478">
        <f t="shared" ca="1" si="117"/>
        <v>0</v>
      </c>
      <c r="AF543" s="459" t="str">
        <f t="shared" ca="1" si="118"/>
        <v/>
      </c>
      <c r="AG543" s="460" t="str">
        <f t="shared" ca="1" si="118"/>
        <v/>
      </c>
      <c r="AH543" s="460" t="str">
        <f t="shared" ca="1" si="118"/>
        <v/>
      </c>
      <c r="AI543" s="460" t="str">
        <f t="shared" ca="1" si="118"/>
        <v/>
      </c>
      <c r="AJ543" s="460" t="str">
        <f t="shared" ca="1" si="118"/>
        <v/>
      </c>
      <c r="AK543" s="460" t="str">
        <f t="shared" ca="1" si="118"/>
        <v/>
      </c>
      <c r="AL543" s="460" t="str">
        <f t="shared" ca="1" si="118"/>
        <v/>
      </c>
      <c r="AM543" s="460" t="str">
        <f t="shared" ca="1" si="118"/>
        <v/>
      </c>
      <c r="AN543" s="461" t="str">
        <f t="shared" ca="1" si="118"/>
        <v/>
      </c>
      <c r="AO543" s="474" t="str">
        <f t="shared" ca="1" si="118"/>
        <v/>
      </c>
      <c r="AP543" s="475" t="str">
        <f t="shared" ca="1" si="118"/>
        <v/>
      </c>
      <c r="AQ543" s="479" t="str">
        <f t="array" aca="1" ref="AQ543" ca="1">IF(ROW()-5&lt;=COUNTIF(科目编号,$AR$2),SMALL(IF(科目编号=$AR$2,ROW(科目编号),""),ROW()-5),"")</f>
        <v/>
      </c>
      <c r="AR543" s="480" t="str">
        <f ca="1">IF($BG$2=0,"",IF(AR542="本月合计","本年累计",IF(OR(ROW()=$AU$3,ROW()=$AV$3,ROW()=$AW$3,ROW()=$AX$3,ROW()=$AY$3,ROW()=$AZ$3,ROW()=$BA$3,ROW()=$BB$3,ROW()=$BC$3,ROW()=$BD$3,ROW()=$BE$3,ROW()=$BF$3),"本月合计",IF(ROW()&lt;7,$AQ$6,OFFSET($AQ$6,COUNT($AR$6:AR542),0)))))</f>
        <v/>
      </c>
    </row>
    <row r="544" spans="1:44">
      <c r="A544" s="469" t="str">
        <f ca="1">IFERROR(INDEX(凭证录入!A:A,$AR544),"")</f>
        <v/>
      </c>
      <c r="B544" s="469" t="str">
        <f ca="1">IFERROR(INDEX(凭证录入!B:B,$AR544),"")</f>
        <v/>
      </c>
      <c r="C544" s="470" t="str">
        <f ca="1">IFERROR(INDEX(凭证录入!G:G,$AR544),"")</f>
        <v/>
      </c>
      <c r="D544" s="471" t="str">
        <f ca="1">IFERROR(INDEX(凭证录入!F:F,$AR544),"")</f>
        <v/>
      </c>
      <c r="E544" s="472" t="str">
        <f ca="1">IFERROR(INDEX(凭证录入!H:H,$AR544),$AR544)</f>
        <v/>
      </c>
      <c r="F544" s="473">
        <f ca="1">IF(OR($BG$2=0,$AR544=""),,IF($AR544="本月合计",IF(ROW()=$BG$3,SUM($F$6:$F543),SUM(INDIRECT("$F$"&amp;OFFSET($AU$3,,MATCH(ROW(),$AU$3:$BF$3,)-2)+2&amp;":$E"&amp;ROW()-1))),IF($AR544="本年累计",SUMIF($AR$6:$AR544,"本月合计",$F$6:$F543),INDEX(凭证录入!K:K,$AR544))))</f>
        <v>0</v>
      </c>
      <c r="G544" s="459" t="str">
        <f t="shared" ca="1" si="119"/>
        <v/>
      </c>
      <c r="H544" s="460" t="str">
        <f t="shared" ca="1" si="119"/>
        <v/>
      </c>
      <c r="I544" s="460" t="str">
        <f t="shared" ca="1" si="119"/>
        <v/>
      </c>
      <c r="J544" s="460" t="str">
        <f t="shared" ca="1" si="119"/>
        <v/>
      </c>
      <c r="K544" s="460" t="str">
        <f t="shared" ca="1" si="119"/>
        <v/>
      </c>
      <c r="L544" s="460" t="str">
        <f t="shared" ca="1" si="119"/>
        <v/>
      </c>
      <c r="M544" s="460" t="str">
        <f t="shared" ca="1" si="119"/>
        <v/>
      </c>
      <c r="N544" s="460" t="str">
        <f t="shared" ca="1" si="119"/>
        <v/>
      </c>
      <c r="O544" s="461" t="str">
        <f t="shared" ca="1" si="119"/>
        <v/>
      </c>
      <c r="P544" s="474" t="str">
        <f t="shared" ca="1" si="119"/>
        <v/>
      </c>
      <c r="Q544" s="475" t="str">
        <f t="shared" ca="1" si="119"/>
        <v/>
      </c>
      <c r="R544" s="476">
        <f ca="1">IF(OR($BG$2=0,$AR544=""),,IF($AR544="本月合计",IF(ROW()=$BG$3,SUM($R$6:$R543),SUM(INDIRECT("$R$"&amp;OFFSET($AU$3,,MATCH(ROW(),$AU$3:$BF$3,)-2)+2&amp;":$R"&amp;ROW()-1))),IF($AR544="本年累计",SUMIF($AR$6:$AR544,"本月合计",$R$6:$R543),INDEX(凭证录入!L:L,$AR544))))</f>
        <v>0</v>
      </c>
      <c r="S544" s="459" t="str">
        <f t="shared" ca="1" si="120"/>
        <v/>
      </c>
      <c r="T544" s="460" t="str">
        <f t="shared" ca="1" si="120"/>
        <v/>
      </c>
      <c r="U544" s="460" t="str">
        <f t="shared" ca="1" si="120"/>
        <v/>
      </c>
      <c r="V544" s="460" t="str">
        <f t="shared" ca="1" si="120"/>
        <v/>
      </c>
      <c r="W544" s="460" t="str">
        <f t="shared" ca="1" si="120"/>
        <v/>
      </c>
      <c r="X544" s="460" t="str">
        <f t="shared" ca="1" si="120"/>
        <v/>
      </c>
      <c r="Y544" s="460" t="str">
        <f t="shared" ca="1" si="120"/>
        <v/>
      </c>
      <c r="Z544" s="460" t="str">
        <f t="shared" ca="1" si="120"/>
        <v/>
      </c>
      <c r="AA544" s="461" t="str">
        <f t="shared" ca="1" si="120"/>
        <v/>
      </c>
      <c r="AB544" s="474" t="str">
        <f t="shared" ca="1" si="120"/>
        <v/>
      </c>
      <c r="AC544" s="475" t="str">
        <f t="shared" ca="1" si="120"/>
        <v/>
      </c>
      <c r="AD544" s="477" t="str">
        <f t="shared" ca="1" si="116"/>
        <v/>
      </c>
      <c r="AE544" s="478">
        <f t="shared" ca="1" si="117"/>
        <v>0</v>
      </c>
      <c r="AF544" s="459" t="str">
        <f t="shared" ca="1" si="118"/>
        <v/>
      </c>
      <c r="AG544" s="460" t="str">
        <f t="shared" ca="1" si="118"/>
        <v/>
      </c>
      <c r="AH544" s="460" t="str">
        <f t="shared" ca="1" si="118"/>
        <v/>
      </c>
      <c r="AI544" s="460" t="str">
        <f t="shared" ca="1" si="118"/>
        <v/>
      </c>
      <c r="AJ544" s="460" t="str">
        <f t="shared" ca="1" si="118"/>
        <v/>
      </c>
      <c r="AK544" s="460" t="str">
        <f t="shared" ca="1" si="118"/>
        <v/>
      </c>
      <c r="AL544" s="460" t="str">
        <f t="shared" ca="1" si="118"/>
        <v/>
      </c>
      <c r="AM544" s="460" t="str">
        <f t="shared" ca="1" si="118"/>
        <v/>
      </c>
      <c r="AN544" s="461" t="str">
        <f t="shared" ca="1" si="118"/>
        <v/>
      </c>
      <c r="AO544" s="474" t="str">
        <f t="shared" ca="1" si="118"/>
        <v/>
      </c>
      <c r="AP544" s="475" t="str">
        <f t="shared" ca="1" si="118"/>
        <v/>
      </c>
      <c r="AQ544" s="479" t="str">
        <f t="array" aca="1" ref="AQ544" ca="1">IF(ROW()-5&lt;=COUNTIF(科目编号,$AR$2),SMALL(IF(科目编号=$AR$2,ROW(科目编号),""),ROW()-5),"")</f>
        <v/>
      </c>
      <c r="AR544" s="480" t="str">
        <f ca="1">IF($BG$2=0,"",IF(AR543="本月合计","本年累计",IF(OR(ROW()=$AU$3,ROW()=$AV$3,ROW()=$AW$3,ROW()=$AX$3,ROW()=$AY$3,ROW()=$AZ$3,ROW()=$BA$3,ROW()=$BB$3,ROW()=$BC$3,ROW()=$BD$3,ROW()=$BE$3,ROW()=$BF$3),"本月合计",IF(ROW()&lt;7,$AQ$6,OFFSET($AQ$6,COUNT($AR$6:AR543),0)))))</f>
        <v/>
      </c>
    </row>
    <row r="545" spans="1:44">
      <c r="A545" s="469" t="str">
        <f ca="1">IFERROR(INDEX(凭证录入!A:A,$AR545),"")</f>
        <v/>
      </c>
      <c r="B545" s="469" t="str">
        <f ca="1">IFERROR(INDEX(凭证录入!B:B,$AR545),"")</f>
        <v/>
      </c>
      <c r="C545" s="470" t="str">
        <f ca="1">IFERROR(INDEX(凭证录入!G:G,$AR545),"")</f>
        <v/>
      </c>
      <c r="D545" s="471" t="str">
        <f ca="1">IFERROR(INDEX(凭证录入!F:F,$AR545),"")</f>
        <v/>
      </c>
      <c r="E545" s="472" t="str">
        <f ca="1">IFERROR(INDEX(凭证录入!H:H,$AR545),$AR545)</f>
        <v/>
      </c>
      <c r="F545" s="473">
        <f ca="1">IF(OR($BG$2=0,$AR545=""),,IF($AR545="本月合计",IF(ROW()=$BG$3,SUM($F$6:$F544),SUM(INDIRECT("$F$"&amp;OFFSET($AU$3,,MATCH(ROW(),$AU$3:$BF$3,)-2)+2&amp;":$E"&amp;ROW()-1))),IF($AR545="本年累计",SUMIF($AR$6:$AR545,"本月合计",$F$6:$F544),INDEX(凭证录入!K:K,$AR545))))</f>
        <v>0</v>
      </c>
      <c r="G545" s="459" t="str">
        <f t="shared" ca="1" si="119"/>
        <v/>
      </c>
      <c r="H545" s="460" t="str">
        <f t="shared" ca="1" si="119"/>
        <v/>
      </c>
      <c r="I545" s="460" t="str">
        <f t="shared" ca="1" si="119"/>
        <v/>
      </c>
      <c r="J545" s="460" t="str">
        <f t="shared" ca="1" si="119"/>
        <v/>
      </c>
      <c r="K545" s="460" t="str">
        <f t="shared" ca="1" si="119"/>
        <v/>
      </c>
      <c r="L545" s="460" t="str">
        <f t="shared" ca="1" si="119"/>
        <v/>
      </c>
      <c r="M545" s="460" t="str">
        <f t="shared" ca="1" si="119"/>
        <v/>
      </c>
      <c r="N545" s="460" t="str">
        <f t="shared" ca="1" si="119"/>
        <v/>
      </c>
      <c r="O545" s="461" t="str">
        <f t="shared" ca="1" si="119"/>
        <v/>
      </c>
      <c r="P545" s="474" t="str">
        <f t="shared" ca="1" si="119"/>
        <v/>
      </c>
      <c r="Q545" s="475" t="str">
        <f t="shared" ca="1" si="119"/>
        <v/>
      </c>
      <c r="R545" s="476">
        <f ca="1">IF(OR($BG$2=0,$AR545=""),,IF($AR545="本月合计",IF(ROW()=$BG$3,SUM($R$6:$R544),SUM(INDIRECT("$R$"&amp;OFFSET($AU$3,,MATCH(ROW(),$AU$3:$BF$3,)-2)+2&amp;":$R"&amp;ROW()-1))),IF($AR545="本年累计",SUMIF($AR$6:$AR545,"本月合计",$R$6:$R544),INDEX(凭证录入!L:L,$AR545))))</f>
        <v>0</v>
      </c>
      <c r="S545" s="459" t="str">
        <f t="shared" ca="1" si="120"/>
        <v/>
      </c>
      <c r="T545" s="460" t="str">
        <f t="shared" ca="1" si="120"/>
        <v/>
      </c>
      <c r="U545" s="460" t="str">
        <f t="shared" ca="1" si="120"/>
        <v/>
      </c>
      <c r="V545" s="460" t="str">
        <f t="shared" ca="1" si="120"/>
        <v/>
      </c>
      <c r="W545" s="460" t="str">
        <f t="shared" ca="1" si="120"/>
        <v/>
      </c>
      <c r="X545" s="460" t="str">
        <f t="shared" ca="1" si="120"/>
        <v/>
      </c>
      <c r="Y545" s="460" t="str">
        <f t="shared" ca="1" si="120"/>
        <v/>
      </c>
      <c r="Z545" s="460" t="str">
        <f t="shared" ca="1" si="120"/>
        <v/>
      </c>
      <c r="AA545" s="461" t="str">
        <f t="shared" ca="1" si="120"/>
        <v/>
      </c>
      <c r="AB545" s="474" t="str">
        <f t="shared" ca="1" si="120"/>
        <v/>
      </c>
      <c r="AC545" s="475" t="str">
        <f t="shared" ca="1" si="120"/>
        <v/>
      </c>
      <c r="AD545" s="477" t="str">
        <f t="shared" ca="1" si="116"/>
        <v/>
      </c>
      <c r="AE545" s="478">
        <f t="shared" ca="1" si="117"/>
        <v>0</v>
      </c>
      <c r="AF545" s="459" t="str">
        <f t="shared" ca="1" si="118"/>
        <v/>
      </c>
      <c r="AG545" s="460" t="str">
        <f t="shared" ca="1" si="118"/>
        <v/>
      </c>
      <c r="AH545" s="460" t="str">
        <f t="shared" ca="1" si="118"/>
        <v/>
      </c>
      <c r="AI545" s="460" t="str">
        <f t="shared" ca="1" si="118"/>
        <v/>
      </c>
      <c r="AJ545" s="460" t="str">
        <f t="shared" ca="1" si="118"/>
        <v/>
      </c>
      <c r="AK545" s="460" t="str">
        <f t="shared" ca="1" si="118"/>
        <v/>
      </c>
      <c r="AL545" s="460" t="str">
        <f t="shared" ca="1" si="118"/>
        <v/>
      </c>
      <c r="AM545" s="460" t="str">
        <f t="shared" ca="1" si="118"/>
        <v/>
      </c>
      <c r="AN545" s="461" t="str">
        <f t="shared" ca="1" si="118"/>
        <v/>
      </c>
      <c r="AO545" s="474" t="str">
        <f t="shared" ca="1" si="118"/>
        <v/>
      </c>
      <c r="AP545" s="475" t="str">
        <f t="shared" ca="1" si="118"/>
        <v/>
      </c>
      <c r="AQ545" s="479" t="str">
        <f t="array" aca="1" ref="AQ545" ca="1">IF(ROW()-5&lt;=COUNTIF(科目编号,$AR$2),SMALL(IF(科目编号=$AR$2,ROW(科目编号),""),ROW()-5),"")</f>
        <v/>
      </c>
      <c r="AR545" s="480" t="str">
        <f ca="1">IF($BG$2=0,"",IF(AR544="本月合计","本年累计",IF(OR(ROW()=$AU$3,ROW()=$AV$3,ROW()=$AW$3,ROW()=$AX$3,ROW()=$AY$3,ROW()=$AZ$3,ROW()=$BA$3,ROW()=$BB$3,ROW()=$BC$3,ROW()=$BD$3,ROW()=$BE$3,ROW()=$BF$3),"本月合计",IF(ROW()&lt;7,$AQ$6,OFFSET($AQ$6,COUNT($AR$6:AR544),0)))))</f>
        <v/>
      </c>
    </row>
    <row r="546" spans="1:44">
      <c r="A546" s="469" t="str">
        <f ca="1">IFERROR(INDEX(凭证录入!A:A,$AR546),"")</f>
        <v/>
      </c>
      <c r="B546" s="469" t="str">
        <f ca="1">IFERROR(INDEX(凭证录入!B:B,$AR546),"")</f>
        <v/>
      </c>
      <c r="C546" s="470" t="str">
        <f ca="1">IFERROR(INDEX(凭证录入!G:G,$AR546),"")</f>
        <v/>
      </c>
      <c r="D546" s="471" t="str">
        <f ca="1">IFERROR(INDEX(凭证录入!F:F,$AR546),"")</f>
        <v/>
      </c>
      <c r="E546" s="472" t="str">
        <f ca="1">IFERROR(INDEX(凭证录入!H:H,$AR546),$AR546)</f>
        <v/>
      </c>
      <c r="F546" s="473">
        <f ca="1">IF(OR($BG$2=0,$AR546=""),,IF($AR546="本月合计",IF(ROW()=$BG$3,SUM($F$6:$F545),SUM(INDIRECT("$F$"&amp;OFFSET($AU$3,,MATCH(ROW(),$AU$3:$BF$3,)-2)+2&amp;":$E"&amp;ROW()-1))),IF($AR546="本年累计",SUMIF($AR$6:$AR546,"本月合计",$F$6:$F545),INDEX(凭证录入!K:K,$AR546))))</f>
        <v>0</v>
      </c>
      <c r="G546" s="459" t="str">
        <f t="shared" ca="1" si="119"/>
        <v/>
      </c>
      <c r="H546" s="460" t="str">
        <f t="shared" ca="1" si="119"/>
        <v/>
      </c>
      <c r="I546" s="460" t="str">
        <f t="shared" ca="1" si="119"/>
        <v/>
      </c>
      <c r="J546" s="460" t="str">
        <f t="shared" ca="1" si="119"/>
        <v/>
      </c>
      <c r="K546" s="460" t="str">
        <f t="shared" ca="1" si="119"/>
        <v/>
      </c>
      <c r="L546" s="460" t="str">
        <f t="shared" ca="1" si="119"/>
        <v/>
      </c>
      <c r="M546" s="460" t="str">
        <f t="shared" ca="1" si="119"/>
        <v/>
      </c>
      <c r="N546" s="460" t="str">
        <f t="shared" ca="1" si="119"/>
        <v/>
      </c>
      <c r="O546" s="461" t="str">
        <f t="shared" ca="1" si="119"/>
        <v/>
      </c>
      <c r="P546" s="474" t="str">
        <f t="shared" ca="1" si="119"/>
        <v/>
      </c>
      <c r="Q546" s="475" t="str">
        <f t="shared" ca="1" si="119"/>
        <v/>
      </c>
      <c r="R546" s="476">
        <f ca="1">IF(OR($BG$2=0,$AR546=""),,IF($AR546="本月合计",IF(ROW()=$BG$3,SUM($R$6:$R545),SUM(INDIRECT("$R$"&amp;OFFSET($AU$3,,MATCH(ROW(),$AU$3:$BF$3,)-2)+2&amp;":$R"&amp;ROW()-1))),IF($AR546="本年累计",SUMIF($AR$6:$AR546,"本月合计",$R$6:$R545),INDEX(凭证录入!L:L,$AR546))))</f>
        <v>0</v>
      </c>
      <c r="S546" s="459" t="str">
        <f t="shared" ca="1" si="120"/>
        <v/>
      </c>
      <c r="T546" s="460" t="str">
        <f t="shared" ca="1" si="120"/>
        <v/>
      </c>
      <c r="U546" s="460" t="str">
        <f t="shared" ca="1" si="120"/>
        <v/>
      </c>
      <c r="V546" s="460" t="str">
        <f t="shared" ca="1" si="120"/>
        <v/>
      </c>
      <c r="W546" s="460" t="str">
        <f t="shared" ca="1" si="120"/>
        <v/>
      </c>
      <c r="X546" s="460" t="str">
        <f t="shared" ca="1" si="120"/>
        <v/>
      </c>
      <c r="Y546" s="460" t="str">
        <f t="shared" ca="1" si="120"/>
        <v/>
      </c>
      <c r="Z546" s="460" t="str">
        <f t="shared" ca="1" si="120"/>
        <v/>
      </c>
      <c r="AA546" s="461" t="str">
        <f t="shared" ca="1" si="120"/>
        <v/>
      </c>
      <c r="AB546" s="474" t="str">
        <f t="shared" ca="1" si="120"/>
        <v/>
      </c>
      <c r="AC546" s="475" t="str">
        <f t="shared" ca="1" si="120"/>
        <v/>
      </c>
      <c r="AD546" s="477" t="str">
        <f t="shared" ca="1" si="116"/>
        <v/>
      </c>
      <c r="AE546" s="478">
        <f t="shared" ca="1" si="117"/>
        <v>0</v>
      </c>
      <c r="AF546" s="459" t="str">
        <f t="shared" ca="1" si="118"/>
        <v/>
      </c>
      <c r="AG546" s="460" t="str">
        <f t="shared" ca="1" si="118"/>
        <v/>
      </c>
      <c r="AH546" s="460" t="str">
        <f t="shared" ca="1" si="118"/>
        <v/>
      </c>
      <c r="AI546" s="460" t="str">
        <f t="shared" ca="1" si="118"/>
        <v/>
      </c>
      <c r="AJ546" s="460" t="str">
        <f t="shared" ca="1" si="118"/>
        <v/>
      </c>
      <c r="AK546" s="460" t="str">
        <f t="shared" ca="1" si="118"/>
        <v/>
      </c>
      <c r="AL546" s="460" t="str">
        <f t="shared" ca="1" si="118"/>
        <v/>
      </c>
      <c r="AM546" s="460" t="str">
        <f t="shared" ca="1" si="118"/>
        <v/>
      </c>
      <c r="AN546" s="461" t="str">
        <f t="shared" ca="1" si="118"/>
        <v/>
      </c>
      <c r="AO546" s="474" t="str">
        <f t="shared" ca="1" si="118"/>
        <v/>
      </c>
      <c r="AP546" s="475" t="str">
        <f t="shared" ca="1" si="118"/>
        <v/>
      </c>
      <c r="AQ546" s="479" t="str">
        <f t="array" aca="1" ref="AQ546" ca="1">IF(ROW()-5&lt;=COUNTIF(科目编号,$AR$2),SMALL(IF(科目编号=$AR$2,ROW(科目编号),""),ROW()-5),"")</f>
        <v/>
      </c>
      <c r="AR546" s="480" t="str">
        <f ca="1">IF($BG$2=0,"",IF(AR545="本月合计","本年累计",IF(OR(ROW()=$AU$3,ROW()=$AV$3,ROW()=$AW$3,ROW()=$AX$3,ROW()=$AY$3,ROW()=$AZ$3,ROW()=$BA$3,ROW()=$BB$3,ROW()=$BC$3,ROW()=$BD$3,ROW()=$BE$3,ROW()=$BF$3),"本月合计",IF(ROW()&lt;7,$AQ$6,OFFSET($AQ$6,COUNT($AR$6:AR545),0)))))</f>
        <v/>
      </c>
    </row>
    <row r="547" spans="1:44">
      <c r="A547" s="469" t="str">
        <f ca="1">IFERROR(INDEX(凭证录入!A:A,$AR547),"")</f>
        <v/>
      </c>
      <c r="B547" s="469" t="str">
        <f ca="1">IFERROR(INDEX(凭证录入!B:B,$AR547),"")</f>
        <v/>
      </c>
      <c r="C547" s="470" t="str">
        <f ca="1">IFERROR(INDEX(凭证录入!G:G,$AR547),"")</f>
        <v/>
      </c>
      <c r="D547" s="471" t="str">
        <f ca="1">IFERROR(INDEX(凭证录入!F:F,$AR547),"")</f>
        <v/>
      </c>
      <c r="E547" s="472" t="str">
        <f ca="1">IFERROR(INDEX(凭证录入!H:H,$AR547),$AR547)</f>
        <v/>
      </c>
      <c r="F547" s="473">
        <f ca="1">IF(OR($BG$2=0,$AR547=""),,IF($AR547="本月合计",IF(ROW()=$BG$3,SUM($F$6:$F546),SUM(INDIRECT("$F$"&amp;OFFSET($AU$3,,MATCH(ROW(),$AU$3:$BF$3,)-2)+2&amp;":$E"&amp;ROW()-1))),IF($AR547="本年累计",SUMIF($AR$6:$AR547,"本月合计",$F$6:$F546),INDEX(凭证录入!K:K,$AR547))))</f>
        <v>0</v>
      </c>
      <c r="G547" s="459" t="str">
        <f t="shared" ca="1" si="119"/>
        <v/>
      </c>
      <c r="H547" s="460" t="str">
        <f t="shared" ca="1" si="119"/>
        <v/>
      </c>
      <c r="I547" s="460" t="str">
        <f t="shared" ca="1" si="119"/>
        <v/>
      </c>
      <c r="J547" s="460" t="str">
        <f t="shared" ca="1" si="119"/>
        <v/>
      </c>
      <c r="K547" s="460" t="str">
        <f t="shared" ca="1" si="119"/>
        <v/>
      </c>
      <c r="L547" s="460" t="str">
        <f t="shared" ca="1" si="119"/>
        <v/>
      </c>
      <c r="M547" s="460" t="str">
        <f t="shared" ca="1" si="119"/>
        <v/>
      </c>
      <c r="N547" s="460" t="str">
        <f t="shared" ca="1" si="119"/>
        <v/>
      </c>
      <c r="O547" s="461" t="str">
        <f t="shared" ca="1" si="119"/>
        <v/>
      </c>
      <c r="P547" s="474" t="str">
        <f t="shared" ca="1" si="119"/>
        <v/>
      </c>
      <c r="Q547" s="475" t="str">
        <f t="shared" ca="1" si="119"/>
        <v/>
      </c>
      <c r="R547" s="476">
        <f ca="1">IF(OR($BG$2=0,$AR547=""),,IF($AR547="本月合计",IF(ROW()=$BG$3,SUM($R$6:$R546),SUM(INDIRECT("$R$"&amp;OFFSET($AU$3,,MATCH(ROW(),$AU$3:$BF$3,)-2)+2&amp;":$R"&amp;ROW()-1))),IF($AR547="本年累计",SUMIF($AR$6:$AR547,"本月合计",$R$6:$R546),INDEX(凭证录入!L:L,$AR547))))</f>
        <v>0</v>
      </c>
      <c r="S547" s="459" t="str">
        <f t="shared" ca="1" si="120"/>
        <v/>
      </c>
      <c r="T547" s="460" t="str">
        <f t="shared" ca="1" si="120"/>
        <v/>
      </c>
      <c r="U547" s="460" t="str">
        <f t="shared" ca="1" si="120"/>
        <v/>
      </c>
      <c r="V547" s="460" t="str">
        <f t="shared" ca="1" si="120"/>
        <v/>
      </c>
      <c r="W547" s="460" t="str">
        <f t="shared" ca="1" si="120"/>
        <v/>
      </c>
      <c r="X547" s="460" t="str">
        <f t="shared" ca="1" si="120"/>
        <v/>
      </c>
      <c r="Y547" s="460" t="str">
        <f t="shared" ca="1" si="120"/>
        <v/>
      </c>
      <c r="Z547" s="460" t="str">
        <f t="shared" ca="1" si="120"/>
        <v/>
      </c>
      <c r="AA547" s="461" t="str">
        <f t="shared" ca="1" si="120"/>
        <v/>
      </c>
      <c r="AB547" s="474" t="str">
        <f t="shared" ca="1" si="120"/>
        <v/>
      </c>
      <c r="AC547" s="475" t="str">
        <f t="shared" ca="1" si="120"/>
        <v/>
      </c>
      <c r="AD547" s="477" t="str">
        <f t="shared" ca="1" si="116"/>
        <v/>
      </c>
      <c r="AE547" s="478">
        <f t="shared" ca="1" si="117"/>
        <v>0</v>
      </c>
      <c r="AF547" s="459" t="str">
        <f t="shared" ca="1" si="118"/>
        <v/>
      </c>
      <c r="AG547" s="460" t="str">
        <f t="shared" ca="1" si="118"/>
        <v/>
      </c>
      <c r="AH547" s="460" t="str">
        <f t="shared" ca="1" si="118"/>
        <v/>
      </c>
      <c r="AI547" s="460" t="str">
        <f t="shared" ca="1" si="118"/>
        <v/>
      </c>
      <c r="AJ547" s="460" t="str">
        <f t="shared" ca="1" si="118"/>
        <v/>
      </c>
      <c r="AK547" s="460" t="str">
        <f t="shared" ca="1" si="118"/>
        <v/>
      </c>
      <c r="AL547" s="460" t="str">
        <f t="shared" ca="1" si="118"/>
        <v/>
      </c>
      <c r="AM547" s="460" t="str">
        <f t="shared" ca="1" si="118"/>
        <v/>
      </c>
      <c r="AN547" s="461" t="str">
        <f t="shared" ca="1" si="118"/>
        <v/>
      </c>
      <c r="AO547" s="474" t="str">
        <f t="shared" ca="1" si="118"/>
        <v/>
      </c>
      <c r="AP547" s="475" t="str">
        <f t="shared" ca="1" si="118"/>
        <v/>
      </c>
      <c r="AQ547" s="479" t="str">
        <f t="array" aca="1" ref="AQ547" ca="1">IF(ROW()-5&lt;=COUNTIF(科目编号,$AR$2),SMALL(IF(科目编号=$AR$2,ROW(科目编号),""),ROW()-5),"")</f>
        <v/>
      </c>
      <c r="AR547" s="480" t="str">
        <f ca="1">IF($BG$2=0,"",IF(AR546="本月合计","本年累计",IF(OR(ROW()=$AU$3,ROW()=$AV$3,ROW()=$AW$3,ROW()=$AX$3,ROW()=$AY$3,ROW()=$AZ$3,ROW()=$BA$3,ROW()=$BB$3,ROW()=$BC$3,ROW()=$BD$3,ROW()=$BE$3,ROW()=$BF$3),"本月合计",IF(ROW()&lt;7,$AQ$6,OFFSET($AQ$6,COUNT($AR$6:AR546),0)))))</f>
        <v/>
      </c>
    </row>
    <row r="548" spans="1:44">
      <c r="A548" s="469" t="str">
        <f ca="1">IFERROR(INDEX(凭证录入!A:A,$AR548),"")</f>
        <v/>
      </c>
      <c r="B548" s="469" t="str">
        <f ca="1">IFERROR(INDEX(凭证录入!B:B,$AR548),"")</f>
        <v/>
      </c>
      <c r="C548" s="470" t="str">
        <f ca="1">IFERROR(INDEX(凭证录入!G:G,$AR548),"")</f>
        <v/>
      </c>
      <c r="D548" s="471" t="str">
        <f ca="1">IFERROR(INDEX(凭证录入!F:F,$AR548),"")</f>
        <v/>
      </c>
      <c r="E548" s="472" t="str">
        <f ca="1">IFERROR(INDEX(凭证录入!H:H,$AR548),$AR548)</f>
        <v/>
      </c>
      <c r="F548" s="473">
        <f ca="1">IF(OR($BG$2=0,$AR548=""),,IF($AR548="本月合计",IF(ROW()=$BG$3,SUM($F$6:$F547),SUM(INDIRECT("$F$"&amp;OFFSET($AU$3,,MATCH(ROW(),$AU$3:$BF$3,)-2)+2&amp;":$E"&amp;ROW()-1))),IF($AR548="本年累计",SUMIF($AR$6:$AR548,"本月合计",$F$6:$F547),INDEX(凭证录入!K:K,$AR548))))</f>
        <v>0</v>
      </c>
      <c r="G548" s="459" t="str">
        <f t="shared" ca="1" si="119"/>
        <v/>
      </c>
      <c r="H548" s="460" t="str">
        <f t="shared" ca="1" si="119"/>
        <v/>
      </c>
      <c r="I548" s="460" t="str">
        <f t="shared" ca="1" si="119"/>
        <v/>
      </c>
      <c r="J548" s="460" t="str">
        <f t="shared" ca="1" si="119"/>
        <v/>
      </c>
      <c r="K548" s="460" t="str">
        <f t="shared" ca="1" si="119"/>
        <v/>
      </c>
      <c r="L548" s="460" t="str">
        <f t="shared" ca="1" si="119"/>
        <v/>
      </c>
      <c r="M548" s="460" t="str">
        <f t="shared" ca="1" si="119"/>
        <v/>
      </c>
      <c r="N548" s="460" t="str">
        <f t="shared" ca="1" si="119"/>
        <v/>
      </c>
      <c r="O548" s="461" t="str">
        <f t="shared" ca="1" si="119"/>
        <v/>
      </c>
      <c r="P548" s="474" t="str">
        <f t="shared" ca="1" si="119"/>
        <v/>
      </c>
      <c r="Q548" s="475" t="str">
        <f t="shared" ca="1" si="119"/>
        <v/>
      </c>
      <c r="R548" s="476">
        <f ca="1">IF(OR($BG$2=0,$AR548=""),,IF($AR548="本月合计",IF(ROW()=$BG$3,SUM($R$6:$R547),SUM(INDIRECT("$R$"&amp;OFFSET($AU$3,,MATCH(ROW(),$AU$3:$BF$3,)-2)+2&amp;":$R"&amp;ROW()-1))),IF($AR548="本年累计",SUMIF($AR$6:$AR548,"本月合计",$R$6:$R547),INDEX(凭证录入!L:L,$AR548))))</f>
        <v>0</v>
      </c>
      <c r="S548" s="459" t="str">
        <f t="shared" ca="1" si="120"/>
        <v/>
      </c>
      <c r="T548" s="460" t="str">
        <f t="shared" ca="1" si="120"/>
        <v/>
      </c>
      <c r="U548" s="460" t="str">
        <f t="shared" ca="1" si="120"/>
        <v/>
      </c>
      <c r="V548" s="460" t="str">
        <f t="shared" ca="1" si="120"/>
        <v/>
      </c>
      <c r="W548" s="460" t="str">
        <f t="shared" ca="1" si="120"/>
        <v/>
      </c>
      <c r="X548" s="460" t="str">
        <f t="shared" ca="1" si="120"/>
        <v/>
      </c>
      <c r="Y548" s="460" t="str">
        <f t="shared" ca="1" si="120"/>
        <v/>
      </c>
      <c r="Z548" s="460" t="str">
        <f t="shared" ca="1" si="120"/>
        <v/>
      </c>
      <c r="AA548" s="461" t="str">
        <f t="shared" ca="1" si="120"/>
        <v/>
      </c>
      <c r="AB548" s="474" t="str">
        <f t="shared" ca="1" si="120"/>
        <v/>
      </c>
      <c r="AC548" s="475" t="str">
        <f t="shared" ca="1" si="120"/>
        <v/>
      </c>
      <c r="AD548" s="477" t="str">
        <f t="shared" ca="1" si="116"/>
        <v/>
      </c>
      <c r="AE548" s="478">
        <f t="shared" ca="1" si="117"/>
        <v>0</v>
      </c>
      <c r="AF548" s="459" t="str">
        <f t="shared" ca="1" si="118"/>
        <v/>
      </c>
      <c r="AG548" s="460" t="str">
        <f t="shared" ca="1" si="118"/>
        <v/>
      </c>
      <c r="AH548" s="460" t="str">
        <f t="shared" ca="1" si="118"/>
        <v/>
      </c>
      <c r="AI548" s="460" t="str">
        <f t="shared" ca="1" si="118"/>
        <v/>
      </c>
      <c r="AJ548" s="460" t="str">
        <f t="shared" ca="1" si="118"/>
        <v/>
      </c>
      <c r="AK548" s="460" t="str">
        <f t="shared" ca="1" si="118"/>
        <v/>
      </c>
      <c r="AL548" s="460" t="str">
        <f t="shared" ca="1" si="118"/>
        <v/>
      </c>
      <c r="AM548" s="460" t="str">
        <f t="shared" ca="1" si="118"/>
        <v/>
      </c>
      <c r="AN548" s="461" t="str">
        <f t="shared" ca="1" si="118"/>
        <v/>
      </c>
      <c r="AO548" s="474" t="str">
        <f t="shared" ca="1" si="118"/>
        <v/>
      </c>
      <c r="AP548" s="475" t="str">
        <f t="shared" ca="1" si="118"/>
        <v/>
      </c>
      <c r="AQ548" s="479" t="str">
        <f t="array" aca="1" ref="AQ548" ca="1">IF(ROW()-5&lt;=COUNTIF(科目编号,$AR$2),SMALL(IF(科目编号=$AR$2,ROW(科目编号),""),ROW()-5),"")</f>
        <v/>
      </c>
      <c r="AR548" s="480" t="str">
        <f ca="1">IF($BG$2=0,"",IF(AR547="本月合计","本年累计",IF(OR(ROW()=$AU$3,ROW()=$AV$3,ROW()=$AW$3,ROW()=$AX$3,ROW()=$AY$3,ROW()=$AZ$3,ROW()=$BA$3,ROW()=$BB$3,ROW()=$BC$3,ROW()=$BD$3,ROW()=$BE$3,ROW()=$BF$3),"本月合计",IF(ROW()&lt;7,$AQ$6,OFFSET($AQ$6,COUNT($AR$6:AR547),0)))))</f>
        <v/>
      </c>
    </row>
    <row r="549" spans="1:44">
      <c r="A549" s="469" t="str">
        <f ca="1">IFERROR(INDEX(凭证录入!A:A,$AR549),"")</f>
        <v/>
      </c>
      <c r="B549" s="469" t="str">
        <f ca="1">IFERROR(INDEX(凭证录入!B:B,$AR549),"")</f>
        <v/>
      </c>
      <c r="C549" s="470" t="str">
        <f ca="1">IFERROR(INDEX(凭证录入!G:G,$AR549),"")</f>
        <v/>
      </c>
      <c r="D549" s="471" t="str">
        <f ca="1">IFERROR(INDEX(凭证录入!F:F,$AR549),"")</f>
        <v/>
      </c>
      <c r="E549" s="472" t="str">
        <f ca="1">IFERROR(INDEX(凭证录入!H:H,$AR549),$AR549)</f>
        <v/>
      </c>
      <c r="F549" s="473">
        <f ca="1">IF(OR($BG$2=0,$AR549=""),,IF($AR549="本月合计",IF(ROW()=$BG$3,SUM($F$6:$F548),SUM(INDIRECT("$F$"&amp;OFFSET($AU$3,,MATCH(ROW(),$AU$3:$BF$3,)-2)+2&amp;":$E"&amp;ROW()-1))),IF($AR549="本年累计",SUMIF($AR$6:$AR549,"本月合计",$F$6:$F548),INDEX(凭证录入!K:K,$AR549))))</f>
        <v>0</v>
      </c>
      <c r="G549" s="459" t="str">
        <f t="shared" ca="1" si="119"/>
        <v/>
      </c>
      <c r="H549" s="460" t="str">
        <f t="shared" ca="1" si="119"/>
        <v/>
      </c>
      <c r="I549" s="460" t="str">
        <f t="shared" ca="1" si="119"/>
        <v/>
      </c>
      <c r="J549" s="460" t="str">
        <f t="shared" ca="1" si="119"/>
        <v/>
      </c>
      <c r="K549" s="460" t="str">
        <f t="shared" ca="1" si="119"/>
        <v/>
      </c>
      <c r="L549" s="460" t="str">
        <f t="shared" ca="1" si="119"/>
        <v/>
      </c>
      <c r="M549" s="460" t="str">
        <f t="shared" ca="1" si="119"/>
        <v/>
      </c>
      <c r="N549" s="460" t="str">
        <f t="shared" ca="1" si="119"/>
        <v/>
      </c>
      <c r="O549" s="461" t="str">
        <f t="shared" ca="1" si="119"/>
        <v/>
      </c>
      <c r="P549" s="474" t="str">
        <f t="shared" ca="1" si="119"/>
        <v/>
      </c>
      <c r="Q549" s="475" t="str">
        <f t="shared" ca="1" si="119"/>
        <v/>
      </c>
      <c r="R549" s="476">
        <f ca="1">IF(OR($BG$2=0,$AR549=""),,IF($AR549="本月合计",IF(ROW()=$BG$3,SUM($R$6:$R548),SUM(INDIRECT("$R$"&amp;OFFSET($AU$3,,MATCH(ROW(),$AU$3:$BF$3,)-2)+2&amp;":$R"&amp;ROW()-1))),IF($AR549="本年累计",SUMIF($AR$6:$AR549,"本月合计",$R$6:$R548),INDEX(凭证录入!L:L,$AR549))))</f>
        <v>0</v>
      </c>
      <c r="S549" s="459" t="str">
        <f t="shared" ca="1" si="120"/>
        <v/>
      </c>
      <c r="T549" s="460" t="str">
        <f t="shared" ca="1" si="120"/>
        <v/>
      </c>
      <c r="U549" s="460" t="str">
        <f t="shared" ca="1" si="120"/>
        <v/>
      </c>
      <c r="V549" s="460" t="str">
        <f t="shared" ca="1" si="120"/>
        <v/>
      </c>
      <c r="W549" s="460" t="str">
        <f t="shared" ca="1" si="120"/>
        <v/>
      </c>
      <c r="X549" s="460" t="str">
        <f t="shared" ca="1" si="120"/>
        <v/>
      </c>
      <c r="Y549" s="460" t="str">
        <f t="shared" ca="1" si="120"/>
        <v/>
      </c>
      <c r="Z549" s="460" t="str">
        <f t="shared" ca="1" si="120"/>
        <v/>
      </c>
      <c r="AA549" s="461" t="str">
        <f t="shared" ca="1" si="120"/>
        <v/>
      </c>
      <c r="AB549" s="474" t="str">
        <f t="shared" ca="1" si="120"/>
        <v/>
      </c>
      <c r="AC549" s="475" t="str">
        <f t="shared" ca="1" si="120"/>
        <v/>
      </c>
      <c r="AD549" s="477" t="str">
        <f t="shared" ca="1" si="116"/>
        <v/>
      </c>
      <c r="AE549" s="478">
        <f t="shared" ca="1" si="117"/>
        <v>0</v>
      </c>
      <c r="AF549" s="459" t="str">
        <f t="shared" ref="AF549:AP564" ca="1" si="121">LEFT(RIGHT(TEXT($AE549/1%," ￥0; ￥-0;"),43-COLUMN()))</f>
        <v/>
      </c>
      <c r="AG549" s="460" t="str">
        <f t="shared" ca="1" si="121"/>
        <v/>
      </c>
      <c r="AH549" s="460" t="str">
        <f t="shared" ca="1" si="121"/>
        <v/>
      </c>
      <c r="AI549" s="460" t="str">
        <f t="shared" ca="1" si="121"/>
        <v/>
      </c>
      <c r="AJ549" s="460" t="str">
        <f t="shared" ca="1" si="121"/>
        <v/>
      </c>
      <c r="AK549" s="460" t="str">
        <f t="shared" ca="1" si="121"/>
        <v/>
      </c>
      <c r="AL549" s="460" t="str">
        <f t="shared" ca="1" si="121"/>
        <v/>
      </c>
      <c r="AM549" s="460" t="str">
        <f t="shared" ca="1" si="121"/>
        <v/>
      </c>
      <c r="AN549" s="461" t="str">
        <f t="shared" ca="1" si="121"/>
        <v/>
      </c>
      <c r="AO549" s="474" t="str">
        <f t="shared" ca="1" si="121"/>
        <v/>
      </c>
      <c r="AP549" s="475" t="str">
        <f t="shared" ca="1" si="121"/>
        <v/>
      </c>
      <c r="AQ549" s="479" t="str">
        <f t="array" aca="1" ref="AQ549" ca="1">IF(ROW()-5&lt;=COUNTIF(科目编号,$AR$2),SMALL(IF(科目编号=$AR$2,ROW(科目编号),""),ROW()-5),"")</f>
        <v/>
      </c>
      <c r="AR549" s="480" t="str">
        <f ca="1">IF($BG$2=0,"",IF(AR548="本月合计","本年累计",IF(OR(ROW()=$AU$3,ROW()=$AV$3,ROW()=$AW$3,ROW()=$AX$3,ROW()=$AY$3,ROW()=$AZ$3,ROW()=$BA$3,ROW()=$BB$3,ROW()=$BC$3,ROW()=$BD$3,ROW()=$BE$3,ROW()=$BF$3),"本月合计",IF(ROW()&lt;7,$AQ$6,OFFSET($AQ$6,COUNT($AR$6:AR548),0)))))</f>
        <v/>
      </c>
    </row>
    <row r="550" spans="1:44">
      <c r="A550" s="469" t="str">
        <f ca="1">IFERROR(INDEX(凭证录入!A:A,$AR550),"")</f>
        <v/>
      </c>
      <c r="B550" s="469" t="str">
        <f ca="1">IFERROR(INDEX(凭证录入!B:B,$AR550),"")</f>
        <v/>
      </c>
      <c r="C550" s="470" t="str">
        <f ca="1">IFERROR(INDEX(凭证录入!G:G,$AR550),"")</f>
        <v/>
      </c>
      <c r="D550" s="471" t="str">
        <f ca="1">IFERROR(INDEX(凭证录入!F:F,$AR550),"")</f>
        <v/>
      </c>
      <c r="E550" s="472" t="str">
        <f ca="1">IFERROR(INDEX(凭证录入!H:H,$AR550),$AR550)</f>
        <v/>
      </c>
      <c r="F550" s="473">
        <f ca="1">IF(OR($BG$2=0,$AR550=""),,IF($AR550="本月合计",IF(ROW()=$BG$3,SUM($F$6:$F549),SUM(INDIRECT("$F$"&amp;OFFSET($AU$3,,MATCH(ROW(),$AU$3:$BF$3,)-2)+2&amp;":$E"&amp;ROW()-1))),IF($AR550="本年累计",SUMIF($AR$6:$AR550,"本月合计",$F$6:$F549),INDEX(凭证录入!K:K,$AR550))))</f>
        <v>0</v>
      </c>
      <c r="G550" s="459" t="str">
        <f t="shared" ref="G550:Q565" ca="1" si="122">LEFT(RIGHT(TEXT($F550/1%," ￥0; ￥-0;"),18-COLUMN()))</f>
        <v/>
      </c>
      <c r="H550" s="460" t="str">
        <f t="shared" ca="1" si="122"/>
        <v/>
      </c>
      <c r="I550" s="460" t="str">
        <f t="shared" ca="1" si="122"/>
        <v/>
      </c>
      <c r="J550" s="460" t="str">
        <f t="shared" ca="1" si="122"/>
        <v/>
      </c>
      <c r="K550" s="460" t="str">
        <f t="shared" ca="1" si="122"/>
        <v/>
      </c>
      <c r="L550" s="460" t="str">
        <f t="shared" ca="1" si="122"/>
        <v/>
      </c>
      <c r="M550" s="460" t="str">
        <f t="shared" ca="1" si="122"/>
        <v/>
      </c>
      <c r="N550" s="460" t="str">
        <f t="shared" ca="1" si="122"/>
        <v/>
      </c>
      <c r="O550" s="461" t="str">
        <f t="shared" ca="1" si="122"/>
        <v/>
      </c>
      <c r="P550" s="474" t="str">
        <f t="shared" ca="1" si="122"/>
        <v/>
      </c>
      <c r="Q550" s="475" t="str">
        <f t="shared" ca="1" si="122"/>
        <v/>
      </c>
      <c r="R550" s="476">
        <f ca="1">IF(OR($BG$2=0,$AR550=""),,IF($AR550="本月合计",IF(ROW()=$BG$3,SUM($R$6:$R549),SUM(INDIRECT("$R$"&amp;OFFSET($AU$3,,MATCH(ROW(),$AU$3:$BF$3,)-2)+2&amp;":$R"&amp;ROW()-1))),IF($AR550="本年累计",SUMIF($AR$6:$AR550,"本月合计",$R$6:$R549),INDEX(凭证录入!L:L,$AR550))))</f>
        <v>0</v>
      </c>
      <c r="S550" s="459" t="str">
        <f t="shared" ref="S550:AC565" ca="1" si="123">LEFT(RIGHT(TEXT($R550/1%," ￥0; ￥-0;"),30-COLUMN()))</f>
        <v/>
      </c>
      <c r="T550" s="460" t="str">
        <f t="shared" ca="1" si="123"/>
        <v/>
      </c>
      <c r="U550" s="460" t="str">
        <f t="shared" ca="1" si="123"/>
        <v/>
      </c>
      <c r="V550" s="460" t="str">
        <f t="shared" ca="1" si="123"/>
        <v/>
      </c>
      <c r="W550" s="460" t="str">
        <f t="shared" ca="1" si="123"/>
        <v/>
      </c>
      <c r="X550" s="460" t="str">
        <f t="shared" ca="1" si="123"/>
        <v/>
      </c>
      <c r="Y550" s="460" t="str">
        <f t="shared" ca="1" si="123"/>
        <v/>
      </c>
      <c r="Z550" s="460" t="str">
        <f t="shared" ca="1" si="123"/>
        <v/>
      </c>
      <c r="AA550" s="461" t="str">
        <f t="shared" ca="1" si="123"/>
        <v/>
      </c>
      <c r="AB550" s="474" t="str">
        <f t="shared" ca="1" si="123"/>
        <v/>
      </c>
      <c r="AC550" s="475" t="str">
        <f t="shared" ca="1" si="123"/>
        <v/>
      </c>
      <c r="AD550" s="477" t="str">
        <f t="shared" ca="1" si="116"/>
        <v/>
      </c>
      <c r="AE550" s="478">
        <f t="shared" ca="1" si="117"/>
        <v>0</v>
      </c>
      <c r="AF550" s="459" t="str">
        <f t="shared" ca="1" si="121"/>
        <v/>
      </c>
      <c r="AG550" s="460" t="str">
        <f t="shared" ca="1" si="121"/>
        <v/>
      </c>
      <c r="AH550" s="460" t="str">
        <f t="shared" ca="1" si="121"/>
        <v/>
      </c>
      <c r="AI550" s="460" t="str">
        <f t="shared" ca="1" si="121"/>
        <v/>
      </c>
      <c r="AJ550" s="460" t="str">
        <f t="shared" ca="1" si="121"/>
        <v/>
      </c>
      <c r="AK550" s="460" t="str">
        <f t="shared" ca="1" si="121"/>
        <v/>
      </c>
      <c r="AL550" s="460" t="str">
        <f t="shared" ca="1" si="121"/>
        <v/>
      </c>
      <c r="AM550" s="460" t="str">
        <f t="shared" ca="1" si="121"/>
        <v/>
      </c>
      <c r="AN550" s="461" t="str">
        <f t="shared" ca="1" si="121"/>
        <v/>
      </c>
      <c r="AO550" s="474" t="str">
        <f t="shared" ca="1" si="121"/>
        <v/>
      </c>
      <c r="AP550" s="475" t="str">
        <f t="shared" ca="1" si="121"/>
        <v/>
      </c>
      <c r="AQ550" s="479" t="str">
        <f t="array" aca="1" ref="AQ550" ca="1">IF(ROW()-5&lt;=COUNTIF(科目编号,$AR$2),SMALL(IF(科目编号=$AR$2,ROW(科目编号),""),ROW()-5),"")</f>
        <v/>
      </c>
      <c r="AR550" s="480" t="str">
        <f ca="1">IF($BG$2=0,"",IF(AR549="本月合计","本年累计",IF(OR(ROW()=$AU$3,ROW()=$AV$3,ROW()=$AW$3,ROW()=$AX$3,ROW()=$AY$3,ROW()=$AZ$3,ROW()=$BA$3,ROW()=$BB$3,ROW()=$BC$3,ROW()=$BD$3,ROW()=$BE$3,ROW()=$BF$3),"本月合计",IF(ROW()&lt;7,$AQ$6,OFFSET($AQ$6,COUNT($AR$6:AR549),0)))))</f>
        <v/>
      </c>
    </row>
    <row r="551" spans="1:44">
      <c r="A551" s="469" t="str">
        <f ca="1">IFERROR(INDEX(凭证录入!A:A,$AR551),"")</f>
        <v/>
      </c>
      <c r="B551" s="469" t="str">
        <f ca="1">IFERROR(INDEX(凭证录入!B:B,$AR551),"")</f>
        <v/>
      </c>
      <c r="C551" s="470" t="str">
        <f ca="1">IFERROR(INDEX(凭证录入!G:G,$AR551),"")</f>
        <v/>
      </c>
      <c r="D551" s="471" t="str">
        <f ca="1">IFERROR(INDEX(凭证录入!F:F,$AR551),"")</f>
        <v/>
      </c>
      <c r="E551" s="472" t="str">
        <f ca="1">IFERROR(INDEX(凭证录入!H:H,$AR551),$AR551)</f>
        <v/>
      </c>
      <c r="F551" s="473">
        <f ca="1">IF(OR($BG$2=0,$AR551=""),,IF($AR551="本月合计",IF(ROW()=$BG$3,SUM($F$6:$F550),SUM(INDIRECT("$F$"&amp;OFFSET($AU$3,,MATCH(ROW(),$AU$3:$BF$3,)-2)+2&amp;":$E"&amp;ROW()-1))),IF($AR551="本年累计",SUMIF($AR$6:$AR551,"本月合计",$F$6:$F550),INDEX(凭证录入!K:K,$AR551))))</f>
        <v>0</v>
      </c>
      <c r="G551" s="459" t="str">
        <f t="shared" ca="1" si="122"/>
        <v/>
      </c>
      <c r="H551" s="460" t="str">
        <f t="shared" ca="1" si="122"/>
        <v/>
      </c>
      <c r="I551" s="460" t="str">
        <f t="shared" ca="1" si="122"/>
        <v/>
      </c>
      <c r="J551" s="460" t="str">
        <f t="shared" ca="1" si="122"/>
        <v/>
      </c>
      <c r="K551" s="460" t="str">
        <f t="shared" ca="1" si="122"/>
        <v/>
      </c>
      <c r="L551" s="460" t="str">
        <f t="shared" ca="1" si="122"/>
        <v/>
      </c>
      <c r="M551" s="460" t="str">
        <f t="shared" ca="1" si="122"/>
        <v/>
      </c>
      <c r="N551" s="460" t="str">
        <f t="shared" ca="1" si="122"/>
        <v/>
      </c>
      <c r="O551" s="461" t="str">
        <f t="shared" ca="1" si="122"/>
        <v/>
      </c>
      <c r="P551" s="474" t="str">
        <f t="shared" ca="1" si="122"/>
        <v/>
      </c>
      <c r="Q551" s="475" t="str">
        <f t="shared" ca="1" si="122"/>
        <v/>
      </c>
      <c r="R551" s="476">
        <f ca="1">IF(OR($BG$2=0,$AR551=""),,IF($AR551="本月合计",IF(ROW()=$BG$3,SUM($R$6:$R550),SUM(INDIRECT("$R$"&amp;OFFSET($AU$3,,MATCH(ROW(),$AU$3:$BF$3,)-2)+2&amp;":$R"&amp;ROW()-1))),IF($AR551="本年累计",SUMIF($AR$6:$AR551,"本月合计",$R$6:$R550),INDEX(凭证录入!L:L,$AR551))))</f>
        <v>0</v>
      </c>
      <c r="S551" s="459" t="str">
        <f t="shared" ca="1" si="123"/>
        <v/>
      </c>
      <c r="T551" s="460" t="str">
        <f t="shared" ca="1" si="123"/>
        <v/>
      </c>
      <c r="U551" s="460" t="str">
        <f t="shared" ca="1" si="123"/>
        <v/>
      </c>
      <c r="V551" s="460" t="str">
        <f t="shared" ca="1" si="123"/>
        <v/>
      </c>
      <c r="W551" s="460" t="str">
        <f t="shared" ca="1" si="123"/>
        <v/>
      </c>
      <c r="X551" s="460" t="str">
        <f t="shared" ca="1" si="123"/>
        <v/>
      </c>
      <c r="Y551" s="460" t="str">
        <f t="shared" ca="1" si="123"/>
        <v/>
      </c>
      <c r="Z551" s="460" t="str">
        <f t="shared" ca="1" si="123"/>
        <v/>
      </c>
      <c r="AA551" s="461" t="str">
        <f t="shared" ca="1" si="123"/>
        <v/>
      </c>
      <c r="AB551" s="474" t="str">
        <f t="shared" ca="1" si="123"/>
        <v/>
      </c>
      <c r="AC551" s="475" t="str">
        <f t="shared" ca="1" si="123"/>
        <v/>
      </c>
      <c r="AD551" s="477" t="str">
        <f t="shared" ca="1" si="116"/>
        <v/>
      </c>
      <c r="AE551" s="478">
        <f t="shared" ca="1" si="117"/>
        <v>0</v>
      </c>
      <c r="AF551" s="459" t="str">
        <f t="shared" ca="1" si="121"/>
        <v/>
      </c>
      <c r="AG551" s="460" t="str">
        <f t="shared" ca="1" si="121"/>
        <v/>
      </c>
      <c r="AH551" s="460" t="str">
        <f t="shared" ca="1" si="121"/>
        <v/>
      </c>
      <c r="AI551" s="460" t="str">
        <f t="shared" ca="1" si="121"/>
        <v/>
      </c>
      <c r="AJ551" s="460" t="str">
        <f t="shared" ca="1" si="121"/>
        <v/>
      </c>
      <c r="AK551" s="460" t="str">
        <f t="shared" ca="1" si="121"/>
        <v/>
      </c>
      <c r="AL551" s="460" t="str">
        <f t="shared" ca="1" si="121"/>
        <v/>
      </c>
      <c r="AM551" s="460" t="str">
        <f t="shared" ca="1" si="121"/>
        <v/>
      </c>
      <c r="AN551" s="461" t="str">
        <f t="shared" ca="1" si="121"/>
        <v/>
      </c>
      <c r="AO551" s="474" t="str">
        <f t="shared" ca="1" si="121"/>
        <v/>
      </c>
      <c r="AP551" s="475" t="str">
        <f t="shared" ca="1" si="121"/>
        <v/>
      </c>
      <c r="AQ551" s="479" t="str">
        <f t="array" aca="1" ref="AQ551" ca="1">IF(ROW()-5&lt;=COUNTIF(科目编号,$AR$2),SMALL(IF(科目编号=$AR$2,ROW(科目编号),""),ROW()-5),"")</f>
        <v/>
      </c>
      <c r="AR551" s="480" t="str">
        <f ca="1">IF($BG$2=0,"",IF(AR550="本月合计","本年累计",IF(OR(ROW()=$AU$3,ROW()=$AV$3,ROW()=$AW$3,ROW()=$AX$3,ROW()=$AY$3,ROW()=$AZ$3,ROW()=$BA$3,ROW()=$BB$3,ROW()=$BC$3,ROW()=$BD$3,ROW()=$BE$3,ROW()=$BF$3),"本月合计",IF(ROW()&lt;7,$AQ$6,OFFSET($AQ$6,COUNT($AR$6:AR550),0)))))</f>
        <v/>
      </c>
    </row>
    <row r="552" spans="1:44">
      <c r="A552" s="469" t="str">
        <f ca="1">IFERROR(INDEX(凭证录入!A:A,$AR552),"")</f>
        <v/>
      </c>
      <c r="B552" s="469" t="str">
        <f ca="1">IFERROR(INDEX(凭证录入!B:B,$AR552),"")</f>
        <v/>
      </c>
      <c r="C552" s="470" t="str">
        <f ca="1">IFERROR(INDEX(凭证录入!G:G,$AR552),"")</f>
        <v/>
      </c>
      <c r="D552" s="471" t="str">
        <f ca="1">IFERROR(INDEX(凭证录入!F:F,$AR552),"")</f>
        <v/>
      </c>
      <c r="E552" s="472" t="str">
        <f ca="1">IFERROR(INDEX(凭证录入!H:H,$AR552),$AR552)</f>
        <v/>
      </c>
      <c r="F552" s="473">
        <f ca="1">IF(OR($BG$2=0,$AR552=""),,IF($AR552="本月合计",IF(ROW()=$BG$3,SUM($F$6:$F551),SUM(INDIRECT("$F$"&amp;OFFSET($AU$3,,MATCH(ROW(),$AU$3:$BF$3,)-2)+2&amp;":$E"&amp;ROW()-1))),IF($AR552="本年累计",SUMIF($AR$6:$AR552,"本月合计",$F$6:$F551),INDEX(凭证录入!K:K,$AR552))))</f>
        <v>0</v>
      </c>
      <c r="G552" s="459" t="str">
        <f t="shared" ca="1" si="122"/>
        <v/>
      </c>
      <c r="H552" s="460" t="str">
        <f t="shared" ca="1" si="122"/>
        <v/>
      </c>
      <c r="I552" s="460" t="str">
        <f t="shared" ca="1" si="122"/>
        <v/>
      </c>
      <c r="J552" s="460" t="str">
        <f t="shared" ca="1" si="122"/>
        <v/>
      </c>
      <c r="K552" s="460" t="str">
        <f t="shared" ca="1" si="122"/>
        <v/>
      </c>
      <c r="L552" s="460" t="str">
        <f t="shared" ca="1" si="122"/>
        <v/>
      </c>
      <c r="M552" s="460" t="str">
        <f t="shared" ca="1" si="122"/>
        <v/>
      </c>
      <c r="N552" s="460" t="str">
        <f t="shared" ca="1" si="122"/>
        <v/>
      </c>
      <c r="O552" s="461" t="str">
        <f t="shared" ca="1" si="122"/>
        <v/>
      </c>
      <c r="P552" s="474" t="str">
        <f t="shared" ca="1" si="122"/>
        <v/>
      </c>
      <c r="Q552" s="475" t="str">
        <f t="shared" ca="1" si="122"/>
        <v/>
      </c>
      <c r="R552" s="476">
        <f ca="1">IF(OR($BG$2=0,$AR552=""),,IF($AR552="本月合计",IF(ROW()=$BG$3,SUM($R$6:$R551),SUM(INDIRECT("$R$"&amp;OFFSET($AU$3,,MATCH(ROW(),$AU$3:$BF$3,)-2)+2&amp;":$R"&amp;ROW()-1))),IF($AR552="本年累计",SUMIF($AR$6:$AR552,"本月合计",$R$6:$R551),INDEX(凭证录入!L:L,$AR552))))</f>
        <v>0</v>
      </c>
      <c r="S552" s="459" t="str">
        <f t="shared" ca="1" si="123"/>
        <v/>
      </c>
      <c r="T552" s="460" t="str">
        <f t="shared" ca="1" si="123"/>
        <v/>
      </c>
      <c r="U552" s="460" t="str">
        <f t="shared" ca="1" si="123"/>
        <v/>
      </c>
      <c r="V552" s="460" t="str">
        <f t="shared" ca="1" si="123"/>
        <v/>
      </c>
      <c r="W552" s="460" t="str">
        <f t="shared" ca="1" si="123"/>
        <v/>
      </c>
      <c r="X552" s="460" t="str">
        <f t="shared" ca="1" si="123"/>
        <v/>
      </c>
      <c r="Y552" s="460" t="str">
        <f t="shared" ca="1" si="123"/>
        <v/>
      </c>
      <c r="Z552" s="460" t="str">
        <f t="shared" ca="1" si="123"/>
        <v/>
      </c>
      <c r="AA552" s="461" t="str">
        <f t="shared" ca="1" si="123"/>
        <v/>
      </c>
      <c r="AB552" s="474" t="str">
        <f t="shared" ca="1" si="123"/>
        <v/>
      </c>
      <c r="AC552" s="475" t="str">
        <f t="shared" ca="1" si="123"/>
        <v/>
      </c>
      <c r="AD552" s="477" t="str">
        <f t="shared" ca="1" si="116"/>
        <v/>
      </c>
      <c r="AE552" s="478">
        <f t="shared" ca="1" si="117"/>
        <v>0</v>
      </c>
      <c r="AF552" s="459" t="str">
        <f t="shared" ca="1" si="121"/>
        <v/>
      </c>
      <c r="AG552" s="460" t="str">
        <f t="shared" ca="1" si="121"/>
        <v/>
      </c>
      <c r="AH552" s="460" t="str">
        <f t="shared" ca="1" si="121"/>
        <v/>
      </c>
      <c r="AI552" s="460" t="str">
        <f t="shared" ca="1" si="121"/>
        <v/>
      </c>
      <c r="AJ552" s="460" t="str">
        <f t="shared" ca="1" si="121"/>
        <v/>
      </c>
      <c r="AK552" s="460" t="str">
        <f t="shared" ca="1" si="121"/>
        <v/>
      </c>
      <c r="AL552" s="460" t="str">
        <f t="shared" ca="1" si="121"/>
        <v/>
      </c>
      <c r="AM552" s="460" t="str">
        <f t="shared" ca="1" si="121"/>
        <v/>
      </c>
      <c r="AN552" s="461" t="str">
        <f t="shared" ca="1" si="121"/>
        <v/>
      </c>
      <c r="AO552" s="474" t="str">
        <f t="shared" ca="1" si="121"/>
        <v/>
      </c>
      <c r="AP552" s="475" t="str">
        <f t="shared" ca="1" si="121"/>
        <v/>
      </c>
      <c r="AQ552" s="479" t="str">
        <f t="array" aca="1" ref="AQ552" ca="1">IF(ROW()-5&lt;=COUNTIF(科目编号,$AR$2),SMALL(IF(科目编号=$AR$2,ROW(科目编号),""),ROW()-5),"")</f>
        <v/>
      </c>
      <c r="AR552" s="480" t="str">
        <f ca="1">IF($BG$2=0,"",IF(AR551="本月合计","本年累计",IF(OR(ROW()=$AU$3,ROW()=$AV$3,ROW()=$AW$3,ROW()=$AX$3,ROW()=$AY$3,ROW()=$AZ$3,ROW()=$BA$3,ROW()=$BB$3,ROW()=$BC$3,ROW()=$BD$3,ROW()=$BE$3,ROW()=$BF$3),"本月合计",IF(ROW()&lt;7,$AQ$6,OFFSET($AQ$6,COUNT($AR$6:AR551),0)))))</f>
        <v/>
      </c>
    </row>
    <row r="553" spans="1:44">
      <c r="A553" s="469" t="str">
        <f ca="1">IFERROR(INDEX(凭证录入!A:A,$AR553),"")</f>
        <v/>
      </c>
      <c r="B553" s="469" t="str">
        <f ca="1">IFERROR(INDEX(凭证录入!B:B,$AR553),"")</f>
        <v/>
      </c>
      <c r="C553" s="470" t="str">
        <f ca="1">IFERROR(INDEX(凭证录入!G:G,$AR553),"")</f>
        <v/>
      </c>
      <c r="D553" s="471" t="str">
        <f ca="1">IFERROR(INDEX(凭证录入!F:F,$AR553),"")</f>
        <v/>
      </c>
      <c r="E553" s="472" t="str">
        <f ca="1">IFERROR(INDEX(凭证录入!H:H,$AR553),$AR553)</f>
        <v/>
      </c>
      <c r="F553" s="473">
        <f ca="1">IF(OR($BG$2=0,$AR553=""),,IF($AR553="本月合计",IF(ROW()=$BG$3,SUM($F$6:$F552),SUM(INDIRECT("$F$"&amp;OFFSET($AU$3,,MATCH(ROW(),$AU$3:$BF$3,)-2)+2&amp;":$E"&amp;ROW()-1))),IF($AR553="本年累计",SUMIF($AR$6:$AR553,"本月合计",$F$6:$F552),INDEX(凭证录入!K:K,$AR553))))</f>
        <v>0</v>
      </c>
      <c r="G553" s="459" t="str">
        <f t="shared" ca="1" si="122"/>
        <v/>
      </c>
      <c r="H553" s="460" t="str">
        <f t="shared" ca="1" si="122"/>
        <v/>
      </c>
      <c r="I553" s="460" t="str">
        <f t="shared" ca="1" si="122"/>
        <v/>
      </c>
      <c r="J553" s="460" t="str">
        <f t="shared" ca="1" si="122"/>
        <v/>
      </c>
      <c r="K553" s="460" t="str">
        <f t="shared" ca="1" si="122"/>
        <v/>
      </c>
      <c r="L553" s="460" t="str">
        <f t="shared" ca="1" si="122"/>
        <v/>
      </c>
      <c r="M553" s="460" t="str">
        <f t="shared" ca="1" si="122"/>
        <v/>
      </c>
      <c r="N553" s="460" t="str">
        <f t="shared" ca="1" si="122"/>
        <v/>
      </c>
      <c r="O553" s="461" t="str">
        <f t="shared" ca="1" si="122"/>
        <v/>
      </c>
      <c r="P553" s="474" t="str">
        <f t="shared" ca="1" si="122"/>
        <v/>
      </c>
      <c r="Q553" s="475" t="str">
        <f t="shared" ca="1" si="122"/>
        <v/>
      </c>
      <c r="R553" s="476">
        <f ca="1">IF(OR($BG$2=0,$AR553=""),,IF($AR553="本月合计",IF(ROW()=$BG$3,SUM($R$6:$R552),SUM(INDIRECT("$R$"&amp;OFFSET($AU$3,,MATCH(ROW(),$AU$3:$BF$3,)-2)+2&amp;":$R"&amp;ROW()-1))),IF($AR553="本年累计",SUMIF($AR$6:$AR553,"本月合计",$R$6:$R552),INDEX(凭证录入!L:L,$AR553))))</f>
        <v>0</v>
      </c>
      <c r="S553" s="459" t="str">
        <f t="shared" ca="1" si="123"/>
        <v/>
      </c>
      <c r="T553" s="460" t="str">
        <f t="shared" ca="1" si="123"/>
        <v/>
      </c>
      <c r="U553" s="460" t="str">
        <f t="shared" ca="1" si="123"/>
        <v/>
      </c>
      <c r="V553" s="460" t="str">
        <f t="shared" ca="1" si="123"/>
        <v/>
      </c>
      <c r="W553" s="460" t="str">
        <f t="shared" ca="1" si="123"/>
        <v/>
      </c>
      <c r="X553" s="460" t="str">
        <f t="shared" ca="1" si="123"/>
        <v/>
      </c>
      <c r="Y553" s="460" t="str">
        <f t="shared" ca="1" si="123"/>
        <v/>
      </c>
      <c r="Z553" s="460" t="str">
        <f t="shared" ca="1" si="123"/>
        <v/>
      </c>
      <c r="AA553" s="461" t="str">
        <f t="shared" ca="1" si="123"/>
        <v/>
      </c>
      <c r="AB553" s="474" t="str">
        <f t="shared" ca="1" si="123"/>
        <v/>
      </c>
      <c r="AC553" s="475" t="str">
        <f t="shared" ca="1" si="123"/>
        <v/>
      </c>
      <c r="AD553" s="477" t="str">
        <f t="shared" ca="1" si="116"/>
        <v/>
      </c>
      <c r="AE553" s="478">
        <f t="shared" ca="1" si="117"/>
        <v>0</v>
      </c>
      <c r="AF553" s="459" t="str">
        <f t="shared" ca="1" si="121"/>
        <v/>
      </c>
      <c r="AG553" s="460" t="str">
        <f t="shared" ca="1" si="121"/>
        <v/>
      </c>
      <c r="AH553" s="460" t="str">
        <f t="shared" ca="1" si="121"/>
        <v/>
      </c>
      <c r="AI553" s="460" t="str">
        <f t="shared" ca="1" si="121"/>
        <v/>
      </c>
      <c r="AJ553" s="460" t="str">
        <f t="shared" ca="1" si="121"/>
        <v/>
      </c>
      <c r="AK553" s="460" t="str">
        <f t="shared" ca="1" si="121"/>
        <v/>
      </c>
      <c r="AL553" s="460" t="str">
        <f t="shared" ca="1" si="121"/>
        <v/>
      </c>
      <c r="AM553" s="460" t="str">
        <f t="shared" ca="1" si="121"/>
        <v/>
      </c>
      <c r="AN553" s="461" t="str">
        <f t="shared" ca="1" si="121"/>
        <v/>
      </c>
      <c r="AO553" s="474" t="str">
        <f t="shared" ca="1" si="121"/>
        <v/>
      </c>
      <c r="AP553" s="475" t="str">
        <f t="shared" ca="1" si="121"/>
        <v/>
      </c>
      <c r="AQ553" s="479" t="str">
        <f t="array" aca="1" ref="AQ553" ca="1">IF(ROW()-5&lt;=COUNTIF(科目编号,$AR$2),SMALL(IF(科目编号=$AR$2,ROW(科目编号),""),ROW()-5),"")</f>
        <v/>
      </c>
      <c r="AR553" s="480" t="str">
        <f ca="1">IF($BG$2=0,"",IF(AR552="本月合计","本年累计",IF(OR(ROW()=$AU$3,ROW()=$AV$3,ROW()=$AW$3,ROW()=$AX$3,ROW()=$AY$3,ROW()=$AZ$3,ROW()=$BA$3,ROW()=$BB$3,ROW()=$BC$3,ROW()=$BD$3,ROW()=$BE$3,ROW()=$BF$3),"本月合计",IF(ROW()&lt;7,$AQ$6,OFFSET($AQ$6,COUNT($AR$6:AR552),0)))))</f>
        <v/>
      </c>
    </row>
    <row r="554" spans="1:44">
      <c r="A554" s="469" t="str">
        <f ca="1">IFERROR(INDEX(凭证录入!A:A,$AR554),"")</f>
        <v/>
      </c>
      <c r="B554" s="469" t="str">
        <f ca="1">IFERROR(INDEX(凭证录入!B:B,$AR554),"")</f>
        <v/>
      </c>
      <c r="C554" s="470" t="str">
        <f ca="1">IFERROR(INDEX(凭证录入!G:G,$AR554),"")</f>
        <v/>
      </c>
      <c r="D554" s="471" t="str">
        <f ca="1">IFERROR(INDEX(凭证录入!F:F,$AR554),"")</f>
        <v/>
      </c>
      <c r="E554" s="472" t="str">
        <f ca="1">IFERROR(INDEX(凭证录入!H:H,$AR554),$AR554)</f>
        <v/>
      </c>
      <c r="F554" s="473">
        <f ca="1">IF(OR($BG$2=0,$AR554=""),,IF($AR554="本月合计",IF(ROW()=$BG$3,SUM($F$6:$F553),SUM(INDIRECT("$F$"&amp;OFFSET($AU$3,,MATCH(ROW(),$AU$3:$BF$3,)-2)+2&amp;":$E"&amp;ROW()-1))),IF($AR554="本年累计",SUMIF($AR$6:$AR554,"本月合计",$F$6:$F553),INDEX(凭证录入!K:K,$AR554))))</f>
        <v>0</v>
      </c>
      <c r="G554" s="459" t="str">
        <f t="shared" ca="1" si="122"/>
        <v/>
      </c>
      <c r="H554" s="460" t="str">
        <f t="shared" ca="1" si="122"/>
        <v/>
      </c>
      <c r="I554" s="460" t="str">
        <f t="shared" ca="1" si="122"/>
        <v/>
      </c>
      <c r="J554" s="460" t="str">
        <f t="shared" ca="1" si="122"/>
        <v/>
      </c>
      <c r="K554" s="460" t="str">
        <f t="shared" ca="1" si="122"/>
        <v/>
      </c>
      <c r="L554" s="460" t="str">
        <f t="shared" ca="1" si="122"/>
        <v/>
      </c>
      <c r="M554" s="460" t="str">
        <f t="shared" ca="1" si="122"/>
        <v/>
      </c>
      <c r="N554" s="460" t="str">
        <f t="shared" ca="1" si="122"/>
        <v/>
      </c>
      <c r="O554" s="461" t="str">
        <f t="shared" ca="1" si="122"/>
        <v/>
      </c>
      <c r="P554" s="474" t="str">
        <f t="shared" ca="1" si="122"/>
        <v/>
      </c>
      <c r="Q554" s="475" t="str">
        <f t="shared" ca="1" si="122"/>
        <v/>
      </c>
      <c r="R554" s="476">
        <f ca="1">IF(OR($BG$2=0,$AR554=""),,IF($AR554="本月合计",IF(ROW()=$BG$3,SUM($R$6:$R553),SUM(INDIRECT("$R$"&amp;OFFSET($AU$3,,MATCH(ROW(),$AU$3:$BF$3,)-2)+2&amp;":$R"&amp;ROW()-1))),IF($AR554="本年累计",SUMIF($AR$6:$AR554,"本月合计",$R$6:$R553),INDEX(凭证录入!L:L,$AR554))))</f>
        <v>0</v>
      </c>
      <c r="S554" s="459" t="str">
        <f t="shared" ca="1" si="123"/>
        <v/>
      </c>
      <c r="T554" s="460" t="str">
        <f t="shared" ca="1" si="123"/>
        <v/>
      </c>
      <c r="U554" s="460" t="str">
        <f t="shared" ca="1" si="123"/>
        <v/>
      </c>
      <c r="V554" s="460" t="str">
        <f t="shared" ca="1" si="123"/>
        <v/>
      </c>
      <c r="W554" s="460" t="str">
        <f t="shared" ca="1" si="123"/>
        <v/>
      </c>
      <c r="X554" s="460" t="str">
        <f t="shared" ca="1" si="123"/>
        <v/>
      </c>
      <c r="Y554" s="460" t="str">
        <f t="shared" ca="1" si="123"/>
        <v/>
      </c>
      <c r="Z554" s="460" t="str">
        <f t="shared" ca="1" si="123"/>
        <v/>
      </c>
      <c r="AA554" s="461" t="str">
        <f t="shared" ca="1" si="123"/>
        <v/>
      </c>
      <c r="AB554" s="474" t="str">
        <f t="shared" ca="1" si="123"/>
        <v/>
      </c>
      <c r="AC554" s="475" t="str">
        <f t="shared" ca="1" si="123"/>
        <v/>
      </c>
      <c r="AD554" s="477" t="str">
        <f t="shared" ca="1" si="116"/>
        <v/>
      </c>
      <c r="AE554" s="478">
        <f t="shared" ca="1" si="117"/>
        <v>0</v>
      </c>
      <c r="AF554" s="459" t="str">
        <f t="shared" ca="1" si="121"/>
        <v/>
      </c>
      <c r="AG554" s="460" t="str">
        <f t="shared" ca="1" si="121"/>
        <v/>
      </c>
      <c r="AH554" s="460" t="str">
        <f t="shared" ca="1" si="121"/>
        <v/>
      </c>
      <c r="AI554" s="460" t="str">
        <f t="shared" ca="1" si="121"/>
        <v/>
      </c>
      <c r="AJ554" s="460" t="str">
        <f t="shared" ca="1" si="121"/>
        <v/>
      </c>
      <c r="AK554" s="460" t="str">
        <f t="shared" ca="1" si="121"/>
        <v/>
      </c>
      <c r="AL554" s="460" t="str">
        <f t="shared" ca="1" si="121"/>
        <v/>
      </c>
      <c r="AM554" s="460" t="str">
        <f t="shared" ca="1" si="121"/>
        <v/>
      </c>
      <c r="AN554" s="461" t="str">
        <f t="shared" ca="1" si="121"/>
        <v/>
      </c>
      <c r="AO554" s="474" t="str">
        <f t="shared" ca="1" si="121"/>
        <v/>
      </c>
      <c r="AP554" s="475" t="str">
        <f t="shared" ca="1" si="121"/>
        <v/>
      </c>
      <c r="AQ554" s="479" t="str">
        <f t="array" aca="1" ref="AQ554" ca="1">IF(ROW()-5&lt;=COUNTIF(科目编号,$AR$2),SMALL(IF(科目编号=$AR$2,ROW(科目编号),""),ROW()-5),"")</f>
        <v/>
      </c>
      <c r="AR554" s="480" t="str">
        <f ca="1">IF($BG$2=0,"",IF(AR553="本月合计","本年累计",IF(OR(ROW()=$AU$3,ROW()=$AV$3,ROW()=$AW$3,ROW()=$AX$3,ROW()=$AY$3,ROW()=$AZ$3,ROW()=$BA$3,ROW()=$BB$3,ROW()=$BC$3,ROW()=$BD$3,ROW()=$BE$3,ROW()=$BF$3),"本月合计",IF(ROW()&lt;7,$AQ$6,OFFSET($AQ$6,COUNT($AR$6:AR553),0)))))</f>
        <v/>
      </c>
    </row>
    <row r="555" spans="1:44">
      <c r="A555" s="469" t="str">
        <f ca="1">IFERROR(INDEX(凭证录入!A:A,$AR555),"")</f>
        <v/>
      </c>
      <c r="B555" s="469" t="str">
        <f ca="1">IFERROR(INDEX(凭证录入!B:B,$AR555),"")</f>
        <v/>
      </c>
      <c r="C555" s="470" t="str">
        <f ca="1">IFERROR(INDEX(凭证录入!G:G,$AR555),"")</f>
        <v/>
      </c>
      <c r="D555" s="471" t="str">
        <f ca="1">IFERROR(INDEX(凭证录入!F:F,$AR555),"")</f>
        <v/>
      </c>
      <c r="E555" s="472" t="str">
        <f ca="1">IFERROR(INDEX(凭证录入!H:H,$AR555),$AR555)</f>
        <v/>
      </c>
      <c r="F555" s="473">
        <f ca="1">IF(OR($BG$2=0,$AR555=""),,IF($AR555="本月合计",IF(ROW()=$BG$3,SUM($F$6:$F554),SUM(INDIRECT("$F$"&amp;OFFSET($AU$3,,MATCH(ROW(),$AU$3:$BF$3,)-2)+2&amp;":$E"&amp;ROW()-1))),IF($AR555="本年累计",SUMIF($AR$6:$AR555,"本月合计",$F$6:$F554),INDEX(凭证录入!K:K,$AR555))))</f>
        <v>0</v>
      </c>
      <c r="G555" s="459" t="str">
        <f t="shared" ca="1" si="122"/>
        <v/>
      </c>
      <c r="H555" s="460" t="str">
        <f t="shared" ca="1" si="122"/>
        <v/>
      </c>
      <c r="I555" s="460" t="str">
        <f t="shared" ca="1" si="122"/>
        <v/>
      </c>
      <c r="J555" s="460" t="str">
        <f t="shared" ca="1" si="122"/>
        <v/>
      </c>
      <c r="K555" s="460" t="str">
        <f t="shared" ca="1" si="122"/>
        <v/>
      </c>
      <c r="L555" s="460" t="str">
        <f t="shared" ca="1" si="122"/>
        <v/>
      </c>
      <c r="M555" s="460" t="str">
        <f t="shared" ca="1" si="122"/>
        <v/>
      </c>
      <c r="N555" s="460" t="str">
        <f t="shared" ca="1" si="122"/>
        <v/>
      </c>
      <c r="O555" s="461" t="str">
        <f t="shared" ca="1" si="122"/>
        <v/>
      </c>
      <c r="P555" s="474" t="str">
        <f t="shared" ca="1" si="122"/>
        <v/>
      </c>
      <c r="Q555" s="475" t="str">
        <f t="shared" ca="1" si="122"/>
        <v/>
      </c>
      <c r="R555" s="476">
        <f ca="1">IF(OR($BG$2=0,$AR555=""),,IF($AR555="本月合计",IF(ROW()=$BG$3,SUM($R$6:$R554),SUM(INDIRECT("$R$"&amp;OFFSET($AU$3,,MATCH(ROW(),$AU$3:$BF$3,)-2)+2&amp;":$R"&amp;ROW()-1))),IF($AR555="本年累计",SUMIF($AR$6:$AR555,"本月合计",$R$6:$R554),INDEX(凭证录入!L:L,$AR555))))</f>
        <v>0</v>
      </c>
      <c r="S555" s="459" t="str">
        <f t="shared" ca="1" si="123"/>
        <v/>
      </c>
      <c r="T555" s="460" t="str">
        <f t="shared" ca="1" si="123"/>
        <v/>
      </c>
      <c r="U555" s="460" t="str">
        <f t="shared" ca="1" si="123"/>
        <v/>
      </c>
      <c r="V555" s="460" t="str">
        <f t="shared" ca="1" si="123"/>
        <v/>
      </c>
      <c r="W555" s="460" t="str">
        <f t="shared" ca="1" si="123"/>
        <v/>
      </c>
      <c r="X555" s="460" t="str">
        <f t="shared" ca="1" si="123"/>
        <v/>
      </c>
      <c r="Y555" s="460" t="str">
        <f t="shared" ca="1" si="123"/>
        <v/>
      </c>
      <c r="Z555" s="460" t="str">
        <f t="shared" ca="1" si="123"/>
        <v/>
      </c>
      <c r="AA555" s="461" t="str">
        <f t="shared" ca="1" si="123"/>
        <v/>
      </c>
      <c r="AB555" s="474" t="str">
        <f t="shared" ca="1" si="123"/>
        <v/>
      </c>
      <c r="AC555" s="475" t="str">
        <f t="shared" ca="1" si="123"/>
        <v/>
      </c>
      <c r="AD555" s="477" t="str">
        <f t="shared" ca="1" si="116"/>
        <v/>
      </c>
      <c r="AE555" s="478">
        <f t="shared" ca="1" si="117"/>
        <v>0</v>
      </c>
      <c r="AF555" s="459" t="str">
        <f t="shared" ca="1" si="121"/>
        <v/>
      </c>
      <c r="AG555" s="460" t="str">
        <f t="shared" ca="1" si="121"/>
        <v/>
      </c>
      <c r="AH555" s="460" t="str">
        <f t="shared" ca="1" si="121"/>
        <v/>
      </c>
      <c r="AI555" s="460" t="str">
        <f t="shared" ca="1" si="121"/>
        <v/>
      </c>
      <c r="AJ555" s="460" t="str">
        <f t="shared" ca="1" si="121"/>
        <v/>
      </c>
      <c r="AK555" s="460" t="str">
        <f t="shared" ca="1" si="121"/>
        <v/>
      </c>
      <c r="AL555" s="460" t="str">
        <f t="shared" ca="1" si="121"/>
        <v/>
      </c>
      <c r="AM555" s="460" t="str">
        <f t="shared" ca="1" si="121"/>
        <v/>
      </c>
      <c r="AN555" s="461" t="str">
        <f t="shared" ca="1" si="121"/>
        <v/>
      </c>
      <c r="AO555" s="474" t="str">
        <f t="shared" ca="1" si="121"/>
        <v/>
      </c>
      <c r="AP555" s="475" t="str">
        <f t="shared" ca="1" si="121"/>
        <v/>
      </c>
      <c r="AQ555" s="479" t="str">
        <f t="array" aca="1" ref="AQ555" ca="1">IF(ROW()-5&lt;=COUNTIF(科目编号,$AR$2),SMALL(IF(科目编号=$AR$2,ROW(科目编号),""),ROW()-5),"")</f>
        <v/>
      </c>
      <c r="AR555" s="480" t="str">
        <f ca="1">IF($BG$2=0,"",IF(AR554="本月合计","本年累计",IF(OR(ROW()=$AU$3,ROW()=$AV$3,ROW()=$AW$3,ROW()=$AX$3,ROW()=$AY$3,ROW()=$AZ$3,ROW()=$BA$3,ROW()=$BB$3,ROW()=$BC$3,ROW()=$BD$3,ROW()=$BE$3,ROW()=$BF$3),"本月合计",IF(ROW()&lt;7,$AQ$6,OFFSET($AQ$6,COUNT($AR$6:AR554),0)))))</f>
        <v/>
      </c>
    </row>
    <row r="556" spans="1:44">
      <c r="A556" s="469" t="str">
        <f ca="1">IFERROR(INDEX(凭证录入!A:A,$AR556),"")</f>
        <v/>
      </c>
      <c r="B556" s="469" t="str">
        <f ca="1">IFERROR(INDEX(凭证录入!B:B,$AR556),"")</f>
        <v/>
      </c>
      <c r="C556" s="470" t="str">
        <f ca="1">IFERROR(INDEX(凭证录入!G:G,$AR556),"")</f>
        <v/>
      </c>
      <c r="D556" s="471" t="str">
        <f ca="1">IFERROR(INDEX(凭证录入!F:F,$AR556),"")</f>
        <v/>
      </c>
      <c r="E556" s="472" t="str">
        <f ca="1">IFERROR(INDEX(凭证录入!H:H,$AR556),$AR556)</f>
        <v/>
      </c>
      <c r="F556" s="473">
        <f ca="1">IF(OR($BG$2=0,$AR556=""),,IF($AR556="本月合计",IF(ROW()=$BG$3,SUM($F$6:$F555),SUM(INDIRECT("$F$"&amp;OFFSET($AU$3,,MATCH(ROW(),$AU$3:$BF$3,)-2)+2&amp;":$E"&amp;ROW()-1))),IF($AR556="本年累计",SUMIF($AR$6:$AR556,"本月合计",$F$6:$F555),INDEX(凭证录入!K:K,$AR556))))</f>
        <v>0</v>
      </c>
      <c r="G556" s="459" t="str">
        <f t="shared" ca="1" si="122"/>
        <v/>
      </c>
      <c r="H556" s="460" t="str">
        <f t="shared" ca="1" si="122"/>
        <v/>
      </c>
      <c r="I556" s="460" t="str">
        <f t="shared" ca="1" si="122"/>
        <v/>
      </c>
      <c r="J556" s="460" t="str">
        <f t="shared" ca="1" si="122"/>
        <v/>
      </c>
      <c r="K556" s="460" t="str">
        <f t="shared" ca="1" si="122"/>
        <v/>
      </c>
      <c r="L556" s="460" t="str">
        <f t="shared" ca="1" si="122"/>
        <v/>
      </c>
      <c r="M556" s="460" t="str">
        <f t="shared" ca="1" si="122"/>
        <v/>
      </c>
      <c r="N556" s="460" t="str">
        <f t="shared" ca="1" si="122"/>
        <v/>
      </c>
      <c r="O556" s="461" t="str">
        <f t="shared" ca="1" si="122"/>
        <v/>
      </c>
      <c r="P556" s="474" t="str">
        <f t="shared" ca="1" si="122"/>
        <v/>
      </c>
      <c r="Q556" s="475" t="str">
        <f t="shared" ca="1" si="122"/>
        <v/>
      </c>
      <c r="R556" s="476">
        <f ca="1">IF(OR($BG$2=0,$AR556=""),,IF($AR556="本月合计",IF(ROW()=$BG$3,SUM($R$6:$R555),SUM(INDIRECT("$R$"&amp;OFFSET($AU$3,,MATCH(ROW(),$AU$3:$BF$3,)-2)+2&amp;":$R"&amp;ROW()-1))),IF($AR556="本年累计",SUMIF($AR$6:$AR556,"本月合计",$R$6:$R555),INDEX(凭证录入!L:L,$AR556))))</f>
        <v>0</v>
      </c>
      <c r="S556" s="459" t="str">
        <f t="shared" ca="1" si="123"/>
        <v/>
      </c>
      <c r="T556" s="460" t="str">
        <f t="shared" ca="1" si="123"/>
        <v/>
      </c>
      <c r="U556" s="460" t="str">
        <f t="shared" ca="1" si="123"/>
        <v/>
      </c>
      <c r="V556" s="460" t="str">
        <f t="shared" ca="1" si="123"/>
        <v/>
      </c>
      <c r="W556" s="460" t="str">
        <f t="shared" ca="1" si="123"/>
        <v/>
      </c>
      <c r="X556" s="460" t="str">
        <f t="shared" ca="1" si="123"/>
        <v/>
      </c>
      <c r="Y556" s="460" t="str">
        <f t="shared" ca="1" si="123"/>
        <v/>
      </c>
      <c r="Z556" s="460" t="str">
        <f t="shared" ca="1" si="123"/>
        <v/>
      </c>
      <c r="AA556" s="461" t="str">
        <f t="shared" ca="1" si="123"/>
        <v/>
      </c>
      <c r="AB556" s="474" t="str">
        <f t="shared" ca="1" si="123"/>
        <v/>
      </c>
      <c r="AC556" s="475" t="str">
        <f t="shared" ca="1" si="123"/>
        <v/>
      </c>
      <c r="AD556" s="477" t="str">
        <f t="shared" ca="1" si="116"/>
        <v/>
      </c>
      <c r="AE556" s="478">
        <f t="shared" ca="1" si="117"/>
        <v>0</v>
      </c>
      <c r="AF556" s="459" t="str">
        <f t="shared" ca="1" si="121"/>
        <v/>
      </c>
      <c r="AG556" s="460" t="str">
        <f t="shared" ca="1" si="121"/>
        <v/>
      </c>
      <c r="AH556" s="460" t="str">
        <f t="shared" ca="1" si="121"/>
        <v/>
      </c>
      <c r="AI556" s="460" t="str">
        <f t="shared" ca="1" si="121"/>
        <v/>
      </c>
      <c r="AJ556" s="460" t="str">
        <f t="shared" ca="1" si="121"/>
        <v/>
      </c>
      <c r="AK556" s="460" t="str">
        <f t="shared" ca="1" si="121"/>
        <v/>
      </c>
      <c r="AL556" s="460" t="str">
        <f t="shared" ca="1" si="121"/>
        <v/>
      </c>
      <c r="AM556" s="460" t="str">
        <f t="shared" ca="1" si="121"/>
        <v/>
      </c>
      <c r="AN556" s="461" t="str">
        <f t="shared" ca="1" si="121"/>
        <v/>
      </c>
      <c r="AO556" s="474" t="str">
        <f t="shared" ca="1" si="121"/>
        <v/>
      </c>
      <c r="AP556" s="475" t="str">
        <f t="shared" ca="1" si="121"/>
        <v/>
      </c>
      <c r="AQ556" s="479" t="str">
        <f t="array" aca="1" ref="AQ556" ca="1">IF(ROW()-5&lt;=COUNTIF(科目编号,$AR$2),SMALL(IF(科目编号=$AR$2,ROW(科目编号),""),ROW()-5),"")</f>
        <v/>
      </c>
      <c r="AR556" s="480" t="str">
        <f ca="1">IF($BG$2=0,"",IF(AR555="本月合计","本年累计",IF(OR(ROW()=$AU$3,ROW()=$AV$3,ROW()=$AW$3,ROW()=$AX$3,ROW()=$AY$3,ROW()=$AZ$3,ROW()=$BA$3,ROW()=$BB$3,ROW()=$BC$3,ROW()=$BD$3,ROW()=$BE$3,ROW()=$BF$3),"本月合计",IF(ROW()&lt;7,$AQ$6,OFFSET($AQ$6,COUNT($AR$6:AR555),0)))))</f>
        <v/>
      </c>
    </row>
    <row r="557" spans="1:44">
      <c r="A557" s="469" t="str">
        <f ca="1">IFERROR(INDEX(凭证录入!A:A,$AR557),"")</f>
        <v/>
      </c>
      <c r="B557" s="469" t="str">
        <f ca="1">IFERROR(INDEX(凭证录入!B:B,$AR557),"")</f>
        <v/>
      </c>
      <c r="C557" s="470" t="str">
        <f ca="1">IFERROR(INDEX(凭证录入!G:G,$AR557),"")</f>
        <v/>
      </c>
      <c r="D557" s="471" t="str">
        <f ca="1">IFERROR(INDEX(凭证录入!F:F,$AR557),"")</f>
        <v/>
      </c>
      <c r="E557" s="472" t="str">
        <f ca="1">IFERROR(INDEX(凭证录入!H:H,$AR557),$AR557)</f>
        <v/>
      </c>
      <c r="F557" s="473">
        <f ca="1">IF(OR($BG$2=0,$AR557=""),,IF($AR557="本月合计",IF(ROW()=$BG$3,SUM($F$6:$F556),SUM(INDIRECT("$F$"&amp;OFFSET($AU$3,,MATCH(ROW(),$AU$3:$BF$3,)-2)+2&amp;":$E"&amp;ROW()-1))),IF($AR557="本年累计",SUMIF($AR$6:$AR557,"本月合计",$F$6:$F556),INDEX(凭证录入!K:K,$AR557))))</f>
        <v>0</v>
      </c>
      <c r="G557" s="459" t="str">
        <f t="shared" ca="1" si="122"/>
        <v/>
      </c>
      <c r="H557" s="460" t="str">
        <f t="shared" ca="1" si="122"/>
        <v/>
      </c>
      <c r="I557" s="460" t="str">
        <f t="shared" ca="1" si="122"/>
        <v/>
      </c>
      <c r="J557" s="460" t="str">
        <f t="shared" ca="1" si="122"/>
        <v/>
      </c>
      <c r="K557" s="460" t="str">
        <f t="shared" ca="1" si="122"/>
        <v/>
      </c>
      <c r="L557" s="460" t="str">
        <f t="shared" ca="1" si="122"/>
        <v/>
      </c>
      <c r="M557" s="460" t="str">
        <f t="shared" ca="1" si="122"/>
        <v/>
      </c>
      <c r="N557" s="460" t="str">
        <f t="shared" ca="1" si="122"/>
        <v/>
      </c>
      <c r="O557" s="461" t="str">
        <f t="shared" ca="1" si="122"/>
        <v/>
      </c>
      <c r="P557" s="474" t="str">
        <f t="shared" ca="1" si="122"/>
        <v/>
      </c>
      <c r="Q557" s="475" t="str">
        <f t="shared" ca="1" si="122"/>
        <v/>
      </c>
      <c r="R557" s="476">
        <f ca="1">IF(OR($BG$2=0,$AR557=""),,IF($AR557="本月合计",IF(ROW()=$BG$3,SUM($R$6:$R556),SUM(INDIRECT("$R$"&amp;OFFSET($AU$3,,MATCH(ROW(),$AU$3:$BF$3,)-2)+2&amp;":$R"&amp;ROW()-1))),IF($AR557="本年累计",SUMIF($AR$6:$AR557,"本月合计",$R$6:$R556),INDEX(凭证录入!L:L,$AR557))))</f>
        <v>0</v>
      </c>
      <c r="S557" s="459" t="str">
        <f t="shared" ca="1" si="123"/>
        <v/>
      </c>
      <c r="T557" s="460" t="str">
        <f t="shared" ca="1" si="123"/>
        <v/>
      </c>
      <c r="U557" s="460" t="str">
        <f t="shared" ca="1" si="123"/>
        <v/>
      </c>
      <c r="V557" s="460" t="str">
        <f t="shared" ca="1" si="123"/>
        <v/>
      </c>
      <c r="W557" s="460" t="str">
        <f t="shared" ca="1" si="123"/>
        <v/>
      </c>
      <c r="X557" s="460" t="str">
        <f t="shared" ca="1" si="123"/>
        <v/>
      </c>
      <c r="Y557" s="460" t="str">
        <f t="shared" ca="1" si="123"/>
        <v/>
      </c>
      <c r="Z557" s="460" t="str">
        <f t="shared" ca="1" si="123"/>
        <v/>
      </c>
      <c r="AA557" s="461" t="str">
        <f t="shared" ca="1" si="123"/>
        <v/>
      </c>
      <c r="AB557" s="474" t="str">
        <f t="shared" ca="1" si="123"/>
        <v/>
      </c>
      <c r="AC557" s="475" t="str">
        <f t="shared" ca="1" si="123"/>
        <v/>
      </c>
      <c r="AD557" s="477" t="str">
        <f t="shared" ca="1" si="116"/>
        <v/>
      </c>
      <c r="AE557" s="478">
        <f t="shared" ca="1" si="117"/>
        <v>0</v>
      </c>
      <c r="AF557" s="459" t="str">
        <f t="shared" ca="1" si="121"/>
        <v/>
      </c>
      <c r="AG557" s="460" t="str">
        <f t="shared" ca="1" si="121"/>
        <v/>
      </c>
      <c r="AH557" s="460" t="str">
        <f t="shared" ca="1" si="121"/>
        <v/>
      </c>
      <c r="AI557" s="460" t="str">
        <f t="shared" ca="1" si="121"/>
        <v/>
      </c>
      <c r="AJ557" s="460" t="str">
        <f t="shared" ca="1" si="121"/>
        <v/>
      </c>
      <c r="AK557" s="460" t="str">
        <f t="shared" ca="1" si="121"/>
        <v/>
      </c>
      <c r="AL557" s="460" t="str">
        <f t="shared" ca="1" si="121"/>
        <v/>
      </c>
      <c r="AM557" s="460" t="str">
        <f t="shared" ca="1" si="121"/>
        <v/>
      </c>
      <c r="AN557" s="461" t="str">
        <f t="shared" ca="1" si="121"/>
        <v/>
      </c>
      <c r="AO557" s="474" t="str">
        <f t="shared" ca="1" si="121"/>
        <v/>
      </c>
      <c r="AP557" s="475" t="str">
        <f t="shared" ca="1" si="121"/>
        <v/>
      </c>
      <c r="AQ557" s="479" t="str">
        <f t="array" aca="1" ref="AQ557" ca="1">IF(ROW()-5&lt;=COUNTIF(科目编号,$AR$2),SMALL(IF(科目编号=$AR$2,ROW(科目编号),""),ROW()-5),"")</f>
        <v/>
      </c>
      <c r="AR557" s="480" t="str">
        <f ca="1">IF($BG$2=0,"",IF(AR556="本月合计","本年累计",IF(OR(ROW()=$AU$3,ROW()=$AV$3,ROW()=$AW$3,ROW()=$AX$3,ROW()=$AY$3,ROW()=$AZ$3,ROW()=$BA$3,ROW()=$BB$3,ROW()=$BC$3,ROW()=$BD$3,ROW()=$BE$3,ROW()=$BF$3),"本月合计",IF(ROW()&lt;7,$AQ$6,OFFSET($AQ$6,COUNT($AR$6:AR556),0)))))</f>
        <v/>
      </c>
    </row>
    <row r="558" spans="1:44">
      <c r="A558" s="469" t="str">
        <f ca="1">IFERROR(INDEX(凭证录入!A:A,$AR558),"")</f>
        <v/>
      </c>
      <c r="B558" s="469" t="str">
        <f ca="1">IFERROR(INDEX(凭证录入!B:B,$AR558),"")</f>
        <v/>
      </c>
      <c r="C558" s="470" t="str">
        <f ca="1">IFERROR(INDEX(凭证录入!G:G,$AR558),"")</f>
        <v/>
      </c>
      <c r="D558" s="471" t="str">
        <f ca="1">IFERROR(INDEX(凭证录入!F:F,$AR558),"")</f>
        <v/>
      </c>
      <c r="E558" s="472" t="str">
        <f ca="1">IFERROR(INDEX(凭证录入!H:H,$AR558),$AR558)</f>
        <v/>
      </c>
      <c r="F558" s="473">
        <f ca="1">IF(OR($BG$2=0,$AR558=""),,IF($AR558="本月合计",IF(ROW()=$BG$3,SUM($F$6:$F557),SUM(INDIRECT("$F$"&amp;OFFSET($AU$3,,MATCH(ROW(),$AU$3:$BF$3,)-2)+2&amp;":$E"&amp;ROW()-1))),IF($AR558="本年累计",SUMIF($AR$6:$AR558,"本月合计",$F$6:$F557),INDEX(凭证录入!K:K,$AR558))))</f>
        <v>0</v>
      </c>
      <c r="G558" s="459" t="str">
        <f t="shared" ca="1" si="122"/>
        <v/>
      </c>
      <c r="H558" s="460" t="str">
        <f t="shared" ca="1" si="122"/>
        <v/>
      </c>
      <c r="I558" s="460" t="str">
        <f t="shared" ca="1" si="122"/>
        <v/>
      </c>
      <c r="J558" s="460" t="str">
        <f t="shared" ca="1" si="122"/>
        <v/>
      </c>
      <c r="K558" s="460" t="str">
        <f t="shared" ca="1" si="122"/>
        <v/>
      </c>
      <c r="L558" s="460" t="str">
        <f t="shared" ca="1" si="122"/>
        <v/>
      </c>
      <c r="M558" s="460" t="str">
        <f t="shared" ca="1" si="122"/>
        <v/>
      </c>
      <c r="N558" s="460" t="str">
        <f t="shared" ca="1" si="122"/>
        <v/>
      </c>
      <c r="O558" s="461" t="str">
        <f t="shared" ca="1" si="122"/>
        <v/>
      </c>
      <c r="P558" s="474" t="str">
        <f t="shared" ca="1" si="122"/>
        <v/>
      </c>
      <c r="Q558" s="475" t="str">
        <f t="shared" ca="1" si="122"/>
        <v/>
      </c>
      <c r="R558" s="476">
        <f ca="1">IF(OR($BG$2=0,$AR558=""),,IF($AR558="本月合计",IF(ROW()=$BG$3,SUM($R$6:$R557),SUM(INDIRECT("$R$"&amp;OFFSET($AU$3,,MATCH(ROW(),$AU$3:$BF$3,)-2)+2&amp;":$R"&amp;ROW()-1))),IF($AR558="本年累计",SUMIF($AR$6:$AR558,"本月合计",$R$6:$R557),INDEX(凭证录入!L:L,$AR558))))</f>
        <v>0</v>
      </c>
      <c r="S558" s="459" t="str">
        <f t="shared" ca="1" si="123"/>
        <v/>
      </c>
      <c r="T558" s="460" t="str">
        <f t="shared" ca="1" si="123"/>
        <v/>
      </c>
      <c r="U558" s="460" t="str">
        <f t="shared" ca="1" si="123"/>
        <v/>
      </c>
      <c r="V558" s="460" t="str">
        <f t="shared" ca="1" si="123"/>
        <v/>
      </c>
      <c r="W558" s="460" t="str">
        <f t="shared" ca="1" si="123"/>
        <v/>
      </c>
      <c r="X558" s="460" t="str">
        <f t="shared" ca="1" si="123"/>
        <v/>
      </c>
      <c r="Y558" s="460" t="str">
        <f t="shared" ca="1" si="123"/>
        <v/>
      </c>
      <c r="Z558" s="460" t="str">
        <f t="shared" ca="1" si="123"/>
        <v/>
      </c>
      <c r="AA558" s="461" t="str">
        <f t="shared" ca="1" si="123"/>
        <v/>
      </c>
      <c r="AB558" s="474" t="str">
        <f t="shared" ca="1" si="123"/>
        <v/>
      </c>
      <c r="AC558" s="475" t="str">
        <f t="shared" ca="1" si="123"/>
        <v/>
      </c>
      <c r="AD558" s="477" t="str">
        <f t="shared" ca="1" si="116"/>
        <v/>
      </c>
      <c r="AE558" s="478">
        <f t="shared" ca="1" si="117"/>
        <v>0</v>
      </c>
      <c r="AF558" s="459" t="str">
        <f t="shared" ca="1" si="121"/>
        <v/>
      </c>
      <c r="AG558" s="460" t="str">
        <f t="shared" ca="1" si="121"/>
        <v/>
      </c>
      <c r="AH558" s="460" t="str">
        <f t="shared" ca="1" si="121"/>
        <v/>
      </c>
      <c r="AI558" s="460" t="str">
        <f t="shared" ca="1" si="121"/>
        <v/>
      </c>
      <c r="AJ558" s="460" t="str">
        <f t="shared" ca="1" si="121"/>
        <v/>
      </c>
      <c r="AK558" s="460" t="str">
        <f t="shared" ca="1" si="121"/>
        <v/>
      </c>
      <c r="AL558" s="460" t="str">
        <f t="shared" ca="1" si="121"/>
        <v/>
      </c>
      <c r="AM558" s="460" t="str">
        <f t="shared" ca="1" si="121"/>
        <v/>
      </c>
      <c r="AN558" s="461" t="str">
        <f t="shared" ca="1" si="121"/>
        <v/>
      </c>
      <c r="AO558" s="474" t="str">
        <f t="shared" ca="1" si="121"/>
        <v/>
      </c>
      <c r="AP558" s="475" t="str">
        <f t="shared" ca="1" si="121"/>
        <v/>
      </c>
      <c r="AQ558" s="479" t="str">
        <f t="array" aca="1" ref="AQ558" ca="1">IF(ROW()-5&lt;=COUNTIF(科目编号,$AR$2),SMALL(IF(科目编号=$AR$2,ROW(科目编号),""),ROW()-5),"")</f>
        <v/>
      </c>
      <c r="AR558" s="480" t="str">
        <f ca="1">IF($BG$2=0,"",IF(AR557="本月合计","本年累计",IF(OR(ROW()=$AU$3,ROW()=$AV$3,ROW()=$AW$3,ROW()=$AX$3,ROW()=$AY$3,ROW()=$AZ$3,ROW()=$BA$3,ROW()=$BB$3,ROW()=$BC$3,ROW()=$BD$3,ROW()=$BE$3,ROW()=$BF$3),"本月合计",IF(ROW()&lt;7,$AQ$6,OFFSET($AQ$6,COUNT($AR$6:AR557),0)))))</f>
        <v/>
      </c>
    </row>
    <row r="559" spans="1:44">
      <c r="A559" s="469" t="str">
        <f ca="1">IFERROR(INDEX(凭证录入!A:A,$AR559),"")</f>
        <v/>
      </c>
      <c r="B559" s="469" t="str">
        <f ca="1">IFERROR(INDEX(凭证录入!B:B,$AR559),"")</f>
        <v/>
      </c>
      <c r="C559" s="470" t="str">
        <f ca="1">IFERROR(INDEX(凭证录入!G:G,$AR559),"")</f>
        <v/>
      </c>
      <c r="D559" s="471" t="str">
        <f ca="1">IFERROR(INDEX(凭证录入!F:F,$AR559),"")</f>
        <v/>
      </c>
      <c r="E559" s="472" t="str">
        <f ca="1">IFERROR(INDEX(凭证录入!H:H,$AR559),$AR559)</f>
        <v/>
      </c>
      <c r="F559" s="473">
        <f ca="1">IF(OR($BG$2=0,$AR559=""),,IF($AR559="本月合计",IF(ROW()=$BG$3,SUM($F$6:$F558),SUM(INDIRECT("$F$"&amp;OFFSET($AU$3,,MATCH(ROW(),$AU$3:$BF$3,)-2)+2&amp;":$E"&amp;ROW()-1))),IF($AR559="本年累计",SUMIF($AR$6:$AR559,"本月合计",$F$6:$F558),INDEX(凭证录入!K:K,$AR559))))</f>
        <v>0</v>
      </c>
      <c r="G559" s="459" t="str">
        <f t="shared" ca="1" si="122"/>
        <v/>
      </c>
      <c r="H559" s="460" t="str">
        <f t="shared" ca="1" si="122"/>
        <v/>
      </c>
      <c r="I559" s="460" t="str">
        <f t="shared" ca="1" si="122"/>
        <v/>
      </c>
      <c r="J559" s="460" t="str">
        <f t="shared" ca="1" si="122"/>
        <v/>
      </c>
      <c r="K559" s="460" t="str">
        <f t="shared" ca="1" si="122"/>
        <v/>
      </c>
      <c r="L559" s="460" t="str">
        <f t="shared" ca="1" si="122"/>
        <v/>
      </c>
      <c r="M559" s="460" t="str">
        <f t="shared" ca="1" si="122"/>
        <v/>
      </c>
      <c r="N559" s="460" t="str">
        <f t="shared" ca="1" si="122"/>
        <v/>
      </c>
      <c r="O559" s="461" t="str">
        <f t="shared" ca="1" si="122"/>
        <v/>
      </c>
      <c r="P559" s="474" t="str">
        <f t="shared" ca="1" si="122"/>
        <v/>
      </c>
      <c r="Q559" s="475" t="str">
        <f t="shared" ca="1" si="122"/>
        <v/>
      </c>
      <c r="R559" s="476">
        <f ca="1">IF(OR($BG$2=0,$AR559=""),,IF($AR559="本月合计",IF(ROW()=$BG$3,SUM($R$6:$R558),SUM(INDIRECT("$R$"&amp;OFFSET($AU$3,,MATCH(ROW(),$AU$3:$BF$3,)-2)+2&amp;":$R"&amp;ROW()-1))),IF($AR559="本年累计",SUMIF($AR$6:$AR559,"本月合计",$R$6:$R558),INDEX(凭证录入!L:L,$AR559))))</f>
        <v>0</v>
      </c>
      <c r="S559" s="459" t="str">
        <f t="shared" ca="1" si="123"/>
        <v/>
      </c>
      <c r="T559" s="460" t="str">
        <f t="shared" ca="1" si="123"/>
        <v/>
      </c>
      <c r="U559" s="460" t="str">
        <f t="shared" ca="1" si="123"/>
        <v/>
      </c>
      <c r="V559" s="460" t="str">
        <f t="shared" ca="1" si="123"/>
        <v/>
      </c>
      <c r="W559" s="460" t="str">
        <f t="shared" ca="1" si="123"/>
        <v/>
      </c>
      <c r="X559" s="460" t="str">
        <f t="shared" ca="1" si="123"/>
        <v/>
      </c>
      <c r="Y559" s="460" t="str">
        <f t="shared" ca="1" si="123"/>
        <v/>
      </c>
      <c r="Z559" s="460" t="str">
        <f t="shared" ca="1" si="123"/>
        <v/>
      </c>
      <c r="AA559" s="461" t="str">
        <f t="shared" ca="1" si="123"/>
        <v/>
      </c>
      <c r="AB559" s="474" t="str">
        <f t="shared" ca="1" si="123"/>
        <v/>
      </c>
      <c r="AC559" s="475" t="str">
        <f t="shared" ca="1" si="123"/>
        <v/>
      </c>
      <c r="AD559" s="477" t="str">
        <f t="shared" ca="1" si="116"/>
        <v/>
      </c>
      <c r="AE559" s="478">
        <f t="shared" ca="1" si="117"/>
        <v>0</v>
      </c>
      <c r="AF559" s="459" t="str">
        <f t="shared" ca="1" si="121"/>
        <v/>
      </c>
      <c r="AG559" s="460" t="str">
        <f t="shared" ca="1" si="121"/>
        <v/>
      </c>
      <c r="AH559" s="460" t="str">
        <f t="shared" ca="1" si="121"/>
        <v/>
      </c>
      <c r="AI559" s="460" t="str">
        <f t="shared" ca="1" si="121"/>
        <v/>
      </c>
      <c r="AJ559" s="460" t="str">
        <f t="shared" ca="1" si="121"/>
        <v/>
      </c>
      <c r="AK559" s="460" t="str">
        <f t="shared" ca="1" si="121"/>
        <v/>
      </c>
      <c r="AL559" s="460" t="str">
        <f t="shared" ca="1" si="121"/>
        <v/>
      </c>
      <c r="AM559" s="460" t="str">
        <f t="shared" ca="1" si="121"/>
        <v/>
      </c>
      <c r="AN559" s="461" t="str">
        <f t="shared" ca="1" si="121"/>
        <v/>
      </c>
      <c r="AO559" s="474" t="str">
        <f t="shared" ca="1" si="121"/>
        <v/>
      </c>
      <c r="AP559" s="475" t="str">
        <f t="shared" ca="1" si="121"/>
        <v/>
      </c>
      <c r="AQ559" s="479" t="str">
        <f t="array" aca="1" ref="AQ559" ca="1">IF(ROW()-5&lt;=COUNTIF(科目编号,$AR$2),SMALL(IF(科目编号=$AR$2,ROW(科目编号),""),ROW()-5),"")</f>
        <v/>
      </c>
      <c r="AR559" s="480" t="str">
        <f ca="1">IF($BG$2=0,"",IF(AR558="本月合计","本年累计",IF(OR(ROW()=$AU$3,ROW()=$AV$3,ROW()=$AW$3,ROW()=$AX$3,ROW()=$AY$3,ROW()=$AZ$3,ROW()=$BA$3,ROW()=$BB$3,ROW()=$BC$3,ROW()=$BD$3,ROW()=$BE$3,ROW()=$BF$3),"本月合计",IF(ROW()&lt;7,$AQ$6,OFFSET($AQ$6,COUNT($AR$6:AR558),0)))))</f>
        <v/>
      </c>
    </row>
    <row r="560" spans="1:44">
      <c r="A560" s="469" t="str">
        <f ca="1">IFERROR(INDEX(凭证录入!A:A,$AR560),"")</f>
        <v/>
      </c>
      <c r="B560" s="469" t="str">
        <f ca="1">IFERROR(INDEX(凭证录入!B:B,$AR560),"")</f>
        <v/>
      </c>
      <c r="C560" s="470" t="str">
        <f ca="1">IFERROR(INDEX(凭证录入!G:G,$AR560),"")</f>
        <v/>
      </c>
      <c r="D560" s="471" t="str">
        <f ca="1">IFERROR(INDEX(凭证录入!F:F,$AR560),"")</f>
        <v/>
      </c>
      <c r="E560" s="472" t="str">
        <f ca="1">IFERROR(INDEX(凭证录入!H:H,$AR560),$AR560)</f>
        <v/>
      </c>
      <c r="F560" s="473">
        <f ca="1">IF(OR($BG$2=0,$AR560=""),,IF($AR560="本月合计",IF(ROW()=$BG$3,SUM($F$6:$F559),SUM(INDIRECT("$F$"&amp;OFFSET($AU$3,,MATCH(ROW(),$AU$3:$BF$3,)-2)+2&amp;":$E"&amp;ROW()-1))),IF($AR560="本年累计",SUMIF($AR$6:$AR560,"本月合计",$F$6:$F559),INDEX(凭证录入!K:K,$AR560))))</f>
        <v>0</v>
      </c>
      <c r="G560" s="459" t="str">
        <f t="shared" ca="1" si="122"/>
        <v/>
      </c>
      <c r="H560" s="460" t="str">
        <f t="shared" ca="1" si="122"/>
        <v/>
      </c>
      <c r="I560" s="460" t="str">
        <f t="shared" ca="1" si="122"/>
        <v/>
      </c>
      <c r="J560" s="460" t="str">
        <f t="shared" ca="1" si="122"/>
        <v/>
      </c>
      <c r="K560" s="460" t="str">
        <f t="shared" ca="1" si="122"/>
        <v/>
      </c>
      <c r="L560" s="460" t="str">
        <f t="shared" ca="1" si="122"/>
        <v/>
      </c>
      <c r="M560" s="460" t="str">
        <f t="shared" ca="1" si="122"/>
        <v/>
      </c>
      <c r="N560" s="460" t="str">
        <f t="shared" ca="1" si="122"/>
        <v/>
      </c>
      <c r="O560" s="461" t="str">
        <f t="shared" ca="1" si="122"/>
        <v/>
      </c>
      <c r="P560" s="474" t="str">
        <f t="shared" ca="1" si="122"/>
        <v/>
      </c>
      <c r="Q560" s="475" t="str">
        <f t="shared" ca="1" si="122"/>
        <v/>
      </c>
      <c r="R560" s="476">
        <f ca="1">IF(OR($BG$2=0,$AR560=""),,IF($AR560="本月合计",IF(ROW()=$BG$3,SUM($R$6:$R559),SUM(INDIRECT("$R$"&amp;OFFSET($AU$3,,MATCH(ROW(),$AU$3:$BF$3,)-2)+2&amp;":$R"&amp;ROW()-1))),IF($AR560="本年累计",SUMIF($AR$6:$AR560,"本月合计",$R$6:$R559),INDEX(凭证录入!L:L,$AR560))))</f>
        <v>0</v>
      </c>
      <c r="S560" s="459" t="str">
        <f t="shared" ca="1" si="123"/>
        <v/>
      </c>
      <c r="T560" s="460" t="str">
        <f t="shared" ca="1" si="123"/>
        <v/>
      </c>
      <c r="U560" s="460" t="str">
        <f t="shared" ca="1" si="123"/>
        <v/>
      </c>
      <c r="V560" s="460" t="str">
        <f t="shared" ca="1" si="123"/>
        <v/>
      </c>
      <c r="W560" s="460" t="str">
        <f t="shared" ca="1" si="123"/>
        <v/>
      </c>
      <c r="X560" s="460" t="str">
        <f t="shared" ca="1" si="123"/>
        <v/>
      </c>
      <c r="Y560" s="460" t="str">
        <f t="shared" ca="1" si="123"/>
        <v/>
      </c>
      <c r="Z560" s="460" t="str">
        <f t="shared" ca="1" si="123"/>
        <v/>
      </c>
      <c r="AA560" s="461" t="str">
        <f t="shared" ca="1" si="123"/>
        <v/>
      </c>
      <c r="AB560" s="474" t="str">
        <f t="shared" ca="1" si="123"/>
        <v/>
      </c>
      <c r="AC560" s="475" t="str">
        <f t="shared" ca="1" si="123"/>
        <v/>
      </c>
      <c r="AD560" s="477" t="str">
        <f t="shared" ca="1" si="116"/>
        <v/>
      </c>
      <c r="AE560" s="478">
        <f t="shared" ca="1" si="117"/>
        <v>0</v>
      </c>
      <c r="AF560" s="459" t="str">
        <f t="shared" ca="1" si="121"/>
        <v/>
      </c>
      <c r="AG560" s="460" t="str">
        <f t="shared" ca="1" si="121"/>
        <v/>
      </c>
      <c r="AH560" s="460" t="str">
        <f t="shared" ca="1" si="121"/>
        <v/>
      </c>
      <c r="AI560" s="460" t="str">
        <f t="shared" ca="1" si="121"/>
        <v/>
      </c>
      <c r="AJ560" s="460" t="str">
        <f t="shared" ca="1" si="121"/>
        <v/>
      </c>
      <c r="AK560" s="460" t="str">
        <f t="shared" ca="1" si="121"/>
        <v/>
      </c>
      <c r="AL560" s="460" t="str">
        <f t="shared" ca="1" si="121"/>
        <v/>
      </c>
      <c r="AM560" s="460" t="str">
        <f t="shared" ca="1" si="121"/>
        <v/>
      </c>
      <c r="AN560" s="461" t="str">
        <f t="shared" ca="1" si="121"/>
        <v/>
      </c>
      <c r="AO560" s="474" t="str">
        <f t="shared" ca="1" si="121"/>
        <v/>
      </c>
      <c r="AP560" s="475" t="str">
        <f t="shared" ca="1" si="121"/>
        <v/>
      </c>
      <c r="AQ560" s="479" t="str">
        <f t="array" aca="1" ref="AQ560" ca="1">IF(ROW()-5&lt;=COUNTIF(科目编号,$AR$2),SMALL(IF(科目编号=$AR$2,ROW(科目编号),""),ROW()-5),"")</f>
        <v/>
      </c>
      <c r="AR560" s="480" t="str">
        <f ca="1">IF($BG$2=0,"",IF(AR559="本月合计","本年累计",IF(OR(ROW()=$AU$3,ROW()=$AV$3,ROW()=$AW$3,ROW()=$AX$3,ROW()=$AY$3,ROW()=$AZ$3,ROW()=$BA$3,ROW()=$BB$3,ROW()=$BC$3,ROW()=$BD$3,ROW()=$BE$3,ROW()=$BF$3),"本月合计",IF(ROW()&lt;7,$AQ$6,OFFSET($AQ$6,COUNT($AR$6:AR559),0)))))</f>
        <v/>
      </c>
    </row>
    <row r="561" spans="1:44">
      <c r="A561" s="469" t="str">
        <f ca="1">IFERROR(INDEX(凭证录入!A:A,$AR561),"")</f>
        <v/>
      </c>
      <c r="B561" s="469" t="str">
        <f ca="1">IFERROR(INDEX(凭证录入!B:B,$AR561),"")</f>
        <v/>
      </c>
      <c r="C561" s="470" t="str">
        <f ca="1">IFERROR(INDEX(凭证录入!G:G,$AR561),"")</f>
        <v/>
      </c>
      <c r="D561" s="471" t="str">
        <f ca="1">IFERROR(INDEX(凭证录入!F:F,$AR561),"")</f>
        <v/>
      </c>
      <c r="E561" s="472" t="str">
        <f ca="1">IFERROR(INDEX(凭证录入!H:H,$AR561),$AR561)</f>
        <v/>
      </c>
      <c r="F561" s="473">
        <f ca="1">IF(OR($BG$2=0,$AR561=""),,IF($AR561="本月合计",IF(ROW()=$BG$3,SUM($F$6:$F560),SUM(INDIRECT("$F$"&amp;OFFSET($AU$3,,MATCH(ROW(),$AU$3:$BF$3,)-2)+2&amp;":$E"&amp;ROW()-1))),IF($AR561="本年累计",SUMIF($AR$6:$AR561,"本月合计",$F$6:$F560),INDEX(凭证录入!K:K,$AR561))))</f>
        <v>0</v>
      </c>
      <c r="G561" s="459" t="str">
        <f t="shared" ca="1" si="122"/>
        <v/>
      </c>
      <c r="H561" s="460" t="str">
        <f t="shared" ca="1" si="122"/>
        <v/>
      </c>
      <c r="I561" s="460" t="str">
        <f t="shared" ca="1" si="122"/>
        <v/>
      </c>
      <c r="J561" s="460" t="str">
        <f t="shared" ca="1" si="122"/>
        <v/>
      </c>
      <c r="K561" s="460" t="str">
        <f t="shared" ca="1" si="122"/>
        <v/>
      </c>
      <c r="L561" s="460" t="str">
        <f t="shared" ca="1" si="122"/>
        <v/>
      </c>
      <c r="M561" s="460" t="str">
        <f t="shared" ca="1" si="122"/>
        <v/>
      </c>
      <c r="N561" s="460" t="str">
        <f t="shared" ca="1" si="122"/>
        <v/>
      </c>
      <c r="O561" s="461" t="str">
        <f t="shared" ca="1" si="122"/>
        <v/>
      </c>
      <c r="P561" s="474" t="str">
        <f t="shared" ca="1" si="122"/>
        <v/>
      </c>
      <c r="Q561" s="475" t="str">
        <f t="shared" ca="1" si="122"/>
        <v/>
      </c>
      <c r="R561" s="476">
        <f ca="1">IF(OR($BG$2=0,$AR561=""),,IF($AR561="本月合计",IF(ROW()=$BG$3,SUM($R$6:$R560),SUM(INDIRECT("$R$"&amp;OFFSET($AU$3,,MATCH(ROW(),$AU$3:$BF$3,)-2)+2&amp;":$R"&amp;ROW()-1))),IF($AR561="本年累计",SUMIF($AR$6:$AR561,"本月合计",$R$6:$R560),INDEX(凭证录入!L:L,$AR561))))</f>
        <v>0</v>
      </c>
      <c r="S561" s="459" t="str">
        <f t="shared" ca="1" si="123"/>
        <v/>
      </c>
      <c r="T561" s="460" t="str">
        <f t="shared" ca="1" si="123"/>
        <v/>
      </c>
      <c r="U561" s="460" t="str">
        <f t="shared" ca="1" si="123"/>
        <v/>
      </c>
      <c r="V561" s="460" t="str">
        <f t="shared" ca="1" si="123"/>
        <v/>
      </c>
      <c r="W561" s="460" t="str">
        <f t="shared" ca="1" si="123"/>
        <v/>
      </c>
      <c r="X561" s="460" t="str">
        <f t="shared" ca="1" si="123"/>
        <v/>
      </c>
      <c r="Y561" s="460" t="str">
        <f t="shared" ca="1" si="123"/>
        <v/>
      </c>
      <c r="Z561" s="460" t="str">
        <f t="shared" ca="1" si="123"/>
        <v/>
      </c>
      <c r="AA561" s="461" t="str">
        <f t="shared" ca="1" si="123"/>
        <v/>
      </c>
      <c r="AB561" s="474" t="str">
        <f t="shared" ca="1" si="123"/>
        <v/>
      </c>
      <c r="AC561" s="475" t="str">
        <f t="shared" ca="1" si="123"/>
        <v/>
      </c>
      <c r="AD561" s="477" t="str">
        <f t="shared" ca="1" si="116"/>
        <v/>
      </c>
      <c r="AE561" s="478">
        <f t="shared" ca="1" si="117"/>
        <v>0</v>
      </c>
      <c r="AF561" s="459" t="str">
        <f t="shared" ca="1" si="121"/>
        <v/>
      </c>
      <c r="AG561" s="460" t="str">
        <f t="shared" ca="1" si="121"/>
        <v/>
      </c>
      <c r="AH561" s="460" t="str">
        <f t="shared" ca="1" si="121"/>
        <v/>
      </c>
      <c r="AI561" s="460" t="str">
        <f t="shared" ca="1" si="121"/>
        <v/>
      </c>
      <c r="AJ561" s="460" t="str">
        <f t="shared" ca="1" si="121"/>
        <v/>
      </c>
      <c r="AK561" s="460" t="str">
        <f t="shared" ca="1" si="121"/>
        <v/>
      </c>
      <c r="AL561" s="460" t="str">
        <f t="shared" ca="1" si="121"/>
        <v/>
      </c>
      <c r="AM561" s="460" t="str">
        <f t="shared" ca="1" si="121"/>
        <v/>
      </c>
      <c r="AN561" s="461" t="str">
        <f t="shared" ca="1" si="121"/>
        <v/>
      </c>
      <c r="AO561" s="474" t="str">
        <f t="shared" ca="1" si="121"/>
        <v/>
      </c>
      <c r="AP561" s="475" t="str">
        <f t="shared" ca="1" si="121"/>
        <v/>
      </c>
      <c r="AQ561" s="479" t="str">
        <f t="array" aca="1" ref="AQ561" ca="1">IF(ROW()-5&lt;=COUNTIF(科目编号,$AR$2),SMALL(IF(科目编号=$AR$2,ROW(科目编号),""),ROW()-5),"")</f>
        <v/>
      </c>
      <c r="AR561" s="480" t="str">
        <f ca="1">IF($BG$2=0,"",IF(AR560="本月合计","本年累计",IF(OR(ROW()=$AU$3,ROW()=$AV$3,ROW()=$AW$3,ROW()=$AX$3,ROW()=$AY$3,ROW()=$AZ$3,ROW()=$BA$3,ROW()=$BB$3,ROW()=$BC$3,ROW()=$BD$3,ROW()=$BE$3,ROW()=$BF$3),"本月合计",IF(ROW()&lt;7,$AQ$6,OFFSET($AQ$6,COUNT($AR$6:AR560),0)))))</f>
        <v/>
      </c>
    </row>
    <row r="562" spans="1:44">
      <c r="A562" s="469" t="str">
        <f ca="1">IFERROR(INDEX(凭证录入!A:A,$AR562),"")</f>
        <v/>
      </c>
      <c r="B562" s="469" t="str">
        <f ca="1">IFERROR(INDEX(凭证录入!B:B,$AR562),"")</f>
        <v/>
      </c>
      <c r="C562" s="470" t="str">
        <f ca="1">IFERROR(INDEX(凭证录入!G:G,$AR562),"")</f>
        <v/>
      </c>
      <c r="D562" s="471" t="str">
        <f ca="1">IFERROR(INDEX(凭证录入!F:F,$AR562),"")</f>
        <v/>
      </c>
      <c r="E562" s="472" t="str">
        <f ca="1">IFERROR(INDEX(凭证录入!H:H,$AR562),$AR562)</f>
        <v/>
      </c>
      <c r="F562" s="473">
        <f ca="1">IF(OR($BG$2=0,$AR562=""),,IF($AR562="本月合计",IF(ROW()=$BG$3,SUM($F$6:$F561),SUM(INDIRECT("$F$"&amp;OFFSET($AU$3,,MATCH(ROW(),$AU$3:$BF$3,)-2)+2&amp;":$E"&amp;ROW()-1))),IF($AR562="本年累计",SUMIF($AR$6:$AR562,"本月合计",$F$6:$F561),INDEX(凭证录入!K:K,$AR562))))</f>
        <v>0</v>
      </c>
      <c r="G562" s="459" t="str">
        <f t="shared" ca="1" si="122"/>
        <v/>
      </c>
      <c r="H562" s="460" t="str">
        <f t="shared" ca="1" si="122"/>
        <v/>
      </c>
      <c r="I562" s="460" t="str">
        <f t="shared" ca="1" si="122"/>
        <v/>
      </c>
      <c r="J562" s="460" t="str">
        <f t="shared" ca="1" si="122"/>
        <v/>
      </c>
      <c r="K562" s="460" t="str">
        <f t="shared" ca="1" si="122"/>
        <v/>
      </c>
      <c r="L562" s="460" t="str">
        <f t="shared" ca="1" si="122"/>
        <v/>
      </c>
      <c r="M562" s="460" t="str">
        <f t="shared" ca="1" si="122"/>
        <v/>
      </c>
      <c r="N562" s="460" t="str">
        <f t="shared" ca="1" si="122"/>
        <v/>
      </c>
      <c r="O562" s="461" t="str">
        <f t="shared" ca="1" si="122"/>
        <v/>
      </c>
      <c r="P562" s="474" t="str">
        <f t="shared" ca="1" si="122"/>
        <v/>
      </c>
      <c r="Q562" s="475" t="str">
        <f t="shared" ca="1" si="122"/>
        <v/>
      </c>
      <c r="R562" s="476">
        <f ca="1">IF(OR($BG$2=0,$AR562=""),,IF($AR562="本月合计",IF(ROW()=$BG$3,SUM($R$6:$R561),SUM(INDIRECT("$R$"&amp;OFFSET($AU$3,,MATCH(ROW(),$AU$3:$BF$3,)-2)+2&amp;":$R"&amp;ROW()-1))),IF($AR562="本年累计",SUMIF($AR$6:$AR562,"本月合计",$R$6:$R561),INDEX(凭证录入!L:L,$AR562))))</f>
        <v>0</v>
      </c>
      <c r="S562" s="459" t="str">
        <f t="shared" ca="1" si="123"/>
        <v/>
      </c>
      <c r="T562" s="460" t="str">
        <f t="shared" ca="1" si="123"/>
        <v/>
      </c>
      <c r="U562" s="460" t="str">
        <f t="shared" ca="1" si="123"/>
        <v/>
      </c>
      <c r="V562" s="460" t="str">
        <f t="shared" ca="1" si="123"/>
        <v/>
      </c>
      <c r="W562" s="460" t="str">
        <f t="shared" ca="1" si="123"/>
        <v/>
      </c>
      <c r="X562" s="460" t="str">
        <f t="shared" ca="1" si="123"/>
        <v/>
      </c>
      <c r="Y562" s="460" t="str">
        <f t="shared" ca="1" si="123"/>
        <v/>
      </c>
      <c r="Z562" s="460" t="str">
        <f t="shared" ca="1" si="123"/>
        <v/>
      </c>
      <c r="AA562" s="461" t="str">
        <f t="shared" ca="1" si="123"/>
        <v/>
      </c>
      <c r="AB562" s="474" t="str">
        <f t="shared" ca="1" si="123"/>
        <v/>
      </c>
      <c r="AC562" s="475" t="str">
        <f t="shared" ca="1" si="123"/>
        <v/>
      </c>
      <c r="AD562" s="477" t="str">
        <f t="shared" ca="1" si="116"/>
        <v/>
      </c>
      <c r="AE562" s="478">
        <f t="shared" ca="1" si="117"/>
        <v>0</v>
      </c>
      <c r="AF562" s="459" t="str">
        <f t="shared" ca="1" si="121"/>
        <v/>
      </c>
      <c r="AG562" s="460" t="str">
        <f t="shared" ca="1" si="121"/>
        <v/>
      </c>
      <c r="AH562" s="460" t="str">
        <f t="shared" ca="1" si="121"/>
        <v/>
      </c>
      <c r="AI562" s="460" t="str">
        <f t="shared" ca="1" si="121"/>
        <v/>
      </c>
      <c r="AJ562" s="460" t="str">
        <f t="shared" ca="1" si="121"/>
        <v/>
      </c>
      <c r="AK562" s="460" t="str">
        <f t="shared" ca="1" si="121"/>
        <v/>
      </c>
      <c r="AL562" s="460" t="str">
        <f t="shared" ca="1" si="121"/>
        <v/>
      </c>
      <c r="AM562" s="460" t="str">
        <f t="shared" ca="1" si="121"/>
        <v/>
      </c>
      <c r="AN562" s="461" t="str">
        <f t="shared" ca="1" si="121"/>
        <v/>
      </c>
      <c r="AO562" s="474" t="str">
        <f t="shared" ca="1" si="121"/>
        <v/>
      </c>
      <c r="AP562" s="475" t="str">
        <f t="shared" ca="1" si="121"/>
        <v/>
      </c>
      <c r="AQ562" s="479" t="str">
        <f t="array" aca="1" ref="AQ562" ca="1">IF(ROW()-5&lt;=COUNTIF(科目编号,$AR$2),SMALL(IF(科目编号=$AR$2,ROW(科目编号),""),ROW()-5),"")</f>
        <v/>
      </c>
      <c r="AR562" s="480" t="str">
        <f ca="1">IF($BG$2=0,"",IF(AR561="本月合计","本年累计",IF(OR(ROW()=$AU$3,ROW()=$AV$3,ROW()=$AW$3,ROW()=$AX$3,ROW()=$AY$3,ROW()=$AZ$3,ROW()=$BA$3,ROW()=$BB$3,ROW()=$BC$3,ROW()=$BD$3,ROW()=$BE$3,ROW()=$BF$3),"本月合计",IF(ROW()&lt;7,$AQ$6,OFFSET($AQ$6,COUNT($AR$6:AR561),0)))))</f>
        <v/>
      </c>
    </row>
    <row r="563" spans="1:44">
      <c r="A563" s="469" t="str">
        <f ca="1">IFERROR(INDEX(凭证录入!A:A,$AR563),"")</f>
        <v/>
      </c>
      <c r="B563" s="469" t="str">
        <f ca="1">IFERROR(INDEX(凭证录入!B:B,$AR563),"")</f>
        <v/>
      </c>
      <c r="C563" s="470" t="str">
        <f ca="1">IFERROR(INDEX(凭证录入!G:G,$AR563),"")</f>
        <v/>
      </c>
      <c r="D563" s="471" t="str">
        <f ca="1">IFERROR(INDEX(凭证录入!F:F,$AR563),"")</f>
        <v/>
      </c>
      <c r="E563" s="472" t="str">
        <f ca="1">IFERROR(INDEX(凭证录入!H:H,$AR563),$AR563)</f>
        <v/>
      </c>
      <c r="F563" s="473">
        <f ca="1">IF(OR($BG$2=0,$AR563=""),,IF($AR563="本月合计",IF(ROW()=$BG$3,SUM($F$6:$F562),SUM(INDIRECT("$F$"&amp;OFFSET($AU$3,,MATCH(ROW(),$AU$3:$BF$3,)-2)+2&amp;":$E"&amp;ROW()-1))),IF($AR563="本年累计",SUMIF($AR$6:$AR563,"本月合计",$F$6:$F562),INDEX(凭证录入!K:K,$AR563))))</f>
        <v>0</v>
      </c>
      <c r="G563" s="459" t="str">
        <f t="shared" ca="1" si="122"/>
        <v/>
      </c>
      <c r="H563" s="460" t="str">
        <f t="shared" ca="1" si="122"/>
        <v/>
      </c>
      <c r="I563" s="460" t="str">
        <f t="shared" ca="1" si="122"/>
        <v/>
      </c>
      <c r="J563" s="460" t="str">
        <f t="shared" ca="1" si="122"/>
        <v/>
      </c>
      <c r="K563" s="460" t="str">
        <f t="shared" ca="1" si="122"/>
        <v/>
      </c>
      <c r="L563" s="460" t="str">
        <f t="shared" ca="1" si="122"/>
        <v/>
      </c>
      <c r="M563" s="460" t="str">
        <f t="shared" ca="1" si="122"/>
        <v/>
      </c>
      <c r="N563" s="460" t="str">
        <f t="shared" ca="1" si="122"/>
        <v/>
      </c>
      <c r="O563" s="461" t="str">
        <f t="shared" ca="1" si="122"/>
        <v/>
      </c>
      <c r="P563" s="474" t="str">
        <f t="shared" ca="1" si="122"/>
        <v/>
      </c>
      <c r="Q563" s="475" t="str">
        <f t="shared" ca="1" si="122"/>
        <v/>
      </c>
      <c r="R563" s="476">
        <f ca="1">IF(OR($BG$2=0,$AR563=""),,IF($AR563="本月合计",IF(ROW()=$BG$3,SUM($R$6:$R562),SUM(INDIRECT("$R$"&amp;OFFSET($AU$3,,MATCH(ROW(),$AU$3:$BF$3,)-2)+2&amp;":$R"&amp;ROW()-1))),IF($AR563="本年累计",SUMIF($AR$6:$AR563,"本月合计",$R$6:$R562),INDEX(凭证录入!L:L,$AR563))))</f>
        <v>0</v>
      </c>
      <c r="S563" s="459" t="str">
        <f t="shared" ca="1" si="123"/>
        <v/>
      </c>
      <c r="T563" s="460" t="str">
        <f t="shared" ca="1" si="123"/>
        <v/>
      </c>
      <c r="U563" s="460" t="str">
        <f t="shared" ca="1" si="123"/>
        <v/>
      </c>
      <c r="V563" s="460" t="str">
        <f t="shared" ca="1" si="123"/>
        <v/>
      </c>
      <c r="W563" s="460" t="str">
        <f t="shared" ca="1" si="123"/>
        <v/>
      </c>
      <c r="X563" s="460" t="str">
        <f t="shared" ca="1" si="123"/>
        <v/>
      </c>
      <c r="Y563" s="460" t="str">
        <f t="shared" ca="1" si="123"/>
        <v/>
      </c>
      <c r="Z563" s="460" t="str">
        <f t="shared" ca="1" si="123"/>
        <v/>
      </c>
      <c r="AA563" s="461" t="str">
        <f t="shared" ca="1" si="123"/>
        <v/>
      </c>
      <c r="AB563" s="474" t="str">
        <f t="shared" ca="1" si="123"/>
        <v/>
      </c>
      <c r="AC563" s="475" t="str">
        <f t="shared" ca="1" si="123"/>
        <v/>
      </c>
      <c r="AD563" s="477" t="str">
        <f t="shared" ca="1" si="116"/>
        <v/>
      </c>
      <c r="AE563" s="478">
        <f t="shared" ca="1" si="117"/>
        <v>0</v>
      </c>
      <c r="AF563" s="459" t="str">
        <f t="shared" ca="1" si="121"/>
        <v/>
      </c>
      <c r="AG563" s="460" t="str">
        <f t="shared" ca="1" si="121"/>
        <v/>
      </c>
      <c r="AH563" s="460" t="str">
        <f t="shared" ca="1" si="121"/>
        <v/>
      </c>
      <c r="AI563" s="460" t="str">
        <f t="shared" ca="1" si="121"/>
        <v/>
      </c>
      <c r="AJ563" s="460" t="str">
        <f t="shared" ca="1" si="121"/>
        <v/>
      </c>
      <c r="AK563" s="460" t="str">
        <f t="shared" ca="1" si="121"/>
        <v/>
      </c>
      <c r="AL563" s="460" t="str">
        <f t="shared" ca="1" si="121"/>
        <v/>
      </c>
      <c r="AM563" s="460" t="str">
        <f t="shared" ca="1" si="121"/>
        <v/>
      </c>
      <c r="AN563" s="461" t="str">
        <f t="shared" ca="1" si="121"/>
        <v/>
      </c>
      <c r="AO563" s="474" t="str">
        <f t="shared" ca="1" si="121"/>
        <v/>
      </c>
      <c r="AP563" s="475" t="str">
        <f t="shared" ca="1" si="121"/>
        <v/>
      </c>
      <c r="AQ563" s="479" t="str">
        <f t="array" aca="1" ref="AQ563" ca="1">IF(ROW()-5&lt;=COUNTIF(科目编号,$AR$2),SMALL(IF(科目编号=$AR$2,ROW(科目编号),""),ROW()-5),"")</f>
        <v/>
      </c>
      <c r="AR563" s="480" t="str">
        <f ca="1">IF($BG$2=0,"",IF(AR562="本月合计","本年累计",IF(OR(ROW()=$AU$3,ROW()=$AV$3,ROW()=$AW$3,ROW()=$AX$3,ROW()=$AY$3,ROW()=$AZ$3,ROW()=$BA$3,ROW()=$BB$3,ROW()=$BC$3,ROW()=$BD$3,ROW()=$BE$3,ROW()=$BF$3),"本月合计",IF(ROW()&lt;7,$AQ$6,OFFSET($AQ$6,COUNT($AR$6:AR562),0)))))</f>
        <v/>
      </c>
    </row>
    <row r="564" spans="1:44">
      <c r="A564" s="469" t="str">
        <f ca="1">IFERROR(INDEX(凭证录入!A:A,$AR564),"")</f>
        <v/>
      </c>
      <c r="B564" s="469" t="str">
        <f ca="1">IFERROR(INDEX(凭证录入!B:B,$AR564),"")</f>
        <v/>
      </c>
      <c r="C564" s="470" t="str">
        <f ca="1">IFERROR(INDEX(凭证录入!G:G,$AR564),"")</f>
        <v/>
      </c>
      <c r="D564" s="471" t="str">
        <f ca="1">IFERROR(INDEX(凭证录入!F:F,$AR564),"")</f>
        <v/>
      </c>
      <c r="E564" s="472" t="str">
        <f ca="1">IFERROR(INDEX(凭证录入!H:H,$AR564),$AR564)</f>
        <v/>
      </c>
      <c r="F564" s="473">
        <f ca="1">IF(OR($BG$2=0,$AR564=""),,IF($AR564="本月合计",IF(ROW()=$BG$3,SUM($F$6:$F563),SUM(INDIRECT("$F$"&amp;OFFSET($AU$3,,MATCH(ROW(),$AU$3:$BF$3,)-2)+2&amp;":$E"&amp;ROW()-1))),IF($AR564="本年累计",SUMIF($AR$6:$AR564,"本月合计",$F$6:$F563),INDEX(凭证录入!K:K,$AR564))))</f>
        <v>0</v>
      </c>
      <c r="G564" s="459" t="str">
        <f t="shared" ca="1" si="122"/>
        <v/>
      </c>
      <c r="H564" s="460" t="str">
        <f t="shared" ca="1" si="122"/>
        <v/>
      </c>
      <c r="I564" s="460" t="str">
        <f t="shared" ca="1" si="122"/>
        <v/>
      </c>
      <c r="J564" s="460" t="str">
        <f t="shared" ca="1" si="122"/>
        <v/>
      </c>
      <c r="K564" s="460" t="str">
        <f t="shared" ca="1" si="122"/>
        <v/>
      </c>
      <c r="L564" s="460" t="str">
        <f t="shared" ca="1" si="122"/>
        <v/>
      </c>
      <c r="M564" s="460" t="str">
        <f t="shared" ca="1" si="122"/>
        <v/>
      </c>
      <c r="N564" s="460" t="str">
        <f t="shared" ca="1" si="122"/>
        <v/>
      </c>
      <c r="O564" s="461" t="str">
        <f t="shared" ca="1" si="122"/>
        <v/>
      </c>
      <c r="P564" s="474" t="str">
        <f t="shared" ca="1" si="122"/>
        <v/>
      </c>
      <c r="Q564" s="475" t="str">
        <f t="shared" ca="1" si="122"/>
        <v/>
      </c>
      <c r="R564" s="476">
        <f ca="1">IF(OR($BG$2=0,$AR564=""),,IF($AR564="本月合计",IF(ROW()=$BG$3,SUM($R$6:$R563),SUM(INDIRECT("$R$"&amp;OFFSET($AU$3,,MATCH(ROW(),$AU$3:$BF$3,)-2)+2&amp;":$R"&amp;ROW()-1))),IF($AR564="本年累计",SUMIF($AR$6:$AR564,"本月合计",$R$6:$R563),INDEX(凭证录入!L:L,$AR564))))</f>
        <v>0</v>
      </c>
      <c r="S564" s="459" t="str">
        <f t="shared" ca="1" si="123"/>
        <v/>
      </c>
      <c r="T564" s="460" t="str">
        <f t="shared" ca="1" si="123"/>
        <v/>
      </c>
      <c r="U564" s="460" t="str">
        <f t="shared" ca="1" si="123"/>
        <v/>
      </c>
      <c r="V564" s="460" t="str">
        <f t="shared" ca="1" si="123"/>
        <v/>
      </c>
      <c r="W564" s="460" t="str">
        <f t="shared" ca="1" si="123"/>
        <v/>
      </c>
      <c r="X564" s="460" t="str">
        <f t="shared" ca="1" si="123"/>
        <v/>
      </c>
      <c r="Y564" s="460" t="str">
        <f t="shared" ca="1" si="123"/>
        <v/>
      </c>
      <c r="Z564" s="460" t="str">
        <f t="shared" ca="1" si="123"/>
        <v/>
      </c>
      <c r="AA564" s="461" t="str">
        <f t="shared" ca="1" si="123"/>
        <v/>
      </c>
      <c r="AB564" s="474" t="str">
        <f t="shared" ca="1" si="123"/>
        <v/>
      </c>
      <c r="AC564" s="475" t="str">
        <f t="shared" ca="1" si="123"/>
        <v/>
      </c>
      <c r="AD564" s="477" t="str">
        <f t="shared" ca="1" si="116"/>
        <v/>
      </c>
      <c r="AE564" s="478">
        <f t="shared" ca="1" si="117"/>
        <v>0</v>
      </c>
      <c r="AF564" s="459" t="str">
        <f t="shared" ca="1" si="121"/>
        <v/>
      </c>
      <c r="AG564" s="460" t="str">
        <f t="shared" ca="1" si="121"/>
        <v/>
      </c>
      <c r="AH564" s="460" t="str">
        <f t="shared" ca="1" si="121"/>
        <v/>
      </c>
      <c r="AI564" s="460" t="str">
        <f t="shared" ca="1" si="121"/>
        <v/>
      </c>
      <c r="AJ564" s="460" t="str">
        <f t="shared" ca="1" si="121"/>
        <v/>
      </c>
      <c r="AK564" s="460" t="str">
        <f t="shared" ca="1" si="121"/>
        <v/>
      </c>
      <c r="AL564" s="460" t="str">
        <f t="shared" ca="1" si="121"/>
        <v/>
      </c>
      <c r="AM564" s="460" t="str">
        <f t="shared" ca="1" si="121"/>
        <v/>
      </c>
      <c r="AN564" s="461" t="str">
        <f t="shared" ca="1" si="121"/>
        <v/>
      </c>
      <c r="AO564" s="474" t="str">
        <f t="shared" ca="1" si="121"/>
        <v/>
      </c>
      <c r="AP564" s="475" t="str">
        <f t="shared" ca="1" si="121"/>
        <v/>
      </c>
      <c r="AQ564" s="479" t="str">
        <f t="array" aca="1" ref="AQ564" ca="1">IF(ROW()-5&lt;=COUNTIF(科目编号,$AR$2),SMALL(IF(科目编号=$AR$2,ROW(科目编号),""),ROW()-5),"")</f>
        <v/>
      </c>
      <c r="AR564" s="480" t="str">
        <f ca="1">IF($BG$2=0,"",IF(AR563="本月合计","本年累计",IF(OR(ROW()=$AU$3,ROW()=$AV$3,ROW()=$AW$3,ROW()=$AX$3,ROW()=$AY$3,ROW()=$AZ$3,ROW()=$BA$3,ROW()=$BB$3,ROW()=$BC$3,ROW()=$BD$3,ROW()=$BE$3,ROW()=$BF$3),"本月合计",IF(ROW()&lt;7,$AQ$6,OFFSET($AQ$6,COUNT($AR$6:AR563),0)))))</f>
        <v/>
      </c>
    </row>
    <row r="565" spans="1:44">
      <c r="A565" s="469" t="str">
        <f ca="1">IFERROR(INDEX(凭证录入!A:A,$AR565),"")</f>
        <v/>
      </c>
      <c r="B565" s="469" t="str">
        <f ca="1">IFERROR(INDEX(凭证录入!B:B,$AR565),"")</f>
        <v/>
      </c>
      <c r="C565" s="470" t="str">
        <f ca="1">IFERROR(INDEX(凭证录入!G:G,$AR565),"")</f>
        <v/>
      </c>
      <c r="D565" s="471" t="str">
        <f ca="1">IFERROR(INDEX(凭证录入!F:F,$AR565),"")</f>
        <v/>
      </c>
      <c r="E565" s="472" t="str">
        <f ca="1">IFERROR(INDEX(凭证录入!H:H,$AR565),$AR565)</f>
        <v/>
      </c>
      <c r="F565" s="473">
        <f ca="1">IF(OR($BG$2=0,$AR565=""),,IF($AR565="本月合计",IF(ROW()=$BG$3,SUM($F$6:$F564),SUM(INDIRECT("$F$"&amp;OFFSET($AU$3,,MATCH(ROW(),$AU$3:$BF$3,)-2)+2&amp;":$E"&amp;ROW()-1))),IF($AR565="本年累计",SUMIF($AR$6:$AR565,"本月合计",$F$6:$F564),INDEX(凭证录入!K:K,$AR565))))</f>
        <v>0</v>
      </c>
      <c r="G565" s="459" t="str">
        <f t="shared" ca="1" si="122"/>
        <v/>
      </c>
      <c r="H565" s="460" t="str">
        <f t="shared" ca="1" si="122"/>
        <v/>
      </c>
      <c r="I565" s="460" t="str">
        <f t="shared" ca="1" si="122"/>
        <v/>
      </c>
      <c r="J565" s="460" t="str">
        <f t="shared" ca="1" si="122"/>
        <v/>
      </c>
      <c r="K565" s="460" t="str">
        <f t="shared" ca="1" si="122"/>
        <v/>
      </c>
      <c r="L565" s="460" t="str">
        <f t="shared" ca="1" si="122"/>
        <v/>
      </c>
      <c r="M565" s="460" t="str">
        <f t="shared" ca="1" si="122"/>
        <v/>
      </c>
      <c r="N565" s="460" t="str">
        <f t="shared" ca="1" si="122"/>
        <v/>
      </c>
      <c r="O565" s="461" t="str">
        <f t="shared" ca="1" si="122"/>
        <v/>
      </c>
      <c r="P565" s="474" t="str">
        <f t="shared" ca="1" si="122"/>
        <v/>
      </c>
      <c r="Q565" s="475" t="str">
        <f t="shared" ca="1" si="122"/>
        <v/>
      </c>
      <c r="R565" s="476">
        <f ca="1">IF(OR($BG$2=0,$AR565=""),,IF($AR565="本月合计",IF(ROW()=$BG$3,SUM($R$6:$R564),SUM(INDIRECT("$R$"&amp;OFFSET($AU$3,,MATCH(ROW(),$AU$3:$BF$3,)-2)+2&amp;":$R"&amp;ROW()-1))),IF($AR565="本年累计",SUMIF($AR$6:$AR565,"本月合计",$R$6:$R564),INDEX(凭证录入!L:L,$AR565))))</f>
        <v>0</v>
      </c>
      <c r="S565" s="459" t="str">
        <f t="shared" ca="1" si="123"/>
        <v/>
      </c>
      <c r="T565" s="460" t="str">
        <f t="shared" ca="1" si="123"/>
        <v/>
      </c>
      <c r="U565" s="460" t="str">
        <f t="shared" ca="1" si="123"/>
        <v/>
      </c>
      <c r="V565" s="460" t="str">
        <f t="shared" ca="1" si="123"/>
        <v/>
      </c>
      <c r="W565" s="460" t="str">
        <f t="shared" ca="1" si="123"/>
        <v/>
      </c>
      <c r="X565" s="460" t="str">
        <f t="shared" ca="1" si="123"/>
        <v/>
      </c>
      <c r="Y565" s="460" t="str">
        <f t="shared" ca="1" si="123"/>
        <v/>
      </c>
      <c r="Z565" s="460" t="str">
        <f t="shared" ca="1" si="123"/>
        <v/>
      </c>
      <c r="AA565" s="461" t="str">
        <f t="shared" ca="1" si="123"/>
        <v/>
      </c>
      <c r="AB565" s="474" t="str">
        <f t="shared" ca="1" si="123"/>
        <v/>
      </c>
      <c r="AC565" s="475" t="str">
        <f t="shared" ca="1" si="123"/>
        <v/>
      </c>
      <c r="AD565" s="477" t="str">
        <f t="shared" ca="1" si="116"/>
        <v/>
      </c>
      <c r="AE565" s="478">
        <f t="shared" ca="1" si="117"/>
        <v>0</v>
      </c>
      <c r="AF565" s="459" t="str">
        <f t="shared" ref="AF565:AP580" ca="1" si="124">LEFT(RIGHT(TEXT($AE565/1%," ￥0; ￥-0;"),43-COLUMN()))</f>
        <v/>
      </c>
      <c r="AG565" s="460" t="str">
        <f t="shared" ca="1" si="124"/>
        <v/>
      </c>
      <c r="AH565" s="460" t="str">
        <f t="shared" ca="1" si="124"/>
        <v/>
      </c>
      <c r="AI565" s="460" t="str">
        <f t="shared" ca="1" si="124"/>
        <v/>
      </c>
      <c r="AJ565" s="460" t="str">
        <f t="shared" ca="1" si="124"/>
        <v/>
      </c>
      <c r="AK565" s="460" t="str">
        <f t="shared" ca="1" si="124"/>
        <v/>
      </c>
      <c r="AL565" s="460" t="str">
        <f t="shared" ca="1" si="124"/>
        <v/>
      </c>
      <c r="AM565" s="460" t="str">
        <f t="shared" ca="1" si="124"/>
        <v/>
      </c>
      <c r="AN565" s="461" t="str">
        <f t="shared" ca="1" si="124"/>
        <v/>
      </c>
      <c r="AO565" s="474" t="str">
        <f t="shared" ca="1" si="124"/>
        <v/>
      </c>
      <c r="AP565" s="475" t="str">
        <f t="shared" ca="1" si="124"/>
        <v/>
      </c>
      <c r="AQ565" s="479" t="str">
        <f t="array" aca="1" ref="AQ565" ca="1">IF(ROW()-5&lt;=COUNTIF(科目编号,$AR$2),SMALL(IF(科目编号=$AR$2,ROW(科目编号),""),ROW()-5),"")</f>
        <v/>
      </c>
      <c r="AR565" s="480" t="str">
        <f ca="1">IF($BG$2=0,"",IF(AR564="本月合计","本年累计",IF(OR(ROW()=$AU$3,ROW()=$AV$3,ROW()=$AW$3,ROW()=$AX$3,ROW()=$AY$3,ROW()=$AZ$3,ROW()=$BA$3,ROW()=$BB$3,ROW()=$BC$3,ROW()=$BD$3,ROW()=$BE$3,ROW()=$BF$3),"本月合计",IF(ROW()&lt;7,$AQ$6,OFFSET($AQ$6,COUNT($AR$6:AR564),0)))))</f>
        <v/>
      </c>
    </row>
    <row r="566" spans="1:44">
      <c r="A566" s="469" t="str">
        <f ca="1">IFERROR(INDEX(凭证录入!A:A,$AR566),"")</f>
        <v/>
      </c>
      <c r="B566" s="469" t="str">
        <f ca="1">IFERROR(INDEX(凭证录入!B:B,$AR566),"")</f>
        <v/>
      </c>
      <c r="C566" s="470" t="str">
        <f ca="1">IFERROR(INDEX(凭证录入!G:G,$AR566),"")</f>
        <v/>
      </c>
      <c r="D566" s="471" t="str">
        <f ca="1">IFERROR(INDEX(凭证录入!F:F,$AR566),"")</f>
        <v/>
      </c>
      <c r="E566" s="472" t="str">
        <f ca="1">IFERROR(INDEX(凭证录入!H:H,$AR566),$AR566)</f>
        <v/>
      </c>
      <c r="F566" s="473">
        <f ca="1">IF(OR($BG$2=0,$AR566=""),,IF($AR566="本月合计",IF(ROW()=$BG$3,SUM($F$6:$F565),SUM(INDIRECT("$F$"&amp;OFFSET($AU$3,,MATCH(ROW(),$AU$3:$BF$3,)-2)+2&amp;":$E"&amp;ROW()-1))),IF($AR566="本年累计",SUMIF($AR$6:$AR566,"本月合计",$F$6:$F565),INDEX(凭证录入!K:K,$AR566))))</f>
        <v>0</v>
      </c>
      <c r="G566" s="459" t="str">
        <f t="shared" ref="G566:Q581" ca="1" si="125">LEFT(RIGHT(TEXT($F566/1%," ￥0; ￥-0;"),18-COLUMN()))</f>
        <v/>
      </c>
      <c r="H566" s="460" t="str">
        <f t="shared" ca="1" si="125"/>
        <v/>
      </c>
      <c r="I566" s="460" t="str">
        <f t="shared" ca="1" si="125"/>
        <v/>
      </c>
      <c r="J566" s="460" t="str">
        <f t="shared" ca="1" si="125"/>
        <v/>
      </c>
      <c r="K566" s="460" t="str">
        <f t="shared" ca="1" si="125"/>
        <v/>
      </c>
      <c r="L566" s="460" t="str">
        <f t="shared" ca="1" si="125"/>
        <v/>
      </c>
      <c r="M566" s="460" t="str">
        <f t="shared" ca="1" si="125"/>
        <v/>
      </c>
      <c r="N566" s="460" t="str">
        <f t="shared" ca="1" si="125"/>
        <v/>
      </c>
      <c r="O566" s="461" t="str">
        <f t="shared" ca="1" si="125"/>
        <v/>
      </c>
      <c r="P566" s="474" t="str">
        <f t="shared" ca="1" si="125"/>
        <v/>
      </c>
      <c r="Q566" s="475" t="str">
        <f t="shared" ca="1" si="125"/>
        <v/>
      </c>
      <c r="R566" s="476">
        <f ca="1">IF(OR($BG$2=0,$AR566=""),,IF($AR566="本月合计",IF(ROW()=$BG$3,SUM($R$6:$R565),SUM(INDIRECT("$R$"&amp;OFFSET($AU$3,,MATCH(ROW(),$AU$3:$BF$3,)-2)+2&amp;":$R"&amp;ROW()-1))),IF($AR566="本年累计",SUMIF($AR$6:$AR566,"本月合计",$R$6:$R565),INDEX(凭证录入!L:L,$AR566))))</f>
        <v>0</v>
      </c>
      <c r="S566" s="459" t="str">
        <f t="shared" ref="S566:AC581" ca="1" si="126">LEFT(RIGHT(TEXT($R566/1%," ￥0; ￥-0;"),30-COLUMN()))</f>
        <v/>
      </c>
      <c r="T566" s="460" t="str">
        <f t="shared" ca="1" si="126"/>
        <v/>
      </c>
      <c r="U566" s="460" t="str">
        <f t="shared" ca="1" si="126"/>
        <v/>
      </c>
      <c r="V566" s="460" t="str">
        <f t="shared" ca="1" si="126"/>
        <v/>
      </c>
      <c r="W566" s="460" t="str">
        <f t="shared" ca="1" si="126"/>
        <v/>
      </c>
      <c r="X566" s="460" t="str">
        <f t="shared" ca="1" si="126"/>
        <v/>
      </c>
      <c r="Y566" s="460" t="str">
        <f t="shared" ca="1" si="126"/>
        <v/>
      </c>
      <c r="Z566" s="460" t="str">
        <f t="shared" ca="1" si="126"/>
        <v/>
      </c>
      <c r="AA566" s="461" t="str">
        <f t="shared" ca="1" si="126"/>
        <v/>
      </c>
      <c r="AB566" s="474" t="str">
        <f t="shared" ca="1" si="126"/>
        <v/>
      </c>
      <c r="AC566" s="475" t="str">
        <f t="shared" ca="1" si="126"/>
        <v/>
      </c>
      <c r="AD566" s="477" t="str">
        <f t="shared" ca="1" si="116"/>
        <v/>
      </c>
      <c r="AE566" s="478">
        <f t="shared" ca="1" si="117"/>
        <v>0</v>
      </c>
      <c r="AF566" s="459" t="str">
        <f t="shared" ca="1" si="124"/>
        <v/>
      </c>
      <c r="AG566" s="460" t="str">
        <f t="shared" ca="1" si="124"/>
        <v/>
      </c>
      <c r="AH566" s="460" t="str">
        <f t="shared" ca="1" si="124"/>
        <v/>
      </c>
      <c r="AI566" s="460" t="str">
        <f t="shared" ca="1" si="124"/>
        <v/>
      </c>
      <c r="AJ566" s="460" t="str">
        <f t="shared" ca="1" si="124"/>
        <v/>
      </c>
      <c r="AK566" s="460" t="str">
        <f t="shared" ca="1" si="124"/>
        <v/>
      </c>
      <c r="AL566" s="460" t="str">
        <f t="shared" ca="1" si="124"/>
        <v/>
      </c>
      <c r="AM566" s="460" t="str">
        <f t="shared" ca="1" si="124"/>
        <v/>
      </c>
      <c r="AN566" s="461" t="str">
        <f t="shared" ca="1" si="124"/>
        <v/>
      </c>
      <c r="AO566" s="474" t="str">
        <f t="shared" ca="1" si="124"/>
        <v/>
      </c>
      <c r="AP566" s="475" t="str">
        <f t="shared" ca="1" si="124"/>
        <v/>
      </c>
      <c r="AQ566" s="479" t="str">
        <f t="array" aca="1" ref="AQ566" ca="1">IF(ROW()-5&lt;=COUNTIF(科目编号,$AR$2),SMALL(IF(科目编号=$AR$2,ROW(科目编号),""),ROW()-5),"")</f>
        <v/>
      </c>
      <c r="AR566" s="480" t="str">
        <f ca="1">IF($BG$2=0,"",IF(AR565="本月合计","本年累计",IF(OR(ROW()=$AU$3,ROW()=$AV$3,ROW()=$AW$3,ROW()=$AX$3,ROW()=$AY$3,ROW()=$AZ$3,ROW()=$BA$3,ROW()=$BB$3,ROW()=$BC$3,ROW()=$BD$3,ROW()=$BE$3,ROW()=$BF$3),"本月合计",IF(ROW()&lt;7,$AQ$6,OFFSET($AQ$6,COUNT($AR$6:AR565),0)))))</f>
        <v/>
      </c>
    </row>
    <row r="567" spans="1:44">
      <c r="A567" s="469" t="str">
        <f ca="1">IFERROR(INDEX(凭证录入!A:A,$AR567),"")</f>
        <v/>
      </c>
      <c r="B567" s="469" t="str">
        <f ca="1">IFERROR(INDEX(凭证录入!B:B,$AR567),"")</f>
        <v/>
      </c>
      <c r="C567" s="470" t="str">
        <f ca="1">IFERROR(INDEX(凭证录入!G:G,$AR567),"")</f>
        <v/>
      </c>
      <c r="D567" s="471" t="str">
        <f ca="1">IFERROR(INDEX(凭证录入!F:F,$AR567),"")</f>
        <v/>
      </c>
      <c r="E567" s="472" t="str">
        <f ca="1">IFERROR(INDEX(凭证录入!H:H,$AR567),$AR567)</f>
        <v/>
      </c>
      <c r="F567" s="473">
        <f ca="1">IF(OR($BG$2=0,$AR567=""),,IF($AR567="本月合计",IF(ROW()=$BG$3,SUM($F$6:$F566),SUM(INDIRECT("$F$"&amp;OFFSET($AU$3,,MATCH(ROW(),$AU$3:$BF$3,)-2)+2&amp;":$E"&amp;ROW()-1))),IF($AR567="本年累计",SUMIF($AR$6:$AR567,"本月合计",$F$6:$F566),INDEX(凭证录入!K:K,$AR567))))</f>
        <v>0</v>
      </c>
      <c r="G567" s="459" t="str">
        <f t="shared" ca="1" si="125"/>
        <v/>
      </c>
      <c r="H567" s="460" t="str">
        <f t="shared" ca="1" si="125"/>
        <v/>
      </c>
      <c r="I567" s="460" t="str">
        <f t="shared" ca="1" si="125"/>
        <v/>
      </c>
      <c r="J567" s="460" t="str">
        <f t="shared" ca="1" si="125"/>
        <v/>
      </c>
      <c r="K567" s="460" t="str">
        <f t="shared" ca="1" si="125"/>
        <v/>
      </c>
      <c r="L567" s="460" t="str">
        <f t="shared" ca="1" si="125"/>
        <v/>
      </c>
      <c r="M567" s="460" t="str">
        <f t="shared" ca="1" si="125"/>
        <v/>
      </c>
      <c r="N567" s="460" t="str">
        <f t="shared" ca="1" si="125"/>
        <v/>
      </c>
      <c r="O567" s="461" t="str">
        <f t="shared" ca="1" si="125"/>
        <v/>
      </c>
      <c r="P567" s="474" t="str">
        <f t="shared" ca="1" si="125"/>
        <v/>
      </c>
      <c r="Q567" s="475" t="str">
        <f t="shared" ca="1" si="125"/>
        <v/>
      </c>
      <c r="R567" s="476">
        <f ca="1">IF(OR($BG$2=0,$AR567=""),,IF($AR567="本月合计",IF(ROW()=$BG$3,SUM($R$6:$R566),SUM(INDIRECT("$R$"&amp;OFFSET($AU$3,,MATCH(ROW(),$AU$3:$BF$3,)-2)+2&amp;":$R"&amp;ROW()-1))),IF($AR567="本年累计",SUMIF($AR$6:$AR567,"本月合计",$R$6:$R566),INDEX(凭证录入!L:L,$AR567))))</f>
        <v>0</v>
      </c>
      <c r="S567" s="459" t="str">
        <f t="shared" ca="1" si="126"/>
        <v/>
      </c>
      <c r="T567" s="460" t="str">
        <f t="shared" ca="1" si="126"/>
        <v/>
      </c>
      <c r="U567" s="460" t="str">
        <f t="shared" ca="1" si="126"/>
        <v/>
      </c>
      <c r="V567" s="460" t="str">
        <f t="shared" ca="1" si="126"/>
        <v/>
      </c>
      <c r="W567" s="460" t="str">
        <f t="shared" ca="1" si="126"/>
        <v/>
      </c>
      <c r="X567" s="460" t="str">
        <f t="shared" ca="1" si="126"/>
        <v/>
      </c>
      <c r="Y567" s="460" t="str">
        <f t="shared" ca="1" si="126"/>
        <v/>
      </c>
      <c r="Z567" s="460" t="str">
        <f t="shared" ca="1" si="126"/>
        <v/>
      </c>
      <c r="AA567" s="461" t="str">
        <f t="shared" ca="1" si="126"/>
        <v/>
      </c>
      <c r="AB567" s="474" t="str">
        <f t="shared" ca="1" si="126"/>
        <v/>
      </c>
      <c r="AC567" s="475" t="str">
        <f t="shared" ca="1" si="126"/>
        <v/>
      </c>
      <c r="AD567" s="477" t="str">
        <f t="shared" ca="1" si="116"/>
        <v/>
      </c>
      <c r="AE567" s="478">
        <f t="shared" ca="1" si="117"/>
        <v>0</v>
      </c>
      <c r="AF567" s="459" t="str">
        <f t="shared" ca="1" si="124"/>
        <v/>
      </c>
      <c r="AG567" s="460" t="str">
        <f t="shared" ca="1" si="124"/>
        <v/>
      </c>
      <c r="AH567" s="460" t="str">
        <f t="shared" ca="1" si="124"/>
        <v/>
      </c>
      <c r="AI567" s="460" t="str">
        <f t="shared" ca="1" si="124"/>
        <v/>
      </c>
      <c r="AJ567" s="460" t="str">
        <f t="shared" ca="1" si="124"/>
        <v/>
      </c>
      <c r="AK567" s="460" t="str">
        <f t="shared" ca="1" si="124"/>
        <v/>
      </c>
      <c r="AL567" s="460" t="str">
        <f t="shared" ca="1" si="124"/>
        <v/>
      </c>
      <c r="AM567" s="460" t="str">
        <f t="shared" ca="1" si="124"/>
        <v/>
      </c>
      <c r="AN567" s="461" t="str">
        <f t="shared" ca="1" si="124"/>
        <v/>
      </c>
      <c r="AO567" s="474" t="str">
        <f t="shared" ca="1" si="124"/>
        <v/>
      </c>
      <c r="AP567" s="475" t="str">
        <f t="shared" ca="1" si="124"/>
        <v/>
      </c>
      <c r="AQ567" s="479" t="str">
        <f t="array" aca="1" ref="AQ567" ca="1">IF(ROW()-5&lt;=COUNTIF(科目编号,$AR$2),SMALL(IF(科目编号=$AR$2,ROW(科目编号),""),ROW()-5),"")</f>
        <v/>
      </c>
      <c r="AR567" s="480" t="str">
        <f ca="1">IF($BG$2=0,"",IF(AR566="本月合计","本年累计",IF(OR(ROW()=$AU$3,ROW()=$AV$3,ROW()=$AW$3,ROW()=$AX$3,ROW()=$AY$3,ROW()=$AZ$3,ROW()=$BA$3,ROW()=$BB$3,ROW()=$BC$3,ROW()=$BD$3,ROW()=$BE$3,ROW()=$BF$3),"本月合计",IF(ROW()&lt;7,$AQ$6,OFFSET($AQ$6,COUNT($AR$6:AR566),0)))))</f>
        <v/>
      </c>
    </row>
    <row r="568" spans="1:44">
      <c r="A568" s="469" t="str">
        <f ca="1">IFERROR(INDEX(凭证录入!A:A,$AR568),"")</f>
        <v/>
      </c>
      <c r="B568" s="469" t="str">
        <f ca="1">IFERROR(INDEX(凭证录入!B:B,$AR568),"")</f>
        <v/>
      </c>
      <c r="C568" s="470" t="str">
        <f ca="1">IFERROR(INDEX(凭证录入!G:G,$AR568),"")</f>
        <v/>
      </c>
      <c r="D568" s="471" t="str">
        <f ca="1">IFERROR(INDEX(凭证录入!F:F,$AR568),"")</f>
        <v/>
      </c>
      <c r="E568" s="472" t="str">
        <f ca="1">IFERROR(INDEX(凭证录入!H:H,$AR568),$AR568)</f>
        <v/>
      </c>
      <c r="F568" s="473">
        <f ca="1">IF(OR($BG$2=0,$AR568=""),,IF($AR568="本月合计",IF(ROW()=$BG$3,SUM($F$6:$F567),SUM(INDIRECT("$F$"&amp;OFFSET($AU$3,,MATCH(ROW(),$AU$3:$BF$3,)-2)+2&amp;":$E"&amp;ROW()-1))),IF($AR568="本年累计",SUMIF($AR$6:$AR568,"本月合计",$F$6:$F567),INDEX(凭证录入!K:K,$AR568))))</f>
        <v>0</v>
      </c>
      <c r="G568" s="459" t="str">
        <f t="shared" ca="1" si="125"/>
        <v/>
      </c>
      <c r="H568" s="460" t="str">
        <f t="shared" ca="1" si="125"/>
        <v/>
      </c>
      <c r="I568" s="460" t="str">
        <f t="shared" ca="1" si="125"/>
        <v/>
      </c>
      <c r="J568" s="460" t="str">
        <f t="shared" ca="1" si="125"/>
        <v/>
      </c>
      <c r="K568" s="460" t="str">
        <f t="shared" ca="1" si="125"/>
        <v/>
      </c>
      <c r="L568" s="460" t="str">
        <f t="shared" ca="1" si="125"/>
        <v/>
      </c>
      <c r="M568" s="460" t="str">
        <f t="shared" ca="1" si="125"/>
        <v/>
      </c>
      <c r="N568" s="460" t="str">
        <f t="shared" ca="1" si="125"/>
        <v/>
      </c>
      <c r="O568" s="461" t="str">
        <f t="shared" ca="1" si="125"/>
        <v/>
      </c>
      <c r="P568" s="474" t="str">
        <f t="shared" ca="1" si="125"/>
        <v/>
      </c>
      <c r="Q568" s="475" t="str">
        <f t="shared" ca="1" si="125"/>
        <v/>
      </c>
      <c r="R568" s="476">
        <f ca="1">IF(OR($BG$2=0,$AR568=""),,IF($AR568="本月合计",IF(ROW()=$BG$3,SUM($R$6:$R567),SUM(INDIRECT("$R$"&amp;OFFSET($AU$3,,MATCH(ROW(),$AU$3:$BF$3,)-2)+2&amp;":$R"&amp;ROW()-1))),IF($AR568="本年累计",SUMIF($AR$6:$AR568,"本月合计",$R$6:$R567),INDEX(凭证录入!L:L,$AR568))))</f>
        <v>0</v>
      </c>
      <c r="S568" s="459" t="str">
        <f t="shared" ca="1" si="126"/>
        <v/>
      </c>
      <c r="T568" s="460" t="str">
        <f t="shared" ca="1" si="126"/>
        <v/>
      </c>
      <c r="U568" s="460" t="str">
        <f t="shared" ca="1" si="126"/>
        <v/>
      </c>
      <c r="V568" s="460" t="str">
        <f t="shared" ca="1" si="126"/>
        <v/>
      </c>
      <c r="W568" s="460" t="str">
        <f t="shared" ca="1" si="126"/>
        <v/>
      </c>
      <c r="X568" s="460" t="str">
        <f t="shared" ca="1" si="126"/>
        <v/>
      </c>
      <c r="Y568" s="460" t="str">
        <f t="shared" ca="1" si="126"/>
        <v/>
      </c>
      <c r="Z568" s="460" t="str">
        <f t="shared" ca="1" si="126"/>
        <v/>
      </c>
      <c r="AA568" s="461" t="str">
        <f t="shared" ca="1" si="126"/>
        <v/>
      </c>
      <c r="AB568" s="474" t="str">
        <f t="shared" ca="1" si="126"/>
        <v/>
      </c>
      <c r="AC568" s="475" t="str">
        <f t="shared" ca="1" si="126"/>
        <v/>
      </c>
      <c r="AD568" s="477" t="str">
        <f t="shared" ca="1" si="116"/>
        <v/>
      </c>
      <c r="AE568" s="478">
        <f t="shared" ca="1" si="117"/>
        <v>0</v>
      </c>
      <c r="AF568" s="459" t="str">
        <f t="shared" ca="1" si="124"/>
        <v/>
      </c>
      <c r="AG568" s="460" t="str">
        <f t="shared" ca="1" si="124"/>
        <v/>
      </c>
      <c r="AH568" s="460" t="str">
        <f t="shared" ca="1" si="124"/>
        <v/>
      </c>
      <c r="AI568" s="460" t="str">
        <f t="shared" ca="1" si="124"/>
        <v/>
      </c>
      <c r="AJ568" s="460" t="str">
        <f t="shared" ca="1" si="124"/>
        <v/>
      </c>
      <c r="AK568" s="460" t="str">
        <f t="shared" ca="1" si="124"/>
        <v/>
      </c>
      <c r="AL568" s="460" t="str">
        <f t="shared" ca="1" si="124"/>
        <v/>
      </c>
      <c r="AM568" s="460" t="str">
        <f t="shared" ca="1" si="124"/>
        <v/>
      </c>
      <c r="AN568" s="461" t="str">
        <f t="shared" ca="1" si="124"/>
        <v/>
      </c>
      <c r="AO568" s="474" t="str">
        <f t="shared" ca="1" si="124"/>
        <v/>
      </c>
      <c r="AP568" s="475" t="str">
        <f t="shared" ca="1" si="124"/>
        <v/>
      </c>
      <c r="AQ568" s="479" t="str">
        <f t="array" aca="1" ref="AQ568" ca="1">IF(ROW()-5&lt;=COUNTIF(科目编号,$AR$2),SMALL(IF(科目编号=$AR$2,ROW(科目编号),""),ROW()-5),"")</f>
        <v/>
      </c>
      <c r="AR568" s="480" t="str">
        <f ca="1">IF($BG$2=0,"",IF(AR567="本月合计","本年累计",IF(OR(ROW()=$AU$3,ROW()=$AV$3,ROW()=$AW$3,ROW()=$AX$3,ROW()=$AY$3,ROW()=$AZ$3,ROW()=$BA$3,ROW()=$BB$3,ROW()=$BC$3,ROW()=$BD$3,ROW()=$BE$3,ROW()=$BF$3),"本月合计",IF(ROW()&lt;7,$AQ$6,OFFSET($AQ$6,COUNT($AR$6:AR567),0)))))</f>
        <v/>
      </c>
    </row>
    <row r="569" spans="1:44">
      <c r="A569" s="469" t="str">
        <f ca="1">IFERROR(INDEX(凭证录入!A:A,$AR569),"")</f>
        <v/>
      </c>
      <c r="B569" s="469" t="str">
        <f ca="1">IFERROR(INDEX(凭证录入!B:B,$AR569),"")</f>
        <v/>
      </c>
      <c r="C569" s="470" t="str">
        <f ca="1">IFERROR(INDEX(凭证录入!G:G,$AR569),"")</f>
        <v/>
      </c>
      <c r="D569" s="471" t="str">
        <f ca="1">IFERROR(INDEX(凭证录入!F:F,$AR569),"")</f>
        <v/>
      </c>
      <c r="E569" s="472" t="str">
        <f ca="1">IFERROR(INDEX(凭证录入!H:H,$AR569),$AR569)</f>
        <v/>
      </c>
      <c r="F569" s="473">
        <f ca="1">IF(OR($BG$2=0,$AR569=""),,IF($AR569="本月合计",IF(ROW()=$BG$3,SUM($F$6:$F568),SUM(INDIRECT("$F$"&amp;OFFSET($AU$3,,MATCH(ROW(),$AU$3:$BF$3,)-2)+2&amp;":$E"&amp;ROW()-1))),IF($AR569="本年累计",SUMIF($AR$6:$AR569,"本月合计",$F$6:$F568),INDEX(凭证录入!K:K,$AR569))))</f>
        <v>0</v>
      </c>
      <c r="G569" s="459" t="str">
        <f t="shared" ca="1" si="125"/>
        <v/>
      </c>
      <c r="H569" s="460" t="str">
        <f t="shared" ca="1" si="125"/>
        <v/>
      </c>
      <c r="I569" s="460" t="str">
        <f t="shared" ca="1" si="125"/>
        <v/>
      </c>
      <c r="J569" s="460" t="str">
        <f t="shared" ca="1" si="125"/>
        <v/>
      </c>
      <c r="K569" s="460" t="str">
        <f t="shared" ca="1" si="125"/>
        <v/>
      </c>
      <c r="L569" s="460" t="str">
        <f t="shared" ca="1" si="125"/>
        <v/>
      </c>
      <c r="M569" s="460" t="str">
        <f t="shared" ca="1" si="125"/>
        <v/>
      </c>
      <c r="N569" s="460" t="str">
        <f t="shared" ca="1" si="125"/>
        <v/>
      </c>
      <c r="O569" s="461" t="str">
        <f t="shared" ca="1" si="125"/>
        <v/>
      </c>
      <c r="P569" s="474" t="str">
        <f t="shared" ca="1" si="125"/>
        <v/>
      </c>
      <c r="Q569" s="475" t="str">
        <f t="shared" ca="1" si="125"/>
        <v/>
      </c>
      <c r="R569" s="476">
        <f ca="1">IF(OR($BG$2=0,$AR569=""),,IF($AR569="本月合计",IF(ROW()=$BG$3,SUM($R$6:$R568),SUM(INDIRECT("$R$"&amp;OFFSET($AU$3,,MATCH(ROW(),$AU$3:$BF$3,)-2)+2&amp;":$R"&amp;ROW()-1))),IF($AR569="本年累计",SUMIF($AR$6:$AR569,"本月合计",$R$6:$R568),INDEX(凭证录入!L:L,$AR569))))</f>
        <v>0</v>
      </c>
      <c r="S569" s="459" t="str">
        <f t="shared" ca="1" si="126"/>
        <v/>
      </c>
      <c r="T569" s="460" t="str">
        <f t="shared" ca="1" si="126"/>
        <v/>
      </c>
      <c r="U569" s="460" t="str">
        <f t="shared" ca="1" si="126"/>
        <v/>
      </c>
      <c r="V569" s="460" t="str">
        <f t="shared" ca="1" si="126"/>
        <v/>
      </c>
      <c r="W569" s="460" t="str">
        <f t="shared" ca="1" si="126"/>
        <v/>
      </c>
      <c r="X569" s="460" t="str">
        <f t="shared" ca="1" si="126"/>
        <v/>
      </c>
      <c r="Y569" s="460" t="str">
        <f t="shared" ca="1" si="126"/>
        <v/>
      </c>
      <c r="Z569" s="460" t="str">
        <f t="shared" ca="1" si="126"/>
        <v/>
      </c>
      <c r="AA569" s="461" t="str">
        <f t="shared" ca="1" si="126"/>
        <v/>
      </c>
      <c r="AB569" s="474" t="str">
        <f t="shared" ca="1" si="126"/>
        <v/>
      </c>
      <c r="AC569" s="475" t="str">
        <f t="shared" ca="1" si="126"/>
        <v/>
      </c>
      <c r="AD569" s="477" t="str">
        <f t="shared" ca="1" si="116"/>
        <v/>
      </c>
      <c r="AE569" s="478">
        <f t="shared" ca="1" si="117"/>
        <v>0</v>
      </c>
      <c r="AF569" s="459" t="str">
        <f t="shared" ca="1" si="124"/>
        <v/>
      </c>
      <c r="AG569" s="460" t="str">
        <f t="shared" ca="1" si="124"/>
        <v/>
      </c>
      <c r="AH569" s="460" t="str">
        <f t="shared" ca="1" si="124"/>
        <v/>
      </c>
      <c r="AI569" s="460" t="str">
        <f t="shared" ca="1" si="124"/>
        <v/>
      </c>
      <c r="AJ569" s="460" t="str">
        <f t="shared" ca="1" si="124"/>
        <v/>
      </c>
      <c r="AK569" s="460" t="str">
        <f t="shared" ca="1" si="124"/>
        <v/>
      </c>
      <c r="AL569" s="460" t="str">
        <f t="shared" ca="1" si="124"/>
        <v/>
      </c>
      <c r="AM569" s="460" t="str">
        <f t="shared" ca="1" si="124"/>
        <v/>
      </c>
      <c r="AN569" s="461" t="str">
        <f t="shared" ca="1" si="124"/>
        <v/>
      </c>
      <c r="AO569" s="474" t="str">
        <f t="shared" ca="1" si="124"/>
        <v/>
      </c>
      <c r="AP569" s="475" t="str">
        <f t="shared" ca="1" si="124"/>
        <v/>
      </c>
      <c r="AQ569" s="479" t="str">
        <f t="array" aca="1" ref="AQ569" ca="1">IF(ROW()-5&lt;=COUNTIF(科目编号,$AR$2),SMALL(IF(科目编号=$AR$2,ROW(科目编号),""),ROW()-5),"")</f>
        <v/>
      </c>
      <c r="AR569" s="480" t="str">
        <f ca="1">IF($BG$2=0,"",IF(AR568="本月合计","本年累计",IF(OR(ROW()=$AU$3,ROW()=$AV$3,ROW()=$AW$3,ROW()=$AX$3,ROW()=$AY$3,ROW()=$AZ$3,ROW()=$BA$3,ROW()=$BB$3,ROW()=$BC$3,ROW()=$BD$3,ROW()=$BE$3,ROW()=$BF$3),"本月合计",IF(ROW()&lt;7,$AQ$6,OFFSET($AQ$6,COUNT($AR$6:AR568),0)))))</f>
        <v/>
      </c>
    </row>
    <row r="570" spans="1:44">
      <c r="A570" s="469" t="str">
        <f ca="1">IFERROR(INDEX(凭证录入!A:A,$AR570),"")</f>
        <v/>
      </c>
      <c r="B570" s="469" t="str">
        <f ca="1">IFERROR(INDEX(凭证录入!B:B,$AR570),"")</f>
        <v/>
      </c>
      <c r="C570" s="470" t="str">
        <f ca="1">IFERROR(INDEX(凭证录入!G:G,$AR570),"")</f>
        <v/>
      </c>
      <c r="D570" s="471" t="str">
        <f ca="1">IFERROR(INDEX(凭证录入!F:F,$AR570),"")</f>
        <v/>
      </c>
      <c r="E570" s="472" t="str">
        <f ca="1">IFERROR(INDEX(凭证录入!H:H,$AR570),$AR570)</f>
        <v/>
      </c>
      <c r="F570" s="473">
        <f ca="1">IF(OR($BG$2=0,$AR570=""),,IF($AR570="本月合计",IF(ROW()=$BG$3,SUM($F$6:$F569),SUM(INDIRECT("$F$"&amp;OFFSET($AU$3,,MATCH(ROW(),$AU$3:$BF$3,)-2)+2&amp;":$E"&amp;ROW()-1))),IF($AR570="本年累计",SUMIF($AR$6:$AR570,"本月合计",$F$6:$F569),INDEX(凭证录入!K:K,$AR570))))</f>
        <v>0</v>
      </c>
      <c r="G570" s="459" t="str">
        <f t="shared" ca="1" si="125"/>
        <v/>
      </c>
      <c r="H570" s="460" t="str">
        <f t="shared" ca="1" si="125"/>
        <v/>
      </c>
      <c r="I570" s="460" t="str">
        <f t="shared" ca="1" si="125"/>
        <v/>
      </c>
      <c r="J570" s="460" t="str">
        <f t="shared" ca="1" si="125"/>
        <v/>
      </c>
      <c r="K570" s="460" t="str">
        <f t="shared" ca="1" si="125"/>
        <v/>
      </c>
      <c r="L570" s="460" t="str">
        <f t="shared" ca="1" si="125"/>
        <v/>
      </c>
      <c r="M570" s="460" t="str">
        <f t="shared" ca="1" si="125"/>
        <v/>
      </c>
      <c r="N570" s="460" t="str">
        <f t="shared" ca="1" si="125"/>
        <v/>
      </c>
      <c r="O570" s="461" t="str">
        <f t="shared" ca="1" si="125"/>
        <v/>
      </c>
      <c r="P570" s="474" t="str">
        <f t="shared" ca="1" si="125"/>
        <v/>
      </c>
      <c r="Q570" s="475" t="str">
        <f t="shared" ca="1" si="125"/>
        <v/>
      </c>
      <c r="R570" s="476">
        <f ca="1">IF(OR($BG$2=0,$AR570=""),,IF($AR570="本月合计",IF(ROW()=$BG$3,SUM($R$6:$R569),SUM(INDIRECT("$R$"&amp;OFFSET($AU$3,,MATCH(ROW(),$AU$3:$BF$3,)-2)+2&amp;":$R"&amp;ROW()-1))),IF($AR570="本年累计",SUMIF($AR$6:$AR570,"本月合计",$R$6:$R569),INDEX(凭证录入!L:L,$AR570))))</f>
        <v>0</v>
      </c>
      <c r="S570" s="459" t="str">
        <f t="shared" ca="1" si="126"/>
        <v/>
      </c>
      <c r="T570" s="460" t="str">
        <f t="shared" ca="1" si="126"/>
        <v/>
      </c>
      <c r="U570" s="460" t="str">
        <f t="shared" ca="1" si="126"/>
        <v/>
      </c>
      <c r="V570" s="460" t="str">
        <f t="shared" ca="1" si="126"/>
        <v/>
      </c>
      <c r="W570" s="460" t="str">
        <f t="shared" ca="1" si="126"/>
        <v/>
      </c>
      <c r="X570" s="460" t="str">
        <f t="shared" ca="1" si="126"/>
        <v/>
      </c>
      <c r="Y570" s="460" t="str">
        <f t="shared" ca="1" si="126"/>
        <v/>
      </c>
      <c r="Z570" s="460" t="str">
        <f t="shared" ca="1" si="126"/>
        <v/>
      </c>
      <c r="AA570" s="461" t="str">
        <f t="shared" ca="1" si="126"/>
        <v/>
      </c>
      <c r="AB570" s="474" t="str">
        <f t="shared" ca="1" si="126"/>
        <v/>
      </c>
      <c r="AC570" s="475" t="str">
        <f t="shared" ca="1" si="126"/>
        <v/>
      </c>
      <c r="AD570" s="477" t="str">
        <f t="shared" ca="1" si="116"/>
        <v/>
      </c>
      <c r="AE570" s="478">
        <f t="shared" ca="1" si="117"/>
        <v>0</v>
      </c>
      <c r="AF570" s="459" t="str">
        <f t="shared" ca="1" si="124"/>
        <v/>
      </c>
      <c r="AG570" s="460" t="str">
        <f t="shared" ca="1" si="124"/>
        <v/>
      </c>
      <c r="AH570" s="460" t="str">
        <f t="shared" ca="1" si="124"/>
        <v/>
      </c>
      <c r="AI570" s="460" t="str">
        <f t="shared" ca="1" si="124"/>
        <v/>
      </c>
      <c r="AJ570" s="460" t="str">
        <f t="shared" ca="1" si="124"/>
        <v/>
      </c>
      <c r="AK570" s="460" t="str">
        <f t="shared" ca="1" si="124"/>
        <v/>
      </c>
      <c r="AL570" s="460" t="str">
        <f t="shared" ca="1" si="124"/>
        <v/>
      </c>
      <c r="AM570" s="460" t="str">
        <f t="shared" ca="1" si="124"/>
        <v/>
      </c>
      <c r="AN570" s="461" t="str">
        <f t="shared" ca="1" si="124"/>
        <v/>
      </c>
      <c r="AO570" s="474" t="str">
        <f t="shared" ca="1" si="124"/>
        <v/>
      </c>
      <c r="AP570" s="475" t="str">
        <f t="shared" ca="1" si="124"/>
        <v/>
      </c>
      <c r="AQ570" s="479" t="str">
        <f t="array" aca="1" ref="AQ570" ca="1">IF(ROW()-5&lt;=COUNTIF(科目编号,$AR$2),SMALL(IF(科目编号=$AR$2,ROW(科目编号),""),ROW()-5),"")</f>
        <v/>
      </c>
      <c r="AR570" s="480" t="str">
        <f ca="1">IF($BG$2=0,"",IF(AR569="本月合计","本年累计",IF(OR(ROW()=$AU$3,ROW()=$AV$3,ROW()=$AW$3,ROW()=$AX$3,ROW()=$AY$3,ROW()=$AZ$3,ROW()=$BA$3,ROW()=$BB$3,ROW()=$BC$3,ROW()=$BD$3,ROW()=$BE$3,ROW()=$BF$3),"本月合计",IF(ROW()&lt;7,$AQ$6,OFFSET($AQ$6,COUNT($AR$6:AR569),0)))))</f>
        <v/>
      </c>
    </row>
    <row r="571" spans="1:44">
      <c r="A571" s="469" t="str">
        <f ca="1">IFERROR(INDEX(凭证录入!A:A,$AR571),"")</f>
        <v/>
      </c>
      <c r="B571" s="469" t="str">
        <f ca="1">IFERROR(INDEX(凭证录入!B:B,$AR571),"")</f>
        <v/>
      </c>
      <c r="C571" s="470" t="str">
        <f ca="1">IFERROR(INDEX(凭证录入!G:G,$AR571),"")</f>
        <v/>
      </c>
      <c r="D571" s="471" t="str">
        <f ca="1">IFERROR(INDEX(凭证录入!F:F,$AR571),"")</f>
        <v/>
      </c>
      <c r="E571" s="472" t="str">
        <f ca="1">IFERROR(INDEX(凭证录入!H:H,$AR571),$AR571)</f>
        <v/>
      </c>
      <c r="F571" s="473">
        <f ca="1">IF(OR($BG$2=0,$AR571=""),,IF($AR571="本月合计",IF(ROW()=$BG$3,SUM($F$6:$F570),SUM(INDIRECT("$F$"&amp;OFFSET($AU$3,,MATCH(ROW(),$AU$3:$BF$3,)-2)+2&amp;":$E"&amp;ROW()-1))),IF($AR571="本年累计",SUMIF($AR$6:$AR571,"本月合计",$F$6:$F570),INDEX(凭证录入!K:K,$AR571))))</f>
        <v>0</v>
      </c>
      <c r="G571" s="459" t="str">
        <f t="shared" ca="1" si="125"/>
        <v/>
      </c>
      <c r="H571" s="460" t="str">
        <f t="shared" ca="1" si="125"/>
        <v/>
      </c>
      <c r="I571" s="460" t="str">
        <f t="shared" ca="1" si="125"/>
        <v/>
      </c>
      <c r="J571" s="460" t="str">
        <f t="shared" ca="1" si="125"/>
        <v/>
      </c>
      <c r="K571" s="460" t="str">
        <f t="shared" ca="1" si="125"/>
        <v/>
      </c>
      <c r="L571" s="460" t="str">
        <f t="shared" ca="1" si="125"/>
        <v/>
      </c>
      <c r="M571" s="460" t="str">
        <f t="shared" ca="1" si="125"/>
        <v/>
      </c>
      <c r="N571" s="460" t="str">
        <f t="shared" ca="1" si="125"/>
        <v/>
      </c>
      <c r="O571" s="461" t="str">
        <f t="shared" ca="1" si="125"/>
        <v/>
      </c>
      <c r="P571" s="474" t="str">
        <f t="shared" ca="1" si="125"/>
        <v/>
      </c>
      <c r="Q571" s="475" t="str">
        <f t="shared" ca="1" si="125"/>
        <v/>
      </c>
      <c r="R571" s="476">
        <f ca="1">IF(OR($BG$2=0,$AR571=""),,IF($AR571="本月合计",IF(ROW()=$BG$3,SUM($R$6:$R570),SUM(INDIRECT("$R$"&amp;OFFSET($AU$3,,MATCH(ROW(),$AU$3:$BF$3,)-2)+2&amp;":$R"&amp;ROW()-1))),IF($AR571="本年累计",SUMIF($AR$6:$AR571,"本月合计",$R$6:$R570),INDEX(凭证录入!L:L,$AR571))))</f>
        <v>0</v>
      </c>
      <c r="S571" s="459" t="str">
        <f t="shared" ca="1" si="126"/>
        <v/>
      </c>
      <c r="T571" s="460" t="str">
        <f t="shared" ca="1" si="126"/>
        <v/>
      </c>
      <c r="U571" s="460" t="str">
        <f t="shared" ca="1" si="126"/>
        <v/>
      </c>
      <c r="V571" s="460" t="str">
        <f t="shared" ca="1" si="126"/>
        <v/>
      </c>
      <c r="W571" s="460" t="str">
        <f t="shared" ca="1" si="126"/>
        <v/>
      </c>
      <c r="X571" s="460" t="str">
        <f t="shared" ca="1" si="126"/>
        <v/>
      </c>
      <c r="Y571" s="460" t="str">
        <f t="shared" ca="1" si="126"/>
        <v/>
      </c>
      <c r="Z571" s="460" t="str">
        <f t="shared" ca="1" si="126"/>
        <v/>
      </c>
      <c r="AA571" s="461" t="str">
        <f t="shared" ca="1" si="126"/>
        <v/>
      </c>
      <c r="AB571" s="474" t="str">
        <f t="shared" ca="1" si="126"/>
        <v/>
      </c>
      <c r="AC571" s="475" t="str">
        <f t="shared" ca="1" si="126"/>
        <v/>
      </c>
      <c r="AD571" s="477" t="str">
        <f t="shared" ca="1" si="116"/>
        <v/>
      </c>
      <c r="AE571" s="478">
        <f t="shared" ca="1" si="117"/>
        <v>0</v>
      </c>
      <c r="AF571" s="459" t="str">
        <f t="shared" ca="1" si="124"/>
        <v/>
      </c>
      <c r="AG571" s="460" t="str">
        <f t="shared" ca="1" si="124"/>
        <v/>
      </c>
      <c r="AH571" s="460" t="str">
        <f t="shared" ca="1" si="124"/>
        <v/>
      </c>
      <c r="AI571" s="460" t="str">
        <f t="shared" ca="1" si="124"/>
        <v/>
      </c>
      <c r="AJ571" s="460" t="str">
        <f t="shared" ca="1" si="124"/>
        <v/>
      </c>
      <c r="AK571" s="460" t="str">
        <f t="shared" ca="1" si="124"/>
        <v/>
      </c>
      <c r="AL571" s="460" t="str">
        <f t="shared" ca="1" si="124"/>
        <v/>
      </c>
      <c r="AM571" s="460" t="str">
        <f t="shared" ca="1" si="124"/>
        <v/>
      </c>
      <c r="AN571" s="461" t="str">
        <f t="shared" ca="1" si="124"/>
        <v/>
      </c>
      <c r="AO571" s="474" t="str">
        <f t="shared" ca="1" si="124"/>
        <v/>
      </c>
      <c r="AP571" s="475" t="str">
        <f t="shared" ca="1" si="124"/>
        <v/>
      </c>
      <c r="AQ571" s="479" t="str">
        <f t="array" aca="1" ref="AQ571" ca="1">IF(ROW()-5&lt;=COUNTIF(科目编号,$AR$2),SMALL(IF(科目编号=$AR$2,ROW(科目编号),""),ROW()-5),"")</f>
        <v/>
      </c>
      <c r="AR571" s="480" t="str">
        <f ca="1">IF($BG$2=0,"",IF(AR570="本月合计","本年累计",IF(OR(ROW()=$AU$3,ROW()=$AV$3,ROW()=$AW$3,ROW()=$AX$3,ROW()=$AY$3,ROW()=$AZ$3,ROW()=$BA$3,ROW()=$BB$3,ROW()=$BC$3,ROW()=$BD$3,ROW()=$BE$3,ROW()=$BF$3),"本月合计",IF(ROW()&lt;7,$AQ$6,OFFSET($AQ$6,COUNT($AR$6:AR570),0)))))</f>
        <v/>
      </c>
    </row>
    <row r="572" spans="1:44">
      <c r="A572" s="469" t="str">
        <f ca="1">IFERROR(INDEX(凭证录入!A:A,$AR572),"")</f>
        <v/>
      </c>
      <c r="B572" s="469" t="str">
        <f ca="1">IFERROR(INDEX(凭证录入!B:B,$AR572),"")</f>
        <v/>
      </c>
      <c r="C572" s="470" t="str">
        <f ca="1">IFERROR(INDEX(凭证录入!G:G,$AR572),"")</f>
        <v/>
      </c>
      <c r="D572" s="471" t="str">
        <f ca="1">IFERROR(INDEX(凭证录入!F:F,$AR572),"")</f>
        <v/>
      </c>
      <c r="E572" s="472" t="str">
        <f ca="1">IFERROR(INDEX(凭证录入!H:H,$AR572),$AR572)</f>
        <v/>
      </c>
      <c r="F572" s="473">
        <f ca="1">IF(OR($BG$2=0,$AR572=""),,IF($AR572="本月合计",IF(ROW()=$BG$3,SUM($F$6:$F571),SUM(INDIRECT("$F$"&amp;OFFSET($AU$3,,MATCH(ROW(),$AU$3:$BF$3,)-2)+2&amp;":$E"&amp;ROW()-1))),IF($AR572="本年累计",SUMIF($AR$6:$AR572,"本月合计",$F$6:$F571),INDEX(凭证录入!K:K,$AR572))))</f>
        <v>0</v>
      </c>
      <c r="G572" s="459" t="str">
        <f t="shared" ca="1" si="125"/>
        <v/>
      </c>
      <c r="H572" s="460" t="str">
        <f t="shared" ca="1" si="125"/>
        <v/>
      </c>
      <c r="I572" s="460" t="str">
        <f t="shared" ca="1" si="125"/>
        <v/>
      </c>
      <c r="J572" s="460" t="str">
        <f t="shared" ca="1" si="125"/>
        <v/>
      </c>
      <c r="K572" s="460" t="str">
        <f t="shared" ca="1" si="125"/>
        <v/>
      </c>
      <c r="L572" s="460" t="str">
        <f t="shared" ca="1" si="125"/>
        <v/>
      </c>
      <c r="M572" s="460" t="str">
        <f t="shared" ca="1" si="125"/>
        <v/>
      </c>
      <c r="N572" s="460" t="str">
        <f t="shared" ca="1" si="125"/>
        <v/>
      </c>
      <c r="O572" s="461" t="str">
        <f t="shared" ca="1" si="125"/>
        <v/>
      </c>
      <c r="P572" s="474" t="str">
        <f t="shared" ca="1" si="125"/>
        <v/>
      </c>
      <c r="Q572" s="475" t="str">
        <f t="shared" ca="1" si="125"/>
        <v/>
      </c>
      <c r="R572" s="476">
        <f ca="1">IF(OR($BG$2=0,$AR572=""),,IF($AR572="本月合计",IF(ROW()=$BG$3,SUM($R$6:$R571),SUM(INDIRECT("$R$"&amp;OFFSET($AU$3,,MATCH(ROW(),$AU$3:$BF$3,)-2)+2&amp;":$R"&amp;ROW()-1))),IF($AR572="本年累计",SUMIF($AR$6:$AR572,"本月合计",$R$6:$R571),INDEX(凭证录入!L:L,$AR572))))</f>
        <v>0</v>
      </c>
      <c r="S572" s="459" t="str">
        <f t="shared" ca="1" si="126"/>
        <v/>
      </c>
      <c r="T572" s="460" t="str">
        <f t="shared" ca="1" si="126"/>
        <v/>
      </c>
      <c r="U572" s="460" t="str">
        <f t="shared" ca="1" si="126"/>
        <v/>
      </c>
      <c r="V572" s="460" t="str">
        <f t="shared" ca="1" si="126"/>
        <v/>
      </c>
      <c r="W572" s="460" t="str">
        <f t="shared" ca="1" si="126"/>
        <v/>
      </c>
      <c r="X572" s="460" t="str">
        <f t="shared" ca="1" si="126"/>
        <v/>
      </c>
      <c r="Y572" s="460" t="str">
        <f t="shared" ca="1" si="126"/>
        <v/>
      </c>
      <c r="Z572" s="460" t="str">
        <f t="shared" ca="1" si="126"/>
        <v/>
      </c>
      <c r="AA572" s="461" t="str">
        <f t="shared" ca="1" si="126"/>
        <v/>
      </c>
      <c r="AB572" s="474" t="str">
        <f t="shared" ca="1" si="126"/>
        <v/>
      </c>
      <c r="AC572" s="475" t="str">
        <f t="shared" ca="1" si="126"/>
        <v/>
      </c>
      <c r="AD572" s="477" t="str">
        <f t="shared" ca="1" si="116"/>
        <v/>
      </c>
      <c r="AE572" s="478">
        <f t="shared" ca="1" si="117"/>
        <v>0</v>
      </c>
      <c r="AF572" s="459" t="str">
        <f t="shared" ca="1" si="124"/>
        <v/>
      </c>
      <c r="AG572" s="460" t="str">
        <f t="shared" ca="1" si="124"/>
        <v/>
      </c>
      <c r="AH572" s="460" t="str">
        <f t="shared" ca="1" si="124"/>
        <v/>
      </c>
      <c r="AI572" s="460" t="str">
        <f t="shared" ca="1" si="124"/>
        <v/>
      </c>
      <c r="AJ572" s="460" t="str">
        <f t="shared" ca="1" si="124"/>
        <v/>
      </c>
      <c r="AK572" s="460" t="str">
        <f t="shared" ca="1" si="124"/>
        <v/>
      </c>
      <c r="AL572" s="460" t="str">
        <f t="shared" ca="1" si="124"/>
        <v/>
      </c>
      <c r="AM572" s="460" t="str">
        <f t="shared" ca="1" si="124"/>
        <v/>
      </c>
      <c r="AN572" s="461" t="str">
        <f t="shared" ca="1" si="124"/>
        <v/>
      </c>
      <c r="AO572" s="474" t="str">
        <f t="shared" ca="1" si="124"/>
        <v/>
      </c>
      <c r="AP572" s="475" t="str">
        <f t="shared" ca="1" si="124"/>
        <v/>
      </c>
      <c r="AQ572" s="479" t="str">
        <f t="array" aca="1" ref="AQ572" ca="1">IF(ROW()-5&lt;=COUNTIF(科目编号,$AR$2),SMALL(IF(科目编号=$AR$2,ROW(科目编号),""),ROW()-5),"")</f>
        <v/>
      </c>
      <c r="AR572" s="480" t="str">
        <f ca="1">IF($BG$2=0,"",IF(AR571="本月合计","本年累计",IF(OR(ROW()=$AU$3,ROW()=$AV$3,ROW()=$AW$3,ROW()=$AX$3,ROW()=$AY$3,ROW()=$AZ$3,ROW()=$BA$3,ROW()=$BB$3,ROW()=$BC$3,ROW()=$BD$3,ROW()=$BE$3,ROW()=$BF$3),"本月合计",IF(ROW()&lt;7,$AQ$6,OFFSET($AQ$6,COUNT($AR$6:AR571),0)))))</f>
        <v/>
      </c>
    </row>
    <row r="573" spans="1:44">
      <c r="A573" s="469" t="str">
        <f ca="1">IFERROR(INDEX(凭证录入!A:A,$AR573),"")</f>
        <v/>
      </c>
      <c r="B573" s="469" t="str">
        <f ca="1">IFERROR(INDEX(凭证录入!B:B,$AR573),"")</f>
        <v/>
      </c>
      <c r="C573" s="470" t="str">
        <f ca="1">IFERROR(INDEX(凭证录入!G:G,$AR573),"")</f>
        <v/>
      </c>
      <c r="D573" s="471" t="str">
        <f ca="1">IFERROR(INDEX(凭证录入!F:F,$AR573),"")</f>
        <v/>
      </c>
      <c r="E573" s="472" t="str">
        <f ca="1">IFERROR(INDEX(凭证录入!H:H,$AR573),$AR573)</f>
        <v/>
      </c>
      <c r="F573" s="473">
        <f ca="1">IF(OR($BG$2=0,$AR573=""),,IF($AR573="本月合计",IF(ROW()=$BG$3,SUM($F$6:$F572),SUM(INDIRECT("$F$"&amp;OFFSET($AU$3,,MATCH(ROW(),$AU$3:$BF$3,)-2)+2&amp;":$E"&amp;ROW()-1))),IF($AR573="本年累计",SUMIF($AR$6:$AR573,"本月合计",$F$6:$F572),INDEX(凭证录入!K:K,$AR573))))</f>
        <v>0</v>
      </c>
      <c r="G573" s="459" t="str">
        <f t="shared" ca="1" si="125"/>
        <v/>
      </c>
      <c r="H573" s="460" t="str">
        <f t="shared" ca="1" si="125"/>
        <v/>
      </c>
      <c r="I573" s="460" t="str">
        <f t="shared" ca="1" si="125"/>
        <v/>
      </c>
      <c r="J573" s="460" t="str">
        <f t="shared" ca="1" si="125"/>
        <v/>
      </c>
      <c r="K573" s="460" t="str">
        <f t="shared" ca="1" si="125"/>
        <v/>
      </c>
      <c r="L573" s="460" t="str">
        <f t="shared" ca="1" si="125"/>
        <v/>
      </c>
      <c r="M573" s="460" t="str">
        <f t="shared" ca="1" si="125"/>
        <v/>
      </c>
      <c r="N573" s="460" t="str">
        <f t="shared" ca="1" si="125"/>
        <v/>
      </c>
      <c r="O573" s="461" t="str">
        <f t="shared" ca="1" si="125"/>
        <v/>
      </c>
      <c r="P573" s="474" t="str">
        <f t="shared" ca="1" si="125"/>
        <v/>
      </c>
      <c r="Q573" s="475" t="str">
        <f t="shared" ca="1" si="125"/>
        <v/>
      </c>
      <c r="R573" s="476">
        <f ca="1">IF(OR($BG$2=0,$AR573=""),,IF($AR573="本月合计",IF(ROW()=$BG$3,SUM($R$6:$R572),SUM(INDIRECT("$R$"&amp;OFFSET($AU$3,,MATCH(ROW(),$AU$3:$BF$3,)-2)+2&amp;":$R"&amp;ROW()-1))),IF($AR573="本年累计",SUMIF($AR$6:$AR573,"本月合计",$R$6:$R572),INDEX(凭证录入!L:L,$AR573))))</f>
        <v>0</v>
      </c>
      <c r="S573" s="459" t="str">
        <f t="shared" ca="1" si="126"/>
        <v/>
      </c>
      <c r="T573" s="460" t="str">
        <f t="shared" ca="1" si="126"/>
        <v/>
      </c>
      <c r="U573" s="460" t="str">
        <f t="shared" ca="1" si="126"/>
        <v/>
      </c>
      <c r="V573" s="460" t="str">
        <f t="shared" ca="1" si="126"/>
        <v/>
      </c>
      <c r="W573" s="460" t="str">
        <f t="shared" ca="1" si="126"/>
        <v/>
      </c>
      <c r="X573" s="460" t="str">
        <f t="shared" ca="1" si="126"/>
        <v/>
      </c>
      <c r="Y573" s="460" t="str">
        <f t="shared" ca="1" si="126"/>
        <v/>
      </c>
      <c r="Z573" s="460" t="str">
        <f t="shared" ca="1" si="126"/>
        <v/>
      </c>
      <c r="AA573" s="461" t="str">
        <f t="shared" ca="1" si="126"/>
        <v/>
      </c>
      <c r="AB573" s="474" t="str">
        <f t="shared" ca="1" si="126"/>
        <v/>
      </c>
      <c r="AC573" s="475" t="str">
        <f t="shared" ca="1" si="126"/>
        <v/>
      </c>
      <c r="AD573" s="477" t="str">
        <f t="shared" ca="1" si="116"/>
        <v/>
      </c>
      <c r="AE573" s="478">
        <f t="shared" ca="1" si="117"/>
        <v>0</v>
      </c>
      <c r="AF573" s="459" t="str">
        <f t="shared" ca="1" si="124"/>
        <v/>
      </c>
      <c r="AG573" s="460" t="str">
        <f t="shared" ca="1" si="124"/>
        <v/>
      </c>
      <c r="AH573" s="460" t="str">
        <f t="shared" ca="1" si="124"/>
        <v/>
      </c>
      <c r="AI573" s="460" t="str">
        <f t="shared" ca="1" si="124"/>
        <v/>
      </c>
      <c r="AJ573" s="460" t="str">
        <f t="shared" ca="1" si="124"/>
        <v/>
      </c>
      <c r="AK573" s="460" t="str">
        <f t="shared" ca="1" si="124"/>
        <v/>
      </c>
      <c r="AL573" s="460" t="str">
        <f t="shared" ca="1" si="124"/>
        <v/>
      </c>
      <c r="AM573" s="460" t="str">
        <f t="shared" ca="1" si="124"/>
        <v/>
      </c>
      <c r="AN573" s="461" t="str">
        <f t="shared" ca="1" si="124"/>
        <v/>
      </c>
      <c r="AO573" s="474" t="str">
        <f t="shared" ca="1" si="124"/>
        <v/>
      </c>
      <c r="AP573" s="475" t="str">
        <f t="shared" ca="1" si="124"/>
        <v/>
      </c>
      <c r="AQ573" s="479" t="str">
        <f t="array" aca="1" ref="AQ573" ca="1">IF(ROW()-5&lt;=COUNTIF(科目编号,$AR$2),SMALL(IF(科目编号=$AR$2,ROW(科目编号),""),ROW()-5),"")</f>
        <v/>
      </c>
      <c r="AR573" s="480" t="str">
        <f ca="1">IF($BG$2=0,"",IF(AR572="本月合计","本年累计",IF(OR(ROW()=$AU$3,ROW()=$AV$3,ROW()=$AW$3,ROW()=$AX$3,ROW()=$AY$3,ROW()=$AZ$3,ROW()=$BA$3,ROW()=$BB$3,ROW()=$BC$3,ROW()=$BD$3,ROW()=$BE$3,ROW()=$BF$3),"本月合计",IF(ROW()&lt;7,$AQ$6,OFFSET($AQ$6,COUNT($AR$6:AR572),0)))))</f>
        <v/>
      </c>
    </row>
    <row r="574" spans="1:44">
      <c r="A574" s="469" t="str">
        <f ca="1">IFERROR(INDEX(凭证录入!A:A,$AR574),"")</f>
        <v/>
      </c>
      <c r="B574" s="469" t="str">
        <f ca="1">IFERROR(INDEX(凭证录入!B:B,$AR574),"")</f>
        <v/>
      </c>
      <c r="C574" s="470" t="str">
        <f ca="1">IFERROR(INDEX(凭证录入!G:G,$AR574),"")</f>
        <v/>
      </c>
      <c r="D574" s="471" t="str">
        <f ca="1">IFERROR(INDEX(凭证录入!F:F,$AR574),"")</f>
        <v/>
      </c>
      <c r="E574" s="472" t="str">
        <f ca="1">IFERROR(INDEX(凭证录入!H:H,$AR574),$AR574)</f>
        <v/>
      </c>
      <c r="F574" s="473">
        <f ca="1">IF(OR($BG$2=0,$AR574=""),,IF($AR574="本月合计",IF(ROW()=$BG$3,SUM($F$6:$F573),SUM(INDIRECT("$F$"&amp;OFFSET($AU$3,,MATCH(ROW(),$AU$3:$BF$3,)-2)+2&amp;":$E"&amp;ROW()-1))),IF($AR574="本年累计",SUMIF($AR$6:$AR574,"本月合计",$F$6:$F573),INDEX(凭证录入!K:K,$AR574))))</f>
        <v>0</v>
      </c>
      <c r="G574" s="459" t="str">
        <f t="shared" ca="1" si="125"/>
        <v/>
      </c>
      <c r="H574" s="460" t="str">
        <f t="shared" ca="1" si="125"/>
        <v/>
      </c>
      <c r="I574" s="460" t="str">
        <f t="shared" ca="1" si="125"/>
        <v/>
      </c>
      <c r="J574" s="460" t="str">
        <f t="shared" ca="1" si="125"/>
        <v/>
      </c>
      <c r="K574" s="460" t="str">
        <f t="shared" ca="1" si="125"/>
        <v/>
      </c>
      <c r="L574" s="460" t="str">
        <f t="shared" ca="1" si="125"/>
        <v/>
      </c>
      <c r="M574" s="460" t="str">
        <f t="shared" ca="1" si="125"/>
        <v/>
      </c>
      <c r="N574" s="460" t="str">
        <f t="shared" ca="1" si="125"/>
        <v/>
      </c>
      <c r="O574" s="461" t="str">
        <f t="shared" ca="1" si="125"/>
        <v/>
      </c>
      <c r="P574" s="474" t="str">
        <f t="shared" ca="1" si="125"/>
        <v/>
      </c>
      <c r="Q574" s="475" t="str">
        <f t="shared" ca="1" si="125"/>
        <v/>
      </c>
      <c r="R574" s="476">
        <f ca="1">IF(OR($BG$2=0,$AR574=""),,IF($AR574="本月合计",IF(ROW()=$BG$3,SUM($R$6:$R573),SUM(INDIRECT("$R$"&amp;OFFSET($AU$3,,MATCH(ROW(),$AU$3:$BF$3,)-2)+2&amp;":$R"&amp;ROW()-1))),IF($AR574="本年累计",SUMIF($AR$6:$AR574,"本月合计",$R$6:$R573),INDEX(凭证录入!L:L,$AR574))))</f>
        <v>0</v>
      </c>
      <c r="S574" s="459" t="str">
        <f t="shared" ca="1" si="126"/>
        <v/>
      </c>
      <c r="T574" s="460" t="str">
        <f t="shared" ca="1" si="126"/>
        <v/>
      </c>
      <c r="U574" s="460" t="str">
        <f t="shared" ca="1" si="126"/>
        <v/>
      </c>
      <c r="V574" s="460" t="str">
        <f t="shared" ca="1" si="126"/>
        <v/>
      </c>
      <c r="W574" s="460" t="str">
        <f t="shared" ca="1" si="126"/>
        <v/>
      </c>
      <c r="X574" s="460" t="str">
        <f t="shared" ca="1" si="126"/>
        <v/>
      </c>
      <c r="Y574" s="460" t="str">
        <f t="shared" ca="1" si="126"/>
        <v/>
      </c>
      <c r="Z574" s="460" t="str">
        <f t="shared" ca="1" si="126"/>
        <v/>
      </c>
      <c r="AA574" s="461" t="str">
        <f t="shared" ca="1" si="126"/>
        <v/>
      </c>
      <c r="AB574" s="474" t="str">
        <f t="shared" ca="1" si="126"/>
        <v/>
      </c>
      <c r="AC574" s="475" t="str">
        <f t="shared" ca="1" si="126"/>
        <v/>
      </c>
      <c r="AD574" s="477" t="str">
        <f t="shared" ca="1" si="116"/>
        <v/>
      </c>
      <c r="AE574" s="478">
        <f t="shared" ca="1" si="117"/>
        <v>0</v>
      </c>
      <c r="AF574" s="459" t="str">
        <f t="shared" ca="1" si="124"/>
        <v/>
      </c>
      <c r="AG574" s="460" t="str">
        <f t="shared" ca="1" si="124"/>
        <v/>
      </c>
      <c r="AH574" s="460" t="str">
        <f t="shared" ca="1" si="124"/>
        <v/>
      </c>
      <c r="AI574" s="460" t="str">
        <f t="shared" ca="1" si="124"/>
        <v/>
      </c>
      <c r="AJ574" s="460" t="str">
        <f t="shared" ca="1" si="124"/>
        <v/>
      </c>
      <c r="AK574" s="460" t="str">
        <f t="shared" ca="1" si="124"/>
        <v/>
      </c>
      <c r="AL574" s="460" t="str">
        <f t="shared" ca="1" si="124"/>
        <v/>
      </c>
      <c r="AM574" s="460" t="str">
        <f t="shared" ca="1" si="124"/>
        <v/>
      </c>
      <c r="AN574" s="461" t="str">
        <f t="shared" ca="1" si="124"/>
        <v/>
      </c>
      <c r="AO574" s="474" t="str">
        <f t="shared" ca="1" si="124"/>
        <v/>
      </c>
      <c r="AP574" s="475" t="str">
        <f t="shared" ca="1" si="124"/>
        <v/>
      </c>
      <c r="AQ574" s="479" t="str">
        <f t="array" aca="1" ref="AQ574" ca="1">IF(ROW()-5&lt;=COUNTIF(科目编号,$AR$2),SMALL(IF(科目编号=$AR$2,ROW(科目编号),""),ROW()-5),"")</f>
        <v/>
      </c>
      <c r="AR574" s="480" t="str">
        <f ca="1">IF($BG$2=0,"",IF(AR573="本月合计","本年累计",IF(OR(ROW()=$AU$3,ROW()=$AV$3,ROW()=$AW$3,ROW()=$AX$3,ROW()=$AY$3,ROW()=$AZ$3,ROW()=$BA$3,ROW()=$BB$3,ROW()=$BC$3,ROW()=$BD$3,ROW()=$BE$3,ROW()=$BF$3),"本月合计",IF(ROW()&lt;7,$AQ$6,OFFSET($AQ$6,COUNT($AR$6:AR573),0)))))</f>
        <v/>
      </c>
    </row>
    <row r="575" spans="1:44">
      <c r="A575" s="469" t="str">
        <f ca="1">IFERROR(INDEX(凭证录入!A:A,$AR575),"")</f>
        <v/>
      </c>
      <c r="B575" s="469" t="str">
        <f ca="1">IFERROR(INDEX(凭证录入!B:B,$AR575),"")</f>
        <v/>
      </c>
      <c r="C575" s="470" t="str">
        <f ca="1">IFERROR(INDEX(凭证录入!G:G,$AR575),"")</f>
        <v/>
      </c>
      <c r="D575" s="471" t="str">
        <f ca="1">IFERROR(INDEX(凭证录入!F:F,$AR575),"")</f>
        <v/>
      </c>
      <c r="E575" s="472" t="str">
        <f ca="1">IFERROR(INDEX(凭证录入!H:H,$AR575),$AR575)</f>
        <v/>
      </c>
      <c r="F575" s="473">
        <f ca="1">IF(OR($BG$2=0,$AR575=""),,IF($AR575="本月合计",IF(ROW()=$BG$3,SUM($F$6:$F574),SUM(INDIRECT("$F$"&amp;OFFSET($AU$3,,MATCH(ROW(),$AU$3:$BF$3,)-2)+2&amp;":$E"&amp;ROW()-1))),IF($AR575="本年累计",SUMIF($AR$6:$AR575,"本月合计",$F$6:$F574),INDEX(凭证录入!K:K,$AR575))))</f>
        <v>0</v>
      </c>
      <c r="G575" s="459" t="str">
        <f t="shared" ca="1" si="125"/>
        <v/>
      </c>
      <c r="H575" s="460" t="str">
        <f t="shared" ca="1" si="125"/>
        <v/>
      </c>
      <c r="I575" s="460" t="str">
        <f t="shared" ca="1" si="125"/>
        <v/>
      </c>
      <c r="J575" s="460" t="str">
        <f t="shared" ca="1" si="125"/>
        <v/>
      </c>
      <c r="K575" s="460" t="str">
        <f t="shared" ca="1" si="125"/>
        <v/>
      </c>
      <c r="L575" s="460" t="str">
        <f t="shared" ca="1" si="125"/>
        <v/>
      </c>
      <c r="M575" s="460" t="str">
        <f t="shared" ca="1" si="125"/>
        <v/>
      </c>
      <c r="N575" s="460" t="str">
        <f t="shared" ca="1" si="125"/>
        <v/>
      </c>
      <c r="O575" s="461" t="str">
        <f t="shared" ca="1" si="125"/>
        <v/>
      </c>
      <c r="P575" s="474" t="str">
        <f t="shared" ca="1" si="125"/>
        <v/>
      </c>
      <c r="Q575" s="475" t="str">
        <f t="shared" ca="1" si="125"/>
        <v/>
      </c>
      <c r="R575" s="476">
        <f ca="1">IF(OR($BG$2=0,$AR575=""),,IF($AR575="本月合计",IF(ROW()=$BG$3,SUM($R$6:$R574),SUM(INDIRECT("$R$"&amp;OFFSET($AU$3,,MATCH(ROW(),$AU$3:$BF$3,)-2)+2&amp;":$R"&amp;ROW()-1))),IF($AR575="本年累计",SUMIF($AR$6:$AR575,"本月合计",$R$6:$R574),INDEX(凭证录入!L:L,$AR575))))</f>
        <v>0</v>
      </c>
      <c r="S575" s="459" t="str">
        <f t="shared" ca="1" si="126"/>
        <v/>
      </c>
      <c r="T575" s="460" t="str">
        <f t="shared" ca="1" si="126"/>
        <v/>
      </c>
      <c r="U575" s="460" t="str">
        <f t="shared" ca="1" si="126"/>
        <v/>
      </c>
      <c r="V575" s="460" t="str">
        <f t="shared" ca="1" si="126"/>
        <v/>
      </c>
      <c r="W575" s="460" t="str">
        <f t="shared" ca="1" si="126"/>
        <v/>
      </c>
      <c r="X575" s="460" t="str">
        <f t="shared" ca="1" si="126"/>
        <v/>
      </c>
      <c r="Y575" s="460" t="str">
        <f t="shared" ca="1" si="126"/>
        <v/>
      </c>
      <c r="Z575" s="460" t="str">
        <f t="shared" ca="1" si="126"/>
        <v/>
      </c>
      <c r="AA575" s="461" t="str">
        <f t="shared" ca="1" si="126"/>
        <v/>
      </c>
      <c r="AB575" s="474" t="str">
        <f t="shared" ca="1" si="126"/>
        <v/>
      </c>
      <c r="AC575" s="475" t="str">
        <f t="shared" ca="1" si="126"/>
        <v/>
      </c>
      <c r="AD575" s="477" t="str">
        <f t="shared" ca="1" si="116"/>
        <v/>
      </c>
      <c r="AE575" s="478">
        <f t="shared" ca="1" si="117"/>
        <v>0</v>
      </c>
      <c r="AF575" s="459" t="str">
        <f t="shared" ca="1" si="124"/>
        <v/>
      </c>
      <c r="AG575" s="460" t="str">
        <f t="shared" ca="1" si="124"/>
        <v/>
      </c>
      <c r="AH575" s="460" t="str">
        <f t="shared" ca="1" si="124"/>
        <v/>
      </c>
      <c r="AI575" s="460" t="str">
        <f t="shared" ca="1" si="124"/>
        <v/>
      </c>
      <c r="AJ575" s="460" t="str">
        <f t="shared" ca="1" si="124"/>
        <v/>
      </c>
      <c r="AK575" s="460" t="str">
        <f t="shared" ca="1" si="124"/>
        <v/>
      </c>
      <c r="AL575" s="460" t="str">
        <f t="shared" ca="1" si="124"/>
        <v/>
      </c>
      <c r="AM575" s="460" t="str">
        <f t="shared" ca="1" si="124"/>
        <v/>
      </c>
      <c r="AN575" s="461" t="str">
        <f t="shared" ca="1" si="124"/>
        <v/>
      </c>
      <c r="AO575" s="474" t="str">
        <f t="shared" ca="1" si="124"/>
        <v/>
      </c>
      <c r="AP575" s="475" t="str">
        <f t="shared" ca="1" si="124"/>
        <v/>
      </c>
      <c r="AQ575" s="479" t="str">
        <f t="array" aca="1" ref="AQ575" ca="1">IF(ROW()-5&lt;=COUNTIF(科目编号,$AR$2),SMALL(IF(科目编号=$AR$2,ROW(科目编号),""),ROW()-5),"")</f>
        <v/>
      </c>
      <c r="AR575" s="480" t="str">
        <f ca="1">IF($BG$2=0,"",IF(AR574="本月合计","本年累计",IF(OR(ROW()=$AU$3,ROW()=$AV$3,ROW()=$AW$3,ROW()=$AX$3,ROW()=$AY$3,ROW()=$AZ$3,ROW()=$BA$3,ROW()=$BB$3,ROW()=$BC$3,ROW()=$BD$3,ROW()=$BE$3,ROW()=$BF$3),"本月合计",IF(ROW()&lt;7,$AQ$6,OFFSET($AQ$6,COUNT($AR$6:AR574),0)))))</f>
        <v/>
      </c>
    </row>
    <row r="576" spans="1:44">
      <c r="A576" s="469" t="str">
        <f ca="1">IFERROR(INDEX(凭证录入!A:A,$AR576),"")</f>
        <v/>
      </c>
      <c r="B576" s="469" t="str">
        <f ca="1">IFERROR(INDEX(凭证录入!B:B,$AR576),"")</f>
        <v/>
      </c>
      <c r="C576" s="470" t="str">
        <f ca="1">IFERROR(INDEX(凭证录入!G:G,$AR576),"")</f>
        <v/>
      </c>
      <c r="D576" s="471" t="str">
        <f ca="1">IFERROR(INDEX(凭证录入!F:F,$AR576),"")</f>
        <v/>
      </c>
      <c r="E576" s="472" t="str">
        <f ca="1">IFERROR(INDEX(凭证录入!H:H,$AR576),$AR576)</f>
        <v/>
      </c>
      <c r="F576" s="473">
        <f ca="1">IF(OR($BG$2=0,$AR576=""),,IF($AR576="本月合计",IF(ROW()=$BG$3,SUM($F$6:$F575),SUM(INDIRECT("$F$"&amp;OFFSET($AU$3,,MATCH(ROW(),$AU$3:$BF$3,)-2)+2&amp;":$E"&amp;ROW()-1))),IF($AR576="本年累计",SUMIF($AR$6:$AR576,"本月合计",$F$6:$F575),INDEX(凭证录入!K:K,$AR576))))</f>
        <v>0</v>
      </c>
      <c r="G576" s="459" t="str">
        <f t="shared" ca="1" si="125"/>
        <v/>
      </c>
      <c r="H576" s="460" t="str">
        <f t="shared" ca="1" si="125"/>
        <v/>
      </c>
      <c r="I576" s="460" t="str">
        <f t="shared" ca="1" si="125"/>
        <v/>
      </c>
      <c r="J576" s="460" t="str">
        <f t="shared" ca="1" si="125"/>
        <v/>
      </c>
      <c r="K576" s="460" t="str">
        <f t="shared" ca="1" si="125"/>
        <v/>
      </c>
      <c r="L576" s="460" t="str">
        <f t="shared" ca="1" si="125"/>
        <v/>
      </c>
      <c r="M576" s="460" t="str">
        <f t="shared" ca="1" si="125"/>
        <v/>
      </c>
      <c r="N576" s="460" t="str">
        <f t="shared" ca="1" si="125"/>
        <v/>
      </c>
      <c r="O576" s="461" t="str">
        <f t="shared" ca="1" si="125"/>
        <v/>
      </c>
      <c r="P576" s="474" t="str">
        <f t="shared" ca="1" si="125"/>
        <v/>
      </c>
      <c r="Q576" s="475" t="str">
        <f t="shared" ca="1" si="125"/>
        <v/>
      </c>
      <c r="R576" s="476">
        <f ca="1">IF(OR($BG$2=0,$AR576=""),,IF($AR576="本月合计",IF(ROW()=$BG$3,SUM($R$6:$R575),SUM(INDIRECT("$R$"&amp;OFFSET($AU$3,,MATCH(ROW(),$AU$3:$BF$3,)-2)+2&amp;":$R"&amp;ROW()-1))),IF($AR576="本年累计",SUMIF($AR$6:$AR576,"本月合计",$R$6:$R575),INDEX(凭证录入!L:L,$AR576))))</f>
        <v>0</v>
      </c>
      <c r="S576" s="459" t="str">
        <f t="shared" ca="1" si="126"/>
        <v/>
      </c>
      <c r="T576" s="460" t="str">
        <f t="shared" ca="1" si="126"/>
        <v/>
      </c>
      <c r="U576" s="460" t="str">
        <f t="shared" ca="1" si="126"/>
        <v/>
      </c>
      <c r="V576" s="460" t="str">
        <f t="shared" ca="1" si="126"/>
        <v/>
      </c>
      <c r="W576" s="460" t="str">
        <f t="shared" ca="1" si="126"/>
        <v/>
      </c>
      <c r="X576" s="460" t="str">
        <f t="shared" ca="1" si="126"/>
        <v/>
      </c>
      <c r="Y576" s="460" t="str">
        <f t="shared" ca="1" si="126"/>
        <v/>
      </c>
      <c r="Z576" s="460" t="str">
        <f t="shared" ca="1" si="126"/>
        <v/>
      </c>
      <c r="AA576" s="461" t="str">
        <f t="shared" ca="1" si="126"/>
        <v/>
      </c>
      <c r="AB576" s="474" t="str">
        <f t="shared" ca="1" si="126"/>
        <v/>
      </c>
      <c r="AC576" s="475" t="str">
        <f t="shared" ca="1" si="126"/>
        <v/>
      </c>
      <c r="AD576" s="477" t="str">
        <f t="shared" ca="1" si="116"/>
        <v/>
      </c>
      <c r="AE576" s="478">
        <f t="shared" ca="1" si="117"/>
        <v>0</v>
      </c>
      <c r="AF576" s="459" t="str">
        <f t="shared" ca="1" si="124"/>
        <v/>
      </c>
      <c r="AG576" s="460" t="str">
        <f t="shared" ca="1" si="124"/>
        <v/>
      </c>
      <c r="AH576" s="460" t="str">
        <f t="shared" ca="1" si="124"/>
        <v/>
      </c>
      <c r="AI576" s="460" t="str">
        <f t="shared" ca="1" si="124"/>
        <v/>
      </c>
      <c r="AJ576" s="460" t="str">
        <f t="shared" ca="1" si="124"/>
        <v/>
      </c>
      <c r="AK576" s="460" t="str">
        <f t="shared" ca="1" si="124"/>
        <v/>
      </c>
      <c r="AL576" s="460" t="str">
        <f t="shared" ca="1" si="124"/>
        <v/>
      </c>
      <c r="AM576" s="460" t="str">
        <f t="shared" ca="1" si="124"/>
        <v/>
      </c>
      <c r="AN576" s="461" t="str">
        <f t="shared" ca="1" si="124"/>
        <v/>
      </c>
      <c r="AO576" s="474" t="str">
        <f t="shared" ca="1" si="124"/>
        <v/>
      </c>
      <c r="AP576" s="475" t="str">
        <f t="shared" ca="1" si="124"/>
        <v/>
      </c>
      <c r="AQ576" s="479" t="str">
        <f t="array" aca="1" ref="AQ576" ca="1">IF(ROW()-5&lt;=COUNTIF(科目编号,$AR$2),SMALL(IF(科目编号=$AR$2,ROW(科目编号),""),ROW()-5),"")</f>
        <v/>
      </c>
      <c r="AR576" s="480" t="str">
        <f ca="1">IF($BG$2=0,"",IF(AR575="本月合计","本年累计",IF(OR(ROW()=$AU$3,ROW()=$AV$3,ROW()=$AW$3,ROW()=$AX$3,ROW()=$AY$3,ROW()=$AZ$3,ROW()=$BA$3,ROW()=$BB$3,ROW()=$BC$3,ROW()=$BD$3,ROW()=$BE$3,ROW()=$BF$3),"本月合计",IF(ROW()&lt;7,$AQ$6,OFFSET($AQ$6,COUNT($AR$6:AR575),0)))))</f>
        <v/>
      </c>
    </row>
    <row r="577" spans="1:44">
      <c r="A577" s="469" t="str">
        <f ca="1">IFERROR(INDEX(凭证录入!A:A,$AR577),"")</f>
        <v/>
      </c>
      <c r="B577" s="469" t="str">
        <f ca="1">IFERROR(INDEX(凭证录入!B:B,$AR577),"")</f>
        <v/>
      </c>
      <c r="C577" s="470" t="str">
        <f ca="1">IFERROR(INDEX(凭证录入!G:G,$AR577),"")</f>
        <v/>
      </c>
      <c r="D577" s="471" t="str">
        <f ca="1">IFERROR(INDEX(凭证录入!F:F,$AR577),"")</f>
        <v/>
      </c>
      <c r="E577" s="472" t="str">
        <f ca="1">IFERROR(INDEX(凭证录入!H:H,$AR577),$AR577)</f>
        <v/>
      </c>
      <c r="F577" s="473">
        <f ca="1">IF(OR($BG$2=0,$AR577=""),,IF($AR577="本月合计",IF(ROW()=$BG$3,SUM($F$6:$F576),SUM(INDIRECT("$F$"&amp;OFFSET($AU$3,,MATCH(ROW(),$AU$3:$BF$3,)-2)+2&amp;":$E"&amp;ROW()-1))),IF($AR577="本年累计",SUMIF($AR$6:$AR577,"本月合计",$F$6:$F576),INDEX(凭证录入!K:K,$AR577))))</f>
        <v>0</v>
      </c>
      <c r="G577" s="459" t="str">
        <f t="shared" ca="1" si="125"/>
        <v/>
      </c>
      <c r="H577" s="460" t="str">
        <f t="shared" ca="1" si="125"/>
        <v/>
      </c>
      <c r="I577" s="460" t="str">
        <f t="shared" ca="1" si="125"/>
        <v/>
      </c>
      <c r="J577" s="460" t="str">
        <f t="shared" ca="1" si="125"/>
        <v/>
      </c>
      <c r="K577" s="460" t="str">
        <f t="shared" ca="1" si="125"/>
        <v/>
      </c>
      <c r="L577" s="460" t="str">
        <f t="shared" ca="1" si="125"/>
        <v/>
      </c>
      <c r="M577" s="460" t="str">
        <f t="shared" ca="1" si="125"/>
        <v/>
      </c>
      <c r="N577" s="460" t="str">
        <f t="shared" ca="1" si="125"/>
        <v/>
      </c>
      <c r="O577" s="461" t="str">
        <f t="shared" ca="1" si="125"/>
        <v/>
      </c>
      <c r="P577" s="474" t="str">
        <f t="shared" ca="1" si="125"/>
        <v/>
      </c>
      <c r="Q577" s="475" t="str">
        <f t="shared" ca="1" si="125"/>
        <v/>
      </c>
      <c r="R577" s="476">
        <f ca="1">IF(OR($BG$2=0,$AR577=""),,IF($AR577="本月合计",IF(ROW()=$BG$3,SUM($R$6:$R576),SUM(INDIRECT("$R$"&amp;OFFSET($AU$3,,MATCH(ROW(),$AU$3:$BF$3,)-2)+2&amp;":$R"&amp;ROW()-1))),IF($AR577="本年累计",SUMIF($AR$6:$AR577,"本月合计",$R$6:$R576),INDEX(凭证录入!L:L,$AR577))))</f>
        <v>0</v>
      </c>
      <c r="S577" s="459" t="str">
        <f t="shared" ca="1" si="126"/>
        <v/>
      </c>
      <c r="T577" s="460" t="str">
        <f t="shared" ca="1" si="126"/>
        <v/>
      </c>
      <c r="U577" s="460" t="str">
        <f t="shared" ca="1" si="126"/>
        <v/>
      </c>
      <c r="V577" s="460" t="str">
        <f t="shared" ca="1" si="126"/>
        <v/>
      </c>
      <c r="W577" s="460" t="str">
        <f t="shared" ca="1" si="126"/>
        <v/>
      </c>
      <c r="X577" s="460" t="str">
        <f t="shared" ca="1" si="126"/>
        <v/>
      </c>
      <c r="Y577" s="460" t="str">
        <f t="shared" ca="1" si="126"/>
        <v/>
      </c>
      <c r="Z577" s="460" t="str">
        <f t="shared" ca="1" si="126"/>
        <v/>
      </c>
      <c r="AA577" s="461" t="str">
        <f t="shared" ca="1" si="126"/>
        <v/>
      </c>
      <c r="AB577" s="474" t="str">
        <f t="shared" ca="1" si="126"/>
        <v/>
      </c>
      <c r="AC577" s="475" t="str">
        <f t="shared" ca="1" si="126"/>
        <v/>
      </c>
      <c r="AD577" s="477" t="str">
        <f t="shared" ca="1" si="116"/>
        <v/>
      </c>
      <c r="AE577" s="478">
        <f t="shared" ca="1" si="117"/>
        <v>0</v>
      </c>
      <c r="AF577" s="459" t="str">
        <f t="shared" ca="1" si="124"/>
        <v/>
      </c>
      <c r="AG577" s="460" t="str">
        <f t="shared" ca="1" si="124"/>
        <v/>
      </c>
      <c r="AH577" s="460" t="str">
        <f t="shared" ca="1" si="124"/>
        <v/>
      </c>
      <c r="AI577" s="460" t="str">
        <f t="shared" ca="1" si="124"/>
        <v/>
      </c>
      <c r="AJ577" s="460" t="str">
        <f t="shared" ca="1" si="124"/>
        <v/>
      </c>
      <c r="AK577" s="460" t="str">
        <f t="shared" ca="1" si="124"/>
        <v/>
      </c>
      <c r="AL577" s="460" t="str">
        <f t="shared" ca="1" si="124"/>
        <v/>
      </c>
      <c r="AM577" s="460" t="str">
        <f t="shared" ca="1" si="124"/>
        <v/>
      </c>
      <c r="AN577" s="461" t="str">
        <f t="shared" ca="1" si="124"/>
        <v/>
      </c>
      <c r="AO577" s="474" t="str">
        <f t="shared" ca="1" si="124"/>
        <v/>
      </c>
      <c r="AP577" s="475" t="str">
        <f t="shared" ca="1" si="124"/>
        <v/>
      </c>
      <c r="AQ577" s="479" t="str">
        <f t="array" aca="1" ref="AQ577" ca="1">IF(ROW()-5&lt;=COUNTIF(科目编号,$AR$2),SMALL(IF(科目编号=$AR$2,ROW(科目编号),""),ROW()-5),"")</f>
        <v/>
      </c>
      <c r="AR577" s="480" t="str">
        <f ca="1">IF($BG$2=0,"",IF(AR576="本月合计","本年累计",IF(OR(ROW()=$AU$3,ROW()=$AV$3,ROW()=$AW$3,ROW()=$AX$3,ROW()=$AY$3,ROW()=$AZ$3,ROW()=$BA$3,ROW()=$BB$3,ROW()=$BC$3,ROW()=$BD$3,ROW()=$BE$3,ROW()=$BF$3),"本月合计",IF(ROW()&lt;7,$AQ$6,OFFSET($AQ$6,COUNT($AR$6:AR576),0)))))</f>
        <v/>
      </c>
    </row>
    <row r="578" spans="1:44">
      <c r="A578" s="469" t="str">
        <f ca="1">IFERROR(INDEX(凭证录入!A:A,$AR578),"")</f>
        <v/>
      </c>
      <c r="B578" s="469" t="str">
        <f ca="1">IFERROR(INDEX(凭证录入!B:B,$AR578),"")</f>
        <v/>
      </c>
      <c r="C578" s="470" t="str">
        <f ca="1">IFERROR(INDEX(凭证录入!G:G,$AR578),"")</f>
        <v/>
      </c>
      <c r="D578" s="471" t="str">
        <f ca="1">IFERROR(INDEX(凭证录入!F:F,$AR578),"")</f>
        <v/>
      </c>
      <c r="E578" s="472" t="str">
        <f ca="1">IFERROR(INDEX(凭证录入!H:H,$AR578),$AR578)</f>
        <v/>
      </c>
      <c r="F578" s="473">
        <f ca="1">IF(OR($BG$2=0,$AR578=""),,IF($AR578="本月合计",IF(ROW()=$BG$3,SUM($F$6:$F577),SUM(INDIRECT("$F$"&amp;OFFSET($AU$3,,MATCH(ROW(),$AU$3:$BF$3,)-2)+2&amp;":$E"&amp;ROW()-1))),IF($AR578="本年累计",SUMIF($AR$6:$AR578,"本月合计",$F$6:$F577),INDEX(凭证录入!K:K,$AR578))))</f>
        <v>0</v>
      </c>
      <c r="G578" s="459" t="str">
        <f t="shared" ca="1" si="125"/>
        <v/>
      </c>
      <c r="H578" s="460" t="str">
        <f t="shared" ca="1" si="125"/>
        <v/>
      </c>
      <c r="I578" s="460" t="str">
        <f t="shared" ca="1" si="125"/>
        <v/>
      </c>
      <c r="J578" s="460" t="str">
        <f t="shared" ca="1" si="125"/>
        <v/>
      </c>
      <c r="K578" s="460" t="str">
        <f t="shared" ca="1" si="125"/>
        <v/>
      </c>
      <c r="L578" s="460" t="str">
        <f t="shared" ca="1" si="125"/>
        <v/>
      </c>
      <c r="M578" s="460" t="str">
        <f t="shared" ca="1" si="125"/>
        <v/>
      </c>
      <c r="N578" s="460" t="str">
        <f t="shared" ca="1" si="125"/>
        <v/>
      </c>
      <c r="O578" s="461" t="str">
        <f t="shared" ca="1" si="125"/>
        <v/>
      </c>
      <c r="P578" s="474" t="str">
        <f t="shared" ca="1" si="125"/>
        <v/>
      </c>
      <c r="Q578" s="475" t="str">
        <f t="shared" ca="1" si="125"/>
        <v/>
      </c>
      <c r="R578" s="476">
        <f ca="1">IF(OR($BG$2=0,$AR578=""),,IF($AR578="本月合计",IF(ROW()=$BG$3,SUM($R$6:$R577),SUM(INDIRECT("$R$"&amp;OFFSET($AU$3,,MATCH(ROW(),$AU$3:$BF$3,)-2)+2&amp;":$R"&amp;ROW()-1))),IF($AR578="本年累计",SUMIF($AR$6:$AR578,"本月合计",$R$6:$R577),INDEX(凭证录入!L:L,$AR578))))</f>
        <v>0</v>
      </c>
      <c r="S578" s="459" t="str">
        <f t="shared" ca="1" si="126"/>
        <v/>
      </c>
      <c r="T578" s="460" t="str">
        <f t="shared" ca="1" si="126"/>
        <v/>
      </c>
      <c r="U578" s="460" t="str">
        <f t="shared" ca="1" si="126"/>
        <v/>
      </c>
      <c r="V578" s="460" t="str">
        <f t="shared" ca="1" si="126"/>
        <v/>
      </c>
      <c r="W578" s="460" t="str">
        <f t="shared" ca="1" si="126"/>
        <v/>
      </c>
      <c r="X578" s="460" t="str">
        <f t="shared" ca="1" si="126"/>
        <v/>
      </c>
      <c r="Y578" s="460" t="str">
        <f t="shared" ca="1" si="126"/>
        <v/>
      </c>
      <c r="Z578" s="460" t="str">
        <f t="shared" ca="1" si="126"/>
        <v/>
      </c>
      <c r="AA578" s="461" t="str">
        <f t="shared" ca="1" si="126"/>
        <v/>
      </c>
      <c r="AB578" s="474" t="str">
        <f t="shared" ca="1" si="126"/>
        <v/>
      </c>
      <c r="AC578" s="475" t="str">
        <f t="shared" ca="1" si="126"/>
        <v/>
      </c>
      <c r="AD578" s="477" t="str">
        <f t="shared" ca="1" si="116"/>
        <v/>
      </c>
      <c r="AE578" s="478">
        <f t="shared" ca="1" si="117"/>
        <v>0</v>
      </c>
      <c r="AF578" s="459" t="str">
        <f t="shared" ca="1" si="124"/>
        <v/>
      </c>
      <c r="AG578" s="460" t="str">
        <f t="shared" ca="1" si="124"/>
        <v/>
      </c>
      <c r="AH578" s="460" t="str">
        <f t="shared" ca="1" si="124"/>
        <v/>
      </c>
      <c r="AI578" s="460" t="str">
        <f t="shared" ca="1" si="124"/>
        <v/>
      </c>
      <c r="AJ578" s="460" t="str">
        <f t="shared" ca="1" si="124"/>
        <v/>
      </c>
      <c r="AK578" s="460" t="str">
        <f t="shared" ca="1" si="124"/>
        <v/>
      </c>
      <c r="AL578" s="460" t="str">
        <f t="shared" ca="1" si="124"/>
        <v/>
      </c>
      <c r="AM578" s="460" t="str">
        <f t="shared" ca="1" si="124"/>
        <v/>
      </c>
      <c r="AN578" s="461" t="str">
        <f t="shared" ca="1" si="124"/>
        <v/>
      </c>
      <c r="AO578" s="474" t="str">
        <f t="shared" ca="1" si="124"/>
        <v/>
      </c>
      <c r="AP578" s="475" t="str">
        <f t="shared" ca="1" si="124"/>
        <v/>
      </c>
      <c r="AQ578" s="479" t="str">
        <f t="array" aca="1" ref="AQ578" ca="1">IF(ROW()-5&lt;=COUNTIF(科目编号,$AR$2),SMALL(IF(科目编号=$AR$2,ROW(科目编号),""),ROW()-5),"")</f>
        <v/>
      </c>
      <c r="AR578" s="480" t="str">
        <f ca="1">IF($BG$2=0,"",IF(AR577="本月合计","本年累计",IF(OR(ROW()=$AU$3,ROW()=$AV$3,ROW()=$AW$3,ROW()=$AX$3,ROW()=$AY$3,ROW()=$AZ$3,ROW()=$BA$3,ROW()=$BB$3,ROW()=$BC$3,ROW()=$BD$3,ROW()=$BE$3,ROW()=$BF$3),"本月合计",IF(ROW()&lt;7,$AQ$6,OFFSET($AQ$6,COUNT($AR$6:AR577),0)))))</f>
        <v/>
      </c>
    </row>
    <row r="579" spans="1:44">
      <c r="A579" s="469" t="str">
        <f ca="1">IFERROR(INDEX(凭证录入!A:A,$AR579),"")</f>
        <v/>
      </c>
      <c r="B579" s="469" t="str">
        <f ca="1">IFERROR(INDEX(凭证录入!B:B,$AR579),"")</f>
        <v/>
      </c>
      <c r="C579" s="470" t="str">
        <f ca="1">IFERROR(INDEX(凭证录入!G:G,$AR579),"")</f>
        <v/>
      </c>
      <c r="D579" s="471" t="str">
        <f ca="1">IFERROR(INDEX(凭证录入!F:F,$AR579),"")</f>
        <v/>
      </c>
      <c r="E579" s="472" t="str">
        <f ca="1">IFERROR(INDEX(凭证录入!H:H,$AR579),$AR579)</f>
        <v/>
      </c>
      <c r="F579" s="473">
        <f ca="1">IF(OR($BG$2=0,$AR579=""),,IF($AR579="本月合计",IF(ROW()=$BG$3,SUM($F$6:$F578),SUM(INDIRECT("$F$"&amp;OFFSET($AU$3,,MATCH(ROW(),$AU$3:$BF$3,)-2)+2&amp;":$E"&amp;ROW()-1))),IF($AR579="本年累计",SUMIF($AR$6:$AR579,"本月合计",$F$6:$F578),INDEX(凭证录入!K:K,$AR579))))</f>
        <v>0</v>
      </c>
      <c r="G579" s="459" t="str">
        <f t="shared" ca="1" si="125"/>
        <v/>
      </c>
      <c r="H579" s="460" t="str">
        <f t="shared" ca="1" si="125"/>
        <v/>
      </c>
      <c r="I579" s="460" t="str">
        <f t="shared" ca="1" si="125"/>
        <v/>
      </c>
      <c r="J579" s="460" t="str">
        <f t="shared" ca="1" si="125"/>
        <v/>
      </c>
      <c r="K579" s="460" t="str">
        <f t="shared" ca="1" si="125"/>
        <v/>
      </c>
      <c r="L579" s="460" t="str">
        <f t="shared" ca="1" si="125"/>
        <v/>
      </c>
      <c r="M579" s="460" t="str">
        <f t="shared" ca="1" si="125"/>
        <v/>
      </c>
      <c r="N579" s="460" t="str">
        <f t="shared" ca="1" si="125"/>
        <v/>
      </c>
      <c r="O579" s="461" t="str">
        <f t="shared" ca="1" si="125"/>
        <v/>
      </c>
      <c r="P579" s="474" t="str">
        <f t="shared" ca="1" si="125"/>
        <v/>
      </c>
      <c r="Q579" s="475" t="str">
        <f t="shared" ca="1" si="125"/>
        <v/>
      </c>
      <c r="R579" s="476">
        <f ca="1">IF(OR($BG$2=0,$AR579=""),,IF($AR579="本月合计",IF(ROW()=$BG$3,SUM($R$6:$R578),SUM(INDIRECT("$R$"&amp;OFFSET($AU$3,,MATCH(ROW(),$AU$3:$BF$3,)-2)+2&amp;":$R"&amp;ROW()-1))),IF($AR579="本年累计",SUMIF($AR$6:$AR579,"本月合计",$R$6:$R578),INDEX(凭证录入!L:L,$AR579))))</f>
        <v>0</v>
      </c>
      <c r="S579" s="459" t="str">
        <f t="shared" ca="1" si="126"/>
        <v/>
      </c>
      <c r="T579" s="460" t="str">
        <f t="shared" ca="1" si="126"/>
        <v/>
      </c>
      <c r="U579" s="460" t="str">
        <f t="shared" ca="1" si="126"/>
        <v/>
      </c>
      <c r="V579" s="460" t="str">
        <f t="shared" ca="1" si="126"/>
        <v/>
      </c>
      <c r="W579" s="460" t="str">
        <f t="shared" ca="1" si="126"/>
        <v/>
      </c>
      <c r="X579" s="460" t="str">
        <f t="shared" ca="1" si="126"/>
        <v/>
      </c>
      <c r="Y579" s="460" t="str">
        <f t="shared" ca="1" si="126"/>
        <v/>
      </c>
      <c r="Z579" s="460" t="str">
        <f t="shared" ca="1" si="126"/>
        <v/>
      </c>
      <c r="AA579" s="461" t="str">
        <f t="shared" ca="1" si="126"/>
        <v/>
      </c>
      <c r="AB579" s="474" t="str">
        <f t="shared" ca="1" si="126"/>
        <v/>
      </c>
      <c r="AC579" s="475" t="str">
        <f t="shared" ca="1" si="126"/>
        <v/>
      </c>
      <c r="AD579" s="477" t="str">
        <f t="shared" ca="1" si="116"/>
        <v/>
      </c>
      <c r="AE579" s="478">
        <f t="shared" ca="1" si="117"/>
        <v>0</v>
      </c>
      <c r="AF579" s="459" t="str">
        <f t="shared" ca="1" si="124"/>
        <v/>
      </c>
      <c r="AG579" s="460" t="str">
        <f t="shared" ca="1" si="124"/>
        <v/>
      </c>
      <c r="AH579" s="460" t="str">
        <f t="shared" ca="1" si="124"/>
        <v/>
      </c>
      <c r="AI579" s="460" t="str">
        <f t="shared" ca="1" si="124"/>
        <v/>
      </c>
      <c r="AJ579" s="460" t="str">
        <f t="shared" ca="1" si="124"/>
        <v/>
      </c>
      <c r="AK579" s="460" t="str">
        <f t="shared" ca="1" si="124"/>
        <v/>
      </c>
      <c r="AL579" s="460" t="str">
        <f t="shared" ca="1" si="124"/>
        <v/>
      </c>
      <c r="AM579" s="460" t="str">
        <f t="shared" ca="1" si="124"/>
        <v/>
      </c>
      <c r="AN579" s="461" t="str">
        <f t="shared" ca="1" si="124"/>
        <v/>
      </c>
      <c r="AO579" s="474" t="str">
        <f t="shared" ca="1" si="124"/>
        <v/>
      </c>
      <c r="AP579" s="475" t="str">
        <f t="shared" ca="1" si="124"/>
        <v/>
      </c>
      <c r="AQ579" s="479" t="str">
        <f t="array" aca="1" ref="AQ579" ca="1">IF(ROW()-5&lt;=COUNTIF(科目编号,$AR$2),SMALL(IF(科目编号=$AR$2,ROW(科目编号),""),ROW()-5),"")</f>
        <v/>
      </c>
      <c r="AR579" s="480" t="str">
        <f ca="1">IF($BG$2=0,"",IF(AR578="本月合计","本年累计",IF(OR(ROW()=$AU$3,ROW()=$AV$3,ROW()=$AW$3,ROW()=$AX$3,ROW()=$AY$3,ROW()=$AZ$3,ROW()=$BA$3,ROW()=$BB$3,ROW()=$BC$3,ROW()=$BD$3,ROW()=$BE$3,ROW()=$BF$3),"本月合计",IF(ROW()&lt;7,$AQ$6,OFFSET($AQ$6,COUNT($AR$6:AR578),0)))))</f>
        <v/>
      </c>
    </row>
    <row r="580" spans="1:44">
      <c r="A580" s="469" t="str">
        <f ca="1">IFERROR(INDEX(凭证录入!A:A,$AR580),"")</f>
        <v/>
      </c>
      <c r="B580" s="469" t="str">
        <f ca="1">IFERROR(INDEX(凭证录入!B:B,$AR580),"")</f>
        <v/>
      </c>
      <c r="C580" s="470" t="str">
        <f ca="1">IFERROR(INDEX(凭证录入!G:G,$AR580),"")</f>
        <v/>
      </c>
      <c r="D580" s="471" t="str">
        <f ca="1">IFERROR(INDEX(凭证录入!F:F,$AR580),"")</f>
        <v/>
      </c>
      <c r="E580" s="472" t="str">
        <f ca="1">IFERROR(INDEX(凭证录入!H:H,$AR580),$AR580)</f>
        <v/>
      </c>
      <c r="F580" s="473">
        <f ca="1">IF(OR($BG$2=0,$AR580=""),,IF($AR580="本月合计",IF(ROW()=$BG$3,SUM($F$6:$F579),SUM(INDIRECT("$F$"&amp;OFFSET($AU$3,,MATCH(ROW(),$AU$3:$BF$3,)-2)+2&amp;":$E"&amp;ROW()-1))),IF($AR580="本年累计",SUMIF($AR$6:$AR580,"本月合计",$F$6:$F579),INDEX(凭证录入!K:K,$AR580))))</f>
        <v>0</v>
      </c>
      <c r="G580" s="459" t="str">
        <f t="shared" ca="1" si="125"/>
        <v/>
      </c>
      <c r="H580" s="460" t="str">
        <f t="shared" ca="1" si="125"/>
        <v/>
      </c>
      <c r="I580" s="460" t="str">
        <f t="shared" ca="1" si="125"/>
        <v/>
      </c>
      <c r="J580" s="460" t="str">
        <f t="shared" ca="1" si="125"/>
        <v/>
      </c>
      <c r="K580" s="460" t="str">
        <f t="shared" ca="1" si="125"/>
        <v/>
      </c>
      <c r="L580" s="460" t="str">
        <f t="shared" ca="1" si="125"/>
        <v/>
      </c>
      <c r="M580" s="460" t="str">
        <f t="shared" ca="1" si="125"/>
        <v/>
      </c>
      <c r="N580" s="460" t="str">
        <f t="shared" ca="1" si="125"/>
        <v/>
      </c>
      <c r="O580" s="461" t="str">
        <f t="shared" ca="1" si="125"/>
        <v/>
      </c>
      <c r="P580" s="474" t="str">
        <f t="shared" ca="1" si="125"/>
        <v/>
      </c>
      <c r="Q580" s="475" t="str">
        <f t="shared" ca="1" si="125"/>
        <v/>
      </c>
      <c r="R580" s="476">
        <f ca="1">IF(OR($BG$2=0,$AR580=""),,IF($AR580="本月合计",IF(ROW()=$BG$3,SUM($R$6:$R579),SUM(INDIRECT("$R$"&amp;OFFSET($AU$3,,MATCH(ROW(),$AU$3:$BF$3,)-2)+2&amp;":$R"&amp;ROW()-1))),IF($AR580="本年累计",SUMIF($AR$6:$AR580,"本月合计",$R$6:$R579),INDEX(凭证录入!L:L,$AR580))))</f>
        <v>0</v>
      </c>
      <c r="S580" s="459" t="str">
        <f t="shared" ca="1" si="126"/>
        <v/>
      </c>
      <c r="T580" s="460" t="str">
        <f t="shared" ca="1" si="126"/>
        <v/>
      </c>
      <c r="U580" s="460" t="str">
        <f t="shared" ca="1" si="126"/>
        <v/>
      </c>
      <c r="V580" s="460" t="str">
        <f t="shared" ca="1" si="126"/>
        <v/>
      </c>
      <c r="W580" s="460" t="str">
        <f t="shared" ca="1" si="126"/>
        <v/>
      </c>
      <c r="X580" s="460" t="str">
        <f t="shared" ca="1" si="126"/>
        <v/>
      </c>
      <c r="Y580" s="460" t="str">
        <f t="shared" ca="1" si="126"/>
        <v/>
      </c>
      <c r="Z580" s="460" t="str">
        <f t="shared" ca="1" si="126"/>
        <v/>
      </c>
      <c r="AA580" s="461" t="str">
        <f t="shared" ca="1" si="126"/>
        <v/>
      </c>
      <c r="AB580" s="474" t="str">
        <f t="shared" ca="1" si="126"/>
        <v/>
      </c>
      <c r="AC580" s="475" t="str">
        <f t="shared" ca="1" si="126"/>
        <v/>
      </c>
      <c r="AD580" s="477" t="str">
        <f t="shared" ca="1" si="116"/>
        <v/>
      </c>
      <c r="AE580" s="478">
        <f t="shared" ca="1" si="117"/>
        <v>0</v>
      </c>
      <c r="AF580" s="459" t="str">
        <f t="shared" ca="1" si="124"/>
        <v/>
      </c>
      <c r="AG580" s="460" t="str">
        <f t="shared" ca="1" si="124"/>
        <v/>
      </c>
      <c r="AH580" s="460" t="str">
        <f t="shared" ca="1" si="124"/>
        <v/>
      </c>
      <c r="AI580" s="460" t="str">
        <f t="shared" ca="1" si="124"/>
        <v/>
      </c>
      <c r="AJ580" s="460" t="str">
        <f t="shared" ca="1" si="124"/>
        <v/>
      </c>
      <c r="AK580" s="460" t="str">
        <f t="shared" ca="1" si="124"/>
        <v/>
      </c>
      <c r="AL580" s="460" t="str">
        <f t="shared" ca="1" si="124"/>
        <v/>
      </c>
      <c r="AM580" s="460" t="str">
        <f t="shared" ca="1" si="124"/>
        <v/>
      </c>
      <c r="AN580" s="461" t="str">
        <f t="shared" ca="1" si="124"/>
        <v/>
      </c>
      <c r="AO580" s="474" t="str">
        <f t="shared" ca="1" si="124"/>
        <v/>
      </c>
      <c r="AP580" s="475" t="str">
        <f t="shared" ca="1" si="124"/>
        <v/>
      </c>
      <c r="AQ580" s="479" t="str">
        <f t="array" aca="1" ref="AQ580" ca="1">IF(ROW()-5&lt;=COUNTIF(科目编号,$AR$2),SMALL(IF(科目编号=$AR$2,ROW(科目编号),""),ROW()-5),"")</f>
        <v/>
      </c>
      <c r="AR580" s="480" t="str">
        <f ca="1">IF($BG$2=0,"",IF(AR579="本月合计","本年累计",IF(OR(ROW()=$AU$3,ROW()=$AV$3,ROW()=$AW$3,ROW()=$AX$3,ROW()=$AY$3,ROW()=$AZ$3,ROW()=$BA$3,ROW()=$BB$3,ROW()=$BC$3,ROW()=$BD$3,ROW()=$BE$3,ROW()=$BF$3),"本月合计",IF(ROW()&lt;7,$AQ$6,OFFSET($AQ$6,COUNT($AR$6:AR579),0)))))</f>
        <v/>
      </c>
    </row>
    <row r="581" spans="1:44">
      <c r="A581" s="469" t="str">
        <f ca="1">IFERROR(INDEX(凭证录入!A:A,$AR581),"")</f>
        <v/>
      </c>
      <c r="B581" s="469" t="str">
        <f ca="1">IFERROR(INDEX(凭证录入!B:B,$AR581),"")</f>
        <v/>
      </c>
      <c r="C581" s="470" t="str">
        <f ca="1">IFERROR(INDEX(凭证录入!G:G,$AR581),"")</f>
        <v/>
      </c>
      <c r="D581" s="471" t="str">
        <f ca="1">IFERROR(INDEX(凭证录入!F:F,$AR581),"")</f>
        <v/>
      </c>
      <c r="E581" s="472" t="str">
        <f ca="1">IFERROR(INDEX(凭证录入!H:H,$AR581),$AR581)</f>
        <v/>
      </c>
      <c r="F581" s="473">
        <f ca="1">IF(OR($BG$2=0,$AR581=""),,IF($AR581="本月合计",IF(ROW()=$BG$3,SUM($F$6:$F580),SUM(INDIRECT("$F$"&amp;OFFSET($AU$3,,MATCH(ROW(),$AU$3:$BF$3,)-2)+2&amp;":$E"&amp;ROW()-1))),IF($AR581="本年累计",SUMIF($AR$6:$AR581,"本月合计",$F$6:$F580),INDEX(凭证录入!K:K,$AR581))))</f>
        <v>0</v>
      </c>
      <c r="G581" s="459" t="str">
        <f t="shared" ca="1" si="125"/>
        <v/>
      </c>
      <c r="H581" s="460" t="str">
        <f t="shared" ca="1" si="125"/>
        <v/>
      </c>
      <c r="I581" s="460" t="str">
        <f t="shared" ca="1" si="125"/>
        <v/>
      </c>
      <c r="J581" s="460" t="str">
        <f t="shared" ca="1" si="125"/>
        <v/>
      </c>
      <c r="K581" s="460" t="str">
        <f t="shared" ca="1" si="125"/>
        <v/>
      </c>
      <c r="L581" s="460" t="str">
        <f t="shared" ca="1" si="125"/>
        <v/>
      </c>
      <c r="M581" s="460" t="str">
        <f t="shared" ca="1" si="125"/>
        <v/>
      </c>
      <c r="N581" s="460" t="str">
        <f t="shared" ca="1" si="125"/>
        <v/>
      </c>
      <c r="O581" s="461" t="str">
        <f t="shared" ca="1" si="125"/>
        <v/>
      </c>
      <c r="P581" s="474" t="str">
        <f t="shared" ca="1" si="125"/>
        <v/>
      </c>
      <c r="Q581" s="475" t="str">
        <f t="shared" ca="1" si="125"/>
        <v/>
      </c>
      <c r="R581" s="476">
        <f ca="1">IF(OR($BG$2=0,$AR581=""),,IF($AR581="本月合计",IF(ROW()=$BG$3,SUM($R$6:$R580),SUM(INDIRECT("$R$"&amp;OFFSET($AU$3,,MATCH(ROW(),$AU$3:$BF$3,)-2)+2&amp;":$R"&amp;ROW()-1))),IF($AR581="本年累计",SUMIF($AR$6:$AR581,"本月合计",$R$6:$R580),INDEX(凭证录入!L:L,$AR581))))</f>
        <v>0</v>
      </c>
      <c r="S581" s="459" t="str">
        <f t="shared" ca="1" si="126"/>
        <v/>
      </c>
      <c r="T581" s="460" t="str">
        <f t="shared" ca="1" si="126"/>
        <v/>
      </c>
      <c r="U581" s="460" t="str">
        <f t="shared" ca="1" si="126"/>
        <v/>
      </c>
      <c r="V581" s="460" t="str">
        <f t="shared" ca="1" si="126"/>
        <v/>
      </c>
      <c r="W581" s="460" t="str">
        <f t="shared" ca="1" si="126"/>
        <v/>
      </c>
      <c r="X581" s="460" t="str">
        <f t="shared" ca="1" si="126"/>
        <v/>
      </c>
      <c r="Y581" s="460" t="str">
        <f t="shared" ca="1" si="126"/>
        <v/>
      </c>
      <c r="Z581" s="460" t="str">
        <f t="shared" ca="1" si="126"/>
        <v/>
      </c>
      <c r="AA581" s="461" t="str">
        <f t="shared" ca="1" si="126"/>
        <v/>
      </c>
      <c r="AB581" s="474" t="str">
        <f t="shared" ca="1" si="126"/>
        <v/>
      </c>
      <c r="AC581" s="475" t="str">
        <f t="shared" ca="1" si="126"/>
        <v/>
      </c>
      <c r="AD581" s="477" t="str">
        <f t="shared" ca="1" si="116"/>
        <v/>
      </c>
      <c r="AE581" s="478">
        <f t="shared" ca="1" si="117"/>
        <v>0</v>
      </c>
      <c r="AF581" s="459" t="str">
        <f t="shared" ref="AF581:AP596" ca="1" si="127">LEFT(RIGHT(TEXT($AE581/1%," ￥0; ￥-0;"),43-COLUMN()))</f>
        <v/>
      </c>
      <c r="AG581" s="460" t="str">
        <f t="shared" ca="1" si="127"/>
        <v/>
      </c>
      <c r="AH581" s="460" t="str">
        <f t="shared" ca="1" si="127"/>
        <v/>
      </c>
      <c r="AI581" s="460" t="str">
        <f t="shared" ca="1" si="127"/>
        <v/>
      </c>
      <c r="AJ581" s="460" t="str">
        <f t="shared" ca="1" si="127"/>
        <v/>
      </c>
      <c r="AK581" s="460" t="str">
        <f t="shared" ca="1" si="127"/>
        <v/>
      </c>
      <c r="AL581" s="460" t="str">
        <f t="shared" ca="1" si="127"/>
        <v/>
      </c>
      <c r="AM581" s="460" t="str">
        <f t="shared" ca="1" si="127"/>
        <v/>
      </c>
      <c r="AN581" s="461" t="str">
        <f t="shared" ca="1" si="127"/>
        <v/>
      </c>
      <c r="AO581" s="474" t="str">
        <f t="shared" ca="1" si="127"/>
        <v/>
      </c>
      <c r="AP581" s="475" t="str">
        <f t="shared" ca="1" si="127"/>
        <v/>
      </c>
      <c r="AQ581" s="479" t="str">
        <f t="array" aca="1" ref="AQ581" ca="1">IF(ROW()-5&lt;=COUNTIF(科目编号,$AR$2),SMALL(IF(科目编号=$AR$2,ROW(科目编号),""),ROW()-5),"")</f>
        <v/>
      </c>
      <c r="AR581" s="480" t="str">
        <f ca="1">IF($BG$2=0,"",IF(AR580="本月合计","本年累计",IF(OR(ROW()=$AU$3,ROW()=$AV$3,ROW()=$AW$3,ROW()=$AX$3,ROW()=$AY$3,ROW()=$AZ$3,ROW()=$BA$3,ROW()=$BB$3,ROW()=$BC$3,ROW()=$BD$3,ROW()=$BE$3,ROW()=$BF$3),"本月合计",IF(ROW()&lt;7,$AQ$6,OFFSET($AQ$6,COUNT($AR$6:AR580),0)))))</f>
        <v/>
      </c>
    </row>
    <row r="582" spans="1:44">
      <c r="A582" s="469" t="str">
        <f ca="1">IFERROR(INDEX(凭证录入!A:A,$AR582),"")</f>
        <v/>
      </c>
      <c r="B582" s="469" t="str">
        <f ca="1">IFERROR(INDEX(凭证录入!B:B,$AR582),"")</f>
        <v/>
      </c>
      <c r="C582" s="470" t="str">
        <f ca="1">IFERROR(INDEX(凭证录入!G:G,$AR582),"")</f>
        <v/>
      </c>
      <c r="D582" s="471" t="str">
        <f ca="1">IFERROR(INDEX(凭证录入!F:F,$AR582),"")</f>
        <v/>
      </c>
      <c r="E582" s="472" t="str">
        <f ca="1">IFERROR(INDEX(凭证录入!H:H,$AR582),$AR582)</f>
        <v/>
      </c>
      <c r="F582" s="473">
        <f ca="1">IF(OR($BG$2=0,$AR582=""),,IF($AR582="本月合计",IF(ROW()=$BG$3,SUM($F$6:$F581),SUM(INDIRECT("$F$"&amp;OFFSET($AU$3,,MATCH(ROW(),$AU$3:$BF$3,)-2)+2&amp;":$E"&amp;ROW()-1))),IF($AR582="本年累计",SUMIF($AR$6:$AR582,"本月合计",$F$6:$F581),INDEX(凭证录入!K:K,$AR582))))</f>
        <v>0</v>
      </c>
      <c r="G582" s="459" t="str">
        <f t="shared" ref="G582:Q597" ca="1" si="128">LEFT(RIGHT(TEXT($F582/1%," ￥0; ￥-0;"),18-COLUMN()))</f>
        <v/>
      </c>
      <c r="H582" s="460" t="str">
        <f t="shared" ca="1" si="128"/>
        <v/>
      </c>
      <c r="I582" s="460" t="str">
        <f t="shared" ca="1" si="128"/>
        <v/>
      </c>
      <c r="J582" s="460" t="str">
        <f t="shared" ca="1" si="128"/>
        <v/>
      </c>
      <c r="K582" s="460" t="str">
        <f t="shared" ca="1" si="128"/>
        <v/>
      </c>
      <c r="L582" s="460" t="str">
        <f t="shared" ca="1" si="128"/>
        <v/>
      </c>
      <c r="M582" s="460" t="str">
        <f t="shared" ca="1" si="128"/>
        <v/>
      </c>
      <c r="N582" s="460" t="str">
        <f t="shared" ca="1" si="128"/>
        <v/>
      </c>
      <c r="O582" s="461" t="str">
        <f t="shared" ca="1" si="128"/>
        <v/>
      </c>
      <c r="P582" s="474" t="str">
        <f t="shared" ca="1" si="128"/>
        <v/>
      </c>
      <c r="Q582" s="475" t="str">
        <f t="shared" ca="1" si="128"/>
        <v/>
      </c>
      <c r="R582" s="476">
        <f ca="1">IF(OR($BG$2=0,$AR582=""),,IF($AR582="本月合计",IF(ROW()=$BG$3,SUM($R$6:$R581),SUM(INDIRECT("$R$"&amp;OFFSET($AU$3,,MATCH(ROW(),$AU$3:$BF$3,)-2)+2&amp;":$R"&amp;ROW()-1))),IF($AR582="本年累计",SUMIF($AR$6:$AR582,"本月合计",$R$6:$R581),INDEX(凭证录入!L:L,$AR582))))</f>
        <v>0</v>
      </c>
      <c r="S582" s="459" t="str">
        <f t="shared" ref="S582:AC597" ca="1" si="129">LEFT(RIGHT(TEXT($R582/1%," ￥0; ￥-0;"),30-COLUMN()))</f>
        <v/>
      </c>
      <c r="T582" s="460" t="str">
        <f t="shared" ca="1" si="129"/>
        <v/>
      </c>
      <c r="U582" s="460" t="str">
        <f t="shared" ca="1" si="129"/>
        <v/>
      </c>
      <c r="V582" s="460" t="str">
        <f t="shared" ca="1" si="129"/>
        <v/>
      </c>
      <c r="W582" s="460" t="str">
        <f t="shared" ca="1" si="129"/>
        <v/>
      </c>
      <c r="X582" s="460" t="str">
        <f t="shared" ca="1" si="129"/>
        <v/>
      </c>
      <c r="Y582" s="460" t="str">
        <f t="shared" ca="1" si="129"/>
        <v/>
      </c>
      <c r="Z582" s="460" t="str">
        <f t="shared" ca="1" si="129"/>
        <v/>
      </c>
      <c r="AA582" s="461" t="str">
        <f t="shared" ca="1" si="129"/>
        <v/>
      </c>
      <c r="AB582" s="474" t="str">
        <f t="shared" ca="1" si="129"/>
        <v/>
      </c>
      <c r="AC582" s="475" t="str">
        <f t="shared" ca="1" si="129"/>
        <v/>
      </c>
      <c r="AD582" s="477" t="str">
        <f t="shared" ref="AD582:AD645" ca="1" si="130">IF(OR($BG$2=0,$AR582="",$AR582="本月合计",$AR582="本年累计"),"",IF(OR(AND($AD581="",$AE581="",$AD579&lt;&gt;"借",$AD579&lt;&gt;"贷",($F582-$R582)&gt;=0),AND($AD581="",$AE581&lt;&gt;"",$AD579="借",($AE580+$F582-$R582)&gt;=0),AND($AD581="",$AE581&lt;&gt;"",$AD579="贷",(-$AE580+$F582-$R582)&gt;=0),AND($AD581="借",($AE581+$F582-$R582)&gt;=0),AND($AD581="贷",(-$AE581+$F582-$R582)&gt;=0),),"借","贷"))</f>
        <v/>
      </c>
      <c r="AE582" s="478">
        <f t="shared" ref="AE582:AE645" ca="1" si="131">IF(OR($BG$2=0,$AR582=""),,IF(OR($AR582="本月合计",$AR582="本年累计"),$AE581,IF(OR(AD581="借",AND(AD581="",AD580="",AD579="借")),ABS(AE581+F582-R582),ABS(-AE581+F582-R582))))</f>
        <v>0</v>
      </c>
      <c r="AF582" s="459" t="str">
        <f t="shared" ca="1" si="127"/>
        <v/>
      </c>
      <c r="AG582" s="460" t="str">
        <f t="shared" ca="1" si="127"/>
        <v/>
      </c>
      <c r="AH582" s="460" t="str">
        <f t="shared" ca="1" si="127"/>
        <v/>
      </c>
      <c r="AI582" s="460" t="str">
        <f t="shared" ca="1" si="127"/>
        <v/>
      </c>
      <c r="AJ582" s="460" t="str">
        <f t="shared" ca="1" si="127"/>
        <v/>
      </c>
      <c r="AK582" s="460" t="str">
        <f t="shared" ca="1" si="127"/>
        <v/>
      </c>
      <c r="AL582" s="460" t="str">
        <f t="shared" ca="1" si="127"/>
        <v/>
      </c>
      <c r="AM582" s="460" t="str">
        <f t="shared" ca="1" si="127"/>
        <v/>
      </c>
      <c r="AN582" s="461" t="str">
        <f t="shared" ca="1" si="127"/>
        <v/>
      </c>
      <c r="AO582" s="474" t="str">
        <f t="shared" ca="1" si="127"/>
        <v/>
      </c>
      <c r="AP582" s="475" t="str">
        <f t="shared" ca="1" si="127"/>
        <v/>
      </c>
      <c r="AQ582" s="479" t="str">
        <f t="array" aca="1" ref="AQ582" ca="1">IF(ROW()-5&lt;=COUNTIF(科目编号,$AR$2),SMALL(IF(科目编号=$AR$2,ROW(科目编号),""),ROW()-5),"")</f>
        <v/>
      </c>
      <c r="AR582" s="480" t="str">
        <f ca="1">IF($BG$2=0,"",IF(AR581="本月合计","本年累计",IF(OR(ROW()=$AU$3,ROW()=$AV$3,ROW()=$AW$3,ROW()=$AX$3,ROW()=$AY$3,ROW()=$AZ$3,ROW()=$BA$3,ROW()=$BB$3,ROW()=$BC$3,ROW()=$BD$3,ROW()=$BE$3,ROW()=$BF$3),"本月合计",IF(ROW()&lt;7,$AQ$6,OFFSET($AQ$6,COUNT($AR$6:AR581),0)))))</f>
        <v/>
      </c>
    </row>
    <row r="583" spans="1:44">
      <c r="A583" s="469" t="str">
        <f ca="1">IFERROR(INDEX(凭证录入!A:A,$AR583),"")</f>
        <v/>
      </c>
      <c r="B583" s="469" t="str">
        <f ca="1">IFERROR(INDEX(凭证录入!B:B,$AR583),"")</f>
        <v/>
      </c>
      <c r="C583" s="470" t="str">
        <f ca="1">IFERROR(INDEX(凭证录入!G:G,$AR583),"")</f>
        <v/>
      </c>
      <c r="D583" s="471" t="str">
        <f ca="1">IFERROR(INDEX(凭证录入!F:F,$AR583),"")</f>
        <v/>
      </c>
      <c r="E583" s="472" t="str">
        <f ca="1">IFERROR(INDEX(凭证录入!H:H,$AR583),$AR583)</f>
        <v/>
      </c>
      <c r="F583" s="473">
        <f ca="1">IF(OR($BG$2=0,$AR583=""),,IF($AR583="本月合计",IF(ROW()=$BG$3,SUM($F$6:$F582),SUM(INDIRECT("$F$"&amp;OFFSET($AU$3,,MATCH(ROW(),$AU$3:$BF$3,)-2)+2&amp;":$E"&amp;ROW()-1))),IF($AR583="本年累计",SUMIF($AR$6:$AR583,"本月合计",$F$6:$F582),INDEX(凭证录入!K:K,$AR583))))</f>
        <v>0</v>
      </c>
      <c r="G583" s="459" t="str">
        <f t="shared" ca="1" si="128"/>
        <v/>
      </c>
      <c r="H583" s="460" t="str">
        <f t="shared" ca="1" si="128"/>
        <v/>
      </c>
      <c r="I583" s="460" t="str">
        <f t="shared" ca="1" si="128"/>
        <v/>
      </c>
      <c r="J583" s="460" t="str">
        <f t="shared" ca="1" si="128"/>
        <v/>
      </c>
      <c r="K583" s="460" t="str">
        <f t="shared" ca="1" si="128"/>
        <v/>
      </c>
      <c r="L583" s="460" t="str">
        <f t="shared" ca="1" si="128"/>
        <v/>
      </c>
      <c r="M583" s="460" t="str">
        <f t="shared" ca="1" si="128"/>
        <v/>
      </c>
      <c r="N583" s="460" t="str">
        <f t="shared" ca="1" si="128"/>
        <v/>
      </c>
      <c r="O583" s="461" t="str">
        <f t="shared" ca="1" si="128"/>
        <v/>
      </c>
      <c r="P583" s="474" t="str">
        <f t="shared" ca="1" si="128"/>
        <v/>
      </c>
      <c r="Q583" s="475" t="str">
        <f t="shared" ca="1" si="128"/>
        <v/>
      </c>
      <c r="R583" s="476">
        <f ca="1">IF(OR($BG$2=0,$AR583=""),,IF($AR583="本月合计",IF(ROW()=$BG$3,SUM($R$6:$R582),SUM(INDIRECT("$R$"&amp;OFFSET($AU$3,,MATCH(ROW(),$AU$3:$BF$3,)-2)+2&amp;":$R"&amp;ROW()-1))),IF($AR583="本年累计",SUMIF($AR$6:$AR583,"本月合计",$R$6:$R582),INDEX(凭证录入!L:L,$AR583))))</f>
        <v>0</v>
      </c>
      <c r="S583" s="459" t="str">
        <f t="shared" ca="1" si="129"/>
        <v/>
      </c>
      <c r="T583" s="460" t="str">
        <f t="shared" ca="1" si="129"/>
        <v/>
      </c>
      <c r="U583" s="460" t="str">
        <f t="shared" ca="1" si="129"/>
        <v/>
      </c>
      <c r="V583" s="460" t="str">
        <f t="shared" ca="1" si="129"/>
        <v/>
      </c>
      <c r="W583" s="460" t="str">
        <f t="shared" ca="1" si="129"/>
        <v/>
      </c>
      <c r="X583" s="460" t="str">
        <f t="shared" ca="1" si="129"/>
        <v/>
      </c>
      <c r="Y583" s="460" t="str">
        <f t="shared" ca="1" si="129"/>
        <v/>
      </c>
      <c r="Z583" s="460" t="str">
        <f t="shared" ca="1" si="129"/>
        <v/>
      </c>
      <c r="AA583" s="461" t="str">
        <f t="shared" ca="1" si="129"/>
        <v/>
      </c>
      <c r="AB583" s="474" t="str">
        <f t="shared" ca="1" si="129"/>
        <v/>
      </c>
      <c r="AC583" s="475" t="str">
        <f t="shared" ca="1" si="129"/>
        <v/>
      </c>
      <c r="AD583" s="477" t="str">
        <f t="shared" ca="1" si="130"/>
        <v/>
      </c>
      <c r="AE583" s="478">
        <f t="shared" ca="1" si="131"/>
        <v>0</v>
      </c>
      <c r="AF583" s="459" t="str">
        <f t="shared" ca="1" si="127"/>
        <v/>
      </c>
      <c r="AG583" s="460" t="str">
        <f t="shared" ca="1" si="127"/>
        <v/>
      </c>
      <c r="AH583" s="460" t="str">
        <f t="shared" ca="1" si="127"/>
        <v/>
      </c>
      <c r="AI583" s="460" t="str">
        <f t="shared" ca="1" si="127"/>
        <v/>
      </c>
      <c r="AJ583" s="460" t="str">
        <f t="shared" ca="1" si="127"/>
        <v/>
      </c>
      <c r="AK583" s="460" t="str">
        <f t="shared" ca="1" si="127"/>
        <v/>
      </c>
      <c r="AL583" s="460" t="str">
        <f t="shared" ca="1" si="127"/>
        <v/>
      </c>
      <c r="AM583" s="460" t="str">
        <f t="shared" ca="1" si="127"/>
        <v/>
      </c>
      <c r="AN583" s="461" t="str">
        <f t="shared" ca="1" si="127"/>
        <v/>
      </c>
      <c r="AO583" s="474" t="str">
        <f t="shared" ca="1" si="127"/>
        <v/>
      </c>
      <c r="AP583" s="475" t="str">
        <f t="shared" ca="1" si="127"/>
        <v/>
      </c>
      <c r="AQ583" s="479" t="str">
        <f t="array" aca="1" ref="AQ583" ca="1">IF(ROW()-5&lt;=COUNTIF(科目编号,$AR$2),SMALL(IF(科目编号=$AR$2,ROW(科目编号),""),ROW()-5),"")</f>
        <v/>
      </c>
      <c r="AR583" s="480" t="str">
        <f ca="1">IF($BG$2=0,"",IF(AR582="本月合计","本年累计",IF(OR(ROW()=$AU$3,ROW()=$AV$3,ROW()=$AW$3,ROW()=$AX$3,ROW()=$AY$3,ROW()=$AZ$3,ROW()=$BA$3,ROW()=$BB$3,ROW()=$BC$3,ROW()=$BD$3,ROW()=$BE$3,ROW()=$BF$3),"本月合计",IF(ROW()&lt;7,$AQ$6,OFFSET($AQ$6,COUNT($AR$6:AR582),0)))))</f>
        <v/>
      </c>
    </row>
    <row r="584" spans="1:44">
      <c r="A584" s="469" t="str">
        <f ca="1">IFERROR(INDEX(凭证录入!A:A,$AR584),"")</f>
        <v/>
      </c>
      <c r="B584" s="469" t="str">
        <f ca="1">IFERROR(INDEX(凭证录入!B:B,$AR584),"")</f>
        <v/>
      </c>
      <c r="C584" s="470" t="str">
        <f ca="1">IFERROR(INDEX(凭证录入!G:G,$AR584),"")</f>
        <v/>
      </c>
      <c r="D584" s="471" t="str">
        <f ca="1">IFERROR(INDEX(凭证录入!F:F,$AR584),"")</f>
        <v/>
      </c>
      <c r="E584" s="472" t="str">
        <f ca="1">IFERROR(INDEX(凭证录入!H:H,$AR584),$AR584)</f>
        <v/>
      </c>
      <c r="F584" s="473">
        <f ca="1">IF(OR($BG$2=0,$AR584=""),,IF($AR584="本月合计",IF(ROW()=$BG$3,SUM($F$6:$F583),SUM(INDIRECT("$F$"&amp;OFFSET($AU$3,,MATCH(ROW(),$AU$3:$BF$3,)-2)+2&amp;":$E"&amp;ROW()-1))),IF($AR584="本年累计",SUMIF($AR$6:$AR584,"本月合计",$F$6:$F583),INDEX(凭证录入!K:K,$AR584))))</f>
        <v>0</v>
      </c>
      <c r="G584" s="459" t="str">
        <f t="shared" ca="1" si="128"/>
        <v/>
      </c>
      <c r="H584" s="460" t="str">
        <f t="shared" ca="1" si="128"/>
        <v/>
      </c>
      <c r="I584" s="460" t="str">
        <f t="shared" ca="1" si="128"/>
        <v/>
      </c>
      <c r="J584" s="460" t="str">
        <f t="shared" ca="1" si="128"/>
        <v/>
      </c>
      <c r="K584" s="460" t="str">
        <f t="shared" ca="1" si="128"/>
        <v/>
      </c>
      <c r="L584" s="460" t="str">
        <f t="shared" ca="1" si="128"/>
        <v/>
      </c>
      <c r="M584" s="460" t="str">
        <f t="shared" ca="1" si="128"/>
        <v/>
      </c>
      <c r="N584" s="460" t="str">
        <f t="shared" ca="1" si="128"/>
        <v/>
      </c>
      <c r="O584" s="461" t="str">
        <f t="shared" ca="1" si="128"/>
        <v/>
      </c>
      <c r="P584" s="474" t="str">
        <f t="shared" ca="1" si="128"/>
        <v/>
      </c>
      <c r="Q584" s="475" t="str">
        <f t="shared" ca="1" si="128"/>
        <v/>
      </c>
      <c r="R584" s="476">
        <f ca="1">IF(OR($BG$2=0,$AR584=""),,IF($AR584="本月合计",IF(ROW()=$BG$3,SUM($R$6:$R583),SUM(INDIRECT("$R$"&amp;OFFSET($AU$3,,MATCH(ROW(),$AU$3:$BF$3,)-2)+2&amp;":$R"&amp;ROW()-1))),IF($AR584="本年累计",SUMIF($AR$6:$AR584,"本月合计",$R$6:$R583),INDEX(凭证录入!L:L,$AR584))))</f>
        <v>0</v>
      </c>
      <c r="S584" s="459" t="str">
        <f t="shared" ca="1" si="129"/>
        <v/>
      </c>
      <c r="T584" s="460" t="str">
        <f t="shared" ca="1" si="129"/>
        <v/>
      </c>
      <c r="U584" s="460" t="str">
        <f t="shared" ca="1" si="129"/>
        <v/>
      </c>
      <c r="V584" s="460" t="str">
        <f t="shared" ca="1" si="129"/>
        <v/>
      </c>
      <c r="W584" s="460" t="str">
        <f t="shared" ca="1" si="129"/>
        <v/>
      </c>
      <c r="X584" s="460" t="str">
        <f t="shared" ca="1" si="129"/>
        <v/>
      </c>
      <c r="Y584" s="460" t="str">
        <f t="shared" ca="1" si="129"/>
        <v/>
      </c>
      <c r="Z584" s="460" t="str">
        <f t="shared" ca="1" si="129"/>
        <v/>
      </c>
      <c r="AA584" s="461" t="str">
        <f t="shared" ca="1" si="129"/>
        <v/>
      </c>
      <c r="AB584" s="474" t="str">
        <f t="shared" ca="1" si="129"/>
        <v/>
      </c>
      <c r="AC584" s="475" t="str">
        <f t="shared" ca="1" si="129"/>
        <v/>
      </c>
      <c r="AD584" s="477" t="str">
        <f t="shared" ca="1" si="130"/>
        <v/>
      </c>
      <c r="AE584" s="478">
        <f t="shared" ca="1" si="131"/>
        <v>0</v>
      </c>
      <c r="AF584" s="459" t="str">
        <f t="shared" ca="1" si="127"/>
        <v/>
      </c>
      <c r="AG584" s="460" t="str">
        <f t="shared" ca="1" si="127"/>
        <v/>
      </c>
      <c r="AH584" s="460" t="str">
        <f t="shared" ca="1" si="127"/>
        <v/>
      </c>
      <c r="AI584" s="460" t="str">
        <f t="shared" ca="1" si="127"/>
        <v/>
      </c>
      <c r="AJ584" s="460" t="str">
        <f t="shared" ca="1" si="127"/>
        <v/>
      </c>
      <c r="AK584" s="460" t="str">
        <f t="shared" ca="1" si="127"/>
        <v/>
      </c>
      <c r="AL584" s="460" t="str">
        <f t="shared" ca="1" si="127"/>
        <v/>
      </c>
      <c r="AM584" s="460" t="str">
        <f t="shared" ca="1" si="127"/>
        <v/>
      </c>
      <c r="AN584" s="461" t="str">
        <f t="shared" ca="1" si="127"/>
        <v/>
      </c>
      <c r="AO584" s="474" t="str">
        <f t="shared" ca="1" si="127"/>
        <v/>
      </c>
      <c r="AP584" s="475" t="str">
        <f t="shared" ca="1" si="127"/>
        <v/>
      </c>
      <c r="AQ584" s="479" t="str">
        <f t="array" aca="1" ref="AQ584" ca="1">IF(ROW()-5&lt;=COUNTIF(科目编号,$AR$2),SMALL(IF(科目编号=$AR$2,ROW(科目编号),""),ROW()-5),"")</f>
        <v/>
      </c>
      <c r="AR584" s="480" t="str">
        <f ca="1">IF($BG$2=0,"",IF(AR583="本月合计","本年累计",IF(OR(ROW()=$AU$3,ROW()=$AV$3,ROW()=$AW$3,ROW()=$AX$3,ROW()=$AY$3,ROW()=$AZ$3,ROW()=$BA$3,ROW()=$BB$3,ROW()=$BC$3,ROW()=$BD$3,ROW()=$BE$3,ROW()=$BF$3),"本月合计",IF(ROW()&lt;7,$AQ$6,OFFSET($AQ$6,COUNT($AR$6:AR583),0)))))</f>
        <v/>
      </c>
    </row>
    <row r="585" spans="1:44">
      <c r="A585" s="469" t="str">
        <f ca="1">IFERROR(INDEX(凭证录入!A:A,$AR585),"")</f>
        <v/>
      </c>
      <c r="B585" s="469" t="str">
        <f ca="1">IFERROR(INDEX(凭证录入!B:B,$AR585),"")</f>
        <v/>
      </c>
      <c r="C585" s="470" t="str">
        <f ca="1">IFERROR(INDEX(凭证录入!G:G,$AR585),"")</f>
        <v/>
      </c>
      <c r="D585" s="471" t="str">
        <f ca="1">IFERROR(INDEX(凭证录入!F:F,$AR585),"")</f>
        <v/>
      </c>
      <c r="E585" s="472" t="str">
        <f ca="1">IFERROR(INDEX(凭证录入!H:H,$AR585),$AR585)</f>
        <v/>
      </c>
      <c r="F585" s="473">
        <f ca="1">IF(OR($BG$2=0,$AR585=""),,IF($AR585="本月合计",IF(ROW()=$BG$3,SUM($F$6:$F584),SUM(INDIRECT("$F$"&amp;OFFSET($AU$3,,MATCH(ROW(),$AU$3:$BF$3,)-2)+2&amp;":$E"&amp;ROW()-1))),IF($AR585="本年累计",SUMIF($AR$6:$AR585,"本月合计",$F$6:$F584),INDEX(凭证录入!K:K,$AR585))))</f>
        <v>0</v>
      </c>
      <c r="G585" s="459" t="str">
        <f t="shared" ca="1" si="128"/>
        <v/>
      </c>
      <c r="H585" s="460" t="str">
        <f t="shared" ca="1" si="128"/>
        <v/>
      </c>
      <c r="I585" s="460" t="str">
        <f t="shared" ca="1" si="128"/>
        <v/>
      </c>
      <c r="J585" s="460" t="str">
        <f t="shared" ca="1" si="128"/>
        <v/>
      </c>
      <c r="K585" s="460" t="str">
        <f t="shared" ca="1" si="128"/>
        <v/>
      </c>
      <c r="L585" s="460" t="str">
        <f t="shared" ca="1" si="128"/>
        <v/>
      </c>
      <c r="M585" s="460" t="str">
        <f t="shared" ca="1" si="128"/>
        <v/>
      </c>
      <c r="N585" s="460" t="str">
        <f t="shared" ca="1" si="128"/>
        <v/>
      </c>
      <c r="O585" s="461" t="str">
        <f t="shared" ca="1" si="128"/>
        <v/>
      </c>
      <c r="P585" s="474" t="str">
        <f t="shared" ca="1" si="128"/>
        <v/>
      </c>
      <c r="Q585" s="475" t="str">
        <f t="shared" ca="1" si="128"/>
        <v/>
      </c>
      <c r="R585" s="476">
        <f ca="1">IF(OR($BG$2=0,$AR585=""),,IF($AR585="本月合计",IF(ROW()=$BG$3,SUM($R$6:$R584),SUM(INDIRECT("$R$"&amp;OFFSET($AU$3,,MATCH(ROW(),$AU$3:$BF$3,)-2)+2&amp;":$R"&amp;ROW()-1))),IF($AR585="本年累计",SUMIF($AR$6:$AR585,"本月合计",$R$6:$R584),INDEX(凭证录入!L:L,$AR585))))</f>
        <v>0</v>
      </c>
      <c r="S585" s="459" t="str">
        <f t="shared" ca="1" si="129"/>
        <v/>
      </c>
      <c r="T585" s="460" t="str">
        <f t="shared" ca="1" si="129"/>
        <v/>
      </c>
      <c r="U585" s="460" t="str">
        <f t="shared" ca="1" si="129"/>
        <v/>
      </c>
      <c r="V585" s="460" t="str">
        <f t="shared" ca="1" si="129"/>
        <v/>
      </c>
      <c r="W585" s="460" t="str">
        <f t="shared" ca="1" si="129"/>
        <v/>
      </c>
      <c r="X585" s="460" t="str">
        <f t="shared" ca="1" si="129"/>
        <v/>
      </c>
      <c r="Y585" s="460" t="str">
        <f t="shared" ca="1" si="129"/>
        <v/>
      </c>
      <c r="Z585" s="460" t="str">
        <f t="shared" ca="1" si="129"/>
        <v/>
      </c>
      <c r="AA585" s="461" t="str">
        <f t="shared" ca="1" si="129"/>
        <v/>
      </c>
      <c r="AB585" s="474" t="str">
        <f t="shared" ca="1" si="129"/>
        <v/>
      </c>
      <c r="AC585" s="475" t="str">
        <f t="shared" ca="1" si="129"/>
        <v/>
      </c>
      <c r="AD585" s="477" t="str">
        <f t="shared" ca="1" si="130"/>
        <v/>
      </c>
      <c r="AE585" s="478">
        <f t="shared" ca="1" si="131"/>
        <v>0</v>
      </c>
      <c r="AF585" s="459" t="str">
        <f t="shared" ca="1" si="127"/>
        <v/>
      </c>
      <c r="AG585" s="460" t="str">
        <f t="shared" ca="1" si="127"/>
        <v/>
      </c>
      <c r="AH585" s="460" t="str">
        <f t="shared" ca="1" si="127"/>
        <v/>
      </c>
      <c r="AI585" s="460" t="str">
        <f t="shared" ca="1" si="127"/>
        <v/>
      </c>
      <c r="AJ585" s="460" t="str">
        <f t="shared" ca="1" si="127"/>
        <v/>
      </c>
      <c r="AK585" s="460" t="str">
        <f t="shared" ca="1" si="127"/>
        <v/>
      </c>
      <c r="AL585" s="460" t="str">
        <f t="shared" ca="1" si="127"/>
        <v/>
      </c>
      <c r="AM585" s="460" t="str">
        <f t="shared" ca="1" si="127"/>
        <v/>
      </c>
      <c r="AN585" s="461" t="str">
        <f t="shared" ca="1" si="127"/>
        <v/>
      </c>
      <c r="AO585" s="474" t="str">
        <f t="shared" ca="1" si="127"/>
        <v/>
      </c>
      <c r="AP585" s="475" t="str">
        <f t="shared" ca="1" si="127"/>
        <v/>
      </c>
      <c r="AQ585" s="479" t="str">
        <f t="array" aca="1" ref="AQ585" ca="1">IF(ROW()-5&lt;=COUNTIF(科目编号,$AR$2),SMALL(IF(科目编号=$AR$2,ROW(科目编号),""),ROW()-5),"")</f>
        <v/>
      </c>
      <c r="AR585" s="480" t="str">
        <f ca="1">IF($BG$2=0,"",IF(AR584="本月合计","本年累计",IF(OR(ROW()=$AU$3,ROW()=$AV$3,ROW()=$AW$3,ROW()=$AX$3,ROW()=$AY$3,ROW()=$AZ$3,ROW()=$BA$3,ROW()=$BB$3,ROW()=$BC$3,ROW()=$BD$3,ROW()=$BE$3,ROW()=$BF$3),"本月合计",IF(ROW()&lt;7,$AQ$6,OFFSET($AQ$6,COUNT($AR$6:AR584),0)))))</f>
        <v/>
      </c>
    </row>
    <row r="586" spans="1:44">
      <c r="A586" s="469" t="str">
        <f ca="1">IFERROR(INDEX(凭证录入!A:A,$AR586),"")</f>
        <v/>
      </c>
      <c r="B586" s="469" t="str">
        <f ca="1">IFERROR(INDEX(凭证录入!B:B,$AR586),"")</f>
        <v/>
      </c>
      <c r="C586" s="470" t="str">
        <f ca="1">IFERROR(INDEX(凭证录入!G:G,$AR586),"")</f>
        <v/>
      </c>
      <c r="D586" s="471" t="str">
        <f ca="1">IFERROR(INDEX(凭证录入!F:F,$AR586),"")</f>
        <v/>
      </c>
      <c r="E586" s="472" t="str">
        <f ca="1">IFERROR(INDEX(凭证录入!H:H,$AR586),$AR586)</f>
        <v/>
      </c>
      <c r="F586" s="473">
        <f ca="1">IF(OR($BG$2=0,$AR586=""),,IF($AR586="本月合计",IF(ROW()=$BG$3,SUM($F$6:$F585),SUM(INDIRECT("$F$"&amp;OFFSET($AU$3,,MATCH(ROW(),$AU$3:$BF$3,)-2)+2&amp;":$E"&amp;ROW()-1))),IF($AR586="本年累计",SUMIF($AR$6:$AR586,"本月合计",$F$6:$F585),INDEX(凭证录入!K:K,$AR586))))</f>
        <v>0</v>
      </c>
      <c r="G586" s="459" t="str">
        <f t="shared" ca="1" si="128"/>
        <v/>
      </c>
      <c r="H586" s="460" t="str">
        <f t="shared" ca="1" si="128"/>
        <v/>
      </c>
      <c r="I586" s="460" t="str">
        <f t="shared" ca="1" si="128"/>
        <v/>
      </c>
      <c r="J586" s="460" t="str">
        <f t="shared" ca="1" si="128"/>
        <v/>
      </c>
      <c r="K586" s="460" t="str">
        <f t="shared" ca="1" si="128"/>
        <v/>
      </c>
      <c r="L586" s="460" t="str">
        <f t="shared" ca="1" si="128"/>
        <v/>
      </c>
      <c r="M586" s="460" t="str">
        <f t="shared" ca="1" si="128"/>
        <v/>
      </c>
      <c r="N586" s="460" t="str">
        <f t="shared" ca="1" si="128"/>
        <v/>
      </c>
      <c r="O586" s="461" t="str">
        <f t="shared" ca="1" si="128"/>
        <v/>
      </c>
      <c r="P586" s="474" t="str">
        <f t="shared" ca="1" si="128"/>
        <v/>
      </c>
      <c r="Q586" s="475" t="str">
        <f t="shared" ca="1" si="128"/>
        <v/>
      </c>
      <c r="R586" s="476">
        <f ca="1">IF(OR($BG$2=0,$AR586=""),,IF($AR586="本月合计",IF(ROW()=$BG$3,SUM($R$6:$R585),SUM(INDIRECT("$R$"&amp;OFFSET($AU$3,,MATCH(ROW(),$AU$3:$BF$3,)-2)+2&amp;":$R"&amp;ROW()-1))),IF($AR586="本年累计",SUMIF($AR$6:$AR586,"本月合计",$R$6:$R585),INDEX(凭证录入!L:L,$AR586))))</f>
        <v>0</v>
      </c>
      <c r="S586" s="459" t="str">
        <f t="shared" ca="1" si="129"/>
        <v/>
      </c>
      <c r="T586" s="460" t="str">
        <f t="shared" ca="1" si="129"/>
        <v/>
      </c>
      <c r="U586" s="460" t="str">
        <f t="shared" ca="1" si="129"/>
        <v/>
      </c>
      <c r="V586" s="460" t="str">
        <f t="shared" ca="1" si="129"/>
        <v/>
      </c>
      <c r="W586" s="460" t="str">
        <f t="shared" ca="1" si="129"/>
        <v/>
      </c>
      <c r="X586" s="460" t="str">
        <f t="shared" ca="1" si="129"/>
        <v/>
      </c>
      <c r="Y586" s="460" t="str">
        <f t="shared" ca="1" si="129"/>
        <v/>
      </c>
      <c r="Z586" s="460" t="str">
        <f t="shared" ca="1" si="129"/>
        <v/>
      </c>
      <c r="AA586" s="461" t="str">
        <f t="shared" ca="1" si="129"/>
        <v/>
      </c>
      <c r="AB586" s="474" t="str">
        <f t="shared" ca="1" si="129"/>
        <v/>
      </c>
      <c r="AC586" s="475" t="str">
        <f t="shared" ca="1" si="129"/>
        <v/>
      </c>
      <c r="AD586" s="477" t="str">
        <f t="shared" ca="1" si="130"/>
        <v/>
      </c>
      <c r="AE586" s="478">
        <f t="shared" ca="1" si="131"/>
        <v>0</v>
      </c>
      <c r="AF586" s="459" t="str">
        <f t="shared" ca="1" si="127"/>
        <v/>
      </c>
      <c r="AG586" s="460" t="str">
        <f t="shared" ca="1" si="127"/>
        <v/>
      </c>
      <c r="AH586" s="460" t="str">
        <f t="shared" ca="1" si="127"/>
        <v/>
      </c>
      <c r="AI586" s="460" t="str">
        <f t="shared" ca="1" si="127"/>
        <v/>
      </c>
      <c r="AJ586" s="460" t="str">
        <f t="shared" ca="1" si="127"/>
        <v/>
      </c>
      <c r="AK586" s="460" t="str">
        <f t="shared" ca="1" si="127"/>
        <v/>
      </c>
      <c r="AL586" s="460" t="str">
        <f t="shared" ca="1" si="127"/>
        <v/>
      </c>
      <c r="AM586" s="460" t="str">
        <f t="shared" ca="1" si="127"/>
        <v/>
      </c>
      <c r="AN586" s="461" t="str">
        <f t="shared" ca="1" si="127"/>
        <v/>
      </c>
      <c r="AO586" s="474" t="str">
        <f t="shared" ca="1" si="127"/>
        <v/>
      </c>
      <c r="AP586" s="475" t="str">
        <f t="shared" ca="1" si="127"/>
        <v/>
      </c>
      <c r="AQ586" s="479" t="str">
        <f t="array" aca="1" ref="AQ586" ca="1">IF(ROW()-5&lt;=COUNTIF(科目编号,$AR$2),SMALL(IF(科目编号=$AR$2,ROW(科目编号),""),ROW()-5),"")</f>
        <v/>
      </c>
      <c r="AR586" s="480" t="str">
        <f ca="1">IF($BG$2=0,"",IF(AR585="本月合计","本年累计",IF(OR(ROW()=$AU$3,ROW()=$AV$3,ROW()=$AW$3,ROW()=$AX$3,ROW()=$AY$3,ROW()=$AZ$3,ROW()=$BA$3,ROW()=$BB$3,ROW()=$BC$3,ROW()=$BD$3,ROW()=$BE$3,ROW()=$BF$3),"本月合计",IF(ROW()&lt;7,$AQ$6,OFFSET($AQ$6,COUNT($AR$6:AR585),0)))))</f>
        <v/>
      </c>
    </row>
    <row r="587" spans="1:44">
      <c r="A587" s="469" t="str">
        <f ca="1">IFERROR(INDEX(凭证录入!A:A,$AR587),"")</f>
        <v/>
      </c>
      <c r="B587" s="469" t="str">
        <f ca="1">IFERROR(INDEX(凭证录入!B:B,$AR587),"")</f>
        <v/>
      </c>
      <c r="C587" s="470" t="str">
        <f ca="1">IFERROR(INDEX(凭证录入!G:G,$AR587),"")</f>
        <v/>
      </c>
      <c r="D587" s="471" t="str">
        <f ca="1">IFERROR(INDEX(凭证录入!F:F,$AR587),"")</f>
        <v/>
      </c>
      <c r="E587" s="472" t="str">
        <f ca="1">IFERROR(INDEX(凭证录入!H:H,$AR587),$AR587)</f>
        <v/>
      </c>
      <c r="F587" s="473">
        <f ca="1">IF(OR($BG$2=0,$AR587=""),,IF($AR587="本月合计",IF(ROW()=$BG$3,SUM($F$6:$F586),SUM(INDIRECT("$F$"&amp;OFFSET($AU$3,,MATCH(ROW(),$AU$3:$BF$3,)-2)+2&amp;":$E"&amp;ROW()-1))),IF($AR587="本年累计",SUMIF($AR$6:$AR587,"本月合计",$F$6:$F586),INDEX(凭证录入!K:K,$AR587))))</f>
        <v>0</v>
      </c>
      <c r="G587" s="459" t="str">
        <f t="shared" ca="1" si="128"/>
        <v/>
      </c>
      <c r="H587" s="460" t="str">
        <f t="shared" ca="1" si="128"/>
        <v/>
      </c>
      <c r="I587" s="460" t="str">
        <f t="shared" ca="1" si="128"/>
        <v/>
      </c>
      <c r="J587" s="460" t="str">
        <f t="shared" ca="1" si="128"/>
        <v/>
      </c>
      <c r="K587" s="460" t="str">
        <f t="shared" ca="1" si="128"/>
        <v/>
      </c>
      <c r="L587" s="460" t="str">
        <f t="shared" ca="1" si="128"/>
        <v/>
      </c>
      <c r="M587" s="460" t="str">
        <f t="shared" ca="1" si="128"/>
        <v/>
      </c>
      <c r="N587" s="460" t="str">
        <f t="shared" ca="1" si="128"/>
        <v/>
      </c>
      <c r="O587" s="461" t="str">
        <f t="shared" ca="1" si="128"/>
        <v/>
      </c>
      <c r="P587" s="474" t="str">
        <f t="shared" ca="1" si="128"/>
        <v/>
      </c>
      <c r="Q587" s="475" t="str">
        <f t="shared" ca="1" si="128"/>
        <v/>
      </c>
      <c r="R587" s="476">
        <f ca="1">IF(OR($BG$2=0,$AR587=""),,IF($AR587="本月合计",IF(ROW()=$BG$3,SUM($R$6:$R586),SUM(INDIRECT("$R$"&amp;OFFSET($AU$3,,MATCH(ROW(),$AU$3:$BF$3,)-2)+2&amp;":$R"&amp;ROW()-1))),IF($AR587="本年累计",SUMIF($AR$6:$AR587,"本月合计",$R$6:$R586),INDEX(凭证录入!L:L,$AR587))))</f>
        <v>0</v>
      </c>
      <c r="S587" s="459" t="str">
        <f t="shared" ca="1" si="129"/>
        <v/>
      </c>
      <c r="T587" s="460" t="str">
        <f t="shared" ca="1" si="129"/>
        <v/>
      </c>
      <c r="U587" s="460" t="str">
        <f t="shared" ca="1" si="129"/>
        <v/>
      </c>
      <c r="V587" s="460" t="str">
        <f t="shared" ca="1" si="129"/>
        <v/>
      </c>
      <c r="W587" s="460" t="str">
        <f t="shared" ca="1" si="129"/>
        <v/>
      </c>
      <c r="X587" s="460" t="str">
        <f t="shared" ca="1" si="129"/>
        <v/>
      </c>
      <c r="Y587" s="460" t="str">
        <f t="shared" ca="1" si="129"/>
        <v/>
      </c>
      <c r="Z587" s="460" t="str">
        <f t="shared" ca="1" si="129"/>
        <v/>
      </c>
      <c r="AA587" s="461" t="str">
        <f t="shared" ca="1" si="129"/>
        <v/>
      </c>
      <c r="AB587" s="474" t="str">
        <f t="shared" ca="1" si="129"/>
        <v/>
      </c>
      <c r="AC587" s="475" t="str">
        <f t="shared" ca="1" si="129"/>
        <v/>
      </c>
      <c r="AD587" s="477" t="str">
        <f t="shared" ca="1" si="130"/>
        <v/>
      </c>
      <c r="AE587" s="478">
        <f t="shared" ca="1" si="131"/>
        <v>0</v>
      </c>
      <c r="AF587" s="459" t="str">
        <f t="shared" ca="1" si="127"/>
        <v/>
      </c>
      <c r="AG587" s="460" t="str">
        <f t="shared" ca="1" si="127"/>
        <v/>
      </c>
      <c r="AH587" s="460" t="str">
        <f t="shared" ca="1" si="127"/>
        <v/>
      </c>
      <c r="AI587" s="460" t="str">
        <f t="shared" ca="1" si="127"/>
        <v/>
      </c>
      <c r="AJ587" s="460" t="str">
        <f t="shared" ca="1" si="127"/>
        <v/>
      </c>
      <c r="AK587" s="460" t="str">
        <f t="shared" ca="1" si="127"/>
        <v/>
      </c>
      <c r="AL587" s="460" t="str">
        <f t="shared" ca="1" si="127"/>
        <v/>
      </c>
      <c r="AM587" s="460" t="str">
        <f t="shared" ca="1" si="127"/>
        <v/>
      </c>
      <c r="AN587" s="461" t="str">
        <f t="shared" ca="1" si="127"/>
        <v/>
      </c>
      <c r="AO587" s="474" t="str">
        <f t="shared" ca="1" si="127"/>
        <v/>
      </c>
      <c r="AP587" s="475" t="str">
        <f t="shared" ca="1" si="127"/>
        <v/>
      </c>
      <c r="AQ587" s="479" t="str">
        <f t="array" aca="1" ref="AQ587" ca="1">IF(ROW()-5&lt;=COUNTIF(科目编号,$AR$2),SMALL(IF(科目编号=$AR$2,ROW(科目编号),""),ROW()-5),"")</f>
        <v/>
      </c>
      <c r="AR587" s="480" t="str">
        <f ca="1">IF($BG$2=0,"",IF(AR586="本月合计","本年累计",IF(OR(ROW()=$AU$3,ROW()=$AV$3,ROW()=$AW$3,ROW()=$AX$3,ROW()=$AY$3,ROW()=$AZ$3,ROW()=$BA$3,ROW()=$BB$3,ROW()=$BC$3,ROW()=$BD$3,ROW()=$BE$3,ROW()=$BF$3),"本月合计",IF(ROW()&lt;7,$AQ$6,OFFSET($AQ$6,COUNT($AR$6:AR586),0)))))</f>
        <v/>
      </c>
    </row>
    <row r="588" spans="1:44">
      <c r="A588" s="469" t="str">
        <f ca="1">IFERROR(INDEX(凭证录入!A:A,$AR588),"")</f>
        <v/>
      </c>
      <c r="B588" s="469" t="str">
        <f ca="1">IFERROR(INDEX(凭证录入!B:B,$AR588),"")</f>
        <v/>
      </c>
      <c r="C588" s="470" t="str">
        <f ca="1">IFERROR(INDEX(凭证录入!G:G,$AR588),"")</f>
        <v/>
      </c>
      <c r="D588" s="471" t="str">
        <f ca="1">IFERROR(INDEX(凭证录入!F:F,$AR588),"")</f>
        <v/>
      </c>
      <c r="E588" s="472" t="str">
        <f ca="1">IFERROR(INDEX(凭证录入!H:H,$AR588),$AR588)</f>
        <v/>
      </c>
      <c r="F588" s="473">
        <f ca="1">IF(OR($BG$2=0,$AR588=""),,IF($AR588="本月合计",IF(ROW()=$BG$3,SUM($F$6:$F587),SUM(INDIRECT("$F$"&amp;OFFSET($AU$3,,MATCH(ROW(),$AU$3:$BF$3,)-2)+2&amp;":$E"&amp;ROW()-1))),IF($AR588="本年累计",SUMIF($AR$6:$AR588,"本月合计",$F$6:$F587),INDEX(凭证录入!K:K,$AR588))))</f>
        <v>0</v>
      </c>
      <c r="G588" s="459" t="str">
        <f t="shared" ca="1" si="128"/>
        <v/>
      </c>
      <c r="H588" s="460" t="str">
        <f t="shared" ca="1" si="128"/>
        <v/>
      </c>
      <c r="I588" s="460" t="str">
        <f t="shared" ca="1" si="128"/>
        <v/>
      </c>
      <c r="J588" s="460" t="str">
        <f t="shared" ca="1" si="128"/>
        <v/>
      </c>
      <c r="K588" s="460" t="str">
        <f t="shared" ca="1" si="128"/>
        <v/>
      </c>
      <c r="L588" s="460" t="str">
        <f t="shared" ca="1" si="128"/>
        <v/>
      </c>
      <c r="M588" s="460" t="str">
        <f t="shared" ca="1" si="128"/>
        <v/>
      </c>
      <c r="N588" s="460" t="str">
        <f t="shared" ca="1" si="128"/>
        <v/>
      </c>
      <c r="O588" s="461" t="str">
        <f t="shared" ca="1" si="128"/>
        <v/>
      </c>
      <c r="P588" s="474" t="str">
        <f t="shared" ca="1" si="128"/>
        <v/>
      </c>
      <c r="Q588" s="475" t="str">
        <f t="shared" ca="1" si="128"/>
        <v/>
      </c>
      <c r="R588" s="476">
        <f ca="1">IF(OR($BG$2=0,$AR588=""),,IF($AR588="本月合计",IF(ROW()=$BG$3,SUM($R$6:$R587),SUM(INDIRECT("$R$"&amp;OFFSET($AU$3,,MATCH(ROW(),$AU$3:$BF$3,)-2)+2&amp;":$R"&amp;ROW()-1))),IF($AR588="本年累计",SUMIF($AR$6:$AR588,"本月合计",$R$6:$R587),INDEX(凭证录入!L:L,$AR588))))</f>
        <v>0</v>
      </c>
      <c r="S588" s="459" t="str">
        <f t="shared" ca="1" si="129"/>
        <v/>
      </c>
      <c r="T588" s="460" t="str">
        <f t="shared" ca="1" si="129"/>
        <v/>
      </c>
      <c r="U588" s="460" t="str">
        <f t="shared" ca="1" si="129"/>
        <v/>
      </c>
      <c r="V588" s="460" t="str">
        <f t="shared" ca="1" si="129"/>
        <v/>
      </c>
      <c r="W588" s="460" t="str">
        <f t="shared" ca="1" si="129"/>
        <v/>
      </c>
      <c r="X588" s="460" t="str">
        <f t="shared" ca="1" si="129"/>
        <v/>
      </c>
      <c r="Y588" s="460" t="str">
        <f t="shared" ca="1" si="129"/>
        <v/>
      </c>
      <c r="Z588" s="460" t="str">
        <f t="shared" ca="1" si="129"/>
        <v/>
      </c>
      <c r="AA588" s="461" t="str">
        <f t="shared" ca="1" si="129"/>
        <v/>
      </c>
      <c r="AB588" s="474" t="str">
        <f t="shared" ca="1" si="129"/>
        <v/>
      </c>
      <c r="AC588" s="475" t="str">
        <f t="shared" ca="1" si="129"/>
        <v/>
      </c>
      <c r="AD588" s="477" t="str">
        <f t="shared" ca="1" si="130"/>
        <v/>
      </c>
      <c r="AE588" s="478">
        <f t="shared" ca="1" si="131"/>
        <v>0</v>
      </c>
      <c r="AF588" s="459" t="str">
        <f t="shared" ca="1" si="127"/>
        <v/>
      </c>
      <c r="AG588" s="460" t="str">
        <f t="shared" ca="1" si="127"/>
        <v/>
      </c>
      <c r="AH588" s="460" t="str">
        <f t="shared" ca="1" si="127"/>
        <v/>
      </c>
      <c r="AI588" s="460" t="str">
        <f t="shared" ca="1" si="127"/>
        <v/>
      </c>
      <c r="AJ588" s="460" t="str">
        <f t="shared" ca="1" si="127"/>
        <v/>
      </c>
      <c r="AK588" s="460" t="str">
        <f t="shared" ca="1" si="127"/>
        <v/>
      </c>
      <c r="AL588" s="460" t="str">
        <f t="shared" ca="1" si="127"/>
        <v/>
      </c>
      <c r="AM588" s="460" t="str">
        <f t="shared" ca="1" si="127"/>
        <v/>
      </c>
      <c r="AN588" s="461" t="str">
        <f t="shared" ca="1" si="127"/>
        <v/>
      </c>
      <c r="AO588" s="474" t="str">
        <f t="shared" ca="1" si="127"/>
        <v/>
      </c>
      <c r="AP588" s="475" t="str">
        <f t="shared" ca="1" si="127"/>
        <v/>
      </c>
      <c r="AQ588" s="479" t="str">
        <f t="array" aca="1" ref="AQ588" ca="1">IF(ROW()-5&lt;=COUNTIF(科目编号,$AR$2),SMALL(IF(科目编号=$AR$2,ROW(科目编号),""),ROW()-5),"")</f>
        <v/>
      </c>
      <c r="AR588" s="480" t="str">
        <f ca="1">IF($BG$2=0,"",IF(AR587="本月合计","本年累计",IF(OR(ROW()=$AU$3,ROW()=$AV$3,ROW()=$AW$3,ROW()=$AX$3,ROW()=$AY$3,ROW()=$AZ$3,ROW()=$BA$3,ROW()=$BB$3,ROW()=$BC$3,ROW()=$BD$3,ROW()=$BE$3,ROW()=$BF$3),"本月合计",IF(ROW()&lt;7,$AQ$6,OFFSET($AQ$6,COUNT($AR$6:AR587),0)))))</f>
        <v/>
      </c>
    </row>
    <row r="589" spans="1:44">
      <c r="A589" s="469" t="str">
        <f ca="1">IFERROR(INDEX(凭证录入!A:A,$AR589),"")</f>
        <v/>
      </c>
      <c r="B589" s="469" t="str">
        <f ca="1">IFERROR(INDEX(凭证录入!B:B,$AR589),"")</f>
        <v/>
      </c>
      <c r="C589" s="470" t="str">
        <f ca="1">IFERROR(INDEX(凭证录入!G:G,$AR589),"")</f>
        <v/>
      </c>
      <c r="D589" s="471" t="str">
        <f ca="1">IFERROR(INDEX(凭证录入!F:F,$AR589),"")</f>
        <v/>
      </c>
      <c r="E589" s="472" t="str">
        <f ca="1">IFERROR(INDEX(凭证录入!H:H,$AR589),$AR589)</f>
        <v/>
      </c>
      <c r="F589" s="473">
        <f ca="1">IF(OR($BG$2=0,$AR589=""),,IF($AR589="本月合计",IF(ROW()=$BG$3,SUM($F$6:$F588),SUM(INDIRECT("$F$"&amp;OFFSET($AU$3,,MATCH(ROW(),$AU$3:$BF$3,)-2)+2&amp;":$E"&amp;ROW()-1))),IF($AR589="本年累计",SUMIF($AR$6:$AR589,"本月合计",$F$6:$F588),INDEX(凭证录入!K:K,$AR589))))</f>
        <v>0</v>
      </c>
      <c r="G589" s="459" t="str">
        <f t="shared" ca="1" si="128"/>
        <v/>
      </c>
      <c r="H589" s="460" t="str">
        <f t="shared" ca="1" si="128"/>
        <v/>
      </c>
      <c r="I589" s="460" t="str">
        <f t="shared" ca="1" si="128"/>
        <v/>
      </c>
      <c r="J589" s="460" t="str">
        <f t="shared" ca="1" si="128"/>
        <v/>
      </c>
      <c r="K589" s="460" t="str">
        <f t="shared" ca="1" si="128"/>
        <v/>
      </c>
      <c r="L589" s="460" t="str">
        <f t="shared" ca="1" si="128"/>
        <v/>
      </c>
      <c r="M589" s="460" t="str">
        <f t="shared" ca="1" si="128"/>
        <v/>
      </c>
      <c r="N589" s="460" t="str">
        <f t="shared" ca="1" si="128"/>
        <v/>
      </c>
      <c r="O589" s="461" t="str">
        <f t="shared" ca="1" si="128"/>
        <v/>
      </c>
      <c r="P589" s="474" t="str">
        <f t="shared" ca="1" si="128"/>
        <v/>
      </c>
      <c r="Q589" s="475" t="str">
        <f t="shared" ca="1" si="128"/>
        <v/>
      </c>
      <c r="R589" s="476">
        <f ca="1">IF(OR($BG$2=0,$AR589=""),,IF($AR589="本月合计",IF(ROW()=$BG$3,SUM($R$6:$R588),SUM(INDIRECT("$R$"&amp;OFFSET($AU$3,,MATCH(ROW(),$AU$3:$BF$3,)-2)+2&amp;":$R"&amp;ROW()-1))),IF($AR589="本年累计",SUMIF($AR$6:$AR589,"本月合计",$R$6:$R588),INDEX(凭证录入!L:L,$AR589))))</f>
        <v>0</v>
      </c>
      <c r="S589" s="459" t="str">
        <f t="shared" ca="1" si="129"/>
        <v/>
      </c>
      <c r="T589" s="460" t="str">
        <f t="shared" ca="1" si="129"/>
        <v/>
      </c>
      <c r="U589" s="460" t="str">
        <f t="shared" ca="1" si="129"/>
        <v/>
      </c>
      <c r="V589" s="460" t="str">
        <f t="shared" ca="1" si="129"/>
        <v/>
      </c>
      <c r="W589" s="460" t="str">
        <f t="shared" ca="1" si="129"/>
        <v/>
      </c>
      <c r="X589" s="460" t="str">
        <f t="shared" ca="1" si="129"/>
        <v/>
      </c>
      <c r="Y589" s="460" t="str">
        <f t="shared" ca="1" si="129"/>
        <v/>
      </c>
      <c r="Z589" s="460" t="str">
        <f t="shared" ca="1" si="129"/>
        <v/>
      </c>
      <c r="AA589" s="461" t="str">
        <f t="shared" ca="1" si="129"/>
        <v/>
      </c>
      <c r="AB589" s="474" t="str">
        <f t="shared" ca="1" si="129"/>
        <v/>
      </c>
      <c r="AC589" s="475" t="str">
        <f t="shared" ca="1" si="129"/>
        <v/>
      </c>
      <c r="AD589" s="477" t="str">
        <f t="shared" ca="1" si="130"/>
        <v/>
      </c>
      <c r="AE589" s="478">
        <f t="shared" ca="1" si="131"/>
        <v>0</v>
      </c>
      <c r="AF589" s="459" t="str">
        <f t="shared" ca="1" si="127"/>
        <v/>
      </c>
      <c r="AG589" s="460" t="str">
        <f t="shared" ca="1" si="127"/>
        <v/>
      </c>
      <c r="AH589" s="460" t="str">
        <f t="shared" ca="1" si="127"/>
        <v/>
      </c>
      <c r="AI589" s="460" t="str">
        <f t="shared" ca="1" si="127"/>
        <v/>
      </c>
      <c r="AJ589" s="460" t="str">
        <f t="shared" ca="1" si="127"/>
        <v/>
      </c>
      <c r="AK589" s="460" t="str">
        <f t="shared" ca="1" si="127"/>
        <v/>
      </c>
      <c r="AL589" s="460" t="str">
        <f t="shared" ca="1" si="127"/>
        <v/>
      </c>
      <c r="AM589" s="460" t="str">
        <f t="shared" ca="1" si="127"/>
        <v/>
      </c>
      <c r="AN589" s="461" t="str">
        <f t="shared" ca="1" si="127"/>
        <v/>
      </c>
      <c r="AO589" s="474" t="str">
        <f t="shared" ca="1" si="127"/>
        <v/>
      </c>
      <c r="AP589" s="475" t="str">
        <f t="shared" ca="1" si="127"/>
        <v/>
      </c>
      <c r="AQ589" s="479" t="str">
        <f t="array" aca="1" ref="AQ589" ca="1">IF(ROW()-5&lt;=COUNTIF(科目编号,$AR$2),SMALL(IF(科目编号=$AR$2,ROW(科目编号),""),ROW()-5),"")</f>
        <v/>
      </c>
      <c r="AR589" s="480" t="str">
        <f ca="1">IF($BG$2=0,"",IF(AR588="本月合计","本年累计",IF(OR(ROW()=$AU$3,ROW()=$AV$3,ROW()=$AW$3,ROW()=$AX$3,ROW()=$AY$3,ROW()=$AZ$3,ROW()=$BA$3,ROW()=$BB$3,ROW()=$BC$3,ROW()=$BD$3,ROW()=$BE$3,ROW()=$BF$3),"本月合计",IF(ROW()&lt;7,$AQ$6,OFFSET($AQ$6,COUNT($AR$6:AR588),0)))))</f>
        <v/>
      </c>
    </row>
    <row r="590" spans="1:44">
      <c r="A590" s="469" t="str">
        <f ca="1">IFERROR(INDEX(凭证录入!A:A,$AR590),"")</f>
        <v/>
      </c>
      <c r="B590" s="469" t="str">
        <f ca="1">IFERROR(INDEX(凭证录入!B:B,$AR590),"")</f>
        <v/>
      </c>
      <c r="C590" s="470" t="str">
        <f ca="1">IFERROR(INDEX(凭证录入!G:G,$AR590),"")</f>
        <v/>
      </c>
      <c r="D590" s="471" t="str">
        <f ca="1">IFERROR(INDEX(凭证录入!F:F,$AR590),"")</f>
        <v/>
      </c>
      <c r="E590" s="472" t="str">
        <f ca="1">IFERROR(INDEX(凭证录入!H:H,$AR590),$AR590)</f>
        <v/>
      </c>
      <c r="F590" s="473">
        <f ca="1">IF(OR($BG$2=0,$AR590=""),,IF($AR590="本月合计",IF(ROW()=$BG$3,SUM($F$6:$F589),SUM(INDIRECT("$F$"&amp;OFFSET($AU$3,,MATCH(ROW(),$AU$3:$BF$3,)-2)+2&amp;":$E"&amp;ROW()-1))),IF($AR590="本年累计",SUMIF($AR$6:$AR590,"本月合计",$F$6:$F589),INDEX(凭证录入!K:K,$AR590))))</f>
        <v>0</v>
      </c>
      <c r="G590" s="459" t="str">
        <f t="shared" ca="1" si="128"/>
        <v/>
      </c>
      <c r="H590" s="460" t="str">
        <f t="shared" ca="1" si="128"/>
        <v/>
      </c>
      <c r="I590" s="460" t="str">
        <f t="shared" ca="1" si="128"/>
        <v/>
      </c>
      <c r="J590" s="460" t="str">
        <f t="shared" ca="1" si="128"/>
        <v/>
      </c>
      <c r="K590" s="460" t="str">
        <f t="shared" ca="1" si="128"/>
        <v/>
      </c>
      <c r="L590" s="460" t="str">
        <f t="shared" ca="1" si="128"/>
        <v/>
      </c>
      <c r="M590" s="460" t="str">
        <f t="shared" ca="1" si="128"/>
        <v/>
      </c>
      <c r="N590" s="460" t="str">
        <f t="shared" ca="1" si="128"/>
        <v/>
      </c>
      <c r="O590" s="461" t="str">
        <f t="shared" ca="1" si="128"/>
        <v/>
      </c>
      <c r="P590" s="474" t="str">
        <f t="shared" ca="1" si="128"/>
        <v/>
      </c>
      <c r="Q590" s="475" t="str">
        <f t="shared" ca="1" si="128"/>
        <v/>
      </c>
      <c r="R590" s="476">
        <f ca="1">IF(OR($BG$2=0,$AR590=""),,IF($AR590="本月合计",IF(ROW()=$BG$3,SUM($R$6:$R589),SUM(INDIRECT("$R$"&amp;OFFSET($AU$3,,MATCH(ROW(),$AU$3:$BF$3,)-2)+2&amp;":$R"&amp;ROW()-1))),IF($AR590="本年累计",SUMIF($AR$6:$AR590,"本月合计",$R$6:$R589),INDEX(凭证录入!L:L,$AR590))))</f>
        <v>0</v>
      </c>
      <c r="S590" s="459" t="str">
        <f t="shared" ca="1" si="129"/>
        <v/>
      </c>
      <c r="T590" s="460" t="str">
        <f t="shared" ca="1" si="129"/>
        <v/>
      </c>
      <c r="U590" s="460" t="str">
        <f t="shared" ca="1" si="129"/>
        <v/>
      </c>
      <c r="V590" s="460" t="str">
        <f t="shared" ca="1" si="129"/>
        <v/>
      </c>
      <c r="W590" s="460" t="str">
        <f t="shared" ca="1" si="129"/>
        <v/>
      </c>
      <c r="X590" s="460" t="str">
        <f t="shared" ca="1" si="129"/>
        <v/>
      </c>
      <c r="Y590" s="460" t="str">
        <f t="shared" ca="1" si="129"/>
        <v/>
      </c>
      <c r="Z590" s="460" t="str">
        <f t="shared" ca="1" si="129"/>
        <v/>
      </c>
      <c r="AA590" s="461" t="str">
        <f t="shared" ca="1" si="129"/>
        <v/>
      </c>
      <c r="AB590" s="474" t="str">
        <f t="shared" ca="1" si="129"/>
        <v/>
      </c>
      <c r="AC590" s="475" t="str">
        <f t="shared" ca="1" si="129"/>
        <v/>
      </c>
      <c r="AD590" s="477" t="str">
        <f t="shared" ca="1" si="130"/>
        <v/>
      </c>
      <c r="AE590" s="478">
        <f t="shared" ca="1" si="131"/>
        <v>0</v>
      </c>
      <c r="AF590" s="459" t="str">
        <f t="shared" ca="1" si="127"/>
        <v/>
      </c>
      <c r="AG590" s="460" t="str">
        <f t="shared" ca="1" si="127"/>
        <v/>
      </c>
      <c r="AH590" s="460" t="str">
        <f t="shared" ca="1" si="127"/>
        <v/>
      </c>
      <c r="AI590" s="460" t="str">
        <f t="shared" ca="1" si="127"/>
        <v/>
      </c>
      <c r="AJ590" s="460" t="str">
        <f t="shared" ca="1" si="127"/>
        <v/>
      </c>
      <c r="AK590" s="460" t="str">
        <f t="shared" ca="1" si="127"/>
        <v/>
      </c>
      <c r="AL590" s="460" t="str">
        <f t="shared" ca="1" si="127"/>
        <v/>
      </c>
      <c r="AM590" s="460" t="str">
        <f t="shared" ca="1" si="127"/>
        <v/>
      </c>
      <c r="AN590" s="461" t="str">
        <f t="shared" ca="1" si="127"/>
        <v/>
      </c>
      <c r="AO590" s="474" t="str">
        <f t="shared" ca="1" si="127"/>
        <v/>
      </c>
      <c r="AP590" s="475" t="str">
        <f t="shared" ca="1" si="127"/>
        <v/>
      </c>
      <c r="AQ590" s="479" t="str">
        <f t="array" aca="1" ref="AQ590" ca="1">IF(ROW()-5&lt;=COUNTIF(科目编号,$AR$2),SMALL(IF(科目编号=$AR$2,ROW(科目编号),""),ROW()-5),"")</f>
        <v/>
      </c>
      <c r="AR590" s="480" t="str">
        <f ca="1">IF($BG$2=0,"",IF(AR589="本月合计","本年累计",IF(OR(ROW()=$AU$3,ROW()=$AV$3,ROW()=$AW$3,ROW()=$AX$3,ROW()=$AY$3,ROW()=$AZ$3,ROW()=$BA$3,ROW()=$BB$3,ROW()=$BC$3,ROW()=$BD$3,ROW()=$BE$3,ROW()=$BF$3),"本月合计",IF(ROW()&lt;7,$AQ$6,OFFSET($AQ$6,COUNT($AR$6:AR589),0)))))</f>
        <v/>
      </c>
    </row>
    <row r="591" spans="1:44">
      <c r="A591" s="469" t="str">
        <f ca="1">IFERROR(INDEX(凭证录入!A:A,$AR591),"")</f>
        <v/>
      </c>
      <c r="B591" s="469" t="str">
        <f ca="1">IFERROR(INDEX(凭证录入!B:B,$AR591),"")</f>
        <v/>
      </c>
      <c r="C591" s="470" t="str">
        <f ca="1">IFERROR(INDEX(凭证录入!G:G,$AR591),"")</f>
        <v/>
      </c>
      <c r="D591" s="471" t="str">
        <f ca="1">IFERROR(INDEX(凭证录入!F:F,$AR591),"")</f>
        <v/>
      </c>
      <c r="E591" s="472" t="str">
        <f ca="1">IFERROR(INDEX(凭证录入!H:H,$AR591),$AR591)</f>
        <v/>
      </c>
      <c r="F591" s="473">
        <f ca="1">IF(OR($BG$2=0,$AR591=""),,IF($AR591="本月合计",IF(ROW()=$BG$3,SUM($F$6:$F590),SUM(INDIRECT("$F$"&amp;OFFSET($AU$3,,MATCH(ROW(),$AU$3:$BF$3,)-2)+2&amp;":$E"&amp;ROW()-1))),IF($AR591="本年累计",SUMIF($AR$6:$AR591,"本月合计",$F$6:$F590),INDEX(凭证录入!K:K,$AR591))))</f>
        <v>0</v>
      </c>
      <c r="G591" s="459" t="str">
        <f t="shared" ca="1" si="128"/>
        <v/>
      </c>
      <c r="H591" s="460" t="str">
        <f t="shared" ca="1" si="128"/>
        <v/>
      </c>
      <c r="I591" s="460" t="str">
        <f t="shared" ca="1" si="128"/>
        <v/>
      </c>
      <c r="J591" s="460" t="str">
        <f t="shared" ca="1" si="128"/>
        <v/>
      </c>
      <c r="K591" s="460" t="str">
        <f t="shared" ca="1" si="128"/>
        <v/>
      </c>
      <c r="L591" s="460" t="str">
        <f t="shared" ca="1" si="128"/>
        <v/>
      </c>
      <c r="M591" s="460" t="str">
        <f t="shared" ca="1" si="128"/>
        <v/>
      </c>
      <c r="N591" s="460" t="str">
        <f t="shared" ca="1" si="128"/>
        <v/>
      </c>
      <c r="O591" s="461" t="str">
        <f t="shared" ca="1" si="128"/>
        <v/>
      </c>
      <c r="P591" s="474" t="str">
        <f t="shared" ca="1" si="128"/>
        <v/>
      </c>
      <c r="Q591" s="475" t="str">
        <f t="shared" ca="1" si="128"/>
        <v/>
      </c>
      <c r="R591" s="476">
        <f ca="1">IF(OR($BG$2=0,$AR591=""),,IF($AR591="本月合计",IF(ROW()=$BG$3,SUM($R$6:$R590),SUM(INDIRECT("$R$"&amp;OFFSET($AU$3,,MATCH(ROW(),$AU$3:$BF$3,)-2)+2&amp;":$R"&amp;ROW()-1))),IF($AR591="本年累计",SUMIF($AR$6:$AR591,"本月合计",$R$6:$R590),INDEX(凭证录入!L:L,$AR591))))</f>
        <v>0</v>
      </c>
      <c r="S591" s="459" t="str">
        <f t="shared" ca="1" si="129"/>
        <v/>
      </c>
      <c r="T591" s="460" t="str">
        <f t="shared" ca="1" si="129"/>
        <v/>
      </c>
      <c r="U591" s="460" t="str">
        <f t="shared" ca="1" si="129"/>
        <v/>
      </c>
      <c r="V591" s="460" t="str">
        <f t="shared" ca="1" si="129"/>
        <v/>
      </c>
      <c r="W591" s="460" t="str">
        <f t="shared" ca="1" si="129"/>
        <v/>
      </c>
      <c r="X591" s="460" t="str">
        <f t="shared" ca="1" si="129"/>
        <v/>
      </c>
      <c r="Y591" s="460" t="str">
        <f t="shared" ca="1" si="129"/>
        <v/>
      </c>
      <c r="Z591" s="460" t="str">
        <f t="shared" ca="1" si="129"/>
        <v/>
      </c>
      <c r="AA591" s="461" t="str">
        <f t="shared" ca="1" si="129"/>
        <v/>
      </c>
      <c r="AB591" s="474" t="str">
        <f t="shared" ca="1" si="129"/>
        <v/>
      </c>
      <c r="AC591" s="475" t="str">
        <f t="shared" ca="1" si="129"/>
        <v/>
      </c>
      <c r="AD591" s="477" t="str">
        <f t="shared" ca="1" si="130"/>
        <v/>
      </c>
      <c r="AE591" s="478">
        <f t="shared" ca="1" si="131"/>
        <v>0</v>
      </c>
      <c r="AF591" s="459" t="str">
        <f t="shared" ca="1" si="127"/>
        <v/>
      </c>
      <c r="AG591" s="460" t="str">
        <f t="shared" ca="1" si="127"/>
        <v/>
      </c>
      <c r="AH591" s="460" t="str">
        <f t="shared" ca="1" si="127"/>
        <v/>
      </c>
      <c r="AI591" s="460" t="str">
        <f t="shared" ca="1" si="127"/>
        <v/>
      </c>
      <c r="AJ591" s="460" t="str">
        <f t="shared" ca="1" si="127"/>
        <v/>
      </c>
      <c r="AK591" s="460" t="str">
        <f t="shared" ca="1" si="127"/>
        <v/>
      </c>
      <c r="AL591" s="460" t="str">
        <f t="shared" ca="1" si="127"/>
        <v/>
      </c>
      <c r="AM591" s="460" t="str">
        <f t="shared" ca="1" si="127"/>
        <v/>
      </c>
      <c r="AN591" s="461" t="str">
        <f t="shared" ca="1" si="127"/>
        <v/>
      </c>
      <c r="AO591" s="474" t="str">
        <f t="shared" ca="1" si="127"/>
        <v/>
      </c>
      <c r="AP591" s="475" t="str">
        <f t="shared" ca="1" si="127"/>
        <v/>
      </c>
      <c r="AQ591" s="479" t="str">
        <f t="array" aca="1" ref="AQ591" ca="1">IF(ROW()-5&lt;=COUNTIF(科目编号,$AR$2),SMALL(IF(科目编号=$AR$2,ROW(科目编号),""),ROW()-5),"")</f>
        <v/>
      </c>
      <c r="AR591" s="480" t="str">
        <f ca="1">IF($BG$2=0,"",IF(AR590="本月合计","本年累计",IF(OR(ROW()=$AU$3,ROW()=$AV$3,ROW()=$AW$3,ROW()=$AX$3,ROW()=$AY$3,ROW()=$AZ$3,ROW()=$BA$3,ROW()=$BB$3,ROW()=$BC$3,ROW()=$BD$3,ROW()=$BE$3,ROW()=$BF$3),"本月合计",IF(ROW()&lt;7,$AQ$6,OFFSET($AQ$6,COUNT($AR$6:AR590),0)))))</f>
        <v/>
      </c>
    </row>
    <row r="592" spans="1:44">
      <c r="A592" s="469" t="str">
        <f ca="1">IFERROR(INDEX(凭证录入!A:A,$AR592),"")</f>
        <v/>
      </c>
      <c r="B592" s="469" t="str">
        <f ca="1">IFERROR(INDEX(凭证录入!B:B,$AR592),"")</f>
        <v/>
      </c>
      <c r="C592" s="470" t="str">
        <f ca="1">IFERROR(INDEX(凭证录入!G:G,$AR592),"")</f>
        <v/>
      </c>
      <c r="D592" s="471" t="str">
        <f ca="1">IFERROR(INDEX(凭证录入!F:F,$AR592),"")</f>
        <v/>
      </c>
      <c r="E592" s="472" t="str">
        <f ca="1">IFERROR(INDEX(凭证录入!H:H,$AR592),$AR592)</f>
        <v/>
      </c>
      <c r="F592" s="473">
        <f ca="1">IF(OR($BG$2=0,$AR592=""),,IF($AR592="本月合计",IF(ROW()=$BG$3,SUM($F$6:$F591),SUM(INDIRECT("$F$"&amp;OFFSET($AU$3,,MATCH(ROW(),$AU$3:$BF$3,)-2)+2&amp;":$E"&amp;ROW()-1))),IF($AR592="本年累计",SUMIF($AR$6:$AR592,"本月合计",$F$6:$F591),INDEX(凭证录入!K:K,$AR592))))</f>
        <v>0</v>
      </c>
      <c r="G592" s="459" t="str">
        <f t="shared" ca="1" si="128"/>
        <v/>
      </c>
      <c r="H592" s="460" t="str">
        <f t="shared" ca="1" si="128"/>
        <v/>
      </c>
      <c r="I592" s="460" t="str">
        <f t="shared" ca="1" si="128"/>
        <v/>
      </c>
      <c r="J592" s="460" t="str">
        <f t="shared" ca="1" si="128"/>
        <v/>
      </c>
      <c r="K592" s="460" t="str">
        <f t="shared" ca="1" si="128"/>
        <v/>
      </c>
      <c r="L592" s="460" t="str">
        <f t="shared" ca="1" si="128"/>
        <v/>
      </c>
      <c r="M592" s="460" t="str">
        <f t="shared" ca="1" si="128"/>
        <v/>
      </c>
      <c r="N592" s="460" t="str">
        <f t="shared" ca="1" si="128"/>
        <v/>
      </c>
      <c r="O592" s="461" t="str">
        <f t="shared" ca="1" si="128"/>
        <v/>
      </c>
      <c r="P592" s="474" t="str">
        <f t="shared" ca="1" si="128"/>
        <v/>
      </c>
      <c r="Q592" s="475" t="str">
        <f t="shared" ca="1" si="128"/>
        <v/>
      </c>
      <c r="R592" s="476">
        <f ca="1">IF(OR($BG$2=0,$AR592=""),,IF($AR592="本月合计",IF(ROW()=$BG$3,SUM($R$6:$R591),SUM(INDIRECT("$R$"&amp;OFFSET($AU$3,,MATCH(ROW(),$AU$3:$BF$3,)-2)+2&amp;":$R"&amp;ROW()-1))),IF($AR592="本年累计",SUMIF($AR$6:$AR592,"本月合计",$R$6:$R591),INDEX(凭证录入!L:L,$AR592))))</f>
        <v>0</v>
      </c>
      <c r="S592" s="459" t="str">
        <f t="shared" ca="1" si="129"/>
        <v/>
      </c>
      <c r="T592" s="460" t="str">
        <f t="shared" ca="1" si="129"/>
        <v/>
      </c>
      <c r="U592" s="460" t="str">
        <f t="shared" ca="1" si="129"/>
        <v/>
      </c>
      <c r="V592" s="460" t="str">
        <f t="shared" ca="1" si="129"/>
        <v/>
      </c>
      <c r="W592" s="460" t="str">
        <f t="shared" ca="1" si="129"/>
        <v/>
      </c>
      <c r="X592" s="460" t="str">
        <f t="shared" ca="1" si="129"/>
        <v/>
      </c>
      <c r="Y592" s="460" t="str">
        <f t="shared" ca="1" si="129"/>
        <v/>
      </c>
      <c r="Z592" s="460" t="str">
        <f t="shared" ca="1" si="129"/>
        <v/>
      </c>
      <c r="AA592" s="461" t="str">
        <f t="shared" ca="1" si="129"/>
        <v/>
      </c>
      <c r="AB592" s="474" t="str">
        <f t="shared" ca="1" si="129"/>
        <v/>
      </c>
      <c r="AC592" s="475" t="str">
        <f t="shared" ca="1" si="129"/>
        <v/>
      </c>
      <c r="AD592" s="477" t="str">
        <f t="shared" ca="1" si="130"/>
        <v/>
      </c>
      <c r="AE592" s="478">
        <f t="shared" ca="1" si="131"/>
        <v>0</v>
      </c>
      <c r="AF592" s="459" t="str">
        <f t="shared" ca="1" si="127"/>
        <v/>
      </c>
      <c r="AG592" s="460" t="str">
        <f t="shared" ca="1" si="127"/>
        <v/>
      </c>
      <c r="AH592" s="460" t="str">
        <f t="shared" ca="1" si="127"/>
        <v/>
      </c>
      <c r="AI592" s="460" t="str">
        <f t="shared" ca="1" si="127"/>
        <v/>
      </c>
      <c r="AJ592" s="460" t="str">
        <f t="shared" ca="1" si="127"/>
        <v/>
      </c>
      <c r="AK592" s="460" t="str">
        <f t="shared" ca="1" si="127"/>
        <v/>
      </c>
      <c r="AL592" s="460" t="str">
        <f t="shared" ca="1" si="127"/>
        <v/>
      </c>
      <c r="AM592" s="460" t="str">
        <f t="shared" ca="1" si="127"/>
        <v/>
      </c>
      <c r="AN592" s="461" t="str">
        <f t="shared" ca="1" si="127"/>
        <v/>
      </c>
      <c r="AO592" s="474" t="str">
        <f t="shared" ca="1" si="127"/>
        <v/>
      </c>
      <c r="AP592" s="475" t="str">
        <f t="shared" ca="1" si="127"/>
        <v/>
      </c>
      <c r="AQ592" s="479" t="str">
        <f t="array" aca="1" ref="AQ592" ca="1">IF(ROW()-5&lt;=COUNTIF(科目编号,$AR$2),SMALL(IF(科目编号=$AR$2,ROW(科目编号),""),ROW()-5),"")</f>
        <v/>
      </c>
      <c r="AR592" s="480" t="str">
        <f ca="1">IF($BG$2=0,"",IF(AR591="本月合计","本年累计",IF(OR(ROW()=$AU$3,ROW()=$AV$3,ROW()=$AW$3,ROW()=$AX$3,ROW()=$AY$3,ROW()=$AZ$3,ROW()=$BA$3,ROW()=$BB$3,ROW()=$BC$3,ROW()=$BD$3,ROW()=$BE$3,ROW()=$BF$3),"本月合计",IF(ROW()&lt;7,$AQ$6,OFFSET($AQ$6,COUNT($AR$6:AR591),0)))))</f>
        <v/>
      </c>
    </row>
    <row r="593" spans="1:44">
      <c r="A593" s="469" t="str">
        <f ca="1">IFERROR(INDEX(凭证录入!A:A,$AR593),"")</f>
        <v/>
      </c>
      <c r="B593" s="469" t="str">
        <f ca="1">IFERROR(INDEX(凭证录入!B:B,$AR593),"")</f>
        <v/>
      </c>
      <c r="C593" s="470" t="str">
        <f ca="1">IFERROR(INDEX(凭证录入!G:G,$AR593),"")</f>
        <v/>
      </c>
      <c r="D593" s="471" t="str">
        <f ca="1">IFERROR(INDEX(凭证录入!F:F,$AR593),"")</f>
        <v/>
      </c>
      <c r="E593" s="472" t="str">
        <f ca="1">IFERROR(INDEX(凭证录入!H:H,$AR593),$AR593)</f>
        <v/>
      </c>
      <c r="F593" s="473">
        <f ca="1">IF(OR($BG$2=0,$AR593=""),,IF($AR593="本月合计",IF(ROW()=$BG$3,SUM($F$6:$F592),SUM(INDIRECT("$F$"&amp;OFFSET($AU$3,,MATCH(ROW(),$AU$3:$BF$3,)-2)+2&amp;":$E"&amp;ROW()-1))),IF($AR593="本年累计",SUMIF($AR$6:$AR593,"本月合计",$F$6:$F592),INDEX(凭证录入!K:K,$AR593))))</f>
        <v>0</v>
      </c>
      <c r="G593" s="459" t="str">
        <f t="shared" ca="1" si="128"/>
        <v/>
      </c>
      <c r="H593" s="460" t="str">
        <f t="shared" ca="1" si="128"/>
        <v/>
      </c>
      <c r="I593" s="460" t="str">
        <f t="shared" ca="1" si="128"/>
        <v/>
      </c>
      <c r="J593" s="460" t="str">
        <f t="shared" ca="1" si="128"/>
        <v/>
      </c>
      <c r="K593" s="460" t="str">
        <f t="shared" ca="1" si="128"/>
        <v/>
      </c>
      <c r="L593" s="460" t="str">
        <f t="shared" ca="1" si="128"/>
        <v/>
      </c>
      <c r="M593" s="460" t="str">
        <f t="shared" ca="1" si="128"/>
        <v/>
      </c>
      <c r="N593" s="460" t="str">
        <f t="shared" ca="1" si="128"/>
        <v/>
      </c>
      <c r="O593" s="461" t="str">
        <f t="shared" ca="1" si="128"/>
        <v/>
      </c>
      <c r="P593" s="474" t="str">
        <f t="shared" ca="1" si="128"/>
        <v/>
      </c>
      <c r="Q593" s="475" t="str">
        <f t="shared" ca="1" si="128"/>
        <v/>
      </c>
      <c r="R593" s="476">
        <f ca="1">IF(OR($BG$2=0,$AR593=""),,IF($AR593="本月合计",IF(ROW()=$BG$3,SUM($R$6:$R592),SUM(INDIRECT("$R$"&amp;OFFSET($AU$3,,MATCH(ROW(),$AU$3:$BF$3,)-2)+2&amp;":$R"&amp;ROW()-1))),IF($AR593="本年累计",SUMIF($AR$6:$AR593,"本月合计",$R$6:$R592),INDEX(凭证录入!L:L,$AR593))))</f>
        <v>0</v>
      </c>
      <c r="S593" s="459" t="str">
        <f t="shared" ca="1" si="129"/>
        <v/>
      </c>
      <c r="T593" s="460" t="str">
        <f t="shared" ca="1" si="129"/>
        <v/>
      </c>
      <c r="U593" s="460" t="str">
        <f t="shared" ca="1" si="129"/>
        <v/>
      </c>
      <c r="V593" s="460" t="str">
        <f t="shared" ca="1" si="129"/>
        <v/>
      </c>
      <c r="W593" s="460" t="str">
        <f t="shared" ca="1" si="129"/>
        <v/>
      </c>
      <c r="X593" s="460" t="str">
        <f t="shared" ca="1" si="129"/>
        <v/>
      </c>
      <c r="Y593" s="460" t="str">
        <f t="shared" ca="1" si="129"/>
        <v/>
      </c>
      <c r="Z593" s="460" t="str">
        <f t="shared" ca="1" si="129"/>
        <v/>
      </c>
      <c r="AA593" s="461" t="str">
        <f t="shared" ca="1" si="129"/>
        <v/>
      </c>
      <c r="AB593" s="474" t="str">
        <f t="shared" ca="1" si="129"/>
        <v/>
      </c>
      <c r="AC593" s="475" t="str">
        <f t="shared" ca="1" si="129"/>
        <v/>
      </c>
      <c r="AD593" s="477" t="str">
        <f t="shared" ca="1" si="130"/>
        <v/>
      </c>
      <c r="AE593" s="478">
        <f t="shared" ca="1" si="131"/>
        <v>0</v>
      </c>
      <c r="AF593" s="459" t="str">
        <f t="shared" ca="1" si="127"/>
        <v/>
      </c>
      <c r="AG593" s="460" t="str">
        <f t="shared" ca="1" si="127"/>
        <v/>
      </c>
      <c r="AH593" s="460" t="str">
        <f t="shared" ca="1" si="127"/>
        <v/>
      </c>
      <c r="AI593" s="460" t="str">
        <f t="shared" ca="1" si="127"/>
        <v/>
      </c>
      <c r="AJ593" s="460" t="str">
        <f t="shared" ca="1" si="127"/>
        <v/>
      </c>
      <c r="AK593" s="460" t="str">
        <f t="shared" ca="1" si="127"/>
        <v/>
      </c>
      <c r="AL593" s="460" t="str">
        <f t="shared" ca="1" si="127"/>
        <v/>
      </c>
      <c r="AM593" s="460" t="str">
        <f t="shared" ca="1" si="127"/>
        <v/>
      </c>
      <c r="AN593" s="461" t="str">
        <f t="shared" ca="1" si="127"/>
        <v/>
      </c>
      <c r="AO593" s="474" t="str">
        <f t="shared" ca="1" si="127"/>
        <v/>
      </c>
      <c r="AP593" s="475" t="str">
        <f t="shared" ca="1" si="127"/>
        <v/>
      </c>
      <c r="AQ593" s="479" t="str">
        <f t="array" aca="1" ref="AQ593" ca="1">IF(ROW()-5&lt;=COUNTIF(科目编号,$AR$2),SMALL(IF(科目编号=$AR$2,ROW(科目编号),""),ROW()-5),"")</f>
        <v/>
      </c>
      <c r="AR593" s="480" t="str">
        <f ca="1">IF($BG$2=0,"",IF(AR592="本月合计","本年累计",IF(OR(ROW()=$AU$3,ROW()=$AV$3,ROW()=$AW$3,ROW()=$AX$3,ROW()=$AY$3,ROW()=$AZ$3,ROW()=$BA$3,ROW()=$BB$3,ROW()=$BC$3,ROW()=$BD$3,ROW()=$BE$3,ROW()=$BF$3),"本月合计",IF(ROW()&lt;7,$AQ$6,OFFSET($AQ$6,COUNT($AR$6:AR592),0)))))</f>
        <v/>
      </c>
    </row>
    <row r="594" spans="1:44">
      <c r="A594" s="469" t="str">
        <f ca="1">IFERROR(INDEX(凭证录入!A:A,$AR594),"")</f>
        <v/>
      </c>
      <c r="B594" s="469" t="str">
        <f ca="1">IFERROR(INDEX(凭证录入!B:B,$AR594),"")</f>
        <v/>
      </c>
      <c r="C594" s="470" t="str">
        <f ca="1">IFERROR(INDEX(凭证录入!G:G,$AR594),"")</f>
        <v/>
      </c>
      <c r="D594" s="471" t="str">
        <f ca="1">IFERROR(INDEX(凭证录入!F:F,$AR594),"")</f>
        <v/>
      </c>
      <c r="E594" s="472" t="str">
        <f ca="1">IFERROR(INDEX(凭证录入!H:H,$AR594),$AR594)</f>
        <v/>
      </c>
      <c r="F594" s="473">
        <f ca="1">IF(OR($BG$2=0,$AR594=""),,IF($AR594="本月合计",IF(ROW()=$BG$3,SUM($F$6:$F593),SUM(INDIRECT("$F$"&amp;OFFSET($AU$3,,MATCH(ROW(),$AU$3:$BF$3,)-2)+2&amp;":$E"&amp;ROW()-1))),IF($AR594="本年累计",SUMIF($AR$6:$AR594,"本月合计",$F$6:$F593),INDEX(凭证录入!K:K,$AR594))))</f>
        <v>0</v>
      </c>
      <c r="G594" s="459" t="str">
        <f t="shared" ca="1" si="128"/>
        <v/>
      </c>
      <c r="H594" s="460" t="str">
        <f t="shared" ca="1" si="128"/>
        <v/>
      </c>
      <c r="I594" s="460" t="str">
        <f t="shared" ca="1" si="128"/>
        <v/>
      </c>
      <c r="J594" s="460" t="str">
        <f t="shared" ca="1" si="128"/>
        <v/>
      </c>
      <c r="K594" s="460" t="str">
        <f t="shared" ca="1" si="128"/>
        <v/>
      </c>
      <c r="L594" s="460" t="str">
        <f t="shared" ca="1" si="128"/>
        <v/>
      </c>
      <c r="M594" s="460" t="str">
        <f t="shared" ca="1" si="128"/>
        <v/>
      </c>
      <c r="N594" s="460" t="str">
        <f t="shared" ca="1" si="128"/>
        <v/>
      </c>
      <c r="O594" s="461" t="str">
        <f t="shared" ca="1" si="128"/>
        <v/>
      </c>
      <c r="P594" s="474" t="str">
        <f t="shared" ca="1" si="128"/>
        <v/>
      </c>
      <c r="Q594" s="475" t="str">
        <f t="shared" ca="1" si="128"/>
        <v/>
      </c>
      <c r="R594" s="476">
        <f ca="1">IF(OR($BG$2=0,$AR594=""),,IF($AR594="本月合计",IF(ROW()=$BG$3,SUM($R$6:$R593),SUM(INDIRECT("$R$"&amp;OFFSET($AU$3,,MATCH(ROW(),$AU$3:$BF$3,)-2)+2&amp;":$R"&amp;ROW()-1))),IF($AR594="本年累计",SUMIF($AR$6:$AR594,"本月合计",$R$6:$R593),INDEX(凭证录入!L:L,$AR594))))</f>
        <v>0</v>
      </c>
      <c r="S594" s="459" t="str">
        <f t="shared" ca="1" si="129"/>
        <v/>
      </c>
      <c r="T594" s="460" t="str">
        <f t="shared" ca="1" si="129"/>
        <v/>
      </c>
      <c r="U594" s="460" t="str">
        <f t="shared" ca="1" si="129"/>
        <v/>
      </c>
      <c r="V594" s="460" t="str">
        <f t="shared" ca="1" si="129"/>
        <v/>
      </c>
      <c r="W594" s="460" t="str">
        <f t="shared" ca="1" si="129"/>
        <v/>
      </c>
      <c r="X594" s="460" t="str">
        <f t="shared" ca="1" si="129"/>
        <v/>
      </c>
      <c r="Y594" s="460" t="str">
        <f t="shared" ca="1" si="129"/>
        <v/>
      </c>
      <c r="Z594" s="460" t="str">
        <f t="shared" ca="1" si="129"/>
        <v/>
      </c>
      <c r="AA594" s="461" t="str">
        <f t="shared" ca="1" si="129"/>
        <v/>
      </c>
      <c r="AB594" s="474" t="str">
        <f t="shared" ca="1" si="129"/>
        <v/>
      </c>
      <c r="AC594" s="475" t="str">
        <f t="shared" ca="1" si="129"/>
        <v/>
      </c>
      <c r="AD594" s="477" t="str">
        <f t="shared" ca="1" si="130"/>
        <v/>
      </c>
      <c r="AE594" s="478">
        <f t="shared" ca="1" si="131"/>
        <v>0</v>
      </c>
      <c r="AF594" s="459" t="str">
        <f t="shared" ca="1" si="127"/>
        <v/>
      </c>
      <c r="AG594" s="460" t="str">
        <f t="shared" ca="1" si="127"/>
        <v/>
      </c>
      <c r="AH594" s="460" t="str">
        <f t="shared" ca="1" si="127"/>
        <v/>
      </c>
      <c r="AI594" s="460" t="str">
        <f t="shared" ca="1" si="127"/>
        <v/>
      </c>
      <c r="AJ594" s="460" t="str">
        <f t="shared" ca="1" si="127"/>
        <v/>
      </c>
      <c r="AK594" s="460" t="str">
        <f t="shared" ca="1" si="127"/>
        <v/>
      </c>
      <c r="AL594" s="460" t="str">
        <f t="shared" ca="1" si="127"/>
        <v/>
      </c>
      <c r="AM594" s="460" t="str">
        <f t="shared" ca="1" si="127"/>
        <v/>
      </c>
      <c r="AN594" s="461" t="str">
        <f t="shared" ca="1" si="127"/>
        <v/>
      </c>
      <c r="AO594" s="474" t="str">
        <f t="shared" ca="1" si="127"/>
        <v/>
      </c>
      <c r="AP594" s="475" t="str">
        <f t="shared" ca="1" si="127"/>
        <v/>
      </c>
      <c r="AQ594" s="479" t="str">
        <f t="array" aca="1" ref="AQ594" ca="1">IF(ROW()-5&lt;=COUNTIF(科目编号,$AR$2),SMALL(IF(科目编号=$AR$2,ROW(科目编号),""),ROW()-5),"")</f>
        <v/>
      </c>
      <c r="AR594" s="480" t="str">
        <f ca="1">IF($BG$2=0,"",IF(AR593="本月合计","本年累计",IF(OR(ROW()=$AU$3,ROW()=$AV$3,ROW()=$AW$3,ROW()=$AX$3,ROW()=$AY$3,ROW()=$AZ$3,ROW()=$BA$3,ROW()=$BB$3,ROW()=$BC$3,ROW()=$BD$3,ROW()=$BE$3,ROW()=$BF$3),"本月合计",IF(ROW()&lt;7,$AQ$6,OFFSET($AQ$6,COUNT($AR$6:AR593),0)))))</f>
        <v/>
      </c>
    </row>
    <row r="595" spans="1:44">
      <c r="A595" s="469" t="str">
        <f ca="1">IFERROR(INDEX(凭证录入!A:A,$AR595),"")</f>
        <v/>
      </c>
      <c r="B595" s="469" t="str">
        <f ca="1">IFERROR(INDEX(凭证录入!B:B,$AR595),"")</f>
        <v/>
      </c>
      <c r="C595" s="470" t="str">
        <f ca="1">IFERROR(INDEX(凭证录入!G:G,$AR595),"")</f>
        <v/>
      </c>
      <c r="D595" s="471" t="str">
        <f ca="1">IFERROR(INDEX(凭证录入!F:F,$AR595),"")</f>
        <v/>
      </c>
      <c r="E595" s="472" t="str">
        <f ca="1">IFERROR(INDEX(凭证录入!H:H,$AR595),$AR595)</f>
        <v/>
      </c>
      <c r="F595" s="473">
        <f ca="1">IF(OR($BG$2=0,$AR595=""),,IF($AR595="本月合计",IF(ROW()=$BG$3,SUM($F$6:$F594),SUM(INDIRECT("$F$"&amp;OFFSET($AU$3,,MATCH(ROW(),$AU$3:$BF$3,)-2)+2&amp;":$E"&amp;ROW()-1))),IF($AR595="本年累计",SUMIF($AR$6:$AR595,"本月合计",$F$6:$F594),INDEX(凭证录入!K:K,$AR595))))</f>
        <v>0</v>
      </c>
      <c r="G595" s="459" t="str">
        <f t="shared" ca="1" si="128"/>
        <v/>
      </c>
      <c r="H595" s="460" t="str">
        <f t="shared" ca="1" si="128"/>
        <v/>
      </c>
      <c r="I595" s="460" t="str">
        <f t="shared" ca="1" si="128"/>
        <v/>
      </c>
      <c r="J595" s="460" t="str">
        <f t="shared" ca="1" si="128"/>
        <v/>
      </c>
      <c r="K595" s="460" t="str">
        <f t="shared" ca="1" si="128"/>
        <v/>
      </c>
      <c r="L595" s="460" t="str">
        <f t="shared" ca="1" si="128"/>
        <v/>
      </c>
      <c r="M595" s="460" t="str">
        <f t="shared" ca="1" si="128"/>
        <v/>
      </c>
      <c r="N595" s="460" t="str">
        <f t="shared" ca="1" si="128"/>
        <v/>
      </c>
      <c r="O595" s="461" t="str">
        <f t="shared" ca="1" si="128"/>
        <v/>
      </c>
      <c r="P595" s="474" t="str">
        <f t="shared" ca="1" si="128"/>
        <v/>
      </c>
      <c r="Q595" s="475" t="str">
        <f t="shared" ca="1" si="128"/>
        <v/>
      </c>
      <c r="R595" s="476">
        <f ca="1">IF(OR($BG$2=0,$AR595=""),,IF($AR595="本月合计",IF(ROW()=$BG$3,SUM($R$6:$R594),SUM(INDIRECT("$R$"&amp;OFFSET($AU$3,,MATCH(ROW(),$AU$3:$BF$3,)-2)+2&amp;":$R"&amp;ROW()-1))),IF($AR595="本年累计",SUMIF($AR$6:$AR595,"本月合计",$R$6:$R594),INDEX(凭证录入!L:L,$AR595))))</f>
        <v>0</v>
      </c>
      <c r="S595" s="459" t="str">
        <f t="shared" ca="1" si="129"/>
        <v/>
      </c>
      <c r="T595" s="460" t="str">
        <f t="shared" ca="1" si="129"/>
        <v/>
      </c>
      <c r="U595" s="460" t="str">
        <f t="shared" ca="1" si="129"/>
        <v/>
      </c>
      <c r="V595" s="460" t="str">
        <f t="shared" ca="1" si="129"/>
        <v/>
      </c>
      <c r="W595" s="460" t="str">
        <f t="shared" ca="1" si="129"/>
        <v/>
      </c>
      <c r="X595" s="460" t="str">
        <f t="shared" ca="1" si="129"/>
        <v/>
      </c>
      <c r="Y595" s="460" t="str">
        <f t="shared" ca="1" si="129"/>
        <v/>
      </c>
      <c r="Z595" s="460" t="str">
        <f t="shared" ca="1" si="129"/>
        <v/>
      </c>
      <c r="AA595" s="461" t="str">
        <f t="shared" ca="1" si="129"/>
        <v/>
      </c>
      <c r="AB595" s="474" t="str">
        <f t="shared" ca="1" si="129"/>
        <v/>
      </c>
      <c r="AC595" s="475" t="str">
        <f t="shared" ca="1" si="129"/>
        <v/>
      </c>
      <c r="AD595" s="477" t="str">
        <f t="shared" ca="1" si="130"/>
        <v/>
      </c>
      <c r="AE595" s="478">
        <f t="shared" ca="1" si="131"/>
        <v>0</v>
      </c>
      <c r="AF595" s="459" t="str">
        <f t="shared" ca="1" si="127"/>
        <v/>
      </c>
      <c r="AG595" s="460" t="str">
        <f t="shared" ca="1" si="127"/>
        <v/>
      </c>
      <c r="AH595" s="460" t="str">
        <f t="shared" ca="1" si="127"/>
        <v/>
      </c>
      <c r="AI595" s="460" t="str">
        <f t="shared" ca="1" si="127"/>
        <v/>
      </c>
      <c r="AJ595" s="460" t="str">
        <f t="shared" ca="1" si="127"/>
        <v/>
      </c>
      <c r="AK595" s="460" t="str">
        <f t="shared" ca="1" si="127"/>
        <v/>
      </c>
      <c r="AL595" s="460" t="str">
        <f t="shared" ca="1" si="127"/>
        <v/>
      </c>
      <c r="AM595" s="460" t="str">
        <f t="shared" ca="1" si="127"/>
        <v/>
      </c>
      <c r="AN595" s="461" t="str">
        <f t="shared" ca="1" si="127"/>
        <v/>
      </c>
      <c r="AO595" s="474" t="str">
        <f t="shared" ca="1" si="127"/>
        <v/>
      </c>
      <c r="AP595" s="475" t="str">
        <f t="shared" ca="1" si="127"/>
        <v/>
      </c>
      <c r="AQ595" s="479" t="str">
        <f t="array" aca="1" ref="AQ595" ca="1">IF(ROW()-5&lt;=COUNTIF(科目编号,$AR$2),SMALL(IF(科目编号=$AR$2,ROW(科目编号),""),ROW()-5),"")</f>
        <v/>
      </c>
      <c r="AR595" s="480" t="str">
        <f ca="1">IF($BG$2=0,"",IF(AR594="本月合计","本年累计",IF(OR(ROW()=$AU$3,ROW()=$AV$3,ROW()=$AW$3,ROW()=$AX$3,ROW()=$AY$3,ROW()=$AZ$3,ROW()=$BA$3,ROW()=$BB$3,ROW()=$BC$3,ROW()=$BD$3,ROW()=$BE$3,ROW()=$BF$3),"本月合计",IF(ROW()&lt;7,$AQ$6,OFFSET($AQ$6,COUNT($AR$6:AR594),0)))))</f>
        <v/>
      </c>
    </row>
    <row r="596" spans="1:44">
      <c r="A596" s="469" t="str">
        <f ca="1">IFERROR(INDEX(凭证录入!A:A,$AR596),"")</f>
        <v/>
      </c>
      <c r="B596" s="469" t="str">
        <f ca="1">IFERROR(INDEX(凭证录入!B:B,$AR596),"")</f>
        <v/>
      </c>
      <c r="C596" s="470" t="str">
        <f ca="1">IFERROR(INDEX(凭证录入!G:G,$AR596),"")</f>
        <v/>
      </c>
      <c r="D596" s="471" t="str">
        <f ca="1">IFERROR(INDEX(凭证录入!F:F,$AR596),"")</f>
        <v/>
      </c>
      <c r="E596" s="472" t="str">
        <f ca="1">IFERROR(INDEX(凭证录入!H:H,$AR596),$AR596)</f>
        <v/>
      </c>
      <c r="F596" s="473">
        <f ca="1">IF(OR($BG$2=0,$AR596=""),,IF($AR596="本月合计",IF(ROW()=$BG$3,SUM($F$6:$F595),SUM(INDIRECT("$F$"&amp;OFFSET($AU$3,,MATCH(ROW(),$AU$3:$BF$3,)-2)+2&amp;":$E"&amp;ROW()-1))),IF($AR596="本年累计",SUMIF($AR$6:$AR596,"本月合计",$F$6:$F595),INDEX(凭证录入!K:K,$AR596))))</f>
        <v>0</v>
      </c>
      <c r="G596" s="459" t="str">
        <f t="shared" ca="1" si="128"/>
        <v/>
      </c>
      <c r="H596" s="460" t="str">
        <f t="shared" ca="1" si="128"/>
        <v/>
      </c>
      <c r="I596" s="460" t="str">
        <f t="shared" ca="1" si="128"/>
        <v/>
      </c>
      <c r="J596" s="460" t="str">
        <f t="shared" ca="1" si="128"/>
        <v/>
      </c>
      <c r="K596" s="460" t="str">
        <f t="shared" ca="1" si="128"/>
        <v/>
      </c>
      <c r="L596" s="460" t="str">
        <f t="shared" ca="1" si="128"/>
        <v/>
      </c>
      <c r="M596" s="460" t="str">
        <f t="shared" ca="1" si="128"/>
        <v/>
      </c>
      <c r="N596" s="460" t="str">
        <f t="shared" ca="1" si="128"/>
        <v/>
      </c>
      <c r="O596" s="461" t="str">
        <f t="shared" ca="1" si="128"/>
        <v/>
      </c>
      <c r="P596" s="474" t="str">
        <f t="shared" ca="1" si="128"/>
        <v/>
      </c>
      <c r="Q596" s="475" t="str">
        <f t="shared" ca="1" si="128"/>
        <v/>
      </c>
      <c r="R596" s="476">
        <f ca="1">IF(OR($BG$2=0,$AR596=""),,IF($AR596="本月合计",IF(ROW()=$BG$3,SUM($R$6:$R595),SUM(INDIRECT("$R$"&amp;OFFSET($AU$3,,MATCH(ROW(),$AU$3:$BF$3,)-2)+2&amp;":$R"&amp;ROW()-1))),IF($AR596="本年累计",SUMIF($AR$6:$AR596,"本月合计",$R$6:$R595),INDEX(凭证录入!L:L,$AR596))))</f>
        <v>0</v>
      </c>
      <c r="S596" s="459" t="str">
        <f t="shared" ca="1" si="129"/>
        <v/>
      </c>
      <c r="T596" s="460" t="str">
        <f t="shared" ca="1" si="129"/>
        <v/>
      </c>
      <c r="U596" s="460" t="str">
        <f t="shared" ca="1" si="129"/>
        <v/>
      </c>
      <c r="V596" s="460" t="str">
        <f t="shared" ca="1" si="129"/>
        <v/>
      </c>
      <c r="W596" s="460" t="str">
        <f t="shared" ca="1" si="129"/>
        <v/>
      </c>
      <c r="X596" s="460" t="str">
        <f t="shared" ca="1" si="129"/>
        <v/>
      </c>
      <c r="Y596" s="460" t="str">
        <f t="shared" ca="1" si="129"/>
        <v/>
      </c>
      <c r="Z596" s="460" t="str">
        <f t="shared" ca="1" si="129"/>
        <v/>
      </c>
      <c r="AA596" s="461" t="str">
        <f t="shared" ca="1" si="129"/>
        <v/>
      </c>
      <c r="AB596" s="474" t="str">
        <f t="shared" ca="1" si="129"/>
        <v/>
      </c>
      <c r="AC596" s="475" t="str">
        <f t="shared" ca="1" si="129"/>
        <v/>
      </c>
      <c r="AD596" s="477" t="str">
        <f t="shared" ca="1" si="130"/>
        <v/>
      </c>
      <c r="AE596" s="478">
        <f t="shared" ca="1" si="131"/>
        <v>0</v>
      </c>
      <c r="AF596" s="459" t="str">
        <f t="shared" ca="1" si="127"/>
        <v/>
      </c>
      <c r="AG596" s="460" t="str">
        <f t="shared" ca="1" si="127"/>
        <v/>
      </c>
      <c r="AH596" s="460" t="str">
        <f t="shared" ca="1" si="127"/>
        <v/>
      </c>
      <c r="AI596" s="460" t="str">
        <f t="shared" ca="1" si="127"/>
        <v/>
      </c>
      <c r="AJ596" s="460" t="str">
        <f t="shared" ca="1" si="127"/>
        <v/>
      </c>
      <c r="AK596" s="460" t="str">
        <f t="shared" ca="1" si="127"/>
        <v/>
      </c>
      <c r="AL596" s="460" t="str">
        <f t="shared" ca="1" si="127"/>
        <v/>
      </c>
      <c r="AM596" s="460" t="str">
        <f t="shared" ca="1" si="127"/>
        <v/>
      </c>
      <c r="AN596" s="461" t="str">
        <f t="shared" ca="1" si="127"/>
        <v/>
      </c>
      <c r="AO596" s="474" t="str">
        <f t="shared" ca="1" si="127"/>
        <v/>
      </c>
      <c r="AP596" s="475" t="str">
        <f t="shared" ca="1" si="127"/>
        <v/>
      </c>
      <c r="AQ596" s="479" t="str">
        <f t="array" aca="1" ref="AQ596" ca="1">IF(ROW()-5&lt;=COUNTIF(科目编号,$AR$2),SMALL(IF(科目编号=$AR$2,ROW(科目编号),""),ROW()-5),"")</f>
        <v/>
      </c>
      <c r="AR596" s="480" t="str">
        <f ca="1">IF($BG$2=0,"",IF(AR595="本月合计","本年累计",IF(OR(ROW()=$AU$3,ROW()=$AV$3,ROW()=$AW$3,ROW()=$AX$3,ROW()=$AY$3,ROW()=$AZ$3,ROW()=$BA$3,ROW()=$BB$3,ROW()=$BC$3,ROW()=$BD$3,ROW()=$BE$3,ROW()=$BF$3),"本月合计",IF(ROW()&lt;7,$AQ$6,OFFSET($AQ$6,COUNT($AR$6:AR595),0)))))</f>
        <v/>
      </c>
    </row>
    <row r="597" spans="1:44">
      <c r="A597" s="469" t="str">
        <f ca="1">IFERROR(INDEX(凭证录入!A:A,$AR597),"")</f>
        <v/>
      </c>
      <c r="B597" s="469" t="str">
        <f ca="1">IFERROR(INDEX(凭证录入!B:B,$AR597),"")</f>
        <v/>
      </c>
      <c r="C597" s="470" t="str">
        <f ca="1">IFERROR(INDEX(凭证录入!G:G,$AR597),"")</f>
        <v/>
      </c>
      <c r="D597" s="471" t="str">
        <f ca="1">IFERROR(INDEX(凭证录入!F:F,$AR597),"")</f>
        <v/>
      </c>
      <c r="E597" s="472" t="str">
        <f ca="1">IFERROR(INDEX(凭证录入!H:H,$AR597),$AR597)</f>
        <v/>
      </c>
      <c r="F597" s="473">
        <f ca="1">IF(OR($BG$2=0,$AR597=""),,IF($AR597="本月合计",IF(ROW()=$BG$3,SUM($F$6:$F596),SUM(INDIRECT("$F$"&amp;OFFSET($AU$3,,MATCH(ROW(),$AU$3:$BF$3,)-2)+2&amp;":$E"&amp;ROW()-1))),IF($AR597="本年累计",SUMIF($AR$6:$AR597,"本月合计",$F$6:$F596),INDEX(凭证录入!K:K,$AR597))))</f>
        <v>0</v>
      </c>
      <c r="G597" s="459" t="str">
        <f t="shared" ca="1" si="128"/>
        <v/>
      </c>
      <c r="H597" s="460" t="str">
        <f t="shared" ca="1" si="128"/>
        <v/>
      </c>
      <c r="I597" s="460" t="str">
        <f t="shared" ca="1" si="128"/>
        <v/>
      </c>
      <c r="J597" s="460" t="str">
        <f t="shared" ca="1" si="128"/>
        <v/>
      </c>
      <c r="K597" s="460" t="str">
        <f t="shared" ca="1" si="128"/>
        <v/>
      </c>
      <c r="L597" s="460" t="str">
        <f t="shared" ca="1" si="128"/>
        <v/>
      </c>
      <c r="M597" s="460" t="str">
        <f t="shared" ca="1" si="128"/>
        <v/>
      </c>
      <c r="N597" s="460" t="str">
        <f t="shared" ca="1" si="128"/>
        <v/>
      </c>
      <c r="O597" s="461" t="str">
        <f t="shared" ca="1" si="128"/>
        <v/>
      </c>
      <c r="P597" s="474" t="str">
        <f t="shared" ca="1" si="128"/>
        <v/>
      </c>
      <c r="Q597" s="475" t="str">
        <f t="shared" ca="1" si="128"/>
        <v/>
      </c>
      <c r="R597" s="476">
        <f ca="1">IF(OR($BG$2=0,$AR597=""),,IF($AR597="本月合计",IF(ROW()=$BG$3,SUM($R$6:$R596),SUM(INDIRECT("$R$"&amp;OFFSET($AU$3,,MATCH(ROW(),$AU$3:$BF$3,)-2)+2&amp;":$R"&amp;ROW()-1))),IF($AR597="本年累计",SUMIF($AR$6:$AR597,"本月合计",$R$6:$R596),INDEX(凭证录入!L:L,$AR597))))</f>
        <v>0</v>
      </c>
      <c r="S597" s="459" t="str">
        <f t="shared" ca="1" si="129"/>
        <v/>
      </c>
      <c r="T597" s="460" t="str">
        <f t="shared" ca="1" si="129"/>
        <v/>
      </c>
      <c r="U597" s="460" t="str">
        <f t="shared" ca="1" si="129"/>
        <v/>
      </c>
      <c r="V597" s="460" t="str">
        <f t="shared" ca="1" si="129"/>
        <v/>
      </c>
      <c r="W597" s="460" t="str">
        <f t="shared" ca="1" si="129"/>
        <v/>
      </c>
      <c r="X597" s="460" t="str">
        <f t="shared" ca="1" si="129"/>
        <v/>
      </c>
      <c r="Y597" s="460" t="str">
        <f t="shared" ca="1" si="129"/>
        <v/>
      </c>
      <c r="Z597" s="460" t="str">
        <f t="shared" ca="1" si="129"/>
        <v/>
      </c>
      <c r="AA597" s="461" t="str">
        <f t="shared" ca="1" si="129"/>
        <v/>
      </c>
      <c r="AB597" s="474" t="str">
        <f t="shared" ca="1" si="129"/>
        <v/>
      </c>
      <c r="AC597" s="475" t="str">
        <f t="shared" ca="1" si="129"/>
        <v/>
      </c>
      <c r="AD597" s="477" t="str">
        <f t="shared" ca="1" si="130"/>
        <v/>
      </c>
      <c r="AE597" s="478">
        <f t="shared" ca="1" si="131"/>
        <v>0</v>
      </c>
      <c r="AF597" s="459" t="str">
        <f t="shared" ref="AF597:AP612" ca="1" si="132">LEFT(RIGHT(TEXT($AE597/1%," ￥0; ￥-0;"),43-COLUMN()))</f>
        <v/>
      </c>
      <c r="AG597" s="460" t="str">
        <f t="shared" ca="1" si="132"/>
        <v/>
      </c>
      <c r="AH597" s="460" t="str">
        <f t="shared" ca="1" si="132"/>
        <v/>
      </c>
      <c r="AI597" s="460" t="str">
        <f t="shared" ca="1" si="132"/>
        <v/>
      </c>
      <c r="AJ597" s="460" t="str">
        <f t="shared" ca="1" si="132"/>
        <v/>
      </c>
      <c r="AK597" s="460" t="str">
        <f t="shared" ca="1" si="132"/>
        <v/>
      </c>
      <c r="AL597" s="460" t="str">
        <f t="shared" ca="1" si="132"/>
        <v/>
      </c>
      <c r="AM597" s="460" t="str">
        <f t="shared" ca="1" si="132"/>
        <v/>
      </c>
      <c r="AN597" s="461" t="str">
        <f t="shared" ca="1" si="132"/>
        <v/>
      </c>
      <c r="AO597" s="474" t="str">
        <f t="shared" ca="1" si="132"/>
        <v/>
      </c>
      <c r="AP597" s="475" t="str">
        <f t="shared" ca="1" si="132"/>
        <v/>
      </c>
      <c r="AQ597" s="479" t="str">
        <f t="array" aca="1" ref="AQ597" ca="1">IF(ROW()-5&lt;=COUNTIF(科目编号,$AR$2),SMALL(IF(科目编号=$AR$2,ROW(科目编号),""),ROW()-5),"")</f>
        <v/>
      </c>
      <c r="AR597" s="480" t="str">
        <f ca="1">IF($BG$2=0,"",IF(AR596="本月合计","本年累计",IF(OR(ROW()=$AU$3,ROW()=$AV$3,ROW()=$AW$3,ROW()=$AX$3,ROW()=$AY$3,ROW()=$AZ$3,ROW()=$BA$3,ROW()=$BB$3,ROW()=$BC$3,ROW()=$BD$3,ROW()=$BE$3,ROW()=$BF$3),"本月合计",IF(ROW()&lt;7,$AQ$6,OFFSET($AQ$6,COUNT($AR$6:AR596),0)))))</f>
        <v/>
      </c>
    </row>
    <row r="598" spans="1:44">
      <c r="A598" s="469" t="str">
        <f ca="1">IFERROR(INDEX(凭证录入!A:A,$AR598),"")</f>
        <v/>
      </c>
      <c r="B598" s="469" t="str">
        <f ca="1">IFERROR(INDEX(凭证录入!B:B,$AR598),"")</f>
        <v/>
      </c>
      <c r="C598" s="470" t="str">
        <f ca="1">IFERROR(INDEX(凭证录入!G:G,$AR598),"")</f>
        <v/>
      </c>
      <c r="D598" s="471" t="str">
        <f ca="1">IFERROR(INDEX(凭证录入!F:F,$AR598),"")</f>
        <v/>
      </c>
      <c r="E598" s="472" t="str">
        <f ca="1">IFERROR(INDEX(凭证录入!H:H,$AR598),$AR598)</f>
        <v/>
      </c>
      <c r="F598" s="473">
        <f ca="1">IF(OR($BG$2=0,$AR598=""),,IF($AR598="本月合计",IF(ROW()=$BG$3,SUM($F$6:$F597),SUM(INDIRECT("$F$"&amp;OFFSET($AU$3,,MATCH(ROW(),$AU$3:$BF$3,)-2)+2&amp;":$E"&amp;ROW()-1))),IF($AR598="本年累计",SUMIF($AR$6:$AR598,"本月合计",$F$6:$F597),INDEX(凭证录入!K:K,$AR598))))</f>
        <v>0</v>
      </c>
      <c r="G598" s="459" t="str">
        <f t="shared" ref="G598:Q613" ca="1" si="133">LEFT(RIGHT(TEXT($F598/1%," ￥0; ￥-0;"),18-COLUMN()))</f>
        <v/>
      </c>
      <c r="H598" s="460" t="str">
        <f t="shared" ca="1" si="133"/>
        <v/>
      </c>
      <c r="I598" s="460" t="str">
        <f t="shared" ca="1" si="133"/>
        <v/>
      </c>
      <c r="J598" s="460" t="str">
        <f t="shared" ca="1" si="133"/>
        <v/>
      </c>
      <c r="K598" s="460" t="str">
        <f t="shared" ca="1" si="133"/>
        <v/>
      </c>
      <c r="L598" s="460" t="str">
        <f t="shared" ca="1" si="133"/>
        <v/>
      </c>
      <c r="M598" s="460" t="str">
        <f t="shared" ca="1" si="133"/>
        <v/>
      </c>
      <c r="N598" s="460" t="str">
        <f t="shared" ca="1" si="133"/>
        <v/>
      </c>
      <c r="O598" s="461" t="str">
        <f t="shared" ca="1" si="133"/>
        <v/>
      </c>
      <c r="P598" s="474" t="str">
        <f t="shared" ca="1" si="133"/>
        <v/>
      </c>
      <c r="Q598" s="475" t="str">
        <f t="shared" ca="1" si="133"/>
        <v/>
      </c>
      <c r="R598" s="476">
        <f ca="1">IF(OR($BG$2=0,$AR598=""),,IF($AR598="本月合计",IF(ROW()=$BG$3,SUM($R$6:$R597),SUM(INDIRECT("$R$"&amp;OFFSET($AU$3,,MATCH(ROW(),$AU$3:$BF$3,)-2)+2&amp;":$R"&amp;ROW()-1))),IF($AR598="本年累计",SUMIF($AR$6:$AR598,"本月合计",$R$6:$R597),INDEX(凭证录入!L:L,$AR598))))</f>
        <v>0</v>
      </c>
      <c r="S598" s="459" t="str">
        <f t="shared" ref="S598:AC613" ca="1" si="134">LEFT(RIGHT(TEXT($R598/1%," ￥0; ￥-0;"),30-COLUMN()))</f>
        <v/>
      </c>
      <c r="T598" s="460" t="str">
        <f t="shared" ca="1" si="134"/>
        <v/>
      </c>
      <c r="U598" s="460" t="str">
        <f t="shared" ca="1" si="134"/>
        <v/>
      </c>
      <c r="V598" s="460" t="str">
        <f t="shared" ca="1" si="134"/>
        <v/>
      </c>
      <c r="W598" s="460" t="str">
        <f t="shared" ca="1" si="134"/>
        <v/>
      </c>
      <c r="X598" s="460" t="str">
        <f t="shared" ca="1" si="134"/>
        <v/>
      </c>
      <c r="Y598" s="460" t="str">
        <f t="shared" ca="1" si="134"/>
        <v/>
      </c>
      <c r="Z598" s="460" t="str">
        <f t="shared" ca="1" si="134"/>
        <v/>
      </c>
      <c r="AA598" s="461" t="str">
        <f t="shared" ca="1" si="134"/>
        <v/>
      </c>
      <c r="AB598" s="474" t="str">
        <f t="shared" ca="1" si="134"/>
        <v/>
      </c>
      <c r="AC598" s="475" t="str">
        <f t="shared" ca="1" si="134"/>
        <v/>
      </c>
      <c r="AD598" s="477" t="str">
        <f t="shared" ca="1" si="130"/>
        <v/>
      </c>
      <c r="AE598" s="478">
        <f t="shared" ca="1" si="131"/>
        <v>0</v>
      </c>
      <c r="AF598" s="459" t="str">
        <f t="shared" ca="1" si="132"/>
        <v/>
      </c>
      <c r="AG598" s="460" t="str">
        <f t="shared" ca="1" si="132"/>
        <v/>
      </c>
      <c r="AH598" s="460" t="str">
        <f t="shared" ca="1" si="132"/>
        <v/>
      </c>
      <c r="AI598" s="460" t="str">
        <f t="shared" ca="1" si="132"/>
        <v/>
      </c>
      <c r="AJ598" s="460" t="str">
        <f t="shared" ca="1" si="132"/>
        <v/>
      </c>
      <c r="AK598" s="460" t="str">
        <f t="shared" ca="1" si="132"/>
        <v/>
      </c>
      <c r="AL598" s="460" t="str">
        <f t="shared" ca="1" si="132"/>
        <v/>
      </c>
      <c r="AM598" s="460" t="str">
        <f t="shared" ca="1" si="132"/>
        <v/>
      </c>
      <c r="AN598" s="461" t="str">
        <f t="shared" ca="1" si="132"/>
        <v/>
      </c>
      <c r="AO598" s="474" t="str">
        <f t="shared" ca="1" si="132"/>
        <v/>
      </c>
      <c r="AP598" s="475" t="str">
        <f t="shared" ca="1" si="132"/>
        <v/>
      </c>
      <c r="AQ598" s="479" t="str">
        <f t="array" aca="1" ref="AQ598" ca="1">IF(ROW()-5&lt;=COUNTIF(科目编号,$AR$2),SMALL(IF(科目编号=$AR$2,ROW(科目编号),""),ROW()-5),"")</f>
        <v/>
      </c>
      <c r="AR598" s="480" t="str">
        <f ca="1">IF($BG$2=0,"",IF(AR597="本月合计","本年累计",IF(OR(ROW()=$AU$3,ROW()=$AV$3,ROW()=$AW$3,ROW()=$AX$3,ROW()=$AY$3,ROW()=$AZ$3,ROW()=$BA$3,ROW()=$BB$3,ROW()=$BC$3,ROW()=$BD$3,ROW()=$BE$3,ROW()=$BF$3),"本月合计",IF(ROW()&lt;7,$AQ$6,OFFSET($AQ$6,COUNT($AR$6:AR597),0)))))</f>
        <v/>
      </c>
    </row>
    <row r="599" spans="1:44">
      <c r="A599" s="469" t="str">
        <f ca="1">IFERROR(INDEX(凭证录入!A:A,$AR599),"")</f>
        <v/>
      </c>
      <c r="B599" s="469" t="str">
        <f ca="1">IFERROR(INDEX(凭证录入!B:B,$AR599),"")</f>
        <v/>
      </c>
      <c r="C599" s="470" t="str">
        <f ca="1">IFERROR(INDEX(凭证录入!G:G,$AR599),"")</f>
        <v/>
      </c>
      <c r="D599" s="471" t="str">
        <f ca="1">IFERROR(INDEX(凭证录入!F:F,$AR599),"")</f>
        <v/>
      </c>
      <c r="E599" s="472" t="str">
        <f ca="1">IFERROR(INDEX(凭证录入!H:H,$AR599),$AR599)</f>
        <v/>
      </c>
      <c r="F599" s="473">
        <f ca="1">IF(OR($BG$2=0,$AR599=""),,IF($AR599="本月合计",IF(ROW()=$BG$3,SUM($F$6:$F598),SUM(INDIRECT("$F$"&amp;OFFSET($AU$3,,MATCH(ROW(),$AU$3:$BF$3,)-2)+2&amp;":$E"&amp;ROW()-1))),IF($AR599="本年累计",SUMIF($AR$6:$AR599,"本月合计",$F$6:$F598),INDEX(凭证录入!K:K,$AR599))))</f>
        <v>0</v>
      </c>
      <c r="G599" s="459" t="str">
        <f t="shared" ca="1" si="133"/>
        <v/>
      </c>
      <c r="H599" s="460" t="str">
        <f t="shared" ca="1" si="133"/>
        <v/>
      </c>
      <c r="I599" s="460" t="str">
        <f t="shared" ca="1" si="133"/>
        <v/>
      </c>
      <c r="J599" s="460" t="str">
        <f t="shared" ca="1" si="133"/>
        <v/>
      </c>
      <c r="K599" s="460" t="str">
        <f t="shared" ca="1" si="133"/>
        <v/>
      </c>
      <c r="L599" s="460" t="str">
        <f t="shared" ca="1" si="133"/>
        <v/>
      </c>
      <c r="M599" s="460" t="str">
        <f t="shared" ca="1" si="133"/>
        <v/>
      </c>
      <c r="N599" s="460" t="str">
        <f t="shared" ca="1" si="133"/>
        <v/>
      </c>
      <c r="O599" s="461" t="str">
        <f t="shared" ca="1" si="133"/>
        <v/>
      </c>
      <c r="P599" s="474" t="str">
        <f t="shared" ca="1" si="133"/>
        <v/>
      </c>
      <c r="Q599" s="475" t="str">
        <f t="shared" ca="1" si="133"/>
        <v/>
      </c>
      <c r="R599" s="476">
        <f ca="1">IF(OR($BG$2=0,$AR599=""),,IF($AR599="本月合计",IF(ROW()=$BG$3,SUM($R$6:$R598),SUM(INDIRECT("$R$"&amp;OFFSET($AU$3,,MATCH(ROW(),$AU$3:$BF$3,)-2)+2&amp;":$R"&amp;ROW()-1))),IF($AR599="本年累计",SUMIF($AR$6:$AR599,"本月合计",$R$6:$R598),INDEX(凭证录入!L:L,$AR599))))</f>
        <v>0</v>
      </c>
      <c r="S599" s="459" t="str">
        <f t="shared" ca="1" si="134"/>
        <v/>
      </c>
      <c r="T599" s="460" t="str">
        <f t="shared" ca="1" si="134"/>
        <v/>
      </c>
      <c r="U599" s="460" t="str">
        <f t="shared" ca="1" si="134"/>
        <v/>
      </c>
      <c r="V599" s="460" t="str">
        <f t="shared" ca="1" si="134"/>
        <v/>
      </c>
      <c r="W599" s="460" t="str">
        <f t="shared" ca="1" si="134"/>
        <v/>
      </c>
      <c r="X599" s="460" t="str">
        <f t="shared" ca="1" si="134"/>
        <v/>
      </c>
      <c r="Y599" s="460" t="str">
        <f t="shared" ca="1" si="134"/>
        <v/>
      </c>
      <c r="Z599" s="460" t="str">
        <f t="shared" ca="1" si="134"/>
        <v/>
      </c>
      <c r="AA599" s="461" t="str">
        <f t="shared" ca="1" si="134"/>
        <v/>
      </c>
      <c r="AB599" s="474" t="str">
        <f t="shared" ca="1" si="134"/>
        <v/>
      </c>
      <c r="AC599" s="475" t="str">
        <f t="shared" ca="1" si="134"/>
        <v/>
      </c>
      <c r="AD599" s="477" t="str">
        <f t="shared" ca="1" si="130"/>
        <v/>
      </c>
      <c r="AE599" s="478">
        <f t="shared" ca="1" si="131"/>
        <v>0</v>
      </c>
      <c r="AF599" s="459" t="str">
        <f t="shared" ca="1" si="132"/>
        <v/>
      </c>
      <c r="AG599" s="460" t="str">
        <f t="shared" ca="1" si="132"/>
        <v/>
      </c>
      <c r="AH599" s="460" t="str">
        <f t="shared" ca="1" si="132"/>
        <v/>
      </c>
      <c r="AI599" s="460" t="str">
        <f t="shared" ca="1" si="132"/>
        <v/>
      </c>
      <c r="AJ599" s="460" t="str">
        <f t="shared" ca="1" si="132"/>
        <v/>
      </c>
      <c r="AK599" s="460" t="str">
        <f t="shared" ca="1" si="132"/>
        <v/>
      </c>
      <c r="AL599" s="460" t="str">
        <f t="shared" ca="1" si="132"/>
        <v/>
      </c>
      <c r="AM599" s="460" t="str">
        <f t="shared" ca="1" si="132"/>
        <v/>
      </c>
      <c r="AN599" s="461" t="str">
        <f t="shared" ca="1" si="132"/>
        <v/>
      </c>
      <c r="AO599" s="474" t="str">
        <f t="shared" ca="1" si="132"/>
        <v/>
      </c>
      <c r="AP599" s="475" t="str">
        <f t="shared" ca="1" si="132"/>
        <v/>
      </c>
      <c r="AQ599" s="479" t="str">
        <f t="array" aca="1" ref="AQ599" ca="1">IF(ROW()-5&lt;=COUNTIF(科目编号,$AR$2),SMALL(IF(科目编号=$AR$2,ROW(科目编号),""),ROW()-5),"")</f>
        <v/>
      </c>
      <c r="AR599" s="480" t="str">
        <f ca="1">IF($BG$2=0,"",IF(AR598="本月合计","本年累计",IF(OR(ROW()=$AU$3,ROW()=$AV$3,ROW()=$AW$3,ROW()=$AX$3,ROW()=$AY$3,ROW()=$AZ$3,ROW()=$BA$3,ROW()=$BB$3,ROW()=$BC$3,ROW()=$BD$3,ROW()=$BE$3,ROW()=$BF$3),"本月合计",IF(ROW()&lt;7,$AQ$6,OFFSET($AQ$6,COUNT($AR$6:AR598),0)))))</f>
        <v/>
      </c>
    </row>
    <row r="600" spans="1:44">
      <c r="A600" s="469" t="str">
        <f ca="1">IFERROR(INDEX(凭证录入!A:A,$AR600),"")</f>
        <v/>
      </c>
      <c r="B600" s="469" t="str">
        <f ca="1">IFERROR(INDEX(凭证录入!B:B,$AR600),"")</f>
        <v/>
      </c>
      <c r="C600" s="470" t="str">
        <f ca="1">IFERROR(INDEX(凭证录入!G:G,$AR600),"")</f>
        <v/>
      </c>
      <c r="D600" s="471" t="str">
        <f ca="1">IFERROR(INDEX(凭证录入!F:F,$AR600),"")</f>
        <v/>
      </c>
      <c r="E600" s="472" t="str">
        <f ca="1">IFERROR(INDEX(凭证录入!H:H,$AR600),$AR600)</f>
        <v/>
      </c>
      <c r="F600" s="473">
        <f ca="1">IF(OR($BG$2=0,$AR600=""),,IF($AR600="本月合计",IF(ROW()=$BG$3,SUM($F$6:$F599),SUM(INDIRECT("$F$"&amp;OFFSET($AU$3,,MATCH(ROW(),$AU$3:$BF$3,)-2)+2&amp;":$E"&amp;ROW()-1))),IF($AR600="本年累计",SUMIF($AR$6:$AR600,"本月合计",$F$6:$F599),INDEX(凭证录入!K:K,$AR600))))</f>
        <v>0</v>
      </c>
      <c r="G600" s="459" t="str">
        <f t="shared" ca="1" si="133"/>
        <v/>
      </c>
      <c r="H600" s="460" t="str">
        <f t="shared" ca="1" si="133"/>
        <v/>
      </c>
      <c r="I600" s="460" t="str">
        <f t="shared" ca="1" si="133"/>
        <v/>
      </c>
      <c r="J600" s="460" t="str">
        <f t="shared" ca="1" si="133"/>
        <v/>
      </c>
      <c r="K600" s="460" t="str">
        <f t="shared" ca="1" si="133"/>
        <v/>
      </c>
      <c r="L600" s="460" t="str">
        <f t="shared" ca="1" si="133"/>
        <v/>
      </c>
      <c r="M600" s="460" t="str">
        <f t="shared" ca="1" si="133"/>
        <v/>
      </c>
      <c r="N600" s="460" t="str">
        <f t="shared" ca="1" si="133"/>
        <v/>
      </c>
      <c r="O600" s="461" t="str">
        <f t="shared" ca="1" si="133"/>
        <v/>
      </c>
      <c r="P600" s="474" t="str">
        <f t="shared" ca="1" si="133"/>
        <v/>
      </c>
      <c r="Q600" s="475" t="str">
        <f t="shared" ca="1" si="133"/>
        <v/>
      </c>
      <c r="R600" s="476">
        <f ca="1">IF(OR($BG$2=0,$AR600=""),,IF($AR600="本月合计",IF(ROW()=$BG$3,SUM($R$6:$R599),SUM(INDIRECT("$R$"&amp;OFFSET($AU$3,,MATCH(ROW(),$AU$3:$BF$3,)-2)+2&amp;":$R"&amp;ROW()-1))),IF($AR600="本年累计",SUMIF($AR$6:$AR600,"本月合计",$R$6:$R599),INDEX(凭证录入!L:L,$AR600))))</f>
        <v>0</v>
      </c>
      <c r="S600" s="459" t="str">
        <f t="shared" ca="1" si="134"/>
        <v/>
      </c>
      <c r="T600" s="460" t="str">
        <f t="shared" ca="1" si="134"/>
        <v/>
      </c>
      <c r="U600" s="460" t="str">
        <f t="shared" ca="1" si="134"/>
        <v/>
      </c>
      <c r="V600" s="460" t="str">
        <f t="shared" ca="1" si="134"/>
        <v/>
      </c>
      <c r="W600" s="460" t="str">
        <f t="shared" ca="1" si="134"/>
        <v/>
      </c>
      <c r="X600" s="460" t="str">
        <f t="shared" ca="1" si="134"/>
        <v/>
      </c>
      <c r="Y600" s="460" t="str">
        <f t="shared" ca="1" si="134"/>
        <v/>
      </c>
      <c r="Z600" s="460" t="str">
        <f t="shared" ca="1" si="134"/>
        <v/>
      </c>
      <c r="AA600" s="461" t="str">
        <f t="shared" ca="1" si="134"/>
        <v/>
      </c>
      <c r="AB600" s="474" t="str">
        <f t="shared" ca="1" si="134"/>
        <v/>
      </c>
      <c r="AC600" s="475" t="str">
        <f t="shared" ca="1" si="134"/>
        <v/>
      </c>
      <c r="AD600" s="477" t="str">
        <f t="shared" ca="1" si="130"/>
        <v/>
      </c>
      <c r="AE600" s="478">
        <f t="shared" ca="1" si="131"/>
        <v>0</v>
      </c>
      <c r="AF600" s="459" t="str">
        <f t="shared" ca="1" si="132"/>
        <v/>
      </c>
      <c r="AG600" s="460" t="str">
        <f t="shared" ca="1" si="132"/>
        <v/>
      </c>
      <c r="AH600" s="460" t="str">
        <f t="shared" ca="1" si="132"/>
        <v/>
      </c>
      <c r="AI600" s="460" t="str">
        <f t="shared" ca="1" si="132"/>
        <v/>
      </c>
      <c r="AJ600" s="460" t="str">
        <f t="shared" ca="1" si="132"/>
        <v/>
      </c>
      <c r="AK600" s="460" t="str">
        <f t="shared" ca="1" si="132"/>
        <v/>
      </c>
      <c r="AL600" s="460" t="str">
        <f t="shared" ca="1" si="132"/>
        <v/>
      </c>
      <c r="AM600" s="460" t="str">
        <f t="shared" ca="1" si="132"/>
        <v/>
      </c>
      <c r="AN600" s="461" t="str">
        <f t="shared" ca="1" si="132"/>
        <v/>
      </c>
      <c r="AO600" s="474" t="str">
        <f t="shared" ca="1" si="132"/>
        <v/>
      </c>
      <c r="AP600" s="475" t="str">
        <f t="shared" ca="1" si="132"/>
        <v/>
      </c>
      <c r="AQ600" s="479" t="str">
        <f t="array" aca="1" ref="AQ600" ca="1">IF(ROW()-5&lt;=COUNTIF(科目编号,$AR$2),SMALL(IF(科目编号=$AR$2,ROW(科目编号),""),ROW()-5),"")</f>
        <v/>
      </c>
      <c r="AR600" s="480" t="str">
        <f ca="1">IF($BG$2=0,"",IF(AR599="本月合计","本年累计",IF(OR(ROW()=$AU$3,ROW()=$AV$3,ROW()=$AW$3,ROW()=$AX$3,ROW()=$AY$3,ROW()=$AZ$3,ROW()=$BA$3,ROW()=$BB$3,ROW()=$BC$3,ROW()=$BD$3,ROW()=$BE$3,ROW()=$BF$3),"本月合计",IF(ROW()&lt;7,$AQ$6,OFFSET($AQ$6,COUNT($AR$6:AR599),0)))))</f>
        <v/>
      </c>
    </row>
    <row r="601" spans="1:44">
      <c r="A601" s="469" t="str">
        <f ca="1">IFERROR(INDEX(凭证录入!A:A,$AR601),"")</f>
        <v/>
      </c>
      <c r="B601" s="469" t="str">
        <f ca="1">IFERROR(INDEX(凭证录入!B:B,$AR601),"")</f>
        <v/>
      </c>
      <c r="C601" s="470" t="str">
        <f ca="1">IFERROR(INDEX(凭证录入!G:G,$AR601),"")</f>
        <v/>
      </c>
      <c r="D601" s="471" t="str">
        <f ca="1">IFERROR(INDEX(凭证录入!F:F,$AR601),"")</f>
        <v/>
      </c>
      <c r="E601" s="472" t="str">
        <f ca="1">IFERROR(INDEX(凭证录入!H:H,$AR601),$AR601)</f>
        <v/>
      </c>
      <c r="F601" s="473">
        <f ca="1">IF(OR($BG$2=0,$AR601=""),,IF($AR601="本月合计",IF(ROW()=$BG$3,SUM($F$6:$F600),SUM(INDIRECT("$F$"&amp;OFFSET($AU$3,,MATCH(ROW(),$AU$3:$BF$3,)-2)+2&amp;":$E"&amp;ROW()-1))),IF($AR601="本年累计",SUMIF($AR$6:$AR601,"本月合计",$F$6:$F600),INDEX(凭证录入!K:K,$AR601))))</f>
        <v>0</v>
      </c>
      <c r="G601" s="459" t="str">
        <f t="shared" ca="1" si="133"/>
        <v/>
      </c>
      <c r="H601" s="460" t="str">
        <f t="shared" ca="1" si="133"/>
        <v/>
      </c>
      <c r="I601" s="460" t="str">
        <f t="shared" ca="1" si="133"/>
        <v/>
      </c>
      <c r="J601" s="460" t="str">
        <f t="shared" ca="1" si="133"/>
        <v/>
      </c>
      <c r="K601" s="460" t="str">
        <f t="shared" ca="1" si="133"/>
        <v/>
      </c>
      <c r="L601" s="460" t="str">
        <f t="shared" ca="1" si="133"/>
        <v/>
      </c>
      <c r="M601" s="460" t="str">
        <f t="shared" ca="1" si="133"/>
        <v/>
      </c>
      <c r="N601" s="460" t="str">
        <f t="shared" ca="1" si="133"/>
        <v/>
      </c>
      <c r="O601" s="461" t="str">
        <f t="shared" ca="1" si="133"/>
        <v/>
      </c>
      <c r="P601" s="474" t="str">
        <f t="shared" ca="1" si="133"/>
        <v/>
      </c>
      <c r="Q601" s="475" t="str">
        <f t="shared" ca="1" si="133"/>
        <v/>
      </c>
      <c r="R601" s="476">
        <f ca="1">IF(OR($BG$2=0,$AR601=""),,IF($AR601="本月合计",IF(ROW()=$BG$3,SUM($R$6:$R600),SUM(INDIRECT("$R$"&amp;OFFSET($AU$3,,MATCH(ROW(),$AU$3:$BF$3,)-2)+2&amp;":$R"&amp;ROW()-1))),IF($AR601="本年累计",SUMIF($AR$6:$AR601,"本月合计",$R$6:$R600),INDEX(凭证录入!L:L,$AR601))))</f>
        <v>0</v>
      </c>
      <c r="S601" s="459" t="str">
        <f t="shared" ca="1" si="134"/>
        <v/>
      </c>
      <c r="T601" s="460" t="str">
        <f t="shared" ca="1" si="134"/>
        <v/>
      </c>
      <c r="U601" s="460" t="str">
        <f t="shared" ca="1" si="134"/>
        <v/>
      </c>
      <c r="V601" s="460" t="str">
        <f t="shared" ca="1" si="134"/>
        <v/>
      </c>
      <c r="W601" s="460" t="str">
        <f t="shared" ca="1" si="134"/>
        <v/>
      </c>
      <c r="X601" s="460" t="str">
        <f t="shared" ca="1" si="134"/>
        <v/>
      </c>
      <c r="Y601" s="460" t="str">
        <f t="shared" ca="1" si="134"/>
        <v/>
      </c>
      <c r="Z601" s="460" t="str">
        <f t="shared" ca="1" si="134"/>
        <v/>
      </c>
      <c r="AA601" s="461" t="str">
        <f t="shared" ca="1" si="134"/>
        <v/>
      </c>
      <c r="AB601" s="474" t="str">
        <f t="shared" ca="1" si="134"/>
        <v/>
      </c>
      <c r="AC601" s="475" t="str">
        <f t="shared" ca="1" si="134"/>
        <v/>
      </c>
      <c r="AD601" s="477" t="str">
        <f t="shared" ca="1" si="130"/>
        <v/>
      </c>
      <c r="AE601" s="478">
        <f t="shared" ca="1" si="131"/>
        <v>0</v>
      </c>
      <c r="AF601" s="459" t="str">
        <f t="shared" ca="1" si="132"/>
        <v/>
      </c>
      <c r="AG601" s="460" t="str">
        <f t="shared" ca="1" si="132"/>
        <v/>
      </c>
      <c r="AH601" s="460" t="str">
        <f t="shared" ca="1" si="132"/>
        <v/>
      </c>
      <c r="AI601" s="460" t="str">
        <f t="shared" ca="1" si="132"/>
        <v/>
      </c>
      <c r="AJ601" s="460" t="str">
        <f t="shared" ca="1" si="132"/>
        <v/>
      </c>
      <c r="AK601" s="460" t="str">
        <f t="shared" ca="1" si="132"/>
        <v/>
      </c>
      <c r="AL601" s="460" t="str">
        <f t="shared" ca="1" si="132"/>
        <v/>
      </c>
      <c r="AM601" s="460" t="str">
        <f t="shared" ca="1" si="132"/>
        <v/>
      </c>
      <c r="AN601" s="461" t="str">
        <f t="shared" ca="1" si="132"/>
        <v/>
      </c>
      <c r="AO601" s="474" t="str">
        <f t="shared" ca="1" si="132"/>
        <v/>
      </c>
      <c r="AP601" s="475" t="str">
        <f t="shared" ca="1" si="132"/>
        <v/>
      </c>
      <c r="AQ601" s="479" t="str">
        <f t="array" aca="1" ref="AQ601" ca="1">IF(ROW()-5&lt;=COUNTIF(科目编号,$AR$2),SMALL(IF(科目编号=$AR$2,ROW(科目编号),""),ROW()-5),"")</f>
        <v/>
      </c>
      <c r="AR601" s="480" t="str">
        <f ca="1">IF($BG$2=0,"",IF(AR600="本月合计","本年累计",IF(OR(ROW()=$AU$3,ROW()=$AV$3,ROW()=$AW$3,ROW()=$AX$3,ROW()=$AY$3,ROW()=$AZ$3,ROW()=$BA$3,ROW()=$BB$3,ROW()=$BC$3,ROW()=$BD$3,ROW()=$BE$3,ROW()=$BF$3),"本月合计",IF(ROW()&lt;7,$AQ$6,OFFSET($AQ$6,COUNT($AR$6:AR600),0)))))</f>
        <v/>
      </c>
    </row>
    <row r="602" spans="1:44">
      <c r="A602" s="469" t="str">
        <f ca="1">IFERROR(INDEX(凭证录入!A:A,$AR602),"")</f>
        <v/>
      </c>
      <c r="B602" s="469" t="str">
        <f ca="1">IFERROR(INDEX(凭证录入!B:B,$AR602),"")</f>
        <v/>
      </c>
      <c r="C602" s="470" t="str">
        <f ca="1">IFERROR(INDEX(凭证录入!G:G,$AR602),"")</f>
        <v/>
      </c>
      <c r="D602" s="471" t="str">
        <f ca="1">IFERROR(INDEX(凭证录入!F:F,$AR602),"")</f>
        <v/>
      </c>
      <c r="E602" s="472" t="str">
        <f ca="1">IFERROR(INDEX(凭证录入!H:H,$AR602),$AR602)</f>
        <v/>
      </c>
      <c r="F602" s="473">
        <f ca="1">IF(OR($BG$2=0,$AR602=""),,IF($AR602="本月合计",IF(ROW()=$BG$3,SUM($F$6:$F601),SUM(INDIRECT("$F$"&amp;OFFSET($AU$3,,MATCH(ROW(),$AU$3:$BF$3,)-2)+2&amp;":$E"&amp;ROW()-1))),IF($AR602="本年累计",SUMIF($AR$6:$AR602,"本月合计",$F$6:$F601),INDEX(凭证录入!K:K,$AR602))))</f>
        <v>0</v>
      </c>
      <c r="G602" s="459" t="str">
        <f t="shared" ca="1" si="133"/>
        <v/>
      </c>
      <c r="H602" s="460" t="str">
        <f t="shared" ca="1" si="133"/>
        <v/>
      </c>
      <c r="I602" s="460" t="str">
        <f t="shared" ca="1" si="133"/>
        <v/>
      </c>
      <c r="J602" s="460" t="str">
        <f t="shared" ca="1" si="133"/>
        <v/>
      </c>
      <c r="K602" s="460" t="str">
        <f t="shared" ca="1" si="133"/>
        <v/>
      </c>
      <c r="L602" s="460" t="str">
        <f t="shared" ca="1" si="133"/>
        <v/>
      </c>
      <c r="M602" s="460" t="str">
        <f t="shared" ca="1" si="133"/>
        <v/>
      </c>
      <c r="N602" s="460" t="str">
        <f t="shared" ca="1" si="133"/>
        <v/>
      </c>
      <c r="O602" s="461" t="str">
        <f t="shared" ca="1" si="133"/>
        <v/>
      </c>
      <c r="P602" s="474" t="str">
        <f t="shared" ca="1" si="133"/>
        <v/>
      </c>
      <c r="Q602" s="475" t="str">
        <f t="shared" ca="1" si="133"/>
        <v/>
      </c>
      <c r="R602" s="476">
        <f ca="1">IF(OR($BG$2=0,$AR602=""),,IF($AR602="本月合计",IF(ROW()=$BG$3,SUM($R$6:$R601),SUM(INDIRECT("$R$"&amp;OFFSET($AU$3,,MATCH(ROW(),$AU$3:$BF$3,)-2)+2&amp;":$R"&amp;ROW()-1))),IF($AR602="本年累计",SUMIF($AR$6:$AR602,"本月合计",$R$6:$R601),INDEX(凭证录入!L:L,$AR602))))</f>
        <v>0</v>
      </c>
      <c r="S602" s="459" t="str">
        <f t="shared" ca="1" si="134"/>
        <v/>
      </c>
      <c r="T602" s="460" t="str">
        <f t="shared" ca="1" si="134"/>
        <v/>
      </c>
      <c r="U602" s="460" t="str">
        <f t="shared" ca="1" si="134"/>
        <v/>
      </c>
      <c r="V602" s="460" t="str">
        <f t="shared" ca="1" si="134"/>
        <v/>
      </c>
      <c r="W602" s="460" t="str">
        <f t="shared" ca="1" si="134"/>
        <v/>
      </c>
      <c r="X602" s="460" t="str">
        <f t="shared" ca="1" si="134"/>
        <v/>
      </c>
      <c r="Y602" s="460" t="str">
        <f t="shared" ca="1" si="134"/>
        <v/>
      </c>
      <c r="Z602" s="460" t="str">
        <f t="shared" ca="1" si="134"/>
        <v/>
      </c>
      <c r="AA602" s="461" t="str">
        <f t="shared" ca="1" si="134"/>
        <v/>
      </c>
      <c r="AB602" s="474" t="str">
        <f t="shared" ca="1" si="134"/>
        <v/>
      </c>
      <c r="AC602" s="475" t="str">
        <f t="shared" ca="1" si="134"/>
        <v/>
      </c>
      <c r="AD602" s="477" t="str">
        <f t="shared" ca="1" si="130"/>
        <v/>
      </c>
      <c r="AE602" s="478">
        <f t="shared" ca="1" si="131"/>
        <v>0</v>
      </c>
      <c r="AF602" s="459" t="str">
        <f t="shared" ca="1" si="132"/>
        <v/>
      </c>
      <c r="AG602" s="460" t="str">
        <f t="shared" ca="1" si="132"/>
        <v/>
      </c>
      <c r="AH602" s="460" t="str">
        <f t="shared" ca="1" si="132"/>
        <v/>
      </c>
      <c r="AI602" s="460" t="str">
        <f t="shared" ca="1" si="132"/>
        <v/>
      </c>
      <c r="AJ602" s="460" t="str">
        <f t="shared" ca="1" si="132"/>
        <v/>
      </c>
      <c r="AK602" s="460" t="str">
        <f t="shared" ca="1" si="132"/>
        <v/>
      </c>
      <c r="AL602" s="460" t="str">
        <f t="shared" ca="1" si="132"/>
        <v/>
      </c>
      <c r="AM602" s="460" t="str">
        <f t="shared" ca="1" si="132"/>
        <v/>
      </c>
      <c r="AN602" s="461" t="str">
        <f t="shared" ca="1" si="132"/>
        <v/>
      </c>
      <c r="AO602" s="474" t="str">
        <f t="shared" ca="1" si="132"/>
        <v/>
      </c>
      <c r="AP602" s="475" t="str">
        <f t="shared" ca="1" si="132"/>
        <v/>
      </c>
      <c r="AQ602" s="479" t="str">
        <f t="array" aca="1" ref="AQ602" ca="1">IF(ROW()-5&lt;=COUNTIF(科目编号,$AR$2),SMALL(IF(科目编号=$AR$2,ROW(科目编号),""),ROW()-5),"")</f>
        <v/>
      </c>
      <c r="AR602" s="480" t="str">
        <f ca="1">IF($BG$2=0,"",IF(AR601="本月合计","本年累计",IF(OR(ROW()=$AU$3,ROW()=$AV$3,ROW()=$AW$3,ROW()=$AX$3,ROW()=$AY$3,ROW()=$AZ$3,ROW()=$BA$3,ROW()=$BB$3,ROW()=$BC$3,ROW()=$BD$3,ROW()=$BE$3,ROW()=$BF$3),"本月合计",IF(ROW()&lt;7,$AQ$6,OFFSET($AQ$6,COUNT($AR$6:AR601),0)))))</f>
        <v/>
      </c>
    </row>
    <row r="603" spans="1:44">
      <c r="A603" s="469" t="str">
        <f ca="1">IFERROR(INDEX(凭证录入!A:A,$AR603),"")</f>
        <v/>
      </c>
      <c r="B603" s="469" t="str">
        <f ca="1">IFERROR(INDEX(凭证录入!B:B,$AR603),"")</f>
        <v/>
      </c>
      <c r="C603" s="470" t="str">
        <f ca="1">IFERROR(INDEX(凭证录入!G:G,$AR603),"")</f>
        <v/>
      </c>
      <c r="D603" s="471" t="str">
        <f ca="1">IFERROR(INDEX(凭证录入!F:F,$AR603),"")</f>
        <v/>
      </c>
      <c r="E603" s="472" t="str">
        <f ca="1">IFERROR(INDEX(凭证录入!H:H,$AR603),$AR603)</f>
        <v/>
      </c>
      <c r="F603" s="473">
        <f ca="1">IF(OR($BG$2=0,$AR603=""),,IF($AR603="本月合计",IF(ROW()=$BG$3,SUM($F$6:$F602),SUM(INDIRECT("$F$"&amp;OFFSET($AU$3,,MATCH(ROW(),$AU$3:$BF$3,)-2)+2&amp;":$E"&amp;ROW()-1))),IF($AR603="本年累计",SUMIF($AR$6:$AR603,"本月合计",$F$6:$F602),INDEX(凭证录入!K:K,$AR603))))</f>
        <v>0</v>
      </c>
      <c r="G603" s="459" t="str">
        <f t="shared" ca="1" si="133"/>
        <v/>
      </c>
      <c r="H603" s="460" t="str">
        <f t="shared" ca="1" si="133"/>
        <v/>
      </c>
      <c r="I603" s="460" t="str">
        <f t="shared" ca="1" si="133"/>
        <v/>
      </c>
      <c r="J603" s="460" t="str">
        <f t="shared" ca="1" si="133"/>
        <v/>
      </c>
      <c r="K603" s="460" t="str">
        <f t="shared" ca="1" si="133"/>
        <v/>
      </c>
      <c r="L603" s="460" t="str">
        <f t="shared" ca="1" si="133"/>
        <v/>
      </c>
      <c r="M603" s="460" t="str">
        <f t="shared" ca="1" si="133"/>
        <v/>
      </c>
      <c r="N603" s="460" t="str">
        <f t="shared" ca="1" si="133"/>
        <v/>
      </c>
      <c r="O603" s="461" t="str">
        <f t="shared" ca="1" si="133"/>
        <v/>
      </c>
      <c r="P603" s="474" t="str">
        <f t="shared" ca="1" si="133"/>
        <v/>
      </c>
      <c r="Q603" s="475" t="str">
        <f t="shared" ca="1" si="133"/>
        <v/>
      </c>
      <c r="R603" s="476">
        <f ca="1">IF(OR($BG$2=0,$AR603=""),,IF($AR603="本月合计",IF(ROW()=$BG$3,SUM($R$6:$R602),SUM(INDIRECT("$R$"&amp;OFFSET($AU$3,,MATCH(ROW(),$AU$3:$BF$3,)-2)+2&amp;":$R"&amp;ROW()-1))),IF($AR603="本年累计",SUMIF($AR$6:$AR603,"本月合计",$R$6:$R602),INDEX(凭证录入!L:L,$AR603))))</f>
        <v>0</v>
      </c>
      <c r="S603" s="459" t="str">
        <f t="shared" ca="1" si="134"/>
        <v/>
      </c>
      <c r="T603" s="460" t="str">
        <f t="shared" ca="1" si="134"/>
        <v/>
      </c>
      <c r="U603" s="460" t="str">
        <f t="shared" ca="1" si="134"/>
        <v/>
      </c>
      <c r="V603" s="460" t="str">
        <f t="shared" ca="1" si="134"/>
        <v/>
      </c>
      <c r="W603" s="460" t="str">
        <f t="shared" ca="1" si="134"/>
        <v/>
      </c>
      <c r="X603" s="460" t="str">
        <f t="shared" ca="1" si="134"/>
        <v/>
      </c>
      <c r="Y603" s="460" t="str">
        <f t="shared" ca="1" si="134"/>
        <v/>
      </c>
      <c r="Z603" s="460" t="str">
        <f t="shared" ca="1" si="134"/>
        <v/>
      </c>
      <c r="AA603" s="461" t="str">
        <f t="shared" ca="1" si="134"/>
        <v/>
      </c>
      <c r="AB603" s="474" t="str">
        <f t="shared" ca="1" si="134"/>
        <v/>
      </c>
      <c r="AC603" s="475" t="str">
        <f t="shared" ca="1" si="134"/>
        <v/>
      </c>
      <c r="AD603" s="477" t="str">
        <f t="shared" ca="1" si="130"/>
        <v/>
      </c>
      <c r="AE603" s="478">
        <f t="shared" ca="1" si="131"/>
        <v>0</v>
      </c>
      <c r="AF603" s="459" t="str">
        <f t="shared" ca="1" si="132"/>
        <v/>
      </c>
      <c r="AG603" s="460" t="str">
        <f t="shared" ca="1" si="132"/>
        <v/>
      </c>
      <c r="AH603" s="460" t="str">
        <f t="shared" ca="1" si="132"/>
        <v/>
      </c>
      <c r="AI603" s="460" t="str">
        <f t="shared" ca="1" si="132"/>
        <v/>
      </c>
      <c r="AJ603" s="460" t="str">
        <f t="shared" ca="1" si="132"/>
        <v/>
      </c>
      <c r="AK603" s="460" t="str">
        <f t="shared" ca="1" si="132"/>
        <v/>
      </c>
      <c r="AL603" s="460" t="str">
        <f t="shared" ca="1" si="132"/>
        <v/>
      </c>
      <c r="AM603" s="460" t="str">
        <f t="shared" ca="1" si="132"/>
        <v/>
      </c>
      <c r="AN603" s="461" t="str">
        <f t="shared" ca="1" si="132"/>
        <v/>
      </c>
      <c r="AO603" s="474" t="str">
        <f t="shared" ca="1" si="132"/>
        <v/>
      </c>
      <c r="AP603" s="475" t="str">
        <f t="shared" ca="1" si="132"/>
        <v/>
      </c>
      <c r="AQ603" s="479" t="str">
        <f t="array" aca="1" ref="AQ603" ca="1">IF(ROW()-5&lt;=COUNTIF(科目编号,$AR$2),SMALL(IF(科目编号=$AR$2,ROW(科目编号),""),ROW()-5),"")</f>
        <v/>
      </c>
      <c r="AR603" s="480" t="str">
        <f ca="1">IF($BG$2=0,"",IF(AR602="本月合计","本年累计",IF(OR(ROW()=$AU$3,ROW()=$AV$3,ROW()=$AW$3,ROW()=$AX$3,ROW()=$AY$3,ROW()=$AZ$3,ROW()=$BA$3,ROW()=$BB$3,ROW()=$BC$3,ROW()=$BD$3,ROW()=$BE$3,ROW()=$BF$3),"本月合计",IF(ROW()&lt;7,$AQ$6,OFFSET($AQ$6,COUNT($AR$6:AR602),0)))))</f>
        <v/>
      </c>
    </row>
    <row r="604" spans="1:44">
      <c r="A604" s="469" t="str">
        <f ca="1">IFERROR(INDEX(凭证录入!A:A,$AR604),"")</f>
        <v/>
      </c>
      <c r="B604" s="469" t="str">
        <f ca="1">IFERROR(INDEX(凭证录入!B:B,$AR604),"")</f>
        <v/>
      </c>
      <c r="C604" s="470" t="str">
        <f ca="1">IFERROR(INDEX(凭证录入!G:G,$AR604),"")</f>
        <v/>
      </c>
      <c r="D604" s="471" t="str">
        <f ca="1">IFERROR(INDEX(凭证录入!F:F,$AR604),"")</f>
        <v/>
      </c>
      <c r="E604" s="472" t="str">
        <f ca="1">IFERROR(INDEX(凭证录入!H:H,$AR604),$AR604)</f>
        <v/>
      </c>
      <c r="F604" s="473">
        <f ca="1">IF(OR($BG$2=0,$AR604=""),,IF($AR604="本月合计",IF(ROW()=$BG$3,SUM($F$6:$F603),SUM(INDIRECT("$F$"&amp;OFFSET($AU$3,,MATCH(ROW(),$AU$3:$BF$3,)-2)+2&amp;":$E"&amp;ROW()-1))),IF($AR604="本年累计",SUMIF($AR$6:$AR604,"本月合计",$F$6:$F603),INDEX(凭证录入!K:K,$AR604))))</f>
        <v>0</v>
      </c>
      <c r="G604" s="459" t="str">
        <f t="shared" ca="1" si="133"/>
        <v/>
      </c>
      <c r="H604" s="460" t="str">
        <f t="shared" ca="1" si="133"/>
        <v/>
      </c>
      <c r="I604" s="460" t="str">
        <f t="shared" ca="1" si="133"/>
        <v/>
      </c>
      <c r="J604" s="460" t="str">
        <f t="shared" ca="1" si="133"/>
        <v/>
      </c>
      <c r="K604" s="460" t="str">
        <f t="shared" ca="1" si="133"/>
        <v/>
      </c>
      <c r="L604" s="460" t="str">
        <f t="shared" ca="1" si="133"/>
        <v/>
      </c>
      <c r="M604" s="460" t="str">
        <f t="shared" ca="1" si="133"/>
        <v/>
      </c>
      <c r="N604" s="460" t="str">
        <f t="shared" ca="1" si="133"/>
        <v/>
      </c>
      <c r="O604" s="461" t="str">
        <f t="shared" ca="1" si="133"/>
        <v/>
      </c>
      <c r="P604" s="474" t="str">
        <f t="shared" ca="1" si="133"/>
        <v/>
      </c>
      <c r="Q604" s="475" t="str">
        <f t="shared" ca="1" si="133"/>
        <v/>
      </c>
      <c r="R604" s="476">
        <f ca="1">IF(OR($BG$2=0,$AR604=""),,IF($AR604="本月合计",IF(ROW()=$BG$3,SUM($R$6:$R603),SUM(INDIRECT("$R$"&amp;OFFSET($AU$3,,MATCH(ROW(),$AU$3:$BF$3,)-2)+2&amp;":$R"&amp;ROW()-1))),IF($AR604="本年累计",SUMIF($AR$6:$AR604,"本月合计",$R$6:$R603),INDEX(凭证录入!L:L,$AR604))))</f>
        <v>0</v>
      </c>
      <c r="S604" s="459" t="str">
        <f t="shared" ca="1" si="134"/>
        <v/>
      </c>
      <c r="T604" s="460" t="str">
        <f t="shared" ca="1" si="134"/>
        <v/>
      </c>
      <c r="U604" s="460" t="str">
        <f t="shared" ca="1" si="134"/>
        <v/>
      </c>
      <c r="V604" s="460" t="str">
        <f t="shared" ca="1" si="134"/>
        <v/>
      </c>
      <c r="W604" s="460" t="str">
        <f t="shared" ca="1" si="134"/>
        <v/>
      </c>
      <c r="X604" s="460" t="str">
        <f t="shared" ca="1" si="134"/>
        <v/>
      </c>
      <c r="Y604" s="460" t="str">
        <f t="shared" ca="1" si="134"/>
        <v/>
      </c>
      <c r="Z604" s="460" t="str">
        <f t="shared" ca="1" si="134"/>
        <v/>
      </c>
      <c r="AA604" s="461" t="str">
        <f t="shared" ca="1" si="134"/>
        <v/>
      </c>
      <c r="AB604" s="474" t="str">
        <f t="shared" ca="1" si="134"/>
        <v/>
      </c>
      <c r="AC604" s="475" t="str">
        <f t="shared" ca="1" si="134"/>
        <v/>
      </c>
      <c r="AD604" s="477" t="str">
        <f t="shared" ca="1" si="130"/>
        <v/>
      </c>
      <c r="AE604" s="478">
        <f t="shared" ca="1" si="131"/>
        <v>0</v>
      </c>
      <c r="AF604" s="459" t="str">
        <f t="shared" ca="1" si="132"/>
        <v/>
      </c>
      <c r="AG604" s="460" t="str">
        <f t="shared" ca="1" si="132"/>
        <v/>
      </c>
      <c r="AH604" s="460" t="str">
        <f t="shared" ca="1" si="132"/>
        <v/>
      </c>
      <c r="AI604" s="460" t="str">
        <f t="shared" ca="1" si="132"/>
        <v/>
      </c>
      <c r="AJ604" s="460" t="str">
        <f t="shared" ca="1" si="132"/>
        <v/>
      </c>
      <c r="AK604" s="460" t="str">
        <f t="shared" ca="1" si="132"/>
        <v/>
      </c>
      <c r="AL604" s="460" t="str">
        <f t="shared" ca="1" si="132"/>
        <v/>
      </c>
      <c r="AM604" s="460" t="str">
        <f t="shared" ca="1" si="132"/>
        <v/>
      </c>
      <c r="AN604" s="461" t="str">
        <f t="shared" ca="1" si="132"/>
        <v/>
      </c>
      <c r="AO604" s="474" t="str">
        <f t="shared" ca="1" si="132"/>
        <v/>
      </c>
      <c r="AP604" s="475" t="str">
        <f t="shared" ca="1" si="132"/>
        <v/>
      </c>
      <c r="AQ604" s="479" t="str">
        <f t="array" aca="1" ref="AQ604" ca="1">IF(ROW()-5&lt;=COUNTIF(科目编号,$AR$2),SMALL(IF(科目编号=$AR$2,ROW(科目编号),""),ROW()-5),"")</f>
        <v/>
      </c>
      <c r="AR604" s="480" t="str">
        <f ca="1">IF($BG$2=0,"",IF(AR603="本月合计","本年累计",IF(OR(ROW()=$AU$3,ROW()=$AV$3,ROW()=$AW$3,ROW()=$AX$3,ROW()=$AY$3,ROW()=$AZ$3,ROW()=$BA$3,ROW()=$BB$3,ROW()=$BC$3,ROW()=$BD$3,ROW()=$BE$3,ROW()=$BF$3),"本月合计",IF(ROW()&lt;7,$AQ$6,OFFSET($AQ$6,COUNT($AR$6:AR603),0)))))</f>
        <v/>
      </c>
    </row>
    <row r="605" spans="1:44">
      <c r="A605" s="469" t="str">
        <f ca="1">IFERROR(INDEX(凭证录入!A:A,$AR605),"")</f>
        <v/>
      </c>
      <c r="B605" s="469" t="str">
        <f ca="1">IFERROR(INDEX(凭证录入!B:B,$AR605),"")</f>
        <v/>
      </c>
      <c r="C605" s="470" t="str">
        <f ca="1">IFERROR(INDEX(凭证录入!G:G,$AR605),"")</f>
        <v/>
      </c>
      <c r="D605" s="471" t="str">
        <f ca="1">IFERROR(INDEX(凭证录入!F:F,$AR605),"")</f>
        <v/>
      </c>
      <c r="E605" s="472" t="str">
        <f ca="1">IFERROR(INDEX(凭证录入!H:H,$AR605),$AR605)</f>
        <v/>
      </c>
      <c r="F605" s="473">
        <f ca="1">IF(OR($BG$2=0,$AR605=""),,IF($AR605="本月合计",IF(ROW()=$BG$3,SUM($F$6:$F604),SUM(INDIRECT("$F$"&amp;OFFSET($AU$3,,MATCH(ROW(),$AU$3:$BF$3,)-2)+2&amp;":$E"&amp;ROW()-1))),IF($AR605="本年累计",SUMIF($AR$6:$AR605,"本月合计",$F$6:$F604),INDEX(凭证录入!K:K,$AR605))))</f>
        <v>0</v>
      </c>
      <c r="G605" s="459" t="str">
        <f t="shared" ca="1" si="133"/>
        <v/>
      </c>
      <c r="H605" s="460" t="str">
        <f t="shared" ca="1" si="133"/>
        <v/>
      </c>
      <c r="I605" s="460" t="str">
        <f t="shared" ca="1" si="133"/>
        <v/>
      </c>
      <c r="J605" s="460" t="str">
        <f t="shared" ca="1" si="133"/>
        <v/>
      </c>
      <c r="K605" s="460" t="str">
        <f t="shared" ca="1" si="133"/>
        <v/>
      </c>
      <c r="L605" s="460" t="str">
        <f t="shared" ca="1" si="133"/>
        <v/>
      </c>
      <c r="M605" s="460" t="str">
        <f t="shared" ca="1" si="133"/>
        <v/>
      </c>
      <c r="N605" s="460" t="str">
        <f t="shared" ca="1" si="133"/>
        <v/>
      </c>
      <c r="O605" s="461" t="str">
        <f t="shared" ca="1" si="133"/>
        <v/>
      </c>
      <c r="P605" s="474" t="str">
        <f t="shared" ca="1" si="133"/>
        <v/>
      </c>
      <c r="Q605" s="475" t="str">
        <f t="shared" ca="1" si="133"/>
        <v/>
      </c>
      <c r="R605" s="476">
        <f ca="1">IF(OR($BG$2=0,$AR605=""),,IF($AR605="本月合计",IF(ROW()=$BG$3,SUM($R$6:$R604),SUM(INDIRECT("$R$"&amp;OFFSET($AU$3,,MATCH(ROW(),$AU$3:$BF$3,)-2)+2&amp;":$R"&amp;ROW()-1))),IF($AR605="本年累计",SUMIF($AR$6:$AR605,"本月合计",$R$6:$R604),INDEX(凭证录入!L:L,$AR605))))</f>
        <v>0</v>
      </c>
      <c r="S605" s="459" t="str">
        <f t="shared" ca="1" si="134"/>
        <v/>
      </c>
      <c r="T605" s="460" t="str">
        <f t="shared" ca="1" si="134"/>
        <v/>
      </c>
      <c r="U605" s="460" t="str">
        <f t="shared" ca="1" si="134"/>
        <v/>
      </c>
      <c r="V605" s="460" t="str">
        <f t="shared" ca="1" si="134"/>
        <v/>
      </c>
      <c r="W605" s="460" t="str">
        <f t="shared" ca="1" si="134"/>
        <v/>
      </c>
      <c r="X605" s="460" t="str">
        <f t="shared" ca="1" si="134"/>
        <v/>
      </c>
      <c r="Y605" s="460" t="str">
        <f t="shared" ca="1" si="134"/>
        <v/>
      </c>
      <c r="Z605" s="460" t="str">
        <f t="shared" ca="1" si="134"/>
        <v/>
      </c>
      <c r="AA605" s="461" t="str">
        <f t="shared" ca="1" si="134"/>
        <v/>
      </c>
      <c r="AB605" s="474" t="str">
        <f t="shared" ca="1" si="134"/>
        <v/>
      </c>
      <c r="AC605" s="475" t="str">
        <f t="shared" ca="1" si="134"/>
        <v/>
      </c>
      <c r="AD605" s="477" t="str">
        <f t="shared" ca="1" si="130"/>
        <v/>
      </c>
      <c r="AE605" s="478">
        <f t="shared" ca="1" si="131"/>
        <v>0</v>
      </c>
      <c r="AF605" s="459" t="str">
        <f t="shared" ca="1" si="132"/>
        <v/>
      </c>
      <c r="AG605" s="460" t="str">
        <f t="shared" ca="1" si="132"/>
        <v/>
      </c>
      <c r="AH605" s="460" t="str">
        <f t="shared" ca="1" si="132"/>
        <v/>
      </c>
      <c r="AI605" s="460" t="str">
        <f t="shared" ca="1" si="132"/>
        <v/>
      </c>
      <c r="AJ605" s="460" t="str">
        <f t="shared" ca="1" si="132"/>
        <v/>
      </c>
      <c r="AK605" s="460" t="str">
        <f t="shared" ca="1" si="132"/>
        <v/>
      </c>
      <c r="AL605" s="460" t="str">
        <f t="shared" ca="1" si="132"/>
        <v/>
      </c>
      <c r="AM605" s="460" t="str">
        <f t="shared" ca="1" si="132"/>
        <v/>
      </c>
      <c r="AN605" s="461" t="str">
        <f t="shared" ca="1" si="132"/>
        <v/>
      </c>
      <c r="AO605" s="474" t="str">
        <f t="shared" ca="1" si="132"/>
        <v/>
      </c>
      <c r="AP605" s="475" t="str">
        <f t="shared" ca="1" si="132"/>
        <v/>
      </c>
      <c r="AQ605" s="479" t="str">
        <f t="array" aca="1" ref="AQ605" ca="1">IF(ROW()-5&lt;=COUNTIF(科目编号,$AR$2),SMALL(IF(科目编号=$AR$2,ROW(科目编号),""),ROW()-5),"")</f>
        <v/>
      </c>
      <c r="AR605" s="480" t="str">
        <f ca="1">IF($BG$2=0,"",IF(AR604="本月合计","本年累计",IF(OR(ROW()=$AU$3,ROW()=$AV$3,ROW()=$AW$3,ROW()=$AX$3,ROW()=$AY$3,ROW()=$AZ$3,ROW()=$BA$3,ROW()=$BB$3,ROW()=$BC$3,ROW()=$BD$3,ROW()=$BE$3,ROW()=$BF$3),"本月合计",IF(ROW()&lt;7,$AQ$6,OFFSET($AQ$6,COUNT($AR$6:AR604),0)))))</f>
        <v/>
      </c>
    </row>
    <row r="606" spans="1:44">
      <c r="A606" s="469" t="str">
        <f ca="1">IFERROR(INDEX(凭证录入!A:A,$AR606),"")</f>
        <v/>
      </c>
      <c r="B606" s="469" t="str">
        <f ca="1">IFERROR(INDEX(凭证录入!B:B,$AR606),"")</f>
        <v/>
      </c>
      <c r="C606" s="470" t="str">
        <f ca="1">IFERROR(INDEX(凭证录入!G:G,$AR606),"")</f>
        <v/>
      </c>
      <c r="D606" s="471" t="str">
        <f ca="1">IFERROR(INDEX(凭证录入!F:F,$AR606),"")</f>
        <v/>
      </c>
      <c r="E606" s="472" t="str">
        <f ca="1">IFERROR(INDEX(凭证录入!H:H,$AR606),$AR606)</f>
        <v/>
      </c>
      <c r="F606" s="473">
        <f ca="1">IF(OR($BG$2=0,$AR606=""),,IF($AR606="本月合计",IF(ROW()=$BG$3,SUM($F$6:$F605),SUM(INDIRECT("$F$"&amp;OFFSET($AU$3,,MATCH(ROW(),$AU$3:$BF$3,)-2)+2&amp;":$E"&amp;ROW()-1))),IF($AR606="本年累计",SUMIF($AR$6:$AR606,"本月合计",$F$6:$F605),INDEX(凭证录入!K:K,$AR606))))</f>
        <v>0</v>
      </c>
      <c r="G606" s="459" t="str">
        <f t="shared" ca="1" si="133"/>
        <v/>
      </c>
      <c r="H606" s="460" t="str">
        <f t="shared" ca="1" si="133"/>
        <v/>
      </c>
      <c r="I606" s="460" t="str">
        <f t="shared" ca="1" si="133"/>
        <v/>
      </c>
      <c r="J606" s="460" t="str">
        <f t="shared" ca="1" si="133"/>
        <v/>
      </c>
      <c r="K606" s="460" t="str">
        <f t="shared" ca="1" si="133"/>
        <v/>
      </c>
      <c r="L606" s="460" t="str">
        <f t="shared" ca="1" si="133"/>
        <v/>
      </c>
      <c r="M606" s="460" t="str">
        <f t="shared" ca="1" si="133"/>
        <v/>
      </c>
      <c r="N606" s="460" t="str">
        <f t="shared" ca="1" si="133"/>
        <v/>
      </c>
      <c r="O606" s="461" t="str">
        <f t="shared" ca="1" si="133"/>
        <v/>
      </c>
      <c r="P606" s="474" t="str">
        <f t="shared" ca="1" si="133"/>
        <v/>
      </c>
      <c r="Q606" s="475" t="str">
        <f t="shared" ca="1" si="133"/>
        <v/>
      </c>
      <c r="R606" s="476">
        <f ca="1">IF(OR($BG$2=0,$AR606=""),,IF($AR606="本月合计",IF(ROW()=$BG$3,SUM($R$6:$R605),SUM(INDIRECT("$R$"&amp;OFFSET($AU$3,,MATCH(ROW(),$AU$3:$BF$3,)-2)+2&amp;":$R"&amp;ROW()-1))),IF($AR606="本年累计",SUMIF($AR$6:$AR606,"本月合计",$R$6:$R605),INDEX(凭证录入!L:L,$AR606))))</f>
        <v>0</v>
      </c>
      <c r="S606" s="459" t="str">
        <f t="shared" ca="1" si="134"/>
        <v/>
      </c>
      <c r="T606" s="460" t="str">
        <f t="shared" ca="1" si="134"/>
        <v/>
      </c>
      <c r="U606" s="460" t="str">
        <f t="shared" ca="1" si="134"/>
        <v/>
      </c>
      <c r="V606" s="460" t="str">
        <f t="shared" ca="1" si="134"/>
        <v/>
      </c>
      <c r="W606" s="460" t="str">
        <f t="shared" ca="1" si="134"/>
        <v/>
      </c>
      <c r="X606" s="460" t="str">
        <f t="shared" ca="1" si="134"/>
        <v/>
      </c>
      <c r="Y606" s="460" t="str">
        <f t="shared" ca="1" si="134"/>
        <v/>
      </c>
      <c r="Z606" s="460" t="str">
        <f t="shared" ca="1" si="134"/>
        <v/>
      </c>
      <c r="AA606" s="461" t="str">
        <f t="shared" ca="1" si="134"/>
        <v/>
      </c>
      <c r="AB606" s="474" t="str">
        <f t="shared" ca="1" si="134"/>
        <v/>
      </c>
      <c r="AC606" s="475" t="str">
        <f t="shared" ca="1" si="134"/>
        <v/>
      </c>
      <c r="AD606" s="477" t="str">
        <f t="shared" ca="1" si="130"/>
        <v/>
      </c>
      <c r="AE606" s="478">
        <f t="shared" ca="1" si="131"/>
        <v>0</v>
      </c>
      <c r="AF606" s="459" t="str">
        <f t="shared" ca="1" si="132"/>
        <v/>
      </c>
      <c r="AG606" s="460" t="str">
        <f t="shared" ca="1" si="132"/>
        <v/>
      </c>
      <c r="AH606" s="460" t="str">
        <f t="shared" ca="1" si="132"/>
        <v/>
      </c>
      <c r="AI606" s="460" t="str">
        <f t="shared" ca="1" si="132"/>
        <v/>
      </c>
      <c r="AJ606" s="460" t="str">
        <f t="shared" ca="1" si="132"/>
        <v/>
      </c>
      <c r="AK606" s="460" t="str">
        <f t="shared" ca="1" si="132"/>
        <v/>
      </c>
      <c r="AL606" s="460" t="str">
        <f t="shared" ca="1" si="132"/>
        <v/>
      </c>
      <c r="AM606" s="460" t="str">
        <f t="shared" ca="1" si="132"/>
        <v/>
      </c>
      <c r="AN606" s="461" t="str">
        <f t="shared" ca="1" si="132"/>
        <v/>
      </c>
      <c r="AO606" s="474" t="str">
        <f t="shared" ca="1" si="132"/>
        <v/>
      </c>
      <c r="AP606" s="475" t="str">
        <f t="shared" ca="1" si="132"/>
        <v/>
      </c>
      <c r="AQ606" s="479" t="str">
        <f t="array" aca="1" ref="AQ606" ca="1">IF(ROW()-5&lt;=COUNTIF(科目编号,$AR$2),SMALL(IF(科目编号=$AR$2,ROW(科目编号),""),ROW()-5),"")</f>
        <v/>
      </c>
      <c r="AR606" s="480" t="str">
        <f ca="1">IF($BG$2=0,"",IF(AR605="本月合计","本年累计",IF(OR(ROW()=$AU$3,ROW()=$AV$3,ROW()=$AW$3,ROW()=$AX$3,ROW()=$AY$3,ROW()=$AZ$3,ROW()=$BA$3,ROW()=$BB$3,ROW()=$BC$3,ROW()=$BD$3,ROW()=$BE$3,ROW()=$BF$3),"本月合计",IF(ROW()&lt;7,$AQ$6,OFFSET($AQ$6,COUNT($AR$6:AR605),0)))))</f>
        <v/>
      </c>
    </row>
    <row r="607" spans="1:44">
      <c r="A607" s="469" t="str">
        <f ca="1">IFERROR(INDEX(凭证录入!A:A,$AR607),"")</f>
        <v/>
      </c>
      <c r="B607" s="469" t="str">
        <f ca="1">IFERROR(INDEX(凭证录入!B:B,$AR607),"")</f>
        <v/>
      </c>
      <c r="C607" s="470" t="str">
        <f ca="1">IFERROR(INDEX(凭证录入!G:G,$AR607),"")</f>
        <v/>
      </c>
      <c r="D607" s="471" t="str">
        <f ca="1">IFERROR(INDEX(凭证录入!F:F,$AR607),"")</f>
        <v/>
      </c>
      <c r="E607" s="472" t="str">
        <f ca="1">IFERROR(INDEX(凭证录入!H:H,$AR607),$AR607)</f>
        <v/>
      </c>
      <c r="F607" s="473">
        <f ca="1">IF(OR($BG$2=0,$AR607=""),,IF($AR607="本月合计",IF(ROW()=$BG$3,SUM($F$6:$F606),SUM(INDIRECT("$F$"&amp;OFFSET($AU$3,,MATCH(ROW(),$AU$3:$BF$3,)-2)+2&amp;":$E"&amp;ROW()-1))),IF($AR607="本年累计",SUMIF($AR$6:$AR607,"本月合计",$F$6:$F606),INDEX(凭证录入!K:K,$AR607))))</f>
        <v>0</v>
      </c>
      <c r="G607" s="459" t="str">
        <f t="shared" ca="1" si="133"/>
        <v/>
      </c>
      <c r="H607" s="460" t="str">
        <f t="shared" ca="1" si="133"/>
        <v/>
      </c>
      <c r="I607" s="460" t="str">
        <f t="shared" ca="1" si="133"/>
        <v/>
      </c>
      <c r="J607" s="460" t="str">
        <f t="shared" ca="1" si="133"/>
        <v/>
      </c>
      <c r="K607" s="460" t="str">
        <f t="shared" ca="1" si="133"/>
        <v/>
      </c>
      <c r="L607" s="460" t="str">
        <f t="shared" ca="1" si="133"/>
        <v/>
      </c>
      <c r="M607" s="460" t="str">
        <f t="shared" ca="1" si="133"/>
        <v/>
      </c>
      <c r="N607" s="460" t="str">
        <f t="shared" ca="1" si="133"/>
        <v/>
      </c>
      <c r="O607" s="461" t="str">
        <f t="shared" ca="1" si="133"/>
        <v/>
      </c>
      <c r="P607" s="474" t="str">
        <f t="shared" ca="1" si="133"/>
        <v/>
      </c>
      <c r="Q607" s="475" t="str">
        <f t="shared" ca="1" si="133"/>
        <v/>
      </c>
      <c r="R607" s="476">
        <f ca="1">IF(OR($BG$2=0,$AR607=""),,IF($AR607="本月合计",IF(ROW()=$BG$3,SUM($R$6:$R606),SUM(INDIRECT("$R$"&amp;OFFSET($AU$3,,MATCH(ROW(),$AU$3:$BF$3,)-2)+2&amp;":$R"&amp;ROW()-1))),IF($AR607="本年累计",SUMIF($AR$6:$AR607,"本月合计",$R$6:$R606),INDEX(凭证录入!L:L,$AR607))))</f>
        <v>0</v>
      </c>
      <c r="S607" s="459" t="str">
        <f t="shared" ca="1" si="134"/>
        <v/>
      </c>
      <c r="T607" s="460" t="str">
        <f t="shared" ca="1" si="134"/>
        <v/>
      </c>
      <c r="U607" s="460" t="str">
        <f t="shared" ca="1" si="134"/>
        <v/>
      </c>
      <c r="V607" s="460" t="str">
        <f t="shared" ca="1" si="134"/>
        <v/>
      </c>
      <c r="W607" s="460" t="str">
        <f t="shared" ca="1" si="134"/>
        <v/>
      </c>
      <c r="X607" s="460" t="str">
        <f t="shared" ca="1" si="134"/>
        <v/>
      </c>
      <c r="Y607" s="460" t="str">
        <f t="shared" ca="1" si="134"/>
        <v/>
      </c>
      <c r="Z607" s="460" t="str">
        <f t="shared" ca="1" si="134"/>
        <v/>
      </c>
      <c r="AA607" s="461" t="str">
        <f t="shared" ca="1" si="134"/>
        <v/>
      </c>
      <c r="AB607" s="474" t="str">
        <f t="shared" ca="1" si="134"/>
        <v/>
      </c>
      <c r="AC607" s="475" t="str">
        <f t="shared" ca="1" si="134"/>
        <v/>
      </c>
      <c r="AD607" s="477" t="str">
        <f t="shared" ca="1" si="130"/>
        <v/>
      </c>
      <c r="AE607" s="478">
        <f t="shared" ca="1" si="131"/>
        <v>0</v>
      </c>
      <c r="AF607" s="459" t="str">
        <f t="shared" ca="1" si="132"/>
        <v/>
      </c>
      <c r="AG607" s="460" t="str">
        <f t="shared" ca="1" si="132"/>
        <v/>
      </c>
      <c r="AH607" s="460" t="str">
        <f t="shared" ca="1" si="132"/>
        <v/>
      </c>
      <c r="AI607" s="460" t="str">
        <f t="shared" ca="1" si="132"/>
        <v/>
      </c>
      <c r="AJ607" s="460" t="str">
        <f t="shared" ca="1" si="132"/>
        <v/>
      </c>
      <c r="AK607" s="460" t="str">
        <f t="shared" ca="1" si="132"/>
        <v/>
      </c>
      <c r="AL607" s="460" t="str">
        <f t="shared" ca="1" si="132"/>
        <v/>
      </c>
      <c r="AM607" s="460" t="str">
        <f t="shared" ca="1" si="132"/>
        <v/>
      </c>
      <c r="AN607" s="461" t="str">
        <f t="shared" ca="1" si="132"/>
        <v/>
      </c>
      <c r="AO607" s="474" t="str">
        <f t="shared" ca="1" si="132"/>
        <v/>
      </c>
      <c r="AP607" s="475" t="str">
        <f t="shared" ca="1" si="132"/>
        <v/>
      </c>
      <c r="AQ607" s="479" t="str">
        <f t="array" aca="1" ref="AQ607" ca="1">IF(ROW()-5&lt;=COUNTIF(科目编号,$AR$2),SMALL(IF(科目编号=$AR$2,ROW(科目编号),""),ROW()-5),"")</f>
        <v/>
      </c>
      <c r="AR607" s="480" t="str">
        <f ca="1">IF($BG$2=0,"",IF(AR606="本月合计","本年累计",IF(OR(ROW()=$AU$3,ROW()=$AV$3,ROW()=$AW$3,ROW()=$AX$3,ROW()=$AY$3,ROW()=$AZ$3,ROW()=$BA$3,ROW()=$BB$3,ROW()=$BC$3,ROW()=$BD$3,ROW()=$BE$3,ROW()=$BF$3),"本月合计",IF(ROW()&lt;7,$AQ$6,OFFSET($AQ$6,COUNT($AR$6:AR606),0)))))</f>
        <v/>
      </c>
    </row>
    <row r="608" spans="1:44">
      <c r="A608" s="469" t="str">
        <f ca="1">IFERROR(INDEX(凭证录入!A:A,$AR608),"")</f>
        <v/>
      </c>
      <c r="B608" s="469" t="str">
        <f ca="1">IFERROR(INDEX(凭证录入!B:B,$AR608),"")</f>
        <v/>
      </c>
      <c r="C608" s="470" t="str">
        <f ca="1">IFERROR(INDEX(凭证录入!G:G,$AR608),"")</f>
        <v/>
      </c>
      <c r="D608" s="471" t="str">
        <f ca="1">IFERROR(INDEX(凭证录入!F:F,$AR608),"")</f>
        <v/>
      </c>
      <c r="E608" s="472" t="str">
        <f ca="1">IFERROR(INDEX(凭证录入!H:H,$AR608),$AR608)</f>
        <v/>
      </c>
      <c r="F608" s="473">
        <f ca="1">IF(OR($BG$2=0,$AR608=""),,IF($AR608="本月合计",IF(ROW()=$BG$3,SUM($F$6:$F607),SUM(INDIRECT("$F$"&amp;OFFSET($AU$3,,MATCH(ROW(),$AU$3:$BF$3,)-2)+2&amp;":$E"&amp;ROW()-1))),IF($AR608="本年累计",SUMIF($AR$6:$AR608,"本月合计",$F$6:$F607),INDEX(凭证录入!K:K,$AR608))))</f>
        <v>0</v>
      </c>
      <c r="G608" s="459" t="str">
        <f t="shared" ca="1" si="133"/>
        <v/>
      </c>
      <c r="H608" s="460" t="str">
        <f t="shared" ca="1" si="133"/>
        <v/>
      </c>
      <c r="I608" s="460" t="str">
        <f t="shared" ca="1" si="133"/>
        <v/>
      </c>
      <c r="J608" s="460" t="str">
        <f t="shared" ca="1" si="133"/>
        <v/>
      </c>
      <c r="K608" s="460" t="str">
        <f t="shared" ca="1" si="133"/>
        <v/>
      </c>
      <c r="L608" s="460" t="str">
        <f t="shared" ca="1" si="133"/>
        <v/>
      </c>
      <c r="M608" s="460" t="str">
        <f t="shared" ca="1" si="133"/>
        <v/>
      </c>
      <c r="N608" s="460" t="str">
        <f t="shared" ca="1" si="133"/>
        <v/>
      </c>
      <c r="O608" s="461" t="str">
        <f t="shared" ca="1" si="133"/>
        <v/>
      </c>
      <c r="P608" s="474" t="str">
        <f t="shared" ca="1" si="133"/>
        <v/>
      </c>
      <c r="Q608" s="475" t="str">
        <f t="shared" ca="1" si="133"/>
        <v/>
      </c>
      <c r="R608" s="476">
        <f ca="1">IF(OR($BG$2=0,$AR608=""),,IF($AR608="本月合计",IF(ROW()=$BG$3,SUM($R$6:$R607),SUM(INDIRECT("$R$"&amp;OFFSET($AU$3,,MATCH(ROW(),$AU$3:$BF$3,)-2)+2&amp;":$R"&amp;ROW()-1))),IF($AR608="本年累计",SUMIF($AR$6:$AR608,"本月合计",$R$6:$R607),INDEX(凭证录入!L:L,$AR608))))</f>
        <v>0</v>
      </c>
      <c r="S608" s="459" t="str">
        <f t="shared" ca="1" si="134"/>
        <v/>
      </c>
      <c r="T608" s="460" t="str">
        <f t="shared" ca="1" si="134"/>
        <v/>
      </c>
      <c r="U608" s="460" t="str">
        <f t="shared" ca="1" si="134"/>
        <v/>
      </c>
      <c r="V608" s="460" t="str">
        <f t="shared" ca="1" si="134"/>
        <v/>
      </c>
      <c r="W608" s="460" t="str">
        <f t="shared" ca="1" si="134"/>
        <v/>
      </c>
      <c r="X608" s="460" t="str">
        <f t="shared" ca="1" si="134"/>
        <v/>
      </c>
      <c r="Y608" s="460" t="str">
        <f t="shared" ca="1" si="134"/>
        <v/>
      </c>
      <c r="Z608" s="460" t="str">
        <f t="shared" ca="1" si="134"/>
        <v/>
      </c>
      <c r="AA608" s="461" t="str">
        <f t="shared" ca="1" si="134"/>
        <v/>
      </c>
      <c r="AB608" s="474" t="str">
        <f t="shared" ca="1" si="134"/>
        <v/>
      </c>
      <c r="AC608" s="475" t="str">
        <f t="shared" ca="1" si="134"/>
        <v/>
      </c>
      <c r="AD608" s="477" t="str">
        <f t="shared" ca="1" si="130"/>
        <v/>
      </c>
      <c r="AE608" s="478">
        <f t="shared" ca="1" si="131"/>
        <v>0</v>
      </c>
      <c r="AF608" s="459" t="str">
        <f t="shared" ca="1" si="132"/>
        <v/>
      </c>
      <c r="AG608" s="460" t="str">
        <f t="shared" ca="1" si="132"/>
        <v/>
      </c>
      <c r="AH608" s="460" t="str">
        <f t="shared" ca="1" si="132"/>
        <v/>
      </c>
      <c r="AI608" s="460" t="str">
        <f t="shared" ca="1" si="132"/>
        <v/>
      </c>
      <c r="AJ608" s="460" t="str">
        <f t="shared" ca="1" si="132"/>
        <v/>
      </c>
      <c r="AK608" s="460" t="str">
        <f t="shared" ca="1" si="132"/>
        <v/>
      </c>
      <c r="AL608" s="460" t="str">
        <f t="shared" ca="1" si="132"/>
        <v/>
      </c>
      <c r="AM608" s="460" t="str">
        <f t="shared" ca="1" si="132"/>
        <v/>
      </c>
      <c r="AN608" s="461" t="str">
        <f t="shared" ca="1" si="132"/>
        <v/>
      </c>
      <c r="AO608" s="474" t="str">
        <f t="shared" ca="1" si="132"/>
        <v/>
      </c>
      <c r="AP608" s="475" t="str">
        <f t="shared" ca="1" si="132"/>
        <v/>
      </c>
      <c r="AQ608" s="479" t="str">
        <f t="array" aca="1" ref="AQ608" ca="1">IF(ROW()-5&lt;=COUNTIF(科目编号,$AR$2),SMALL(IF(科目编号=$AR$2,ROW(科目编号),""),ROW()-5),"")</f>
        <v/>
      </c>
      <c r="AR608" s="480" t="str">
        <f ca="1">IF($BG$2=0,"",IF(AR607="本月合计","本年累计",IF(OR(ROW()=$AU$3,ROW()=$AV$3,ROW()=$AW$3,ROW()=$AX$3,ROW()=$AY$3,ROW()=$AZ$3,ROW()=$BA$3,ROW()=$BB$3,ROW()=$BC$3,ROW()=$BD$3,ROW()=$BE$3,ROW()=$BF$3),"本月合计",IF(ROW()&lt;7,$AQ$6,OFFSET($AQ$6,COUNT($AR$6:AR607),0)))))</f>
        <v/>
      </c>
    </row>
    <row r="609" spans="1:44">
      <c r="A609" s="469" t="str">
        <f ca="1">IFERROR(INDEX(凭证录入!A:A,$AR609),"")</f>
        <v/>
      </c>
      <c r="B609" s="469" t="str">
        <f ca="1">IFERROR(INDEX(凭证录入!B:B,$AR609),"")</f>
        <v/>
      </c>
      <c r="C609" s="470" t="str">
        <f ca="1">IFERROR(INDEX(凭证录入!G:G,$AR609),"")</f>
        <v/>
      </c>
      <c r="D609" s="471" t="str">
        <f ca="1">IFERROR(INDEX(凭证录入!F:F,$AR609),"")</f>
        <v/>
      </c>
      <c r="E609" s="472" t="str">
        <f ca="1">IFERROR(INDEX(凭证录入!H:H,$AR609),$AR609)</f>
        <v/>
      </c>
      <c r="F609" s="473">
        <f ca="1">IF(OR($BG$2=0,$AR609=""),,IF($AR609="本月合计",IF(ROW()=$BG$3,SUM($F$6:$F608),SUM(INDIRECT("$F$"&amp;OFFSET($AU$3,,MATCH(ROW(),$AU$3:$BF$3,)-2)+2&amp;":$E"&amp;ROW()-1))),IF($AR609="本年累计",SUMIF($AR$6:$AR609,"本月合计",$F$6:$F608),INDEX(凭证录入!K:K,$AR609))))</f>
        <v>0</v>
      </c>
      <c r="G609" s="459" t="str">
        <f t="shared" ca="1" si="133"/>
        <v/>
      </c>
      <c r="H609" s="460" t="str">
        <f t="shared" ca="1" si="133"/>
        <v/>
      </c>
      <c r="I609" s="460" t="str">
        <f t="shared" ca="1" si="133"/>
        <v/>
      </c>
      <c r="J609" s="460" t="str">
        <f t="shared" ca="1" si="133"/>
        <v/>
      </c>
      <c r="K609" s="460" t="str">
        <f t="shared" ca="1" si="133"/>
        <v/>
      </c>
      <c r="L609" s="460" t="str">
        <f t="shared" ca="1" si="133"/>
        <v/>
      </c>
      <c r="M609" s="460" t="str">
        <f t="shared" ca="1" si="133"/>
        <v/>
      </c>
      <c r="N609" s="460" t="str">
        <f t="shared" ca="1" si="133"/>
        <v/>
      </c>
      <c r="O609" s="461" t="str">
        <f t="shared" ca="1" si="133"/>
        <v/>
      </c>
      <c r="P609" s="474" t="str">
        <f t="shared" ca="1" si="133"/>
        <v/>
      </c>
      <c r="Q609" s="475" t="str">
        <f t="shared" ca="1" si="133"/>
        <v/>
      </c>
      <c r="R609" s="476">
        <f ca="1">IF(OR($BG$2=0,$AR609=""),,IF($AR609="本月合计",IF(ROW()=$BG$3,SUM($R$6:$R608),SUM(INDIRECT("$R$"&amp;OFFSET($AU$3,,MATCH(ROW(),$AU$3:$BF$3,)-2)+2&amp;":$R"&amp;ROW()-1))),IF($AR609="本年累计",SUMIF($AR$6:$AR609,"本月合计",$R$6:$R608),INDEX(凭证录入!L:L,$AR609))))</f>
        <v>0</v>
      </c>
      <c r="S609" s="459" t="str">
        <f t="shared" ca="1" si="134"/>
        <v/>
      </c>
      <c r="T609" s="460" t="str">
        <f t="shared" ca="1" si="134"/>
        <v/>
      </c>
      <c r="U609" s="460" t="str">
        <f t="shared" ca="1" si="134"/>
        <v/>
      </c>
      <c r="V609" s="460" t="str">
        <f t="shared" ca="1" si="134"/>
        <v/>
      </c>
      <c r="W609" s="460" t="str">
        <f t="shared" ca="1" si="134"/>
        <v/>
      </c>
      <c r="X609" s="460" t="str">
        <f t="shared" ca="1" si="134"/>
        <v/>
      </c>
      <c r="Y609" s="460" t="str">
        <f t="shared" ca="1" si="134"/>
        <v/>
      </c>
      <c r="Z609" s="460" t="str">
        <f t="shared" ca="1" si="134"/>
        <v/>
      </c>
      <c r="AA609" s="461" t="str">
        <f t="shared" ca="1" si="134"/>
        <v/>
      </c>
      <c r="AB609" s="474" t="str">
        <f t="shared" ca="1" si="134"/>
        <v/>
      </c>
      <c r="AC609" s="475" t="str">
        <f t="shared" ca="1" si="134"/>
        <v/>
      </c>
      <c r="AD609" s="477" t="str">
        <f t="shared" ca="1" si="130"/>
        <v/>
      </c>
      <c r="AE609" s="478">
        <f t="shared" ca="1" si="131"/>
        <v>0</v>
      </c>
      <c r="AF609" s="459" t="str">
        <f t="shared" ca="1" si="132"/>
        <v/>
      </c>
      <c r="AG609" s="460" t="str">
        <f t="shared" ca="1" si="132"/>
        <v/>
      </c>
      <c r="AH609" s="460" t="str">
        <f t="shared" ca="1" si="132"/>
        <v/>
      </c>
      <c r="AI609" s="460" t="str">
        <f t="shared" ca="1" si="132"/>
        <v/>
      </c>
      <c r="AJ609" s="460" t="str">
        <f t="shared" ca="1" si="132"/>
        <v/>
      </c>
      <c r="AK609" s="460" t="str">
        <f t="shared" ca="1" si="132"/>
        <v/>
      </c>
      <c r="AL609" s="460" t="str">
        <f t="shared" ca="1" si="132"/>
        <v/>
      </c>
      <c r="AM609" s="460" t="str">
        <f t="shared" ca="1" si="132"/>
        <v/>
      </c>
      <c r="AN609" s="461" t="str">
        <f t="shared" ca="1" si="132"/>
        <v/>
      </c>
      <c r="AO609" s="474" t="str">
        <f t="shared" ca="1" si="132"/>
        <v/>
      </c>
      <c r="AP609" s="475" t="str">
        <f t="shared" ca="1" si="132"/>
        <v/>
      </c>
      <c r="AQ609" s="479" t="str">
        <f t="array" aca="1" ref="AQ609" ca="1">IF(ROW()-5&lt;=COUNTIF(科目编号,$AR$2),SMALL(IF(科目编号=$AR$2,ROW(科目编号),""),ROW()-5),"")</f>
        <v/>
      </c>
      <c r="AR609" s="480" t="str">
        <f ca="1">IF($BG$2=0,"",IF(AR608="本月合计","本年累计",IF(OR(ROW()=$AU$3,ROW()=$AV$3,ROW()=$AW$3,ROW()=$AX$3,ROW()=$AY$3,ROW()=$AZ$3,ROW()=$BA$3,ROW()=$BB$3,ROW()=$BC$3,ROW()=$BD$3,ROW()=$BE$3,ROW()=$BF$3),"本月合计",IF(ROW()&lt;7,$AQ$6,OFFSET($AQ$6,COUNT($AR$6:AR608),0)))))</f>
        <v/>
      </c>
    </row>
    <row r="610" spans="1:44">
      <c r="A610" s="469" t="str">
        <f ca="1">IFERROR(INDEX(凭证录入!A:A,$AR610),"")</f>
        <v/>
      </c>
      <c r="B610" s="469" t="str">
        <f ca="1">IFERROR(INDEX(凭证录入!B:B,$AR610),"")</f>
        <v/>
      </c>
      <c r="C610" s="470" t="str">
        <f ca="1">IFERROR(INDEX(凭证录入!G:G,$AR610),"")</f>
        <v/>
      </c>
      <c r="D610" s="471" t="str">
        <f ca="1">IFERROR(INDEX(凭证录入!F:F,$AR610),"")</f>
        <v/>
      </c>
      <c r="E610" s="472" t="str">
        <f ca="1">IFERROR(INDEX(凭证录入!H:H,$AR610),$AR610)</f>
        <v/>
      </c>
      <c r="F610" s="473">
        <f ca="1">IF(OR($BG$2=0,$AR610=""),,IF($AR610="本月合计",IF(ROW()=$BG$3,SUM($F$6:$F609),SUM(INDIRECT("$F$"&amp;OFFSET($AU$3,,MATCH(ROW(),$AU$3:$BF$3,)-2)+2&amp;":$E"&amp;ROW()-1))),IF($AR610="本年累计",SUMIF($AR$6:$AR610,"本月合计",$F$6:$F609),INDEX(凭证录入!K:K,$AR610))))</f>
        <v>0</v>
      </c>
      <c r="G610" s="459" t="str">
        <f t="shared" ca="1" si="133"/>
        <v/>
      </c>
      <c r="H610" s="460" t="str">
        <f t="shared" ca="1" si="133"/>
        <v/>
      </c>
      <c r="I610" s="460" t="str">
        <f t="shared" ca="1" si="133"/>
        <v/>
      </c>
      <c r="J610" s="460" t="str">
        <f t="shared" ca="1" si="133"/>
        <v/>
      </c>
      <c r="K610" s="460" t="str">
        <f t="shared" ca="1" si="133"/>
        <v/>
      </c>
      <c r="L610" s="460" t="str">
        <f t="shared" ca="1" si="133"/>
        <v/>
      </c>
      <c r="M610" s="460" t="str">
        <f t="shared" ca="1" si="133"/>
        <v/>
      </c>
      <c r="N610" s="460" t="str">
        <f t="shared" ca="1" si="133"/>
        <v/>
      </c>
      <c r="O610" s="461" t="str">
        <f t="shared" ca="1" si="133"/>
        <v/>
      </c>
      <c r="P610" s="474" t="str">
        <f t="shared" ca="1" si="133"/>
        <v/>
      </c>
      <c r="Q610" s="475" t="str">
        <f t="shared" ca="1" si="133"/>
        <v/>
      </c>
      <c r="R610" s="476">
        <f ca="1">IF(OR($BG$2=0,$AR610=""),,IF($AR610="本月合计",IF(ROW()=$BG$3,SUM($R$6:$R609),SUM(INDIRECT("$R$"&amp;OFFSET($AU$3,,MATCH(ROW(),$AU$3:$BF$3,)-2)+2&amp;":$R"&amp;ROW()-1))),IF($AR610="本年累计",SUMIF($AR$6:$AR610,"本月合计",$R$6:$R609),INDEX(凭证录入!L:L,$AR610))))</f>
        <v>0</v>
      </c>
      <c r="S610" s="459" t="str">
        <f t="shared" ca="1" si="134"/>
        <v/>
      </c>
      <c r="T610" s="460" t="str">
        <f t="shared" ca="1" si="134"/>
        <v/>
      </c>
      <c r="U610" s="460" t="str">
        <f t="shared" ca="1" si="134"/>
        <v/>
      </c>
      <c r="V610" s="460" t="str">
        <f t="shared" ca="1" si="134"/>
        <v/>
      </c>
      <c r="W610" s="460" t="str">
        <f t="shared" ca="1" si="134"/>
        <v/>
      </c>
      <c r="X610" s="460" t="str">
        <f t="shared" ca="1" si="134"/>
        <v/>
      </c>
      <c r="Y610" s="460" t="str">
        <f t="shared" ca="1" si="134"/>
        <v/>
      </c>
      <c r="Z610" s="460" t="str">
        <f t="shared" ca="1" si="134"/>
        <v/>
      </c>
      <c r="AA610" s="461" t="str">
        <f t="shared" ca="1" si="134"/>
        <v/>
      </c>
      <c r="AB610" s="474" t="str">
        <f t="shared" ca="1" si="134"/>
        <v/>
      </c>
      <c r="AC610" s="475" t="str">
        <f t="shared" ca="1" si="134"/>
        <v/>
      </c>
      <c r="AD610" s="477" t="str">
        <f t="shared" ca="1" si="130"/>
        <v/>
      </c>
      <c r="AE610" s="478">
        <f t="shared" ca="1" si="131"/>
        <v>0</v>
      </c>
      <c r="AF610" s="459" t="str">
        <f t="shared" ca="1" si="132"/>
        <v/>
      </c>
      <c r="AG610" s="460" t="str">
        <f t="shared" ca="1" si="132"/>
        <v/>
      </c>
      <c r="AH610" s="460" t="str">
        <f t="shared" ca="1" si="132"/>
        <v/>
      </c>
      <c r="AI610" s="460" t="str">
        <f t="shared" ca="1" si="132"/>
        <v/>
      </c>
      <c r="AJ610" s="460" t="str">
        <f t="shared" ca="1" si="132"/>
        <v/>
      </c>
      <c r="AK610" s="460" t="str">
        <f t="shared" ca="1" si="132"/>
        <v/>
      </c>
      <c r="AL610" s="460" t="str">
        <f t="shared" ca="1" si="132"/>
        <v/>
      </c>
      <c r="AM610" s="460" t="str">
        <f t="shared" ca="1" si="132"/>
        <v/>
      </c>
      <c r="AN610" s="461" t="str">
        <f t="shared" ca="1" si="132"/>
        <v/>
      </c>
      <c r="AO610" s="474" t="str">
        <f t="shared" ca="1" si="132"/>
        <v/>
      </c>
      <c r="AP610" s="475" t="str">
        <f t="shared" ca="1" si="132"/>
        <v/>
      </c>
      <c r="AQ610" s="479" t="str">
        <f t="array" aca="1" ref="AQ610" ca="1">IF(ROW()-5&lt;=COUNTIF(科目编号,$AR$2),SMALL(IF(科目编号=$AR$2,ROW(科目编号),""),ROW()-5),"")</f>
        <v/>
      </c>
      <c r="AR610" s="480" t="str">
        <f ca="1">IF($BG$2=0,"",IF(AR609="本月合计","本年累计",IF(OR(ROW()=$AU$3,ROW()=$AV$3,ROW()=$AW$3,ROW()=$AX$3,ROW()=$AY$3,ROW()=$AZ$3,ROW()=$BA$3,ROW()=$BB$3,ROW()=$BC$3,ROW()=$BD$3,ROW()=$BE$3,ROW()=$BF$3),"本月合计",IF(ROW()&lt;7,$AQ$6,OFFSET($AQ$6,COUNT($AR$6:AR609),0)))))</f>
        <v/>
      </c>
    </row>
    <row r="611" spans="1:44">
      <c r="A611" s="469" t="str">
        <f ca="1">IFERROR(INDEX(凭证录入!A:A,$AR611),"")</f>
        <v/>
      </c>
      <c r="B611" s="469" t="str">
        <f ca="1">IFERROR(INDEX(凭证录入!B:B,$AR611),"")</f>
        <v/>
      </c>
      <c r="C611" s="470" t="str">
        <f ca="1">IFERROR(INDEX(凭证录入!G:G,$AR611),"")</f>
        <v/>
      </c>
      <c r="D611" s="471" t="str">
        <f ca="1">IFERROR(INDEX(凭证录入!F:F,$AR611),"")</f>
        <v/>
      </c>
      <c r="E611" s="472" t="str">
        <f ca="1">IFERROR(INDEX(凭证录入!H:H,$AR611),$AR611)</f>
        <v/>
      </c>
      <c r="F611" s="473">
        <f ca="1">IF(OR($BG$2=0,$AR611=""),,IF($AR611="本月合计",IF(ROW()=$BG$3,SUM($F$6:$F610),SUM(INDIRECT("$F$"&amp;OFFSET($AU$3,,MATCH(ROW(),$AU$3:$BF$3,)-2)+2&amp;":$E"&amp;ROW()-1))),IF($AR611="本年累计",SUMIF($AR$6:$AR611,"本月合计",$F$6:$F610),INDEX(凭证录入!K:K,$AR611))))</f>
        <v>0</v>
      </c>
      <c r="G611" s="459" t="str">
        <f t="shared" ca="1" si="133"/>
        <v/>
      </c>
      <c r="H611" s="460" t="str">
        <f t="shared" ca="1" si="133"/>
        <v/>
      </c>
      <c r="I611" s="460" t="str">
        <f t="shared" ca="1" si="133"/>
        <v/>
      </c>
      <c r="J611" s="460" t="str">
        <f t="shared" ca="1" si="133"/>
        <v/>
      </c>
      <c r="K611" s="460" t="str">
        <f t="shared" ca="1" si="133"/>
        <v/>
      </c>
      <c r="L611" s="460" t="str">
        <f t="shared" ca="1" si="133"/>
        <v/>
      </c>
      <c r="M611" s="460" t="str">
        <f t="shared" ca="1" si="133"/>
        <v/>
      </c>
      <c r="N611" s="460" t="str">
        <f t="shared" ca="1" si="133"/>
        <v/>
      </c>
      <c r="O611" s="461" t="str">
        <f t="shared" ca="1" si="133"/>
        <v/>
      </c>
      <c r="P611" s="474" t="str">
        <f t="shared" ca="1" si="133"/>
        <v/>
      </c>
      <c r="Q611" s="475" t="str">
        <f t="shared" ca="1" si="133"/>
        <v/>
      </c>
      <c r="R611" s="476">
        <f ca="1">IF(OR($BG$2=0,$AR611=""),,IF($AR611="本月合计",IF(ROW()=$BG$3,SUM($R$6:$R610),SUM(INDIRECT("$R$"&amp;OFFSET($AU$3,,MATCH(ROW(),$AU$3:$BF$3,)-2)+2&amp;":$R"&amp;ROW()-1))),IF($AR611="本年累计",SUMIF($AR$6:$AR611,"本月合计",$R$6:$R610),INDEX(凭证录入!L:L,$AR611))))</f>
        <v>0</v>
      </c>
      <c r="S611" s="459" t="str">
        <f t="shared" ca="1" si="134"/>
        <v/>
      </c>
      <c r="T611" s="460" t="str">
        <f t="shared" ca="1" si="134"/>
        <v/>
      </c>
      <c r="U611" s="460" t="str">
        <f t="shared" ca="1" si="134"/>
        <v/>
      </c>
      <c r="V611" s="460" t="str">
        <f t="shared" ca="1" si="134"/>
        <v/>
      </c>
      <c r="W611" s="460" t="str">
        <f t="shared" ca="1" si="134"/>
        <v/>
      </c>
      <c r="X611" s="460" t="str">
        <f t="shared" ca="1" si="134"/>
        <v/>
      </c>
      <c r="Y611" s="460" t="str">
        <f t="shared" ca="1" si="134"/>
        <v/>
      </c>
      <c r="Z611" s="460" t="str">
        <f t="shared" ca="1" si="134"/>
        <v/>
      </c>
      <c r="AA611" s="461" t="str">
        <f t="shared" ca="1" si="134"/>
        <v/>
      </c>
      <c r="AB611" s="474" t="str">
        <f t="shared" ca="1" si="134"/>
        <v/>
      </c>
      <c r="AC611" s="475" t="str">
        <f t="shared" ca="1" si="134"/>
        <v/>
      </c>
      <c r="AD611" s="477" t="str">
        <f t="shared" ca="1" si="130"/>
        <v/>
      </c>
      <c r="AE611" s="478">
        <f t="shared" ca="1" si="131"/>
        <v>0</v>
      </c>
      <c r="AF611" s="459" t="str">
        <f t="shared" ca="1" si="132"/>
        <v/>
      </c>
      <c r="AG611" s="460" t="str">
        <f t="shared" ca="1" si="132"/>
        <v/>
      </c>
      <c r="AH611" s="460" t="str">
        <f t="shared" ca="1" si="132"/>
        <v/>
      </c>
      <c r="AI611" s="460" t="str">
        <f t="shared" ca="1" si="132"/>
        <v/>
      </c>
      <c r="AJ611" s="460" t="str">
        <f t="shared" ca="1" si="132"/>
        <v/>
      </c>
      <c r="AK611" s="460" t="str">
        <f t="shared" ca="1" si="132"/>
        <v/>
      </c>
      <c r="AL611" s="460" t="str">
        <f t="shared" ca="1" si="132"/>
        <v/>
      </c>
      <c r="AM611" s="460" t="str">
        <f t="shared" ca="1" si="132"/>
        <v/>
      </c>
      <c r="AN611" s="461" t="str">
        <f t="shared" ca="1" si="132"/>
        <v/>
      </c>
      <c r="AO611" s="474" t="str">
        <f t="shared" ca="1" si="132"/>
        <v/>
      </c>
      <c r="AP611" s="475" t="str">
        <f t="shared" ca="1" si="132"/>
        <v/>
      </c>
      <c r="AQ611" s="479" t="str">
        <f t="array" aca="1" ref="AQ611" ca="1">IF(ROW()-5&lt;=COUNTIF(科目编号,$AR$2),SMALL(IF(科目编号=$AR$2,ROW(科目编号),""),ROW()-5),"")</f>
        <v/>
      </c>
      <c r="AR611" s="480" t="str">
        <f ca="1">IF($BG$2=0,"",IF(AR610="本月合计","本年累计",IF(OR(ROW()=$AU$3,ROW()=$AV$3,ROW()=$AW$3,ROW()=$AX$3,ROW()=$AY$3,ROW()=$AZ$3,ROW()=$BA$3,ROW()=$BB$3,ROW()=$BC$3,ROW()=$BD$3,ROW()=$BE$3,ROW()=$BF$3),"本月合计",IF(ROW()&lt;7,$AQ$6,OFFSET($AQ$6,COUNT($AR$6:AR610),0)))))</f>
        <v/>
      </c>
    </row>
    <row r="612" spans="1:44">
      <c r="A612" s="469" t="str">
        <f ca="1">IFERROR(INDEX(凭证录入!A:A,$AR612),"")</f>
        <v/>
      </c>
      <c r="B612" s="469" t="str">
        <f ca="1">IFERROR(INDEX(凭证录入!B:B,$AR612),"")</f>
        <v/>
      </c>
      <c r="C612" s="470" t="str">
        <f ca="1">IFERROR(INDEX(凭证录入!G:G,$AR612),"")</f>
        <v/>
      </c>
      <c r="D612" s="471" t="str">
        <f ca="1">IFERROR(INDEX(凭证录入!F:F,$AR612),"")</f>
        <v/>
      </c>
      <c r="E612" s="472" t="str">
        <f ca="1">IFERROR(INDEX(凭证录入!H:H,$AR612),$AR612)</f>
        <v/>
      </c>
      <c r="F612" s="473">
        <f ca="1">IF(OR($BG$2=0,$AR612=""),,IF($AR612="本月合计",IF(ROW()=$BG$3,SUM($F$6:$F611),SUM(INDIRECT("$F$"&amp;OFFSET($AU$3,,MATCH(ROW(),$AU$3:$BF$3,)-2)+2&amp;":$E"&amp;ROW()-1))),IF($AR612="本年累计",SUMIF($AR$6:$AR612,"本月合计",$F$6:$F611),INDEX(凭证录入!K:K,$AR612))))</f>
        <v>0</v>
      </c>
      <c r="G612" s="459" t="str">
        <f t="shared" ca="1" si="133"/>
        <v/>
      </c>
      <c r="H612" s="460" t="str">
        <f t="shared" ca="1" si="133"/>
        <v/>
      </c>
      <c r="I612" s="460" t="str">
        <f t="shared" ca="1" si="133"/>
        <v/>
      </c>
      <c r="J612" s="460" t="str">
        <f t="shared" ca="1" si="133"/>
        <v/>
      </c>
      <c r="K612" s="460" t="str">
        <f t="shared" ca="1" si="133"/>
        <v/>
      </c>
      <c r="L612" s="460" t="str">
        <f t="shared" ca="1" si="133"/>
        <v/>
      </c>
      <c r="M612" s="460" t="str">
        <f t="shared" ca="1" si="133"/>
        <v/>
      </c>
      <c r="N612" s="460" t="str">
        <f t="shared" ca="1" si="133"/>
        <v/>
      </c>
      <c r="O612" s="461" t="str">
        <f t="shared" ca="1" si="133"/>
        <v/>
      </c>
      <c r="P612" s="474" t="str">
        <f t="shared" ca="1" si="133"/>
        <v/>
      </c>
      <c r="Q612" s="475" t="str">
        <f t="shared" ca="1" si="133"/>
        <v/>
      </c>
      <c r="R612" s="476">
        <f ca="1">IF(OR($BG$2=0,$AR612=""),,IF($AR612="本月合计",IF(ROW()=$BG$3,SUM($R$6:$R611),SUM(INDIRECT("$R$"&amp;OFFSET($AU$3,,MATCH(ROW(),$AU$3:$BF$3,)-2)+2&amp;":$R"&amp;ROW()-1))),IF($AR612="本年累计",SUMIF($AR$6:$AR612,"本月合计",$R$6:$R611),INDEX(凭证录入!L:L,$AR612))))</f>
        <v>0</v>
      </c>
      <c r="S612" s="459" t="str">
        <f t="shared" ca="1" si="134"/>
        <v/>
      </c>
      <c r="T612" s="460" t="str">
        <f t="shared" ca="1" si="134"/>
        <v/>
      </c>
      <c r="U612" s="460" t="str">
        <f t="shared" ca="1" si="134"/>
        <v/>
      </c>
      <c r="V612" s="460" t="str">
        <f t="shared" ca="1" si="134"/>
        <v/>
      </c>
      <c r="W612" s="460" t="str">
        <f t="shared" ca="1" si="134"/>
        <v/>
      </c>
      <c r="X612" s="460" t="str">
        <f t="shared" ca="1" si="134"/>
        <v/>
      </c>
      <c r="Y612" s="460" t="str">
        <f t="shared" ca="1" si="134"/>
        <v/>
      </c>
      <c r="Z612" s="460" t="str">
        <f t="shared" ca="1" si="134"/>
        <v/>
      </c>
      <c r="AA612" s="461" t="str">
        <f t="shared" ca="1" si="134"/>
        <v/>
      </c>
      <c r="AB612" s="474" t="str">
        <f t="shared" ca="1" si="134"/>
        <v/>
      </c>
      <c r="AC612" s="475" t="str">
        <f t="shared" ca="1" si="134"/>
        <v/>
      </c>
      <c r="AD612" s="477" t="str">
        <f t="shared" ca="1" si="130"/>
        <v/>
      </c>
      <c r="AE612" s="478">
        <f t="shared" ca="1" si="131"/>
        <v>0</v>
      </c>
      <c r="AF612" s="459" t="str">
        <f t="shared" ca="1" si="132"/>
        <v/>
      </c>
      <c r="AG612" s="460" t="str">
        <f t="shared" ca="1" si="132"/>
        <v/>
      </c>
      <c r="AH612" s="460" t="str">
        <f t="shared" ca="1" si="132"/>
        <v/>
      </c>
      <c r="AI612" s="460" t="str">
        <f t="shared" ca="1" si="132"/>
        <v/>
      </c>
      <c r="AJ612" s="460" t="str">
        <f t="shared" ca="1" si="132"/>
        <v/>
      </c>
      <c r="AK612" s="460" t="str">
        <f t="shared" ca="1" si="132"/>
        <v/>
      </c>
      <c r="AL612" s="460" t="str">
        <f t="shared" ca="1" si="132"/>
        <v/>
      </c>
      <c r="AM612" s="460" t="str">
        <f t="shared" ca="1" si="132"/>
        <v/>
      </c>
      <c r="AN612" s="461" t="str">
        <f t="shared" ca="1" si="132"/>
        <v/>
      </c>
      <c r="AO612" s="474" t="str">
        <f t="shared" ca="1" si="132"/>
        <v/>
      </c>
      <c r="AP612" s="475" t="str">
        <f t="shared" ca="1" si="132"/>
        <v/>
      </c>
      <c r="AQ612" s="479" t="str">
        <f t="array" aca="1" ref="AQ612" ca="1">IF(ROW()-5&lt;=COUNTIF(科目编号,$AR$2),SMALL(IF(科目编号=$AR$2,ROW(科目编号),""),ROW()-5),"")</f>
        <v/>
      </c>
      <c r="AR612" s="480" t="str">
        <f ca="1">IF($BG$2=0,"",IF(AR611="本月合计","本年累计",IF(OR(ROW()=$AU$3,ROW()=$AV$3,ROW()=$AW$3,ROW()=$AX$3,ROW()=$AY$3,ROW()=$AZ$3,ROW()=$BA$3,ROW()=$BB$3,ROW()=$BC$3,ROW()=$BD$3,ROW()=$BE$3,ROW()=$BF$3),"本月合计",IF(ROW()&lt;7,$AQ$6,OFFSET($AQ$6,COUNT($AR$6:AR611),0)))))</f>
        <v/>
      </c>
    </row>
    <row r="613" spans="1:44">
      <c r="A613" s="469" t="str">
        <f ca="1">IFERROR(INDEX(凭证录入!A:A,$AR613),"")</f>
        <v/>
      </c>
      <c r="B613" s="469" t="str">
        <f ca="1">IFERROR(INDEX(凭证录入!B:B,$AR613),"")</f>
        <v/>
      </c>
      <c r="C613" s="470" t="str">
        <f ca="1">IFERROR(INDEX(凭证录入!G:G,$AR613),"")</f>
        <v/>
      </c>
      <c r="D613" s="471" t="str">
        <f ca="1">IFERROR(INDEX(凭证录入!F:F,$AR613),"")</f>
        <v/>
      </c>
      <c r="E613" s="472" t="str">
        <f ca="1">IFERROR(INDEX(凭证录入!H:H,$AR613),$AR613)</f>
        <v/>
      </c>
      <c r="F613" s="473">
        <f ca="1">IF(OR($BG$2=0,$AR613=""),,IF($AR613="本月合计",IF(ROW()=$BG$3,SUM($F$6:$F612),SUM(INDIRECT("$F$"&amp;OFFSET($AU$3,,MATCH(ROW(),$AU$3:$BF$3,)-2)+2&amp;":$E"&amp;ROW()-1))),IF($AR613="本年累计",SUMIF($AR$6:$AR613,"本月合计",$F$6:$F612),INDEX(凭证录入!K:K,$AR613))))</f>
        <v>0</v>
      </c>
      <c r="G613" s="459" t="str">
        <f t="shared" ca="1" si="133"/>
        <v/>
      </c>
      <c r="H613" s="460" t="str">
        <f t="shared" ca="1" si="133"/>
        <v/>
      </c>
      <c r="I613" s="460" t="str">
        <f t="shared" ca="1" si="133"/>
        <v/>
      </c>
      <c r="J613" s="460" t="str">
        <f t="shared" ca="1" si="133"/>
        <v/>
      </c>
      <c r="K613" s="460" t="str">
        <f t="shared" ca="1" si="133"/>
        <v/>
      </c>
      <c r="L613" s="460" t="str">
        <f t="shared" ca="1" si="133"/>
        <v/>
      </c>
      <c r="M613" s="460" t="str">
        <f t="shared" ca="1" si="133"/>
        <v/>
      </c>
      <c r="N613" s="460" t="str">
        <f t="shared" ca="1" si="133"/>
        <v/>
      </c>
      <c r="O613" s="461" t="str">
        <f t="shared" ca="1" si="133"/>
        <v/>
      </c>
      <c r="P613" s="474" t="str">
        <f t="shared" ca="1" si="133"/>
        <v/>
      </c>
      <c r="Q613" s="475" t="str">
        <f t="shared" ca="1" si="133"/>
        <v/>
      </c>
      <c r="R613" s="476">
        <f ca="1">IF(OR($BG$2=0,$AR613=""),,IF($AR613="本月合计",IF(ROW()=$BG$3,SUM($R$6:$R612),SUM(INDIRECT("$R$"&amp;OFFSET($AU$3,,MATCH(ROW(),$AU$3:$BF$3,)-2)+2&amp;":$R"&amp;ROW()-1))),IF($AR613="本年累计",SUMIF($AR$6:$AR613,"本月合计",$R$6:$R612),INDEX(凭证录入!L:L,$AR613))))</f>
        <v>0</v>
      </c>
      <c r="S613" s="459" t="str">
        <f t="shared" ca="1" si="134"/>
        <v/>
      </c>
      <c r="T613" s="460" t="str">
        <f t="shared" ca="1" si="134"/>
        <v/>
      </c>
      <c r="U613" s="460" t="str">
        <f t="shared" ca="1" si="134"/>
        <v/>
      </c>
      <c r="V613" s="460" t="str">
        <f t="shared" ca="1" si="134"/>
        <v/>
      </c>
      <c r="W613" s="460" t="str">
        <f t="shared" ca="1" si="134"/>
        <v/>
      </c>
      <c r="X613" s="460" t="str">
        <f t="shared" ca="1" si="134"/>
        <v/>
      </c>
      <c r="Y613" s="460" t="str">
        <f t="shared" ca="1" si="134"/>
        <v/>
      </c>
      <c r="Z613" s="460" t="str">
        <f t="shared" ca="1" si="134"/>
        <v/>
      </c>
      <c r="AA613" s="461" t="str">
        <f t="shared" ca="1" si="134"/>
        <v/>
      </c>
      <c r="AB613" s="474" t="str">
        <f t="shared" ca="1" si="134"/>
        <v/>
      </c>
      <c r="AC613" s="475" t="str">
        <f t="shared" ca="1" si="134"/>
        <v/>
      </c>
      <c r="AD613" s="477" t="str">
        <f t="shared" ca="1" si="130"/>
        <v/>
      </c>
      <c r="AE613" s="478">
        <f t="shared" ca="1" si="131"/>
        <v>0</v>
      </c>
      <c r="AF613" s="459" t="str">
        <f t="shared" ref="AF613:AP628" ca="1" si="135">LEFT(RIGHT(TEXT($AE613/1%," ￥0; ￥-0;"),43-COLUMN()))</f>
        <v/>
      </c>
      <c r="AG613" s="460" t="str">
        <f t="shared" ca="1" si="135"/>
        <v/>
      </c>
      <c r="AH613" s="460" t="str">
        <f t="shared" ca="1" si="135"/>
        <v/>
      </c>
      <c r="AI613" s="460" t="str">
        <f t="shared" ca="1" si="135"/>
        <v/>
      </c>
      <c r="AJ613" s="460" t="str">
        <f t="shared" ca="1" si="135"/>
        <v/>
      </c>
      <c r="AK613" s="460" t="str">
        <f t="shared" ca="1" si="135"/>
        <v/>
      </c>
      <c r="AL613" s="460" t="str">
        <f t="shared" ca="1" si="135"/>
        <v/>
      </c>
      <c r="AM613" s="460" t="str">
        <f t="shared" ca="1" si="135"/>
        <v/>
      </c>
      <c r="AN613" s="461" t="str">
        <f t="shared" ca="1" si="135"/>
        <v/>
      </c>
      <c r="AO613" s="474" t="str">
        <f t="shared" ca="1" si="135"/>
        <v/>
      </c>
      <c r="AP613" s="475" t="str">
        <f t="shared" ca="1" si="135"/>
        <v/>
      </c>
      <c r="AQ613" s="479" t="str">
        <f t="array" aca="1" ref="AQ613" ca="1">IF(ROW()-5&lt;=COUNTIF(科目编号,$AR$2),SMALL(IF(科目编号=$AR$2,ROW(科目编号),""),ROW()-5),"")</f>
        <v/>
      </c>
      <c r="AR613" s="480" t="str">
        <f ca="1">IF($BG$2=0,"",IF(AR612="本月合计","本年累计",IF(OR(ROW()=$AU$3,ROW()=$AV$3,ROW()=$AW$3,ROW()=$AX$3,ROW()=$AY$3,ROW()=$AZ$3,ROW()=$BA$3,ROW()=$BB$3,ROW()=$BC$3,ROW()=$BD$3,ROW()=$BE$3,ROW()=$BF$3),"本月合计",IF(ROW()&lt;7,$AQ$6,OFFSET($AQ$6,COUNT($AR$6:AR612),0)))))</f>
        <v/>
      </c>
    </row>
    <row r="614" spans="1:44">
      <c r="A614" s="469" t="str">
        <f ca="1">IFERROR(INDEX(凭证录入!A:A,$AR614),"")</f>
        <v/>
      </c>
      <c r="B614" s="469" t="str">
        <f ca="1">IFERROR(INDEX(凭证录入!B:B,$AR614),"")</f>
        <v/>
      </c>
      <c r="C614" s="470" t="str">
        <f ca="1">IFERROR(INDEX(凭证录入!G:G,$AR614),"")</f>
        <v/>
      </c>
      <c r="D614" s="471" t="str">
        <f ca="1">IFERROR(INDEX(凭证录入!F:F,$AR614),"")</f>
        <v/>
      </c>
      <c r="E614" s="472" t="str">
        <f ca="1">IFERROR(INDEX(凭证录入!H:H,$AR614),$AR614)</f>
        <v/>
      </c>
      <c r="F614" s="473">
        <f ca="1">IF(OR($BG$2=0,$AR614=""),,IF($AR614="本月合计",IF(ROW()=$BG$3,SUM($F$6:$F613),SUM(INDIRECT("$F$"&amp;OFFSET($AU$3,,MATCH(ROW(),$AU$3:$BF$3,)-2)+2&amp;":$E"&amp;ROW()-1))),IF($AR614="本年累计",SUMIF($AR$6:$AR614,"本月合计",$F$6:$F613),INDEX(凭证录入!K:K,$AR614))))</f>
        <v>0</v>
      </c>
      <c r="G614" s="459" t="str">
        <f t="shared" ref="G614:Q629" ca="1" si="136">LEFT(RIGHT(TEXT($F614/1%," ￥0; ￥-0;"),18-COLUMN()))</f>
        <v/>
      </c>
      <c r="H614" s="460" t="str">
        <f t="shared" ca="1" si="136"/>
        <v/>
      </c>
      <c r="I614" s="460" t="str">
        <f t="shared" ca="1" si="136"/>
        <v/>
      </c>
      <c r="J614" s="460" t="str">
        <f t="shared" ca="1" si="136"/>
        <v/>
      </c>
      <c r="K614" s="460" t="str">
        <f t="shared" ca="1" si="136"/>
        <v/>
      </c>
      <c r="L614" s="460" t="str">
        <f t="shared" ca="1" si="136"/>
        <v/>
      </c>
      <c r="M614" s="460" t="str">
        <f t="shared" ca="1" si="136"/>
        <v/>
      </c>
      <c r="N614" s="460" t="str">
        <f t="shared" ca="1" si="136"/>
        <v/>
      </c>
      <c r="O614" s="461" t="str">
        <f t="shared" ca="1" si="136"/>
        <v/>
      </c>
      <c r="P614" s="474" t="str">
        <f t="shared" ca="1" si="136"/>
        <v/>
      </c>
      <c r="Q614" s="475" t="str">
        <f t="shared" ca="1" si="136"/>
        <v/>
      </c>
      <c r="R614" s="476">
        <f ca="1">IF(OR($BG$2=0,$AR614=""),,IF($AR614="本月合计",IF(ROW()=$BG$3,SUM($R$6:$R613),SUM(INDIRECT("$R$"&amp;OFFSET($AU$3,,MATCH(ROW(),$AU$3:$BF$3,)-2)+2&amp;":$R"&amp;ROW()-1))),IF($AR614="本年累计",SUMIF($AR$6:$AR614,"本月合计",$R$6:$R613),INDEX(凭证录入!L:L,$AR614))))</f>
        <v>0</v>
      </c>
      <c r="S614" s="459" t="str">
        <f t="shared" ref="S614:AC629" ca="1" si="137">LEFT(RIGHT(TEXT($R614/1%," ￥0; ￥-0;"),30-COLUMN()))</f>
        <v/>
      </c>
      <c r="T614" s="460" t="str">
        <f t="shared" ca="1" si="137"/>
        <v/>
      </c>
      <c r="U614" s="460" t="str">
        <f t="shared" ca="1" si="137"/>
        <v/>
      </c>
      <c r="V614" s="460" t="str">
        <f t="shared" ca="1" si="137"/>
        <v/>
      </c>
      <c r="W614" s="460" t="str">
        <f t="shared" ca="1" si="137"/>
        <v/>
      </c>
      <c r="X614" s="460" t="str">
        <f t="shared" ca="1" si="137"/>
        <v/>
      </c>
      <c r="Y614" s="460" t="str">
        <f t="shared" ca="1" si="137"/>
        <v/>
      </c>
      <c r="Z614" s="460" t="str">
        <f t="shared" ca="1" si="137"/>
        <v/>
      </c>
      <c r="AA614" s="461" t="str">
        <f t="shared" ca="1" si="137"/>
        <v/>
      </c>
      <c r="AB614" s="474" t="str">
        <f t="shared" ca="1" si="137"/>
        <v/>
      </c>
      <c r="AC614" s="475" t="str">
        <f t="shared" ca="1" si="137"/>
        <v/>
      </c>
      <c r="AD614" s="477" t="str">
        <f t="shared" ca="1" si="130"/>
        <v/>
      </c>
      <c r="AE614" s="478">
        <f t="shared" ca="1" si="131"/>
        <v>0</v>
      </c>
      <c r="AF614" s="459" t="str">
        <f t="shared" ca="1" si="135"/>
        <v/>
      </c>
      <c r="AG614" s="460" t="str">
        <f t="shared" ca="1" si="135"/>
        <v/>
      </c>
      <c r="AH614" s="460" t="str">
        <f t="shared" ca="1" si="135"/>
        <v/>
      </c>
      <c r="AI614" s="460" t="str">
        <f t="shared" ca="1" si="135"/>
        <v/>
      </c>
      <c r="AJ614" s="460" t="str">
        <f t="shared" ca="1" si="135"/>
        <v/>
      </c>
      <c r="AK614" s="460" t="str">
        <f t="shared" ca="1" si="135"/>
        <v/>
      </c>
      <c r="AL614" s="460" t="str">
        <f t="shared" ca="1" si="135"/>
        <v/>
      </c>
      <c r="AM614" s="460" t="str">
        <f t="shared" ca="1" si="135"/>
        <v/>
      </c>
      <c r="AN614" s="461" t="str">
        <f t="shared" ca="1" si="135"/>
        <v/>
      </c>
      <c r="AO614" s="474" t="str">
        <f t="shared" ca="1" si="135"/>
        <v/>
      </c>
      <c r="AP614" s="475" t="str">
        <f t="shared" ca="1" si="135"/>
        <v/>
      </c>
      <c r="AQ614" s="479" t="str">
        <f t="array" aca="1" ref="AQ614" ca="1">IF(ROW()-5&lt;=COUNTIF(科目编号,$AR$2),SMALL(IF(科目编号=$AR$2,ROW(科目编号),""),ROW()-5),"")</f>
        <v/>
      </c>
      <c r="AR614" s="480" t="str">
        <f ca="1">IF($BG$2=0,"",IF(AR613="本月合计","本年累计",IF(OR(ROW()=$AU$3,ROW()=$AV$3,ROW()=$AW$3,ROW()=$AX$3,ROW()=$AY$3,ROW()=$AZ$3,ROW()=$BA$3,ROW()=$BB$3,ROW()=$BC$3,ROW()=$BD$3,ROW()=$BE$3,ROW()=$BF$3),"本月合计",IF(ROW()&lt;7,$AQ$6,OFFSET($AQ$6,COUNT($AR$6:AR613),0)))))</f>
        <v/>
      </c>
    </row>
    <row r="615" spans="1:44">
      <c r="A615" s="469" t="str">
        <f ca="1">IFERROR(INDEX(凭证录入!A:A,$AR615),"")</f>
        <v/>
      </c>
      <c r="B615" s="469" t="str">
        <f ca="1">IFERROR(INDEX(凭证录入!B:B,$AR615),"")</f>
        <v/>
      </c>
      <c r="C615" s="470" t="str">
        <f ca="1">IFERROR(INDEX(凭证录入!G:G,$AR615),"")</f>
        <v/>
      </c>
      <c r="D615" s="471" t="str">
        <f ca="1">IFERROR(INDEX(凭证录入!F:F,$AR615),"")</f>
        <v/>
      </c>
      <c r="E615" s="472" t="str">
        <f ca="1">IFERROR(INDEX(凭证录入!H:H,$AR615),$AR615)</f>
        <v/>
      </c>
      <c r="F615" s="473">
        <f ca="1">IF(OR($BG$2=0,$AR615=""),,IF($AR615="本月合计",IF(ROW()=$BG$3,SUM($F$6:$F614),SUM(INDIRECT("$F$"&amp;OFFSET($AU$3,,MATCH(ROW(),$AU$3:$BF$3,)-2)+2&amp;":$E"&amp;ROW()-1))),IF($AR615="本年累计",SUMIF($AR$6:$AR615,"本月合计",$F$6:$F614),INDEX(凭证录入!K:K,$AR615))))</f>
        <v>0</v>
      </c>
      <c r="G615" s="459" t="str">
        <f t="shared" ca="1" si="136"/>
        <v/>
      </c>
      <c r="H615" s="460" t="str">
        <f t="shared" ca="1" si="136"/>
        <v/>
      </c>
      <c r="I615" s="460" t="str">
        <f t="shared" ca="1" si="136"/>
        <v/>
      </c>
      <c r="J615" s="460" t="str">
        <f t="shared" ca="1" si="136"/>
        <v/>
      </c>
      <c r="K615" s="460" t="str">
        <f t="shared" ca="1" si="136"/>
        <v/>
      </c>
      <c r="L615" s="460" t="str">
        <f t="shared" ca="1" si="136"/>
        <v/>
      </c>
      <c r="M615" s="460" t="str">
        <f t="shared" ca="1" si="136"/>
        <v/>
      </c>
      <c r="N615" s="460" t="str">
        <f t="shared" ca="1" si="136"/>
        <v/>
      </c>
      <c r="O615" s="461" t="str">
        <f t="shared" ca="1" si="136"/>
        <v/>
      </c>
      <c r="P615" s="474" t="str">
        <f t="shared" ca="1" si="136"/>
        <v/>
      </c>
      <c r="Q615" s="475" t="str">
        <f t="shared" ca="1" si="136"/>
        <v/>
      </c>
      <c r="R615" s="476">
        <f ca="1">IF(OR($BG$2=0,$AR615=""),,IF($AR615="本月合计",IF(ROW()=$BG$3,SUM($R$6:$R614),SUM(INDIRECT("$R$"&amp;OFFSET($AU$3,,MATCH(ROW(),$AU$3:$BF$3,)-2)+2&amp;":$R"&amp;ROW()-1))),IF($AR615="本年累计",SUMIF($AR$6:$AR615,"本月合计",$R$6:$R614),INDEX(凭证录入!L:L,$AR615))))</f>
        <v>0</v>
      </c>
      <c r="S615" s="459" t="str">
        <f t="shared" ca="1" si="137"/>
        <v/>
      </c>
      <c r="T615" s="460" t="str">
        <f t="shared" ca="1" si="137"/>
        <v/>
      </c>
      <c r="U615" s="460" t="str">
        <f t="shared" ca="1" si="137"/>
        <v/>
      </c>
      <c r="V615" s="460" t="str">
        <f t="shared" ca="1" si="137"/>
        <v/>
      </c>
      <c r="W615" s="460" t="str">
        <f t="shared" ca="1" si="137"/>
        <v/>
      </c>
      <c r="X615" s="460" t="str">
        <f t="shared" ca="1" si="137"/>
        <v/>
      </c>
      <c r="Y615" s="460" t="str">
        <f t="shared" ca="1" si="137"/>
        <v/>
      </c>
      <c r="Z615" s="460" t="str">
        <f t="shared" ca="1" si="137"/>
        <v/>
      </c>
      <c r="AA615" s="461" t="str">
        <f t="shared" ca="1" si="137"/>
        <v/>
      </c>
      <c r="AB615" s="474" t="str">
        <f t="shared" ca="1" si="137"/>
        <v/>
      </c>
      <c r="AC615" s="475" t="str">
        <f t="shared" ca="1" si="137"/>
        <v/>
      </c>
      <c r="AD615" s="477" t="str">
        <f t="shared" ca="1" si="130"/>
        <v/>
      </c>
      <c r="AE615" s="478">
        <f t="shared" ca="1" si="131"/>
        <v>0</v>
      </c>
      <c r="AF615" s="459" t="str">
        <f t="shared" ca="1" si="135"/>
        <v/>
      </c>
      <c r="AG615" s="460" t="str">
        <f t="shared" ca="1" si="135"/>
        <v/>
      </c>
      <c r="AH615" s="460" t="str">
        <f t="shared" ca="1" si="135"/>
        <v/>
      </c>
      <c r="AI615" s="460" t="str">
        <f t="shared" ca="1" si="135"/>
        <v/>
      </c>
      <c r="AJ615" s="460" t="str">
        <f t="shared" ca="1" si="135"/>
        <v/>
      </c>
      <c r="AK615" s="460" t="str">
        <f t="shared" ca="1" si="135"/>
        <v/>
      </c>
      <c r="AL615" s="460" t="str">
        <f t="shared" ca="1" si="135"/>
        <v/>
      </c>
      <c r="AM615" s="460" t="str">
        <f t="shared" ca="1" si="135"/>
        <v/>
      </c>
      <c r="AN615" s="461" t="str">
        <f t="shared" ca="1" si="135"/>
        <v/>
      </c>
      <c r="AO615" s="474" t="str">
        <f t="shared" ca="1" si="135"/>
        <v/>
      </c>
      <c r="AP615" s="475" t="str">
        <f t="shared" ca="1" si="135"/>
        <v/>
      </c>
      <c r="AQ615" s="479" t="str">
        <f t="array" aca="1" ref="AQ615" ca="1">IF(ROW()-5&lt;=COUNTIF(科目编号,$AR$2),SMALL(IF(科目编号=$AR$2,ROW(科目编号),""),ROW()-5),"")</f>
        <v/>
      </c>
      <c r="AR615" s="480" t="str">
        <f ca="1">IF($BG$2=0,"",IF(AR614="本月合计","本年累计",IF(OR(ROW()=$AU$3,ROW()=$AV$3,ROW()=$AW$3,ROW()=$AX$3,ROW()=$AY$3,ROW()=$AZ$3,ROW()=$BA$3,ROW()=$BB$3,ROW()=$BC$3,ROW()=$BD$3,ROW()=$BE$3,ROW()=$BF$3),"本月合计",IF(ROW()&lt;7,$AQ$6,OFFSET($AQ$6,COUNT($AR$6:AR614),0)))))</f>
        <v/>
      </c>
    </row>
    <row r="616" spans="1:44">
      <c r="A616" s="469" t="str">
        <f ca="1">IFERROR(INDEX(凭证录入!A:A,$AR616),"")</f>
        <v/>
      </c>
      <c r="B616" s="469" t="str">
        <f ca="1">IFERROR(INDEX(凭证录入!B:B,$AR616),"")</f>
        <v/>
      </c>
      <c r="C616" s="470" t="str">
        <f ca="1">IFERROR(INDEX(凭证录入!G:G,$AR616),"")</f>
        <v/>
      </c>
      <c r="D616" s="471" t="str">
        <f ca="1">IFERROR(INDEX(凭证录入!F:F,$AR616),"")</f>
        <v/>
      </c>
      <c r="E616" s="472" t="str">
        <f ca="1">IFERROR(INDEX(凭证录入!H:H,$AR616),$AR616)</f>
        <v/>
      </c>
      <c r="F616" s="473">
        <f ca="1">IF(OR($BG$2=0,$AR616=""),,IF($AR616="本月合计",IF(ROW()=$BG$3,SUM($F$6:$F615),SUM(INDIRECT("$F$"&amp;OFFSET($AU$3,,MATCH(ROW(),$AU$3:$BF$3,)-2)+2&amp;":$E"&amp;ROW()-1))),IF($AR616="本年累计",SUMIF($AR$6:$AR616,"本月合计",$F$6:$F615),INDEX(凭证录入!K:K,$AR616))))</f>
        <v>0</v>
      </c>
      <c r="G616" s="459" t="str">
        <f t="shared" ca="1" si="136"/>
        <v/>
      </c>
      <c r="H616" s="460" t="str">
        <f t="shared" ca="1" si="136"/>
        <v/>
      </c>
      <c r="I616" s="460" t="str">
        <f t="shared" ca="1" si="136"/>
        <v/>
      </c>
      <c r="J616" s="460" t="str">
        <f t="shared" ca="1" si="136"/>
        <v/>
      </c>
      <c r="K616" s="460" t="str">
        <f t="shared" ca="1" si="136"/>
        <v/>
      </c>
      <c r="L616" s="460" t="str">
        <f t="shared" ca="1" si="136"/>
        <v/>
      </c>
      <c r="M616" s="460" t="str">
        <f t="shared" ca="1" si="136"/>
        <v/>
      </c>
      <c r="N616" s="460" t="str">
        <f t="shared" ca="1" si="136"/>
        <v/>
      </c>
      <c r="O616" s="461" t="str">
        <f t="shared" ca="1" si="136"/>
        <v/>
      </c>
      <c r="P616" s="474" t="str">
        <f t="shared" ca="1" si="136"/>
        <v/>
      </c>
      <c r="Q616" s="475" t="str">
        <f t="shared" ca="1" si="136"/>
        <v/>
      </c>
      <c r="R616" s="476">
        <f ca="1">IF(OR($BG$2=0,$AR616=""),,IF($AR616="本月合计",IF(ROW()=$BG$3,SUM($R$6:$R615),SUM(INDIRECT("$R$"&amp;OFFSET($AU$3,,MATCH(ROW(),$AU$3:$BF$3,)-2)+2&amp;":$R"&amp;ROW()-1))),IF($AR616="本年累计",SUMIF($AR$6:$AR616,"本月合计",$R$6:$R615),INDEX(凭证录入!L:L,$AR616))))</f>
        <v>0</v>
      </c>
      <c r="S616" s="459" t="str">
        <f t="shared" ca="1" si="137"/>
        <v/>
      </c>
      <c r="T616" s="460" t="str">
        <f t="shared" ca="1" si="137"/>
        <v/>
      </c>
      <c r="U616" s="460" t="str">
        <f t="shared" ca="1" si="137"/>
        <v/>
      </c>
      <c r="V616" s="460" t="str">
        <f t="shared" ca="1" si="137"/>
        <v/>
      </c>
      <c r="W616" s="460" t="str">
        <f t="shared" ca="1" si="137"/>
        <v/>
      </c>
      <c r="X616" s="460" t="str">
        <f t="shared" ca="1" si="137"/>
        <v/>
      </c>
      <c r="Y616" s="460" t="str">
        <f t="shared" ca="1" si="137"/>
        <v/>
      </c>
      <c r="Z616" s="460" t="str">
        <f t="shared" ca="1" si="137"/>
        <v/>
      </c>
      <c r="AA616" s="461" t="str">
        <f t="shared" ca="1" si="137"/>
        <v/>
      </c>
      <c r="AB616" s="474" t="str">
        <f t="shared" ca="1" si="137"/>
        <v/>
      </c>
      <c r="AC616" s="475" t="str">
        <f t="shared" ca="1" si="137"/>
        <v/>
      </c>
      <c r="AD616" s="477" t="str">
        <f t="shared" ca="1" si="130"/>
        <v/>
      </c>
      <c r="AE616" s="478">
        <f t="shared" ca="1" si="131"/>
        <v>0</v>
      </c>
      <c r="AF616" s="459" t="str">
        <f t="shared" ca="1" si="135"/>
        <v/>
      </c>
      <c r="AG616" s="460" t="str">
        <f t="shared" ca="1" si="135"/>
        <v/>
      </c>
      <c r="AH616" s="460" t="str">
        <f t="shared" ca="1" si="135"/>
        <v/>
      </c>
      <c r="AI616" s="460" t="str">
        <f t="shared" ca="1" si="135"/>
        <v/>
      </c>
      <c r="AJ616" s="460" t="str">
        <f t="shared" ca="1" si="135"/>
        <v/>
      </c>
      <c r="AK616" s="460" t="str">
        <f t="shared" ca="1" si="135"/>
        <v/>
      </c>
      <c r="AL616" s="460" t="str">
        <f t="shared" ca="1" si="135"/>
        <v/>
      </c>
      <c r="AM616" s="460" t="str">
        <f t="shared" ca="1" si="135"/>
        <v/>
      </c>
      <c r="AN616" s="461" t="str">
        <f t="shared" ca="1" si="135"/>
        <v/>
      </c>
      <c r="AO616" s="474" t="str">
        <f t="shared" ca="1" si="135"/>
        <v/>
      </c>
      <c r="AP616" s="475" t="str">
        <f t="shared" ca="1" si="135"/>
        <v/>
      </c>
      <c r="AQ616" s="479" t="str">
        <f t="array" aca="1" ref="AQ616" ca="1">IF(ROW()-5&lt;=COUNTIF(科目编号,$AR$2),SMALL(IF(科目编号=$AR$2,ROW(科目编号),""),ROW()-5),"")</f>
        <v/>
      </c>
      <c r="AR616" s="480" t="str">
        <f ca="1">IF($BG$2=0,"",IF(AR615="本月合计","本年累计",IF(OR(ROW()=$AU$3,ROW()=$AV$3,ROW()=$AW$3,ROW()=$AX$3,ROW()=$AY$3,ROW()=$AZ$3,ROW()=$BA$3,ROW()=$BB$3,ROW()=$BC$3,ROW()=$BD$3,ROW()=$BE$3,ROW()=$BF$3),"本月合计",IF(ROW()&lt;7,$AQ$6,OFFSET($AQ$6,COUNT($AR$6:AR615),0)))))</f>
        <v/>
      </c>
    </row>
    <row r="617" spans="1:44">
      <c r="A617" s="469" t="str">
        <f ca="1">IFERROR(INDEX(凭证录入!A:A,$AR617),"")</f>
        <v/>
      </c>
      <c r="B617" s="469" t="str">
        <f ca="1">IFERROR(INDEX(凭证录入!B:B,$AR617),"")</f>
        <v/>
      </c>
      <c r="C617" s="470" t="str">
        <f ca="1">IFERROR(INDEX(凭证录入!G:G,$AR617),"")</f>
        <v/>
      </c>
      <c r="D617" s="471" t="str">
        <f ca="1">IFERROR(INDEX(凭证录入!F:F,$AR617),"")</f>
        <v/>
      </c>
      <c r="E617" s="472" t="str">
        <f ca="1">IFERROR(INDEX(凭证录入!H:H,$AR617),$AR617)</f>
        <v/>
      </c>
      <c r="F617" s="473">
        <f ca="1">IF(OR($BG$2=0,$AR617=""),,IF($AR617="本月合计",IF(ROW()=$BG$3,SUM($F$6:$F616),SUM(INDIRECT("$F$"&amp;OFFSET($AU$3,,MATCH(ROW(),$AU$3:$BF$3,)-2)+2&amp;":$E"&amp;ROW()-1))),IF($AR617="本年累计",SUMIF($AR$6:$AR617,"本月合计",$F$6:$F616),INDEX(凭证录入!K:K,$AR617))))</f>
        <v>0</v>
      </c>
      <c r="G617" s="459" t="str">
        <f t="shared" ca="1" si="136"/>
        <v/>
      </c>
      <c r="H617" s="460" t="str">
        <f t="shared" ca="1" si="136"/>
        <v/>
      </c>
      <c r="I617" s="460" t="str">
        <f t="shared" ca="1" si="136"/>
        <v/>
      </c>
      <c r="J617" s="460" t="str">
        <f t="shared" ca="1" si="136"/>
        <v/>
      </c>
      <c r="K617" s="460" t="str">
        <f t="shared" ca="1" si="136"/>
        <v/>
      </c>
      <c r="L617" s="460" t="str">
        <f t="shared" ca="1" si="136"/>
        <v/>
      </c>
      <c r="M617" s="460" t="str">
        <f t="shared" ca="1" si="136"/>
        <v/>
      </c>
      <c r="N617" s="460" t="str">
        <f t="shared" ca="1" si="136"/>
        <v/>
      </c>
      <c r="O617" s="461" t="str">
        <f t="shared" ca="1" si="136"/>
        <v/>
      </c>
      <c r="P617" s="474" t="str">
        <f t="shared" ca="1" si="136"/>
        <v/>
      </c>
      <c r="Q617" s="475" t="str">
        <f t="shared" ca="1" si="136"/>
        <v/>
      </c>
      <c r="R617" s="476">
        <f ca="1">IF(OR($BG$2=0,$AR617=""),,IF($AR617="本月合计",IF(ROW()=$BG$3,SUM($R$6:$R616),SUM(INDIRECT("$R$"&amp;OFFSET($AU$3,,MATCH(ROW(),$AU$3:$BF$3,)-2)+2&amp;":$R"&amp;ROW()-1))),IF($AR617="本年累计",SUMIF($AR$6:$AR617,"本月合计",$R$6:$R616),INDEX(凭证录入!L:L,$AR617))))</f>
        <v>0</v>
      </c>
      <c r="S617" s="459" t="str">
        <f t="shared" ca="1" si="137"/>
        <v/>
      </c>
      <c r="T617" s="460" t="str">
        <f t="shared" ca="1" si="137"/>
        <v/>
      </c>
      <c r="U617" s="460" t="str">
        <f t="shared" ca="1" si="137"/>
        <v/>
      </c>
      <c r="V617" s="460" t="str">
        <f t="shared" ca="1" si="137"/>
        <v/>
      </c>
      <c r="W617" s="460" t="str">
        <f t="shared" ca="1" si="137"/>
        <v/>
      </c>
      <c r="X617" s="460" t="str">
        <f t="shared" ca="1" si="137"/>
        <v/>
      </c>
      <c r="Y617" s="460" t="str">
        <f t="shared" ca="1" si="137"/>
        <v/>
      </c>
      <c r="Z617" s="460" t="str">
        <f t="shared" ca="1" si="137"/>
        <v/>
      </c>
      <c r="AA617" s="461" t="str">
        <f t="shared" ca="1" si="137"/>
        <v/>
      </c>
      <c r="AB617" s="474" t="str">
        <f t="shared" ca="1" si="137"/>
        <v/>
      </c>
      <c r="AC617" s="475" t="str">
        <f t="shared" ca="1" si="137"/>
        <v/>
      </c>
      <c r="AD617" s="477" t="str">
        <f t="shared" ca="1" si="130"/>
        <v/>
      </c>
      <c r="AE617" s="478">
        <f t="shared" ca="1" si="131"/>
        <v>0</v>
      </c>
      <c r="AF617" s="459" t="str">
        <f t="shared" ca="1" si="135"/>
        <v/>
      </c>
      <c r="AG617" s="460" t="str">
        <f t="shared" ca="1" si="135"/>
        <v/>
      </c>
      <c r="AH617" s="460" t="str">
        <f t="shared" ca="1" si="135"/>
        <v/>
      </c>
      <c r="AI617" s="460" t="str">
        <f t="shared" ca="1" si="135"/>
        <v/>
      </c>
      <c r="AJ617" s="460" t="str">
        <f t="shared" ca="1" si="135"/>
        <v/>
      </c>
      <c r="AK617" s="460" t="str">
        <f t="shared" ca="1" si="135"/>
        <v/>
      </c>
      <c r="AL617" s="460" t="str">
        <f t="shared" ca="1" si="135"/>
        <v/>
      </c>
      <c r="AM617" s="460" t="str">
        <f t="shared" ca="1" si="135"/>
        <v/>
      </c>
      <c r="AN617" s="461" t="str">
        <f t="shared" ca="1" si="135"/>
        <v/>
      </c>
      <c r="AO617" s="474" t="str">
        <f t="shared" ca="1" si="135"/>
        <v/>
      </c>
      <c r="AP617" s="475" t="str">
        <f t="shared" ca="1" si="135"/>
        <v/>
      </c>
      <c r="AQ617" s="479" t="str">
        <f t="array" aca="1" ref="AQ617" ca="1">IF(ROW()-5&lt;=COUNTIF(科目编号,$AR$2),SMALL(IF(科目编号=$AR$2,ROW(科目编号),""),ROW()-5),"")</f>
        <v/>
      </c>
      <c r="AR617" s="480" t="str">
        <f ca="1">IF($BG$2=0,"",IF(AR616="本月合计","本年累计",IF(OR(ROW()=$AU$3,ROW()=$AV$3,ROW()=$AW$3,ROW()=$AX$3,ROW()=$AY$3,ROW()=$AZ$3,ROW()=$BA$3,ROW()=$BB$3,ROW()=$BC$3,ROW()=$BD$3,ROW()=$BE$3,ROW()=$BF$3),"本月合计",IF(ROW()&lt;7,$AQ$6,OFFSET($AQ$6,COUNT($AR$6:AR616),0)))))</f>
        <v/>
      </c>
    </row>
    <row r="618" spans="1:44">
      <c r="A618" s="469" t="str">
        <f ca="1">IFERROR(INDEX(凭证录入!A:A,$AR618),"")</f>
        <v/>
      </c>
      <c r="B618" s="469" t="str">
        <f ca="1">IFERROR(INDEX(凭证录入!B:B,$AR618),"")</f>
        <v/>
      </c>
      <c r="C618" s="470" t="str">
        <f ca="1">IFERROR(INDEX(凭证录入!G:G,$AR618),"")</f>
        <v/>
      </c>
      <c r="D618" s="471" t="str">
        <f ca="1">IFERROR(INDEX(凭证录入!F:F,$AR618),"")</f>
        <v/>
      </c>
      <c r="E618" s="472" t="str">
        <f ca="1">IFERROR(INDEX(凭证录入!H:H,$AR618),$AR618)</f>
        <v/>
      </c>
      <c r="F618" s="473">
        <f ca="1">IF(OR($BG$2=0,$AR618=""),,IF($AR618="本月合计",IF(ROW()=$BG$3,SUM($F$6:$F617),SUM(INDIRECT("$F$"&amp;OFFSET($AU$3,,MATCH(ROW(),$AU$3:$BF$3,)-2)+2&amp;":$E"&amp;ROW()-1))),IF($AR618="本年累计",SUMIF($AR$6:$AR618,"本月合计",$F$6:$F617),INDEX(凭证录入!K:K,$AR618))))</f>
        <v>0</v>
      </c>
      <c r="G618" s="459" t="str">
        <f t="shared" ca="1" si="136"/>
        <v/>
      </c>
      <c r="H618" s="460" t="str">
        <f t="shared" ca="1" si="136"/>
        <v/>
      </c>
      <c r="I618" s="460" t="str">
        <f t="shared" ca="1" si="136"/>
        <v/>
      </c>
      <c r="J618" s="460" t="str">
        <f t="shared" ca="1" si="136"/>
        <v/>
      </c>
      <c r="K618" s="460" t="str">
        <f t="shared" ca="1" si="136"/>
        <v/>
      </c>
      <c r="L618" s="460" t="str">
        <f t="shared" ca="1" si="136"/>
        <v/>
      </c>
      <c r="M618" s="460" t="str">
        <f t="shared" ca="1" si="136"/>
        <v/>
      </c>
      <c r="N618" s="460" t="str">
        <f t="shared" ca="1" si="136"/>
        <v/>
      </c>
      <c r="O618" s="461" t="str">
        <f t="shared" ca="1" si="136"/>
        <v/>
      </c>
      <c r="P618" s="474" t="str">
        <f t="shared" ca="1" si="136"/>
        <v/>
      </c>
      <c r="Q618" s="475" t="str">
        <f t="shared" ca="1" si="136"/>
        <v/>
      </c>
      <c r="R618" s="476">
        <f ca="1">IF(OR($BG$2=0,$AR618=""),,IF($AR618="本月合计",IF(ROW()=$BG$3,SUM($R$6:$R617),SUM(INDIRECT("$R$"&amp;OFFSET($AU$3,,MATCH(ROW(),$AU$3:$BF$3,)-2)+2&amp;":$R"&amp;ROW()-1))),IF($AR618="本年累计",SUMIF($AR$6:$AR618,"本月合计",$R$6:$R617),INDEX(凭证录入!L:L,$AR618))))</f>
        <v>0</v>
      </c>
      <c r="S618" s="459" t="str">
        <f t="shared" ca="1" si="137"/>
        <v/>
      </c>
      <c r="T618" s="460" t="str">
        <f t="shared" ca="1" si="137"/>
        <v/>
      </c>
      <c r="U618" s="460" t="str">
        <f t="shared" ca="1" si="137"/>
        <v/>
      </c>
      <c r="V618" s="460" t="str">
        <f t="shared" ca="1" si="137"/>
        <v/>
      </c>
      <c r="W618" s="460" t="str">
        <f t="shared" ca="1" si="137"/>
        <v/>
      </c>
      <c r="X618" s="460" t="str">
        <f t="shared" ca="1" si="137"/>
        <v/>
      </c>
      <c r="Y618" s="460" t="str">
        <f t="shared" ca="1" si="137"/>
        <v/>
      </c>
      <c r="Z618" s="460" t="str">
        <f t="shared" ca="1" si="137"/>
        <v/>
      </c>
      <c r="AA618" s="461" t="str">
        <f t="shared" ca="1" si="137"/>
        <v/>
      </c>
      <c r="AB618" s="474" t="str">
        <f t="shared" ca="1" si="137"/>
        <v/>
      </c>
      <c r="AC618" s="475" t="str">
        <f t="shared" ca="1" si="137"/>
        <v/>
      </c>
      <c r="AD618" s="477" t="str">
        <f t="shared" ca="1" si="130"/>
        <v/>
      </c>
      <c r="AE618" s="478">
        <f t="shared" ca="1" si="131"/>
        <v>0</v>
      </c>
      <c r="AF618" s="459" t="str">
        <f t="shared" ca="1" si="135"/>
        <v/>
      </c>
      <c r="AG618" s="460" t="str">
        <f t="shared" ca="1" si="135"/>
        <v/>
      </c>
      <c r="AH618" s="460" t="str">
        <f t="shared" ca="1" si="135"/>
        <v/>
      </c>
      <c r="AI618" s="460" t="str">
        <f t="shared" ca="1" si="135"/>
        <v/>
      </c>
      <c r="AJ618" s="460" t="str">
        <f t="shared" ca="1" si="135"/>
        <v/>
      </c>
      <c r="AK618" s="460" t="str">
        <f t="shared" ca="1" si="135"/>
        <v/>
      </c>
      <c r="AL618" s="460" t="str">
        <f t="shared" ca="1" si="135"/>
        <v/>
      </c>
      <c r="AM618" s="460" t="str">
        <f t="shared" ca="1" si="135"/>
        <v/>
      </c>
      <c r="AN618" s="461" t="str">
        <f t="shared" ca="1" si="135"/>
        <v/>
      </c>
      <c r="AO618" s="474" t="str">
        <f t="shared" ca="1" si="135"/>
        <v/>
      </c>
      <c r="AP618" s="475" t="str">
        <f t="shared" ca="1" si="135"/>
        <v/>
      </c>
      <c r="AQ618" s="479" t="str">
        <f t="array" aca="1" ref="AQ618" ca="1">IF(ROW()-5&lt;=COUNTIF(科目编号,$AR$2),SMALL(IF(科目编号=$AR$2,ROW(科目编号),""),ROW()-5),"")</f>
        <v/>
      </c>
      <c r="AR618" s="480" t="str">
        <f ca="1">IF($BG$2=0,"",IF(AR617="本月合计","本年累计",IF(OR(ROW()=$AU$3,ROW()=$AV$3,ROW()=$AW$3,ROW()=$AX$3,ROW()=$AY$3,ROW()=$AZ$3,ROW()=$BA$3,ROW()=$BB$3,ROW()=$BC$3,ROW()=$BD$3,ROW()=$BE$3,ROW()=$BF$3),"本月合计",IF(ROW()&lt;7,$AQ$6,OFFSET($AQ$6,COUNT($AR$6:AR617),0)))))</f>
        <v/>
      </c>
    </row>
    <row r="619" spans="1:44">
      <c r="A619" s="469" t="str">
        <f ca="1">IFERROR(INDEX(凭证录入!A:A,$AR619),"")</f>
        <v/>
      </c>
      <c r="B619" s="469" t="str">
        <f ca="1">IFERROR(INDEX(凭证录入!B:B,$AR619),"")</f>
        <v/>
      </c>
      <c r="C619" s="470" t="str">
        <f ca="1">IFERROR(INDEX(凭证录入!G:G,$AR619),"")</f>
        <v/>
      </c>
      <c r="D619" s="471" t="str">
        <f ca="1">IFERROR(INDEX(凭证录入!F:F,$AR619),"")</f>
        <v/>
      </c>
      <c r="E619" s="472" t="str">
        <f ca="1">IFERROR(INDEX(凭证录入!H:H,$AR619),$AR619)</f>
        <v/>
      </c>
      <c r="F619" s="473">
        <f ca="1">IF(OR($BG$2=0,$AR619=""),,IF($AR619="本月合计",IF(ROW()=$BG$3,SUM($F$6:$F618),SUM(INDIRECT("$F$"&amp;OFFSET($AU$3,,MATCH(ROW(),$AU$3:$BF$3,)-2)+2&amp;":$E"&amp;ROW()-1))),IF($AR619="本年累计",SUMIF($AR$6:$AR619,"本月合计",$F$6:$F618),INDEX(凭证录入!K:K,$AR619))))</f>
        <v>0</v>
      </c>
      <c r="G619" s="459" t="str">
        <f t="shared" ca="1" si="136"/>
        <v/>
      </c>
      <c r="H619" s="460" t="str">
        <f t="shared" ca="1" si="136"/>
        <v/>
      </c>
      <c r="I619" s="460" t="str">
        <f t="shared" ca="1" si="136"/>
        <v/>
      </c>
      <c r="J619" s="460" t="str">
        <f t="shared" ca="1" si="136"/>
        <v/>
      </c>
      <c r="K619" s="460" t="str">
        <f t="shared" ca="1" si="136"/>
        <v/>
      </c>
      <c r="L619" s="460" t="str">
        <f t="shared" ca="1" si="136"/>
        <v/>
      </c>
      <c r="M619" s="460" t="str">
        <f t="shared" ca="1" si="136"/>
        <v/>
      </c>
      <c r="N619" s="460" t="str">
        <f t="shared" ca="1" si="136"/>
        <v/>
      </c>
      <c r="O619" s="461" t="str">
        <f t="shared" ca="1" si="136"/>
        <v/>
      </c>
      <c r="P619" s="474" t="str">
        <f t="shared" ca="1" si="136"/>
        <v/>
      </c>
      <c r="Q619" s="475" t="str">
        <f t="shared" ca="1" si="136"/>
        <v/>
      </c>
      <c r="R619" s="476">
        <f ca="1">IF(OR($BG$2=0,$AR619=""),,IF($AR619="本月合计",IF(ROW()=$BG$3,SUM($R$6:$R618),SUM(INDIRECT("$R$"&amp;OFFSET($AU$3,,MATCH(ROW(),$AU$3:$BF$3,)-2)+2&amp;":$R"&amp;ROW()-1))),IF($AR619="本年累计",SUMIF($AR$6:$AR619,"本月合计",$R$6:$R618),INDEX(凭证录入!L:L,$AR619))))</f>
        <v>0</v>
      </c>
      <c r="S619" s="459" t="str">
        <f t="shared" ca="1" si="137"/>
        <v/>
      </c>
      <c r="T619" s="460" t="str">
        <f t="shared" ca="1" si="137"/>
        <v/>
      </c>
      <c r="U619" s="460" t="str">
        <f t="shared" ca="1" si="137"/>
        <v/>
      </c>
      <c r="V619" s="460" t="str">
        <f t="shared" ca="1" si="137"/>
        <v/>
      </c>
      <c r="W619" s="460" t="str">
        <f t="shared" ca="1" si="137"/>
        <v/>
      </c>
      <c r="X619" s="460" t="str">
        <f t="shared" ca="1" si="137"/>
        <v/>
      </c>
      <c r="Y619" s="460" t="str">
        <f t="shared" ca="1" si="137"/>
        <v/>
      </c>
      <c r="Z619" s="460" t="str">
        <f t="shared" ca="1" si="137"/>
        <v/>
      </c>
      <c r="AA619" s="461" t="str">
        <f t="shared" ca="1" si="137"/>
        <v/>
      </c>
      <c r="AB619" s="474" t="str">
        <f t="shared" ca="1" si="137"/>
        <v/>
      </c>
      <c r="AC619" s="475" t="str">
        <f t="shared" ca="1" si="137"/>
        <v/>
      </c>
      <c r="AD619" s="477" t="str">
        <f t="shared" ca="1" si="130"/>
        <v/>
      </c>
      <c r="AE619" s="478">
        <f t="shared" ca="1" si="131"/>
        <v>0</v>
      </c>
      <c r="AF619" s="459" t="str">
        <f t="shared" ca="1" si="135"/>
        <v/>
      </c>
      <c r="AG619" s="460" t="str">
        <f t="shared" ca="1" si="135"/>
        <v/>
      </c>
      <c r="AH619" s="460" t="str">
        <f t="shared" ca="1" si="135"/>
        <v/>
      </c>
      <c r="AI619" s="460" t="str">
        <f t="shared" ca="1" si="135"/>
        <v/>
      </c>
      <c r="AJ619" s="460" t="str">
        <f t="shared" ca="1" si="135"/>
        <v/>
      </c>
      <c r="AK619" s="460" t="str">
        <f t="shared" ca="1" si="135"/>
        <v/>
      </c>
      <c r="AL619" s="460" t="str">
        <f t="shared" ca="1" si="135"/>
        <v/>
      </c>
      <c r="AM619" s="460" t="str">
        <f t="shared" ca="1" si="135"/>
        <v/>
      </c>
      <c r="AN619" s="461" t="str">
        <f t="shared" ca="1" si="135"/>
        <v/>
      </c>
      <c r="AO619" s="474" t="str">
        <f t="shared" ca="1" si="135"/>
        <v/>
      </c>
      <c r="AP619" s="475" t="str">
        <f t="shared" ca="1" si="135"/>
        <v/>
      </c>
      <c r="AQ619" s="479" t="str">
        <f t="array" aca="1" ref="AQ619" ca="1">IF(ROW()-5&lt;=COUNTIF(科目编号,$AR$2),SMALL(IF(科目编号=$AR$2,ROW(科目编号),""),ROW()-5),"")</f>
        <v/>
      </c>
      <c r="AR619" s="480" t="str">
        <f ca="1">IF($BG$2=0,"",IF(AR618="本月合计","本年累计",IF(OR(ROW()=$AU$3,ROW()=$AV$3,ROW()=$AW$3,ROW()=$AX$3,ROW()=$AY$3,ROW()=$AZ$3,ROW()=$BA$3,ROW()=$BB$3,ROW()=$BC$3,ROW()=$BD$3,ROW()=$BE$3,ROW()=$BF$3),"本月合计",IF(ROW()&lt;7,$AQ$6,OFFSET($AQ$6,COUNT($AR$6:AR618),0)))))</f>
        <v/>
      </c>
    </row>
    <row r="620" spans="1:44">
      <c r="A620" s="469" t="str">
        <f ca="1">IFERROR(INDEX(凭证录入!A:A,$AR620),"")</f>
        <v/>
      </c>
      <c r="B620" s="469" t="str">
        <f ca="1">IFERROR(INDEX(凭证录入!B:B,$AR620),"")</f>
        <v/>
      </c>
      <c r="C620" s="470" t="str">
        <f ca="1">IFERROR(INDEX(凭证录入!G:G,$AR620),"")</f>
        <v/>
      </c>
      <c r="D620" s="471" t="str">
        <f ca="1">IFERROR(INDEX(凭证录入!F:F,$AR620),"")</f>
        <v/>
      </c>
      <c r="E620" s="472" t="str">
        <f ca="1">IFERROR(INDEX(凭证录入!H:H,$AR620),$AR620)</f>
        <v/>
      </c>
      <c r="F620" s="473">
        <f ca="1">IF(OR($BG$2=0,$AR620=""),,IF($AR620="本月合计",IF(ROW()=$BG$3,SUM($F$6:$F619),SUM(INDIRECT("$F$"&amp;OFFSET($AU$3,,MATCH(ROW(),$AU$3:$BF$3,)-2)+2&amp;":$E"&amp;ROW()-1))),IF($AR620="本年累计",SUMIF($AR$6:$AR620,"本月合计",$F$6:$F619),INDEX(凭证录入!K:K,$AR620))))</f>
        <v>0</v>
      </c>
      <c r="G620" s="459" t="str">
        <f t="shared" ca="1" si="136"/>
        <v/>
      </c>
      <c r="H620" s="460" t="str">
        <f t="shared" ca="1" si="136"/>
        <v/>
      </c>
      <c r="I620" s="460" t="str">
        <f t="shared" ca="1" si="136"/>
        <v/>
      </c>
      <c r="J620" s="460" t="str">
        <f t="shared" ca="1" si="136"/>
        <v/>
      </c>
      <c r="K620" s="460" t="str">
        <f t="shared" ca="1" si="136"/>
        <v/>
      </c>
      <c r="L620" s="460" t="str">
        <f t="shared" ca="1" si="136"/>
        <v/>
      </c>
      <c r="M620" s="460" t="str">
        <f t="shared" ca="1" si="136"/>
        <v/>
      </c>
      <c r="N620" s="460" t="str">
        <f t="shared" ca="1" si="136"/>
        <v/>
      </c>
      <c r="O620" s="461" t="str">
        <f t="shared" ca="1" si="136"/>
        <v/>
      </c>
      <c r="P620" s="474" t="str">
        <f t="shared" ca="1" si="136"/>
        <v/>
      </c>
      <c r="Q620" s="475" t="str">
        <f t="shared" ca="1" si="136"/>
        <v/>
      </c>
      <c r="R620" s="476">
        <f ca="1">IF(OR($BG$2=0,$AR620=""),,IF($AR620="本月合计",IF(ROW()=$BG$3,SUM($R$6:$R619),SUM(INDIRECT("$R$"&amp;OFFSET($AU$3,,MATCH(ROW(),$AU$3:$BF$3,)-2)+2&amp;":$R"&amp;ROW()-1))),IF($AR620="本年累计",SUMIF($AR$6:$AR620,"本月合计",$R$6:$R619),INDEX(凭证录入!L:L,$AR620))))</f>
        <v>0</v>
      </c>
      <c r="S620" s="459" t="str">
        <f t="shared" ca="1" si="137"/>
        <v/>
      </c>
      <c r="T620" s="460" t="str">
        <f t="shared" ca="1" si="137"/>
        <v/>
      </c>
      <c r="U620" s="460" t="str">
        <f t="shared" ca="1" si="137"/>
        <v/>
      </c>
      <c r="V620" s="460" t="str">
        <f t="shared" ca="1" si="137"/>
        <v/>
      </c>
      <c r="W620" s="460" t="str">
        <f t="shared" ca="1" si="137"/>
        <v/>
      </c>
      <c r="X620" s="460" t="str">
        <f t="shared" ca="1" si="137"/>
        <v/>
      </c>
      <c r="Y620" s="460" t="str">
        <f t="shared" ca="1" si="137"/>
        <v/>
      </c>
      <c r="Z620" s="460" t="str">
        <f t="shared" ca="1" si="137"/>
        <v/>
      </c>
      <c r="AA620" s="461" t="str">
        <f t="shared" ca="1" si="137"/>
        <v/>
      </c>
      <c r="AB620" s="474" t="str">
        <f t="shared" ca="1" si="137"/>
        <v/>
      </c>
      <c r="AC620" s="475" t="str">
        <f t="shared" ca="1" si="137"/>
        <v/>
      </c>
      <c r="AD620" s="477" t="str">
        <f t="shared" ca="1" si="130"/>
        <v/>
      </c>
      <c r="AE620" s="478">
        <f t="shared" ca="1" si="131"/>
        <v>0</v>
      </c>
      <c r="AF620" s="459" t="str">
        <f t="shared" ca="1" si="135"/>
        <v/>
      </c>
      <c r="AG620" s="460" t="str">
        <f t="shared" ca="1" si="135"/>
        <v/>
      </c>
      <c r="AH620" s="460" t="str">
        <f t="shared" ca="1" si="135"/>
        <v/>
      </c>
      <c r="AI620" s="460" t="str">
        <f t="shared" ca="1" si="135"/>
        <v/>
      </c>
      <c r="AJ620" s="460" t="str">
        <f t="shared" ca="1" si="135"/>
        <v/>
      </c>
      <c r="AK620" s="460" t="str">
        <f t="shared" ca="1" si="135"/>
        <v/>
      </c>
      <c r="AL620" s="460" t="str">
        <f t="shared" ca="1" si="135"/>
        <v/>
      </c>
      <c r="AM620" s="460" t="str">
        <f t="shared" ca="1" si="135"/>
        <v/>
      </c>
      <c r="AN620" s="461" t="str">
        <f t="shared" ca="1" si="135"/>
        <v/>
      </c>
      <c r="AO620" s="474" t="str">
        <f t="shared" ca="1" si="135"/>
        <v/>
      </c>
      <c r="AP620" s="475" t="str">
        <f t="shared" ca="1" si="135"/>
        <v/>
      </c>
      <c r="AQ620" s="479" t="str">
        <f t="array" aca="1" ref="AQ620" ca="1">IF(ROW()-5&lt;=COUNTIF(科目编号,$AR$2),SMALL(IF(科目编号=$AR$2,ROW(科目编号),""),ROW()-5),"")</f>
        <v/>
      </c>
      <c r="AR620" s="480" t="str">
        <f ca="1">IF($BG$2=0,"",IF(AR619="本月合计","本年累计",IF(OR(ROW()=$AU$3,ROW()=$AV$3,ROW()=$AW$3,ROW()=$AX$3,ROW()=$AY$3,ROW()=$AZ$3,ROW()=$BA$3,ROW()=$BB$3,ROW()=$BC$3,ROW()=$BD$3,ROW()=$BE$3,ROW()=$BF$3),"本月合计",IF(ROW()&lt;7,$AQ$6,OFFSET($AQ$6,COUNT($AR$6:AR619),0)))))</f>
        <v/>
      </c>
    </row>
    <row r="621" spans="1:44">
      <c r="A621" s="469" t="str">
        <f ca="1">IFERROR(INDEX(凭证录入!A:A,$AR621),"")</f>
        <v/>
      </c>
      <c r="B621" s="469" t="str">
        <f ca="1">IFERROR(INDEX(凭证录入!B:B,$AR621),"")</f>
        <v/>
      </c>
      <c r="C621" s="470" t="str">
        <f ca="1">IFERROR(INDEX(凭证录入!G:G,$AR621),"")</f>
        <v/>
      </c>
      <c r="D621" s="471" t="str">
        <f ca="1">IFERROR(INDEX(凭证录入!F:F,$AR621),"")</f>
        <v/>
      </c>
      <c r="E621" s="472" t="str">
        <f ca="1">IFERROR(INDEX(凭证录入!H:H,$AR621),$AR621)</f>
        <v/>
      </c>
      <c r="F621" s="473">
        <f ca="1">IF(OR($BG$2=0,$AR621=""),,IF($AR621="本月合计",IF(ROW()=$BG$3,SUM($F$6:$F620),SUM(INDIRECT("$F$"&amp;OFFSET($AU$3,,MATCH(ROW(),$AU$3:$BF$3,)-2)+2&amp;":$E"&amp;ROW()-1))),IF($AR621="本年累计",SUMIF($AR$6:$AR621,"本月合计",$F$6:$F620),INDEX(凭证录入!K:K,$AR621))))</f>
        <v>0</v>
      </c>
      <c r="G621" s="459" t="str">
        <f t="shared" ca="1" si="136"/>
        <v/>
      </c>
      <c r="H621" s="460" t="str">
        <f t="shared" ca="1" si="136"/>
        <v/>
      </c>
      <c r="I621" s="460" t="str">
        <f t="shared" ca="1" si="136"/>
        <v/>
      </c>
      <c r="J621" s="460" t="str">
        <f t="shared" ca="1" si="136"/>
        <v/>
      </c>
      <c r="K621" s="460" t="str">
        <f t="shared" ca="1" si="136"/>
        <v/>
      </c>
      <c r="L621" s="460" t="str">
        <f t="shared" ca="1" si="136"/>
        <v/>
      </c>
      <c r="M621" s="460" t="str">
        <f t="shared" ca="1" si="136"/>
        <v/>
      </c>
      <c r="N621" s="460" t="str">
        <f t="shared" ca="1" si="136"/>
        <v/>
      </c>
      <c r="O621" s="461" t="str">
        <f t="shared" ca="1" si="136"/>
        <v/>
      </c>
      <c r="P621" s="474" t="str">
        <f t="shared" ca="1" si="136"/>
        <v/>
      </c>
      <c r="Q621" s="475" t="str">
        <f t="shared" ca="1" si="136"/>
        <v/>
      </c>
      <c r="R621" s="476">
        <f ca="1">IF(OR($BG$2=0,$AR621=""),,IF($AR621="本月合计",IF(ROW()=$BG$3,SUM($R$6:$R620),SUM(INDIRECT("$R$"&amp;OFFSET($AU$3,,MATCH(ROW(),$AU$3:$BF$3,)-2)+2&amp;":$R"&amp;ROW()-1))),IF($AR621="本年累计",SUMIF($AR$6:$AR621,"本月合计",$R$6:$R620),INDEX(凭证录入!L:L,$AR621))))</f>
        <v>0</v>
      </c>
      <c r="S621" s="459" t="str">
        <f t="shared" ca="1" si="137"/>
        <v/>
      </c>
      <c r="T621" s="460" t="str">
        <f t="shared" ca="1" si="137"/>
        <v/>
      </c>
      <c r="U621" s="460" t="str">
        <f t="shared" ca="1" si="137"/>
        <v/>
      </c>
      <c r="V621" s="460" t="str">
        <f t="shared" ca="1" si="137"/>
        <v/>
      </c>
      <c r="W621" s="460" t="str">
        <f t="shared" ca="1" si="137"/>
        <v/>
      </c>
      <c r="X621" s="460" t="str">
        <f t="shared" ca="1" si="137"/>
        <v/>
      </c>
      <c r="Y621" s="460" t="str">
        <f t="shared" ca="1" si="137"/>
        <v/>
      </c>
      <c r="Z621" s="460" t="str">
        <f t="shared" ca="1" si="137"/>
        <v/>
      </c>
      <c r="AA621" s="461" t="str">
        <f t="shared" ca="1" si="137"/>
        <v/>
      </c>
      <c r="AB621" s="474" t="str">
        <f t="shared" ca="1" si="137"/>
        <v/>
      </c>
      <c r="AC621" s="475" t="str">
        <f t="shared" ca="1" si="137"/>
        <v/>
      </c>
      <c r="AD621" s="477" t="str">
        <f t="shared" ca="1" si="130"/>
        <v/>
      </c>
      <c r="AE621" s="478">
        <f t="shared" ca="1" si="131"/>
        <v>0</v>
      </c>
      <c r="AF621" s="459" t="str">
        <f t="shared" ca="1" si="135"/>
        <v/>
      </c>
      <c r="AG621" s="460" t="str">
        <f t="shared" ca="1" si="135"/>
        <v/>
      </c>
      <c r="AH621" s="460" t="str">
        <f t="shared" ca="1" si="135"/>
        <v/>
      </c>
      <c r="AI621" s="460" t="str">
        <f t="shared" ca="1" si="135"/>
        <v/>
      </c>
      <c r="AJ621" s="460" t="str">
        <f t="shared" ca="1" si="135"/>
        <v/>
      </c>
      <c r="AK621" s="460" t="str">
        <f t="shared" ca="1" si="135"/>
        <v/>
      </c>
      <c r="AL621" s="460" t="str">
        <f t="shared" ca="1" si="135"/>
        <v/>
      </c>
      <c r="AM621" s="460" t="str">
        <f t="shared" ca="1" si="135"/>
        <v/>
      </c>
      <c r="AN621" s="461" t="str">
        <f t="shared" ca="1" si="135"/>
        <v/>
      </c>
      <c r="AO621" s="474" t="str">
        <f t="shared" ca="1" si="135"/>
        <v/>
      </c>
      <c r="AP621" s="475" t="str">
        <f t="shared" ca="1" si="135"/>
        <v/>
      </c>
      <c r="AQ621" s="479" t="str">
        <f t="array" aca="1" ref="AQ621" ca="1">IF(ROW()-5&lt;=COUNTIF(科目编号,$AR$2),SMALL(IF(科目编号=$AR$2,ROW(科目编号),""),ROW()-5),"")</f>
        <v/>
      </c>
      <c r="AR621" s="480" t="str">
        <f ca="1">IF($BG$2=0,"",IF(AR620="本月合计","本年累计",IF(OR(ROW()=$AU$3,ROW()=$AV$3,ROW()=$AW$3,ROW()=$AX$3,ROW()=$AY$3,ROW()=$AZ$3,ROW()=$BA$3,ROW()=$BB$3,ROW()=$BC$3,ROW()=$BD$3,ROW()=$BE$3,ROW()=$BF$3),"本月合计",IF(ROW()&lt;7,$AQ$6,OFFSET($AQ$6,COUNT($AR$6:AR620),0)))))</f>
        <v/>
      </c>
    </row>
    <row r="622" spans="1:44">
      <c r="A622" s="469" t="str">
        <f ca="1">IFERROR(INDEX(凭证录入!A:A,$AR622),"")</f>
        <v/>
      </c>
      <c r="B622" s="469" t="str">
        <f ca="1">IFERROR(INDEX(凭证录入!B:B,$AR622),"")</f>
        <v/>
      </c>
      <c r="C622" s="470" t="str">
        <f ca="1">IFERROR(INDEX(凭证录入!G:G,$AR622),"")</f>
        <v/>
      </c>
      <c r="D622" s="471" t="str">
        <f ca="1">IFERROR(INDEX(凭证录入!F:F,$AR622),"")</f>
        <v/>
      </c>
      <c r="E622" s="472" t="str">
        <f ca="1">IFERROR(INDEX(凭证录入!H:H,$AR622),$AR622)</f>
        <v/>
      </c>
      <c r="F622" s="473">
        <f ca="1">IF(OR($BG$2=0,$AR622=""),,IF($AR622="本月合计",IF(ROW()=$BG$3,SUM($F$6:$F621),SUM(INDIRECT("$F$"&amp;OFFSET($AU$3,,MATCH(ROW(),$AU$3:$BF$3,)-2)+2&amp;":$E"&amp;ROW()-1))),IF($AR622="本年累计",SUMIF($AR$6:$AR622,"本月合计",$F$6:$F621),INDEX(凭证录入!K:K,$AR622))))</f>
        <v>0</v>
      </c>
      <c r="G622" s="459" t="str">
        <f t="shared" ca="1" si="136"/>
        <v/>
      </c>
      <c r="H622" s="460" t="str">
        <f t="shared" ca="1" si="136"/>
        <v/>
      </c>
      <c r="I622" s="460" t="str">
        <f t="shared" ca="1" si="136"/>
        <v/>
      </c>
      <c r="J622" s="460" t="str">
        <f t="shared" ca="1" si="136"/>
        <v/>
      </c>
      <c r="K622" s="460" t="str">
        <f t="shared" ca="1" si="136"/>
        <v/>
      </c>
      <c r="L622" s="460" t="str">
        <f t="shared" ca="1" si="136"/>
        <v/>
      </c>
      <c r="M622" s="460" t="str">
        <f t="shared" ca="1" si="136"/>
        <v/>
      </c>
      <c r="N622" s="460" t="str">
        <f t="shared" ca="1" si="136"/>
        <v/>
      </c>
      <c r="O622" s="461" t="str">
        <f t="shared" ca="1" si="136"/>
        <v/>
      </c>
      <c r="P622" s="474" t="str">
        <f t="shared" ca="1" si="136"/>
        <v/>
      </c>
      <c r="Q622" s="475" t="str">
        <f t="shared" ca="1" si="136"/>
        <v/>
      </c>
      <c r="R622" s="476">
        <f ca="1">IF(OR($BG$2=0,$AR622=""),,IF($AR622="本月合计",IF(ROW()=$BG$3,SUM($R$6:$R621),SUM(INDIRECT("$R$"&amp;OFFSET($AU$3,,MATCH(ROW(),$AU$3:$BF$3,)-2)+2&amp;":$R"&amp;ROW()-1))),IF($AR622="本年累计",SUMIF($AR$6:$AR622,"本月合计",$R$6:$R621),INDEX(凭证录入!L:L,$AR622))))</f>
        <v>0</v>
      </c>
      <c r="S622" s="459" t="str">
        <f t="shared" ca="1" si="137"/>
        <v/>
      </c>
      <c r="T622" s="460" t="str">
        <f t="shared" ca="1" si="137"/>
        <v/>
      </c>
      <c r="U622" s="460" t="str">
        <f t="shared" ca="1" si="137"/>
        <v/>
      </c>
      <c r="V622" s="460" t="str">
        <f t="shared" ca="1" si="137"/>
        <v/>
      </c>
      <c r="W622" s="460" t="str">
        <f t="shared" ca="1" si="137"/>
        <v/>
      </c>
      <c r="X622" s="460" t="str">
        <f t="shared" ca="1" si="137"/>
        <v/>
      </c>
      <c r="Y622" s="460" t="str">
        <f t="shared" ca="1" si="137"/>
        <v/>
      </c>
      <c r="Z622" s="460" t="str">
        <f t="shared" ca="1" si="137"/>
        <v/>
      </c>
      <c r="AA622" s="461" t="str">
        <f t="shared" ca="1" si="137"/>
        <v/>
      </c>
      <c r="AB622" s="474" t="str">
        <f t="shared" ca="1" si="137"/>
        <v/>
      </c>
      <c r="AC622" s="475" t="str">
        <f t="shared" ca="1" si="137"/>
        <v/>
      </c>
      <c r="AD622" s="477" t="str">
        <f t="shared" ca="1" si="130"/>
        <v/>
      </c>
      <c r="AE622" s="478">
        <f t="shared" ca="1" si="131"/>
        <v>0</v>
      </c>
      <c r="AF622" s="459" t="str">
        <f t="shared" ca="1" si="135"/>
        <v/>
      </c>
      <c r="AG622" s="460" t="str">
        <f t="shared" ca="1" si="135"/>
        <v/>
      </c>
      <c r="AH622" s="460" t="str">
        <f t="shared" ca="1" si="135"/>
        <v/>
      </c>
      <c r="AI622" s="460" t="str">
        <f t="shared" ca="1" si="135"/>
        <v/>
      </c>
      <c r="AJ622" s="460" t="str">
        <f t="shared" ca="1" si="135"/>
        <v/>
      </c>
      <c r="AK622" s="460" t="str">
        <f t="shared" ca="1" si="135"/>
        <v/>
      </c>
      <c r="AL622" s="460" t="str">
        <f t="shared" ca="1" si="135"/>
        <v/>
      </c>
      <c r="AM622" s="460" t="str">
        <f t="shared" ca="1" si="135"/>
        <v/>
      </c>
      <c r="AN622" s="461" t="str">
        <f t="shared" ca="1" si="135"/>
        <v/>
      </c>
      <c r="AO622" s="474" t="str">
        <f t="shared" ca="1" si="135"/>
        <v/>
      </c>
      <c r="AP622" s="475" t="str">
        <f t="shared" ca="1" si="135"/>
        <v/>
      </c>
      <c r="AQ622" s="479" t="str">
        <f t="array" aca="1" ref="AQ622" ca="1">IF(ROW()-5&lt;=COUNTIF(科目编号,$AR$2),SMALL(IF(科目编号=$AR$2,ROW(科目编号),""),ROW()-5),"")</f>
        <v/>
      </c>
      <c r="AR622" s="480" t="str">
        <f ca="1">IF($BG$2=0,"",IF(AR621="本月合计","本年累计",IF(OR(ROW()=$AU$3,ROW()=$AV$3,ROW()=$AW$3,ROW()=$AX$3,ROW()=$AY$3,ROW()=$AZ$3,ROW()=$BA$3,ROW()=$BB$3,ROW()=$BC$3,ROW()=$BD$3,ROW()=$BE$3,ROW()=$BF$3),"本月合计",IF(ROW()&lt;7,$AQ$6,OFFSET($AQ$6,COUNT($AR$6:AR621),0)))))</f>
        <v/>
      </c>
    </row>
    <row r="623" spans="1:44">
      <c r="A623" s="469" t="str">
        <f ca="1">IFERROR(INDEX(凭证录入!A:A,$AR623),"")</f>
        <v/>
      </c>
      <c r="B623" s="469" t="str">
        <f ca="1">IFERROR(INDEX(凭证录入!B:B,$AR623),"")</f>
        <v/>
      </c>
      <c r="C623" s="470" t="str">
        <f ca="1">IFERROR(INDEX(凭证录入!G:G,$AR623),"")</f>
        <v/>
      </c>
      <c r="D623" s="471" t="str">
        <f ca="1">IFERROR(INDEX(凭证录入!F:F,$AR623),"")</f>
        <v/>
      </c>
      <c r="E623" s="472" t="str">
        <f ca="1">IFERROR(INDEX(凭证录入!H:H,$AR623),$AR623)</f>
        <v/>
      </c>
      <c r="F623" s="473">
        <f ca="1">IF(OR($BG$2=0,$AR623=""),,IF($AR623="本月合计",IF(ROW()=$BG$3,SUM($F$6:$F622),SUM(INDIRECT("$F$"&amp;OFFSET($AU$3,,MATCH(ROW(),$AU$3:$BF$3,)-2)+2&amp;":$E"&amp;ROW()-1))),IF($AR623="本年累计",SUMIF($AR$6:$AR623,"本月合计",$F$6:$F622),INDEX(凭证录入!K:K,$AR623))))</f>
        <v>0</v>
      </c>
      <c r="G623" s="459" t="str">
        <f t="shared" ca="1" si="136"/>
        <v/>
      </c>
      <c r="H623" s="460" t="str">
        <f t="shared" ca="1" si="136"/>
        <v/>
      </c>
      <c r="I623" s="460" t="str">
        <f t="shared" ca="1" si="136"/>
        <v/>
      </c>
      <c r="J623" s="460" t="str">
        <f t="shared" ca="1" si="136"/>
        <v/>
      </c>
      <c r="K623" s="460" t="str">
        <f t="shared" ca="1" si="136"/>
        <v/>
      </c>
      <c r="L623" s="460" t="str">
        <f t="shared" ca="1" si="136"/>
        <v/>
      </c>
      <c r="M623" s="460" t="str">
        <f t="shared" ca="1" si="136"/>
        <v/>
      </c>
      <c r="N623" s="460" t="str">
        <f t="shared" ca="1" si="136"/>
        <v/>
      </c>
      <c r="O623" s="461" t="str">
        <f t="shared" ca="1" si="136"/>
        <v/>
      </c>
      <c r="P623" s="474" t="str">
        <f t="shared" ca="1" si="136"/>
        <v/>
      </c>
      <c r="Q623" s="475" t="str">
        <f t="shared" ca="1" si="136"/>
        <v/>
      </c>
      <c r="R623" s="476">
        <f ca="1">IF(OR($BG$2=0,$AR623=""),,IF($AR623="本月合计",IF(ROW()=$BG$3,SUM($R$6:$R622),SUM(INDIRECT("$R$"&amp;OFFSET($AU$3,,MATCH(ROW(),$AU$3:$BF$3,)-2)+2&amp;":$R"&amp;ROW()-1))),IF($AR623="本年累计",SUMIF($AR$6:$AR623,"本月合计",$R$6:$R622),INDEX(凭证录入!L:L,$AR623))))</f>
        <v>0</v>
      </c>
      <c r="S623" s="459" t="str">
        <f t="shared" ca="1" si="137"/>
        <v/>
      </c>
      <c r="T623" s="460" t="str">
        <f t="shared" ca="1" si="137"/>
        <v/>
      </c>
      <c r="U623" s="460" t="str">
        <f t="shared" ca="1" si="137"/>
        <v/>
      </c>
      <c r="V623" s="460" t="str">
        <f t="shared" ca="1" si="137"/>
        <v/>
      </c>
      <c r="W623" s="460" t="str">
        <f t="shared" ca="1" si="137"/>
        <v/>
      </c>
      <c r="X623" s="460" t="str">
        <f t="shared" ca="1" si="137"/>
        <v/>
      </c>
      <c r="Y623" s="460" t="str">
        <f t="shared" ca="1" si="137"/>
        <v/>
      </c>
      <c r="Z623" s="460" t="str">
        <f t="shared" ca="1" si="137"/>
        <v/>
      </c>
      <c r="AA623" s="461" t="str">
        <f t="shared" ca="1" si="137"/>
        <v/>
      </c>
      <c r="AB623" s="474" t="str">
        <f t="shared" ca="1" si="137"/>
        <v/>
      </c>
      <c r="AC623" s="475" t="str">
        <f t="shared" ca="1" si="137"/>
        <v/>
      </c>
      <c r="AD623" s="477" t="str">
        <f t="shared" ca="1" si="130"/>
        <v/>
      </c>
      <c r="AE623" s="478">
        <f t="shared" ca="1" si="131"/>
        <v>0</v>
      </c>
      <c r="AF623" s="459" t="str">
        <f t="shared" ca="1" si="135"/>
        <v/>
      </c>
      <c r="AG623" s="460" t="str">
        <f t="shared" ca="1" si="135"/>
        <v/>
      </c>
      <c r="AH623" s="460" t="str">
        <f t="shared" ca="1" si="135"/>
        <v/>
      </c>
      <c r="AI623" s="460" t="str">
        <f t="shared" ca="1" si="135"/>
        <v/>
      </c>
      <c r="AJ623" s="460" t="str">
        <f t="shared" ca="1" si="135"/>
        <v/>
      </c>
      <c r="AK623" s="460" t="str">
        <f t="shared" ca="1" si="135"/>
        <v/>
      </c>
      <c r="AL623" s="460" t="str">
        <f t="shared" ca="1" si="135"/>
        <v/>
      </c>
      <c r="AM623" s="460" t="str">
        <f t="shared" ca="1" si="135"/>
        <v/>
      </c>
      <c r="AN623" s="461" t="str">
        <f t="shared" ca="1" si="135"/>
        <v/>
      </c>
      <c r="AO623" s="474" t="str">
        <f t="shared" ca="1" si="135"/>
        <v/>
      </c>
      <c r="AP623" s="475" t="str">
        <f t="shared" ca="1" si="135"/>
        <v/>
      </c>
      <c r="AQ623" s="479" t="str">
        <f t="array" aca="1" ref="AQ623" ca="1">IF(ROW()-5&lt;=COUNTIF(科目编号,$AR$2),SMALL(IF(科目编号=$AR$2,ROW(科目编号),""),ROW()-5),"")</f>
        <v/>
      </c>
      <c r="AR623" s="480" t="str">
        <f ca="1">IF($BG$2=0,"",IF(AR622="本月合计","本年累计",IF(OR(ROW()=$AU$3,ROW()=$AV$3,ROW()=$AW$3,ROW()=$AX$3,ROW()=$AY$3,ROW()=$AZ$3,ROW()=$BA$3,ROW()=$BB$3,ROW()=$BC$3,ROW()=$BD$3,ROW()=$BE$3,ROW()=$BF$3),"本月合计",IF(ROW()&lt;7,$AQ$6,OFFSET($AQ$6,COUNT($AR$6:AR622),0)))))</f>
        <v/>
      </c>
    </row>
    <row r="624" spans="1:44">
      <c r="A624" s="469" t="str">
        <f ca="1">IFERROR(INDEX(凭证录入!A:A,$AR624),"")</f>
        <v/>
      </c>
      <c r="B624" s="469" t="str">
        <f ca="1">IFERROR(INDEX(凭证录入!B:B,$AR624),"")</f>
        <v/>
      </c>
      <c r="C624" s="470" t="str">
        <f ca="1">IFERROR(INDEX(凭证录入!G:G,$AR624),"")</f>
        <v/>
      </c>
      <c r="D624" s="471" t="str">
        <f ca="1">IFERROR(INDEX(凭证录入!F:F,$AR624),"")</f>
        <v/>
      </c>
      <c r="E624" s="472" t="str">
        <f ca="1">IFERROR(INDEX(凭证录入!H:H,$AR624),$AR624)</f>
        <v/>
      </c>
      <c r="F624" s="473">
        <f ca="1">IF(OR($BG$2=0,$AR624=""),,IF($AR624="本月合计",IF(ROW()=$BG$3,SUM($F$6:$F623),SUM(INDIRECT("$F$"&amp;OFFSET($AU$3,,MATCH(ROW(),$AU$3:$BF$3,)-2)+2&amp;":$E"&amp;ROW()-1))),IF($AR624="本年累计",SUMIF($AR$6:$AR624,"本月合计",$F$6:$F623),INDEX(凭证录入!K:K,$AR624))))</f>
        <v>0</v>
      </c>
      <c r="G624" s="459" t="str">
        <f t="shared" ca="1" si="136"/>
        <v/>
      </c>
      <c r="H624" s="460" t="str">
        <f t="shared" ca="1" si="136"/>
        <v/>
      </c>
      <c r="I624" s="460" t="str">
        <f t="shared" ca="1" si="136"/>
        <v/>
      </c>
      <c r="J624" s="460" t="str">
        <f t="shared" ca="1" si="136"/>
        <v/>
      </c>
      <c r="K624" s="460" t="str">
        <f t="shared" ca="1" si="136"/>
        <v/>
      </c>
      <c r="L624" s="460" t="str">
        <f t="shared" ca="1" si="136"/>
        <v/>
      </c>
      <c r="M624" s="460" t="str">
        <f t="shared" ca="1" si="136"/>
        <v/>
      </c>
      <c r="N624" s="460" t="str">
        <f t="shared" ca="1" si="136"/>
        <v/>
      </c>
      <c r="O624" s="461" t="str">
        <f t="shared" ca="1" si="136"/>
        <v/>
      </c>
      <c r="P624" s="474" t="str">
        <f t="shared" ca="1" si="136"/>
        <v/>
      </c>
      <c r="Q624" s="475" t="str">
        <f t="shared" ca="1" si="136"/>
        <v/>
      </c>
      <c r="R624" s="476">
        <f ca="1">IF(OR($BG$2=0,$AR624=""),,IF($AR624="本月合计",IF(ROW()=$BG$3,SUM($R$6:$R623),SUM(INDIRECT("$R$"&amp;OFFSET($AU$3,,MATCH(ROW(),$AU$3:$BF$3,)-2)+2&amp;":$R"&amp;ROW()-1))),IF($AR624="本年累计",SUMIF($AR$6:$AR624,"本月合计",$R$6:$R623),INDEX(凭证录入!L:L,$AR624))))</f>
        <v>0</v>
      </c>
      <c r="S624" s="459" t="str">
        <f t="shared" ca="1" si="137"/>
        <v/>
      </c>
      <c r="T624" s="460" t="str">
        <f t="shared" ca="1" si="137"/>
        <v/>
      </c>
      <c r="U624" s="460" t="str">
        <f t="shared" ca="1" si="137"/>
        <v/>
      </c>
      <c r="V624" s="460" t="str">
        <f t="shared" ca="1" si="137"/>
        <v/>
      </c>
      <c r="W624" s="460" t="str">
        <f t="shared" ca="1" si="137"/>
        <v/>
      </c>
      <c r="X624" s="460" t="str">
        <f t="shared" ca="1" si="137"/>
        <v/>
      </c>
      <c r="Y624" s="460" t="str">
        <f t="shared" ca="1" si="137"/>
        <v/>
      </c>
      <c r="Z624" s="460" t="str">
        <f t="shared" ca="1" si="137"/>
        <v/>
      </c>
      <c r="AA624" s="461" t="str">
        <f t="shared" ca="1" si="137"/>
        <v/>
      </c>
      <c r="AB624" s="474" t="str">
        <f t="shared" ca="1" si="137"/>
        <v/>
      </c>
      <c r="AC624" s="475" t="str">
        <f t="shared" ca="1" si="137"/>
        <v/>
      </c>
      <c r="AD624" s="477" t="str">
        <f t="shared" ca="1" si="130"/>
        <v/>
      </c>
      <c r="AE624" s="478">
        <f t="shared" ca="1" si="131"/>
        <v>0</v>
      </c>
      <c r="AF624" s="459" t="str">
        <f t="shared" ca="1" si="135"/>
        <v/>
      </c>
      <c r="AG624" s="460" t="str">
        <f t="shared" ca="1" si="135"/>
        <v/>
      </c>
      <c r="AH624" s="460" t="str">
        <f t="shared" ca="1" si="135"/>
        <v/>
      </c>
      <c r="AI624" s="460" t="str">
        <f t="shared" ca="1" si="135"/>
        <v/>
      </c>
      <c r="AJ624" s="460" t="str">
        <f t="shared" ca="1" si="135"/>
        <v/>
      </c>
      <c r="AK624" s="460" t="str">
        <f t="shared" ca="1" si="135"/>
        <v/>
      </c>
      <c r="AL624" s="460" t="str">
        <f t="shared" ca="1" si="135"/>
        <v/>
      </c>
      <c r="AM624" s="460" t="str">
        <f t="shared" ca="1" si="135"/>
        <v/>
      </c>
      <c r="AN624" s="461" t="str">
        <f t="shared" ca="1" si="135"/>
        <v/>
      </c>
      <c r="AO624" s="474" t="str">
        <f t="shared" ca="1" si="135"/>
        <v/>
      </c>
      <c r="AP624" s="475" t="str">
        <f t="shared" ca="1" si="135"/>
        <v/>
      </c>
      <c r="AQ624" s="479" t="str">
        <f t="array" aca="1" ref="AQ624" ca="1">IF(ROW()-5&lt;=COUNTIF(科目编号,$AR$2),SMALL(IF(科目编号=$AR$2,ROW(科目编号),""),ROW()-5),"")</f>
        <v/>
      </c>
      <c r="AR624" s="480" t="str">
        <f ca="1">IF($BG$2=0,"",IF(AR623="本月合计","本年累计",IF(OR(ROW()=$AU$3,ROW()=$AV$3,ROW()=$AW$3,ROW()=$AX$3,ROW()=$AY$3,ROW()=$AZ$3,ROW()=$BA$3,ROW()=$BB$3,ROW()=$BC$3,ROW()=$BD$3,ROW()=$BE$3,ROW()=$BF$3),"本月合计",IF(ROW()&lt;7,$AQ$6,OFFSET($AQ$6,COUNT($AR$6:AR623),0)))))</f>
        <v/>
      </c>
    </row>
    <row r="625" spans="1:44">
      <c r="A625" s="469" t="str">
        <f ca="1">IFERROR(INDEX(凭证录入!A:A,$AR625),"")</f>
        <v/>
      </c>
      <c r="B625" s="469" t="str">
        <f ca="1">IFERROR(INDEX(凭证录入!B:B,$AR625),"")</f>
        <v/>
      </c>
      <c r="C625" s="470" t="str">
        <f ca="1">IFERROR(INDEX(凭证录入!G:G,$AR625),"")</f>
        <v/>
      </c>
      <c r="D625" s="471" t="str">
        <f ca="1">IFERROR(INDEX(凭证录入!F:F,$AR625),"")</f>
        <v/>
      </c>
      <c r="E625" s="472" t="str">
        <f ca="1">IFERROR(INDEX(凭证录入!H:H,$AR625),$AR625)</f>
        <v/>
      </c>
      <c r="F625" s="473">
        <f ca="1">IF(OR($BG$2=0,$AR625=""),,IF($AR625="本月合计",IF(ROW()=$BG$3,SUM($F$6:$F624),SUM(INDIRECT("$F$"&amp;OFFSET($AU$3,,MATCH(ROW(),$AU$3:$BF$3,)-2)+2&amp;":$E"&amp;ROW()-1))),IF($AR625="本年累计",SUMIF($AR$6:$AR625,"本月合计",$F$6:$F624),INDEX(凭证录入!K:K,$AR625))))</f>
        <v>0</v>
      </c>
      <c r="G625" s="459" t="str">
        <f t="shared" ca="1" si="136"/>
        <v/>
      </c>
      <c r="H625" s="460" t="str">
        <f t="shared" ca="1" si="136"/>
        <v/>
      </c>
      <c r="I625" s="460" t="str">
        <f t="shared" ca="1" si="136"/>
        <v/>
      </c>
      <c r="J625" s="460" t="str">
        <f t="shared" ca="1" si="136"/>
        <v/>
      </c>
      <c r="K625" s="460" t="str">
        <f t="shared" ca="1" si="136"/>
        <v/>
      </c>
      <c r="L625" s="460" t="str">
        <f t="shared" ca="1" si="136"/>
        <v/>
      </c>
      <c r="M625" s="460" t="str">
        <f t="shared" ca="1" si="136"/>
        <v/>
      </c>
      <c r="N625" s="460" t="str">
        <f t="shared" ca="1" si="136"/>
        <v/>
      </c>
      <c r="O625" s="461" t="str">
        <f t="shared" ca="1" si="136"/>
        <v/>
      </c>
      <c r="P625" s="474" t="str">
        <f t="shared" ca="1" si="136"/>
        <v/>
      </c>
      <c r="Q625" s="475" t="str">
        <f t="shared" ca="1" si="136"/>
        <v/>
      </c>
      <c r="R625" s="476">
        <f ca="1">IF(OR($BG$2=0,$AR625=""),,IF($AR625="本月合计",IF(ROW()=$BG$3,SUM($R$6:$R624),SUM(INDIRECT("$R$"&amp;OFFSET($AU$3,,MATCH(ROW(),$AU$3:$BF$3,)-2)+2&amp;":$R"&amp;ROW()-1))),IF($AR625="本年累计",SUMIF($AR$6:$AR625,"本月合计",$R$6:$R624),INDEX(凭证录入!L:L,$AR625))))</f>
        <v>0</v>
      </c>
      <c r="S625" s="459" t="str">
        <f t="shared" ca="1" si="137"/>
        <v/>
      </c>
      <c r="T625" s="460" t="str">
        <f t="shared" ca="1" si="137"/>
        <v/>
      </c>
      <c r="U625" s="460" t="str">
        <f t="shared" ca="1" si="137"/>
        <v/>
      </c>
      <c r="V625" s="460" t="str">
        <f t="shared" ca="1" si="137"/>
        <v/>
      </c>
      <c r="W625" s="460" t="str">
        <f t="shared" ca="1" si="137"/>
        <v/>
      </c>
      <c r="X625" s="460" t="str">
        <f t="shared" ca="1" si="137"/>
        <v/>
      </c>
      <c r="Y625" s="460" t="str">
        <f t="shared" ca="1" si="137"/>
        <v/>
      </c>
      <c r="Z625" s="460" t="str">
        <f t="shared" ca="1" si="137"/>
        <v/>
      </c>
      <c r="AA625" s="461" t="str">
        <f t="shared" ca="1" si="137"/>
        <v/>
      </c>
      <c r="AB625" s="474" t="str">
        <f t="shared" ca="1" si="137"/>
        <v/>
      </c>
      <c r="AC625" s="475" t="str">
        <f t="shared" ca="1" si="137"/>
        <v/>
      </c>
      <c r="AD625" s="477" t="str">
        <f t="shared" ca="1" si="130"/>
        <v/>
      </c>
      <c r="AE625" s="478">
        <f t="shared" ca="1" si="131"/>
        <v>0</v>
      </c>
      <c r="AF625" s="459" t="str">
        <f t="shared" ca="1" si="135"/>
        <v/>
      </c>
      <c r="AG625" s="460" t="str">
        <f t="shared" ca="1" si="135"/>
        <v/>
      </c>
      <c r="AH625" s="460" t="str">
        <f t="shared" ca="1" si="135"/>
        <v/>
      </c>
      <c r="AI625" s="460" t="str">
        <f t="shared" ca="1" si="135"/>
        <v/>
      </c>
      <c r="AJ625" s="460" t="str">
        <f t="shared" ca="1" si="135"/>
        <v/>
      </c>
      <c r="AK625" s="460" t="str">
        <f t="shared" ca="1" si="135"/>
        <v/>
      </c>
      <c r="AL625" s="460" t="str">
        <f t="shared" ca="1" si="135"/>
        <v/>
      </c>
      <c r="AM625" s="460" t="str">
        <f t="shared" ca="1" si="135"/>
        <v/>
      </c>
      <c r="AN625" s="461" t="str">
        <f t="shared" ca="1" si="135"/>
        <v/>
      </c>
      <c r="AO625" s="474" t="str">
        <f t="shared" ca="1" si="135"/>
        <v/>
      </c>
      <c r="AP625" s="475" t="str">
        <f t="shared" ca="1" si="135"/>
        <v/>
      </c>
      <c r="AQ625" s="479" t="str">
        <f t="array" aca="1" ref="AQ625" ca="1">IF(ROW()-5&lt;=COUNTIF(科目编号,$AR$2),SMALL(IF(科目编号=$AR$2,ROW(科目编号),""),ROW()-5),"")</f>
        <v/>
      </c>
      <c r="AR625" s="480" t="str">
        <f ca="1">IF($BG$2=0,"",IF(AR624="本月合计","本年累计",IF(OR(ROW()=$AU$3,ROW()=$AV$3,ROW()=$AW$3,ROW()=$AX$3,ROW()=$AY$3,ROW()=$AZ$3,ROW()=$BA$3,ROW()=$BB$3,ROW()=$BC$3,ROW()=$BD$3,ROW()=$BE$3,ROW()=$BF$3),"本月合计",IF(ROW()&lt;7,$AQ$6,OFFSET($AQ$6,COUNT($AR$6:AR624),0)))))</f>
        <v/>
      </c>
    </row>
    <row r="626" spans="1:44">
      <c r="A626" s="469" t="str">
        <f ca="1">IFERROR(INDEX(凭证录入!A:A,$AR626),"")</f>
        <v/>
      </c>
      <c r="B626" s="469" t="str">
        <f ca="1">IFERROR(INDEX(凭证录入!B:B,$AR626),"")</f>
        <v/>
      </c>
      <c r="C626" s="470" t="str">
        <f ca="1">IFERROR(INDEX(凭证录入!G:G,$AR626),"")</f>
        <v/>
      </c>
      <c r="D626" s="471" t="str">
        <f ca="1">IFERROR(INDEX(凭证录入!F:F,$AR626),"")</f>
        <v/>
      </c>
      <c r="E626" s="472" t="str">
        <f ca="1">IFERROR(INDEX(凭证录入!H:H,$AR626),$AR626)</f>
        <v/>
      </c>
      <c r="F626" s="473">
        <f ca="1">IF(OR($BG$2=0,$AR626=""),,IF($AR626="本月合计",IF(ROW()=$BG$3,SUM($F$6:$F625),SUM(INDIRECT("$F$"&amp;OFFSET($AU$3,,MATCH(ROW(),$AU$3:$BF$3,)-2)+2&amp;":$E"&amp;ROW()-1))),IF($AR626="本年累计",SUMIF($AR$6:$AR626,"本月合计",$F$6:$F625),INDEX(凭证录入!K:K,$AR626))))</f>
        <v>0</v>
      </c>
      <c r="G626" s="459" t="str">
        <f t="shared" ca="1" si="136"/>
        <v/>
      </c>
      <c r="H626" s="460" t="str">
        <f t="shared" ca="1" si="136"/>
        <v/>
      </c>
      <c r="I626" s="460" t="str">
        <f t="shared" ca="1" si="136"/>
        <v/>
      </c>
      <c r="J626" s="460" t="str">
        <f t="shared" ca="1" si="136"/>
        <v/>
      </c>
      <c r="K626" s="460" t="str">
        <f t="shared" ca="1" si="136"/>
        <v/>
      </c>
      <c r="L626" s="460" t="str">
        <f t="shared" ca="1" si="136"/>
        <v/>
      </c>
      <c r="M626" s="460" t="str">
        <f t="shared" ca="1" si="136"/>
        <v/>
      </c>
      <c r="N626" s="460" t="str">
        <f t="shared" ca="1" si="136"/>
        <v/>
      </c>
      <c r="O626" s="461" t="str">
        <f t="shared" ca="1" si="136"/>
        <v/>
      </c>
      <c r="P626" s="474" t="str">
        <f t="shared" ca="1" si="136"/>
        <v/>
      </c>
      <c r="Q626" s="475" t="str">
        <f t="shared" ca="1" si="136"/>
        <v/>
      </c>
      <c r="R626" s="476">
        <f ca="1">IF(OR($BG$2=0,$AR626=""),,IF($AR626="本月合计",IF(ROW()=$BG$3,SUM($R$6:$R625),SUM(INDIRECT("$R$"&amp;OFFSET($AU$3,,MATCH(ROW(),$AU$3:$BF$3,)-2)+2&amp;":$R"&amp;ROW()-1))),IF($AR626="本年累计",SUMIF($AR$6:$AR626,"本月合计",$R$6:$R625),INDEX(凭证录入!L:L,$AR626))))</f>
        <v>0</v>
      </c>
      <c r="S626" s="459" t="str">
        <f t="shared" ca="1" si="137"/>
        <v/>
      </c>
      <c r="T626" s="460" t="str">
        <f t="shared" ca="1" si="137"/>
        <v/>
      </c>
      <c r="U626" s="460" t="str">
        <f t="shared" ca="1" si="137"/>
        <v/>
      </c>
      <c r="V626" s="460" t="str">
        <f t="shared" ca="1" si="137"/>
        <v/>
      </c>
      <c r="W626" s="460" t="str">
        <f t="shared" ca="1" si="137"/>
        <v/>
      </c>
      <c r="X626" s="460" t="str">
        <f t="shared" ca="1" si="137"/>
        <v/>
      </c>
      <c r="Y626" s="460" t="str">
        <f t="shared" ca="1" si="137"/>
        <v/>
      </c>
      <c r="Z626" s="460" t="str">
        <f t="shared" ca="1" si="137"/>
        <v/>
      </c>
      <c r="AA626" s="461" t="str">
        <f t="shared" ca="1" si="137"/>
        <v/>
      </c>
      <c r="AB626" s="474" t="str">
        <f t="shared" ca="1" si="137"/>
        <v/>
      </c>
      <c r="AC626" s="475" t="str">
        <f t="shared" ca="1" si="137"/>
        <v/>
      </c>
      <c r="AD626" s="477" t="str">
        <f t="shared" ca="1" si="130"/>
        <v/>
      </c>
      <c r="AE626" s="478">
        <f t="shared" ca="1" si="131"/>
        <v>0</v>
      </c>
      <c r="AF626" s="459" t="str">
        <f t="shared" ca="1" si="135"/>
        <v/>
      </c>
      <c r="AG626" s="460" t="str">
        <f t="shared" ca="1" si="135"/>
        <v/>
      </c>
      <c r="AH626" s="460" t="str">
        <f t="shared" ca="1" si="135"/>
        <v/>
      </c>
      <c r="AI626" s="460" t="str">
        <f t="shared" ca="1" si="135"/>
        <v/>
      </c>
      <c r="AJ626" s="460" t="str">
        <f t="shared" ca="1" si="135"/>
        <v/>
      </c>
      <c r="AK626" s="460" t="str">
        <f t="shared" ca="1" si="135"/>
        <v/>
      </c>
      <c r="AL626" s="460" t="str">
        <f t="shared" ca="1" si="135"/>
        <v/>
      </c>
      <c r="AM626" s="460" t="str">
        <f t="shared" ca="1" si="135"/>
        <v/>
      </c>
      <c r="AN626" s="461" t="str">
        <f t="shared" ca="1" si="135"/>
        <v/>
      </c>
      <c r="AO626" s="474" t="str">
        <f t="shared" ca="1" si="135"/>
        <v/>
      </c>
      <c r="AP626" s="475" t="str">
        <f t="shared" ca="1" si="135"/>
        <v/>
      </c>
      <c r="AQ626" s="479" t="str">
        <f t="array" aca="1" ref="AQ626" ca="1">IF(ROW()-5&lt;=COUNTIF(科目编号,$AR$2),SMALL(IF(科目编号=$AR$2,ROW(科目编号),""),ROW()-5),"")</f>
        <v/>
      </c>
      <c r="AR626" s="480" t="str">
        <f ca="1">IF($BG$2=0,"",IF(AR625="本月合计","本年累计",IF(OR(ROW()=$AU$3,ROW()=$AV$3,ROW()=$AW$3,ROW()=$AX$3,ROW()=$AY$3,ROW()=$AZ$3,ROW()=$BA$3,ROW()=$BB$3,ROW()=$BC$3,ROW()=$BD$3,ROW()=$BE$3,ROW()=$BF$3),"本月合计",IF(ROW()&lt;7,$AQ$6,OFFSET($AQ$6,COUNT($AR$6:AR625),0)))))</f>
        <v/>
      </c>
    </row>
    <row r="627" spans="1:44">
      <c r="A627" s="469" t="str">
        <f ca="1">IFERROR(INDEX(凭证录入!A:A,$AR627),"")</f>
        <v/>
      </c>
      <c r="B627" s="469" t="str">
        <f ca="1">IFERROR(INDEX(凭证录入!B:B,$AR627),"")</f>
        <v/>
      </c>
      <c r="C627" s="470" t="str">
        <f ca="1">IFERROR(INDEX(凭证录入!G:G,$AR627),"")</f>
        <v/>
      </c>
      <c r="D627" s="471" t="str">
        <f ca="1">IFERROR(INDEX(凭证录入!F:F,$AR627),"")</f>
        <v/>
      </c>
      <c r="E627" s="472" t="str">
        <f ca="1">IFERROR(INDEX(凭证录入!H:H,$AR627),$AR627)</f>
        <v/>
      </c>
      <c r="F627" s="473">
        <f ca="1">IF(OR($BG$2=0,$AR627=""),,IF($AR627="本月合计",IF(ROW()=$BG$3,SUM($F$6:$F626),SUM(INDIRECT("$F$"&amp;OFFSET($AU$3,,MATCH(ROW(),$AU$3:$BF$3,)-2)+2&amp;":$E"&amp;ROW()-1))),IF($AR627="本年累计",SUMIF($AR$6:$AR627,"本月合计",$F$6:$F626),INDEX(凭证录入!K:K,$AR627))))</f>
        <v>0</v>
      </c>
      <c r="G627" s="459" t="str">
        <f t="shared" ca="1" si="136"/>
        <v/>
      </c>
      <c r="H627" s="460" t="str">
        <f t="shared" ca="1" si="136"/>
        <v/>
      </c>
      <c r="I627" s="460" t="str">
        <f t="shared" ca="1" si="136"/>
        <v/>
      </c>
      <c r="J627" s="460" t="str">
        <f t="shared" ca="1" si="136"/>
        <v/>
      </c>
      <c r="K627" s="460" t="str">
        <f t="shared" ca="1" si="136"/>
        <v/>
      </c>
      <c r="L627" s="460" t="str">
        <f t="shared" ca="1" si="136"/>
        <v/>
      </c>
      <c r="M627" s="460" t="str">
        <f t="shared" ca="1" si="136"/>
        <v/>
      </c>
      <c r="N627" s="460" t="str">
        <f t="shared" ca="1" si="136"/>
        <v/>
      </c>
      <c r="O627" s="461" t="str">
        <f t="shared" ca="1" si="136"/>
        <v/>
      </c>
      <c r="P627" s="474" t="str">
        <f t="shared" ca="1" si="136"/>
        <v/>
      </c>
      <c r="Q627" s="475" t="str">
        <f t="shared" ca="1" si="136"/>
        <v/>
      </c>
      <c r="R627" s="476">
        <f ca="1">IF(OR($BG$2=0,$AR627=""),,IF($AR627="本月合计",IF(ROW()=$BG$3,SUM($R$6:$R626),SUM(INDIRECT("$R$"&amp;OFFSET($AU$3,,MATCH(ROW(),$AU$3:$BF$3,)-2)+2&amp;":$R"&amp;ROW()-1))),IF($AR627="本年累计",SUMIF($AR$6:$AR627,"本月合计",$R$6:$R626),INDEX(凭证录入!L:L,$AR627))))</f>
        <v>0</v>
      </c>
      <c r="S627" s="459" t="str">
        <f t="shared" ca="1" si="137"/>
        <v/>
      </c>
      <c r="T627" s="460" t="str">
        <f t="shared" ca="1" si="137"/>
        <v/>
      </c>
      <c r="U627" s="460" t="str">
        <f t="shared" ca="1" si="137"/>
        <v/>
      </c>
      <c r="V627" s="460" t="str">
        <f t="shared" ca="1" si="137"/>
        <v/>
      </c>
      <c r="W627" s="460" t="str">
        <f t="shared" ca="1" si="137"/>
        <v/>
      </c>
      <c r="X627" s="460" t="str">
        <f t="shared" ca="1" si="137"/>
        <v/>
      </c>
      <c r="Y627" s="460" t="str">
        <f t="shared" ca="1" si="137"/>
        <v/>
      </c>
      <c r="Z627" s="460" t="str">
        <f t="shared" ca="1" si="137"/>
        <v/>
      </c>
      <c r="AA627" s="461" t="str">
        <f t="shared" ca="1" si="137"/>
        <v/>
      </c>
      <c r="AB627" s="474" t="str">
        <f t="shared" ca="1" si="137"/>
        <v/>
      </c>
      <c r="AC627" s="475" t="str">
        <f t="shared" ca="1" si="137"/>
        <v/>
      </c>
      <c r="AD627" s="477" t="str">
        <f t="shared" ca="1" si="130"/>
        <v/>
      </c>
      <c r="AE627" s="478">
        <f t="shared" ca="1" si="131"/>
        <v>0</v>
      </c>
      <c r="AF627" s="459" t="str">
        <f t="shared" ca="1" si="135"/>
        <v/>
      </c>
      <c r="AG627" s="460" t="str">
        <f t="shared" ca="1" si="135"/>
        <v/>
      </c>
      <c r="AH627" s="460" t="str">
        <f t="shared" ca="1" si="135"/>
        <v/>
      </c>
      <c r="AI627" s="460" t="str">
        <f t="shared" ca="1" si="135"/>
        <v/>
      </c>
      <c r="AJ627" s="460" t="str">
        <f t="shared" ca="1" si="135"/>
        <v/>
      </c>
      <c r="AK627" s="460" t="str">
        <f t="shared" ca="1" si="135"/>
        <v/>
      </c>
      <c r="AL627" s="460" t="str">
        <f t="shared" ca="1" si="135"/>
        <v/>
      </c>
      <c r="AM627" s="460" t="str">
        <f t="shared" ca="1" si="135"/>
        <v/>
      </c>
      <c r="AN627" s="461" t="str">
        <f t="shared" ca="1" si="135"/>
        <v/>
      </c>
      <c r="AO627" s="474" t="str">
        <f t="shared" ca="1" si="135"/>
        <v/>
      </c>
      <c r="AP627" s="475" t="str">
        <f t="shared" ca="1" si="135"/>
        <v/>
      </c>
      <c r="AQ627" s="479" t="str">
        <f t="array" aca="1" ref="AQ627" ca="1">IF(ROW()-5&lt;=COUNTIF(科目编号,$AR$2),SMALL(IF(科目编号=$AR$2,ROW(科目编号),""),ROW()-5),"")</f>
        <v/>
      </c>
      <c r="AR627" s="480" t="str">
        <f ca="1">IF($BG$2=0,"",IF(AR626="本月合计","本年累计",IF(OR(ROW()=$AU$3,ROW()=$AV$3,ROW()=$AW$3,ROW()=$AX$3,ROW()=$AY$3,ROW()=$AZ$3,ROW()=$BA$3,ROW()=$BB$3,ROW()=$BC$3,ROW()=$BD$3,ROW()=$BE$3,ROW()=$BF$3),"本月合计",IF(ROW()&lt;7,$AQ$6,OFFSET($AQ$6,COUNT($AR$6:AR626),0)))))</f>
        <v/>
      </c>
    </row>
    <row r="628" spans="1:44">
      <c r="A628" s="469" t="str">
        <f ca="1">IFERROR(INDEX(凭证录入!A:A,$AR628),"")</f>
        <v/>
      </c>
      <c r="B628" s="469" t="str">
        <f ca="1">IFERROR(INDEX(凭证录入!B:B,$AR628),"")</f>
        <v/>
      </c>
      <c r="C628" s="470" t="str">
        <f ca="1">IFERROR(INDEX(凭证录入!G:G,$AR628),"")</f>
        <v/>
      </c>
      <c r="D628" s="471" t="str">
        <f ca="1">IFERROR(INDEX(凭证录入!F:F,$AR628),"")</f>
        <v/>
      </c>
      <c r="E628" s="472" t="str">
        <f ca="1">IFERROR(INDEX(凭证录入!H:H,$AR628),$AR628)</f>
        <v/>
      </c>
      <c r="F628" s="473">
        <f ca="1">IF(OR($BG$2=0,$AR628=""),,IF($AR628="本月合计",IF(ROW()=$BG$3,SUM($F$6:$F627),SUM(INDIRECT("$F$"&amp;OFFSET($AU$3,,MATCH(ROW(),$AU$3:$BF$3,)-2)+2&amp;":$E"&amp;ROW()-1))),IF($AR628="本年累计",SUMIF($AR$6:$AR628,"本月合计",$F$6:$F627),INDEX(凭证录入!K:K,$AR628))))</f>
        <v>0</v>
      </c>
      <c r="G628" s="459" t="str">
        <f t="shared" ca="1" si="136"/>
        <v/>
      </c>
      <c r="H628" s="460" t="str">
        <f t="shared" ca="1" si="136"/>
        <v/>
      </c>
      <c r="I628" s="460" t="str">
        <f t="shared" ca="1" si="136"/>
        <v/>
      </c>
      <c r="J628" s="460" t="str">
        <f t="shared" ca="1" si="136"/>
        <v/>
      </c>
      <c r="K628" s="460" t="str">
        <f t="shared" ca="1" si="136"/>
        <v/>
      </c>
      <c r="L628" s="460" t="str">
        <f t="shared" ca="1" si="136"/>
        <v/>
      </c>
      <c r="M628" s="460" t="str">
        <f t="shared" ca="1" si="136"/>
        <v/>
      </c>
      <c r="N628" s="460" t="str">
        <f t="shared" ca="1" si="136"/>
        <v/>
      </c>
      <c r="O628" s="461" t="str">
        <f t="shared" ca="1" si="136"/>
        <v/>
      </c>
      <c r="P628" s="474" t="str">
        <f t="shared" ca="1" si="136"/>
        <v/>
      </c>
      <c r="Q628" s="475" t="str">
        <f t="shared" ca="1" si="136"/>
        <v/>
      </c>
      <c r="R628" s="476">
        <f ca="1">IF(OR($BG$2=0,$AR628=""),,IF($AR628="本月合计",IF(ROW()=$BG$3,SUM($R$6:$R627),SUM(INDIRECT("$R$"&amp;OFFSET($AU$3,,MATCH(ROW(),$AU$3:$BF$3,)-2)+2&amp;":$R"&amp;ROW()-1))),IF($AR628="本年累计",SUMIF($AR$6:$AR628,"本月合计",$R$6:$R627),INDEX(凭证录入!L:L,$AR628))))</f>
        <v>0</v>
      </c>
      <c r="S628" s="459" t="str">
        <f t="shared" ca="1" si="137"/>
        <v/>
      </c>
      <c r="T628" s="460" t="str">
        <f t="shared" ca="1" si="137"/>
        <v/>
      </c>
      <c r="U628" s="460" t="str">
        <f t="shared" ca="1" si="137"/>
        <v/>
      </c>
      <c r="V628" s="460" t="str">
        <f t="shared" ca="1" si="137"/>
        <v/>
      </c>
      <c r="W628" s="460" t="str">
        <f t="shared" ca="1" si="137"/>
        <v/>
      </c>
      <c r="X628" s="460" t="str">
        <f t="shared" ca="1" si="137"/>
        <v/>
      </c>
      <c r="Y628" s="460" t="str">
        <f t="shared" ca="1" si="137"/>
        <v/>
      </c>
      <c r="Z628" s="460" t="str">
        <f t="shared" ca="1" si="137"/>
        <v/>
      </c>
      <c r="AA628" s="461" t="str">
        <f t="shared" ca="1" si="137"/>
        <v/>
      </c>
      <c r="AB628" s="474" t="str">
        <f t="shared" ca="1" si="137"/>
        <v/>
      </c>
      <c r="AC628" s="475" t="str">
        <f t="shared" ca="1" si="137"/>
        <v/>
      </c>
      <c r="AD628" s="477" t="str">
        <f t="shared" ca="1" si="130"/>
        <v/>
      </c>
      <c r="AE628" s="478">
        <f t="shared" ca="1" si="131"/>
        <v>0</v>
      </c>
      <c r="AF628" s="459" t="str">
        <f t="shared" ca="1" si="135"/>
        <v/>
      </c>
      <c r="AG628" s="460" t="str">
        <f t="shared" ca="1" si="135"/>
        <v/>
      </c>
      <c r="AH628" s="460" t="str">
        <f t="shared" ca="1" si="135"/>
        <v/>
      </c>
      <c r="AI628" s="460" t="str">
        <f t="shared" ca="1" si="135"/>
        <v/>
      </c>
      <c r="AJ628" s="460" t="str">
        <f t="shared" ca="1" si="135"/>
        <v/>
      </c>
      <c r="AK628" s="460" t="str">
        <f t="shared" ca="1" si="135"/>
        <v/>
      </c>
      <c r="AL628" s="460" t="str">
        <f t="shared" ca="1" si="135"/>
        <v/>
      </c>
      <c r="AM628" s="460" t="str">
        <f t="shared" ca="1" si="135"/>
        <v/>
      </c>
      <c r="AN628" s="461" t="str">
        <f t="shared" ca="1" si="135"/>
        <v/>
      </c>
      <c r="AO628" s="474" t="str">
        <f t="shared" ca="1" si="135"/>
        <v/>
      </c>
      <c r="AP628" s="475" t="str">
        <f t="shared" ca="1" si="135"/>
        <v/>
      </c>
      <c r="AQ628" s="479" t="str">
        <f t="array" aca="1" ref="AQ628" ca="1">IF(ROW()-5&lt;=COUNTIF(科目编号,$AR$2),SMALL(IF(科目编号=$AR$2,ROW(科目编号),""),ROW()-5),"")</f>
        <v/>
      </c>
      <c r="AR628" s="480" t="str">
        <f ca="1">IF($BG$2=0,"",IF(AR627="本月合计","本年累计",IF(OR(ROW()=$AU$3,ROW()=$AV$3,ROW()=$AW$3,ROW()=$AX$3,ROW()=$AY$3,ROW()=$AZ$3,ROW()=$BA$3,ROW()=$BB$3,ROW()=$BC$3,ROW()=$BD$3,ROW()=$BE$3,ROW()=$BF$3),"本月合计",IF(ROW()&lt;7,$AQ$6,OFFSET($AQ$6,COUNT($AR$6:AR627),0)))))</f>
        <v/>
      </c>
    </row>
    <row r="629" spans="1:44">
      <c r="A629" s="469" t="str">
        <f ca="1">IFERROR(INDEX(凭证录入!A:A,$AR629),"")</f>
        <v/>
      </c>
      <c r="B629" s="469" t="str">
        <f ca="1">IFERROR(INDEX(凭证录入!B:B,$AR629),"")</f>
        <v/>
      </c>
      <c r="C629" s="470" t="str">
        <f ca="1">IFERROR(INDEX(凭证录入!G:G,$AR629),"")</f>
        <v/>
      </c>
      <c r="D629" s="471" t="str">
        <f ca="1">IFERROR(INDEX(凭证录入!F:F,$AR629),"")</f>
        <v/>
      </c>
      <c r="E629" s="472" t="str">
        <f ca="1">IFERROR(INDEX(凭证录入!H:H,$AR629),$AR629)</f>
        <v/>
      </c>
      <c r="F629" s="473">
        <f ca="1">IF(OR($BG$2=0,$AR629=""),,IF($AR629="本月合计",IF(ROW()=$BG$3,SUM($F$6:$F628),SUM(INDIRECT("$F$"&amp;OFFSET($AU$3,,MATCH(ROW(),$AU$3:$BF$3,)-2)+2&amp;":$E"&amp;ROW()-1))),IF($AR629="本年累计",SUMIF($AR$6:$AR629,"本月合计",$F$6:$F628),INDEX(凭证录入!K:K,$AR629))))</f>
        <v>0</v>
      </c>
      <c r="G629" s="459" t="str">
        <f t="shared" ca="1" si="136"/>
        <v/>
      </c>
      <c r="H629" s="460" t="str">
        <f t="shared" ca="1" si="136"/>
        <v/>
      </c>
      <c r="I629" s="460" t="str">
        <f t="shared" ca="1" si="136"/>
        <v/>
      </c>
      <c r="J629" s="460" t="str">
        <f t="shared" ca="1" si="136"/>
        <v/>
      </c>
      <c r="K629" s="460" t="str">
        <f t="shared" ca="1" si="136"/>
        <v/>
      </c>
      <c r="L629" s="460" t="str">
        <f t="shared" ca="1" si="136"/>
        <v/>
      </c>
      <c r="M629" s="460" t="str">
        <f t="shared" ca="1" si="136"/>
        <v/>
      </c>
      <c r="N629" s="460" t="str">
        <f t="shared" ca="1" si="136"/>
        <v/>
      </c>
      <c r="O629" s="461" t="str">
        <f t="shared" ca="1" si="136"/>
        <v/>
      </c>
      <c r="P629" s="474" t="str">
        <f t="shared" ca="1" si="136"/>
        <v/>
      </c>
      <c r="Q629" s="475" t="str">
        <f t="shared" ca="1" si="136"/>
        <v/>
      </c>
      <c r="R629" s="476">
        <f ca="1">IF(OR($BG$2=0,$AR629=""),,IF($AR629="本月合计",IF(ROW()=$BG$3,SUM($R$6:$R628),SUM(INDIRECT("$R$"&amp;OFFSET($AU$3,,MATCH(ROW(),$AU$3:$BF$3,)-2)+2&amp;":$R"&amp;ROW()-1))),IF($AR629="本年累计",SUMIF($AR$6:$AR629,"本月合计",$R$6:$R628),INDEX(凭证录入!L:L,$AR629))))</f>
        <v>0</v>
      </c>
      <c r="S629" s="459" t="str">
        <f t="shared" ca="1" si="137"/>
        <v/>
      </c>
      <c r="T629" s="460" t="str">
        <f t="shared" ca="1" si="137"/>
        <v/>
      </c>
      <c r="U629" s="460" t="str">
        <f t="shared" ca="1" si="137"/>
        <v/>
      </c>
      <c r="V629" s="460" t="str">
        <f t="shared" ca="1" si="137"/>
        <v/>
      </c>
      <c r="W629" s="460" t="str">
        <f t="shared" ca="1" si="137"/>
        <v/>
      </c>
      <c r="X629" s="460" t="str">
        <f t="shared" ca="1" si="137"/>
        <v/>
      </c>
      <c r="Y629" s="460" t="str">
        <f t="shared" ca="1" si="137"/>
        <v/>
      </c>
      <c r="Z629" s="460" t="str">
        <f t="shared" ca="1" si="137"/>
        <v/>
      </c>
      <c r="AA629" s="461" t="str">
        <f t="shared" ca="1" si="137"/>
        <v/>
      </c>
      <c r="AB629" s="474" t="str">
        <f t="shared" ca="1" si="137"/>
        <v/>
      </c>
      <c r="AC629" s="475" t="str">
        <f t="shared" ca="1" si="137"/>
        <v/>
      </c>
      <c r="AD629" s="477" t="str">
        <f t="shared" ca="1" si="130"/>
        <v/>
      </c>
      <c r="AE629" s="478">
        <f t="shared" ca="1" si="131"/>
        <v>0</v>
      </c>
      <c r="AF629" s="459" t="str">
        <f t="shared" ref="AF629:AP644" ca="1" si="138">LEFT(RIGHT(TEXT($AE629/1%," ￥0; ￥-0;"),43-COLUMN()))</f>
        <v/>
      </c>
      <c r="AG629" s="460" t="str">
        <f t="shared" ca="1" si="138"/>
        <v/>
      </c>
      <c r="AH629" s="460" t="str">
        <f t="shared" ca="1" si="138"/>
        <v/>
      </c>
      <c r="AI629" s="460" t="str">
        <f t="shared" ca="1" si="138"/>
        <v/>
      </c>
      <c r="AJ629" s="460" t="str">
        <f t="shared" ca="1" si="138"/>
        <v/>
      </c>
      <c r="AK629" s="460" t="str">
        <f t="shared" ca="1" si="138"/>
        <v/>
      </c>
      <c r="AL629" s="460" t="str">
        <f t="shared" ca="1" si="138"/>
        <v/>
      </c>
      <c r="AM629" s="460" t="str">
        <f t="shared" ca="1" si="138"/>
        <v/>
      </c>
      <c r="AN629" s="461" t="str">
        <f t="shared" ca="1" si="138"/>
        <v/>
      </c>
      <c r="AO629" s="474" t="str">
        <f t="shared" ca="1" si="138"/>
        <v/>
      </c>
      <c r="AP629" s="475" t="str">
        <f t="shared" ca="1" si="138"/>
        <v/>
      </c>
      <c r="AQ629" s="479" t="str">
        <f t="array" aca="1" ref="AQ629" ca="1">IF(ROW()-5&lt;=COUNTIF(科目编号,$AR$2),SMALL(IF(科目编号=$AR$2,ROW(科目编号),""),ROW()-5),"")</f>
        <v/>
      </c>
      <c r="AR629" s="480" t="str">
        <f ca="1">IF($BG$2=0,"",IF(AR628="本月合计","本年累计",IF(OR(ROW()=$AU$3,ROW()=$AV$3,ROW()=$AW$3,ROW()=$AX$3,ROW()=$AY$3,ROW()=$AZ$3,ROW()=$BA$3,ROW()=$BB$3,ROW()=$BC$3,ROW()=$BD$3,ROW()=$BE$3,ROW()=$BF$3),"本月合计",IF(ROW()&lt;7,$AQ$6,OFFSET($AQ$6,COUNT($AR$6:AR628),0)))))</f>
        <v/>
      </c>
    </row>
    <row r="630" spans="1:44">
      <c r="A630" s="469" t="str">
        <f ca="1">IFERROR(INDEX(凭证录入!A:A,$AR630),"")</f>
        <v/>
      </c>
      <c r="B630" s="469" t="str">
        <f ca="1">IFERROR(INDEX(凭证录入!B:B,$AR630),"")</f>
        <v/>
      </c>
      <c r="C630" s="470" t="str">
        <f ca="1">IFERROR(INDEX(凭证录入!G:G,$AR630),"")</f>
        <v/>
      </c>
      <c r="D630" s="471" t="str">
        <f ca="1">IFERROR(INDEX(凭证录入!F:F,$AR630),"")</f>
        <v/>
      </c>
      <c r="E630" s="472" t="str">
        <f ca="1">IFERROR(INDEX(凭证录入!H:H,$AR630),$AR630)</f>
        <v/>
      </c>
      <c r="F630" s="473">
        <f ca="1">IF(OR($BG$2=0,$AR630=""),,IF($AR630="本月合计",IF(ROW()=$BG$3,SUM($F$6:$F629),SUM(INDIRECT("$F$"&amp;OFFSET($AU$3,,MATCH(ROW(),$AU$3:$BF$3,)-2)+2&amp;":$E"&amp;ROW()-1))),IF($AR630="本年累计",SUMIF($AR$6:$AR630,"本月合计",$F$6:$F629),INDEX(凭证录入!K:K,$AR630))))</f>
        <v>0</v>
      </c>
      <c r="G630" s="459" t="str">
        <f t="shared" ref="G630:Q645" ca="1" si="139">LEFT(RIGHT(TEXT($F630/1%," ￥0; ￥-0;"),18-COLUMN()))</f>
        <v/>
      </c>
      <c r="H630" s="460" t="str">
        <f t="shared" ca="1" si="139"/>
        <v/>
      </c>
      <c r="I630" s="460" t="str">
        <f t="shared" ca="1" si="139"/>
        <v/>
      </c>
      <c r="J630" s="460" t="str">
        <f t="shared" ca="1" si="139"/>
        <v/>
      </c>
      <c r="K630" s="460" t="str">
        <f t="shared" ca="1" si="139"/>
        <v/>
      </c>
      <c r="L630" s="460" t="str">
        <f t="shared" ca="1" si="139"/>
        <v/>
      </c>
      <c r="M630" s="460" t="str">
        <f t="shared" ca="1" si="139"/>
        <v/>
      </c>
      <c r="N630" s="460" t="str">
        <f t="shared" ca="1" si="139"/>
        <v/>
      </c>
      <c r="O630" s="461" t="str">
        <f t="shared" ca="1" si="139"/>
        <v/>
      </c>
      <c r="P630" s="474" t="str">
        <f t="shared" ca="1" si="139"/>
        <v/>
      </c>
      <c r="Q630" s="475" t="str">
        <f t="shared" ca="1" si="139"/>
        <v/>
      </c>
      <c r="R630" s="476">
        <f ca="1">IF(OR($BG$2=0,$AR630=""),,IF($AR630="本月合计",IF(ROW()=$BG$3,SUM($R$6:$R629),SUM(INDIRECT("$R$"&amp;OFFSET($AU$3,,MATCH(ROW(),$AU$3:$BF$3,)-2)+2&amp;":$R"&amp;ROW()-1))),IF($AR630="本年累计",SUMIF($AR$6:$AR630,"本月合计",$R$6:$R629),INDEX(凭证录入!L:L,$AR630))))</f>
        <v>0</v>
      </c>
      <c r="S630" s="459" t="str">
        <f t="shared" ref="S630:AC645" ca="1" si="140">LEFT(RIGHT(TEXT($R630/1%," ￥0; ￥-0;"),30-COLUMN()))</f>
        <v/>
      </c>
      <c r="T630" s="460" t="str">
        <f t="shared" ca="1" si="140"/>
        <v/>
      </c>
      <c r="U630" s="460" t="str">
        <f t="shared" ca="1" si="140"/>
        <v/>
      </c>
      <c r="V630" s="460" t="str">
        <f t="shared" ca="1" si="140"/>
        <v/>
      </c>
      <c r="W630" s="460" t="str">
        <f t="shared" ca="1" si="140"/>
        <v/>
      </c>
      <c r="X630" s="460" t="str">
        <f t="shared" ca="1" si="140"/>
        <v/>
      </c>
      <c r="Y630" s="460" t="str">
        <f t="shared" ca="1" si="140"/>
        <v/>
      </c>
      <c r="Z630" s="460" t="str">
        <f t="shared" ca="1" si="140"/>
        <v/>
      </c>
      <c r="AA630" s="461" t="str">
        <f t="shared" ca="1" si="140"/>
        <v/>
      </c>
      <c r="AB630" s="474" t="str">
        <f t="shared" ca="1" si="140"/>
        <v/>
      </c>
      <c r="AC630" s="475" t="str">
        <f t="shared" ca="1" si="140"/>
        <v/>
      </c>
      <c r="AD630" s="477" t="str">
        <f t="shared" ca="1" si="130"/>
        <v/>
      </c>
      <c r="AE630" s="478">
        <f t="shared" ca="1" si="131"/>
        <v>0</v>
      </c>
      <c r="AF630" s="459" t="str">
        <f t="shared" ca="1" si="138"/>
        <v/>
      </c>
      <c r="AG630" s="460" t="str">
        <f t="shared" ca="1" si="138"/>
        <v/>
      </c>
      <c r="AH630" s="460" t="str">
        <f t="shared" ca="1" si="138"/>
        <v/>
      </c>
      <c r="AI630" s="460" t="str">
        <f t="shared" ca="1" si="138"/>
        <v/>
      </c>
      <c r="AJ630" s="460" t="str">
        <f t="shared" ca="1" si="138"/>
        <v/>
      </c>
      <c r="AK630" s="460" t="str">
        <f t="shared" ca="1" si="138"/>
        <v/>
      </c>
      <c r="AL630" s="460" t="str">
        <f t="shared" ca="1" si="138"/>
        <v/>
      </c>
      <c r="AM630" s="460" t="str">
        <f t="shared" ca="1" si="138"/>
        <v/>
      </c>
      <c r="AN630" s="461" t="str">
        <f t="shared" ca="1" si="138"/>
        <v/>
      </c>
      <c r="AO630" s="474" t="str">
        <f t="shared" ca="1" si="138"/>
        <v/>
      </c>
      <c r="AP630" s="475" t="str">
        <f t="shared" ca="1" si="138"/>
        <v/>
      </c>
      <c r="AQ630" s="479" t="str">
        <f t="array" aca="1" ref="AQ630" ca="1">IF(ROW()-5&lt;=COUNTIF(科目编号,$AR$2),SMALL(IF(科目编号=$AR$2,ROW(科目编号),""),ROW()-5),"")</f>
        <v/>
      </c>
      <c r="AR630" s="480" t="str">
        <f ca="1">IF($BG$2=0,"",IF(AR629="本月合计","本年累计",IF(OR(ROW()=$AU$3,ROW()=$AV$3,ROW()=$AW$3,ROW()=$AX$3,ROW()=$AY$3,ROW()=$AZ$3,ROW()=$BA$3,ROW()=$BB$3,ROW()=$BC$3,ROW()=$BD$3,ROW()=$BE$3,ROW()=$BF$3),"本月合计",IF(ROW()&lt;7,$AQ$6,OFFSET($AQ$6,COUNT($AR$6:AR629),0)))))</f>
        <v/>
      </c>
    </row>
    <row r="631" spans="1:44">
      <c r="A631" s="469" t="str">
        <f ca="1">IFERROR(INDEX(凭证录入!A:A,$AR631),"")</f>
        <v/>
      </c>
      <c r="B631" s="469" t="str">
        <f ca="1">IFERROR(INDEX(凭证录入!B:B,$AR631),"")</f>
        <v/>
      </c>
      <c r="C631" s="470" t="str">
        <f ca="1">IFERROR(INDEX(凭证录入!G:G,$AR631),"")</f>
        <v/>
      </c>
      <c r="D631" s="471" t="str">
        <f ca="1">IFERROR(INDEX(凭证录入!F:F,$AR631),"")</f>
        <v/>
      </c>
      <c r="E631" s="472" t="str">
        <f ca="1">IFERROR(INDEX(凭证录入!H:H,$AR631),$AR631)</f>
        <v/>
      </c>
      <c r="F631" s="473">
        <f ca="1">IF(OR($BG$2=0,$AR631=""),,IF($AR631="本月合计",IF(ROW()=$BG$3,SUM($F$6:$F630),SUM(INDIRECT("$F$"&amp;OFFSET($AU$3,,MATCH(ROW(),$AU$3:$BF$3,)-2)+2&amp;":$E"&amp;ROW()-1))),IF($AR631="本年累计",SUMIF($AR$6:$AR631,"本月合计",$F$6:$F630),INDEX(凭证录入!K:K,$AR631))))</f>
        <v>0</v>
      </c>
      <c r="G631" s="459" t="str">
        <f t="shared" ca="1" si="139"/>
        <v/>
      </c>
      <c r="H631" s="460" t="str">
        <f t="shared" ca="1" si="139"/>
        <v/>
      </c>
      <c r="I631" s="460" t="str">
        <f t="shared" ca="1" si="139"/>
        <v/>
      </c>
      <c r="J631" s="460" t="str">
        <f t="shared" ca="1" si="139"/>
        <v/>
      </c>
      <c r="K631" s="460" t="str">
        <f t="shared" ca="1" si="139"/>
        <v/>
      </c>
      <c r="L631" s="460" t="str">
        <f t="shared" ca="1" si="139"/>
        <v/>
      </c>
      <c r="M631" s="460" t="str">
        <f t="shared" ca="1" si="139"/>
        <v/>
      </c>
      <c r="N631" s="460" t="str">
        <f t="shared" ca="1" si="139"/>
        <v/>
      </c>
      <c r="O631" s="461" t="str">
        <f t="shared" ca="1" si="139"/>
        <v/>
      </c>
      <c r="P631" s="474" t="str">
        <f t="shared" ca="1" si="139"/>
        <v/>
      </c>
      <c r="Q631" s="475" t="str">
        <f t="shared" ca="1" si="139"/>
        <v/>
      </c>
      <c r="R631" s="476">
        <f ca="1">IF(OR($BG$2=0,$AR631=""),,IF($AR631="本月合计",IF(ROW()=$BG$3,SUM($R$6:$R630),SUM(INDIRECT("$R$"&amp;OFFSET($AU$3,,MATCH(ROW(),$AU$3:$BF$3,)-2)+2&amp;":$R"&amp;ROW()-1))),IF($AR631="本年累计",SUMIF($AR$6:$AR631,"本月合计",$R$6:$R630),INDEX(凭证录入!L:L,$AR631))))</f>
        <v>0</v>
      </c>
      <c r="S631" s="459" t="str">
        <f t="shared" ca="1" si="140"/>
        <v/>
      </c>
      <c r="T631" s="460" t="str">
        <f t="shared" ca="1" si="140"/>
        <v/>
      </c>
      <c r="U631" s="460" t="str">
        <f t="shared" ca="1" si="140"/>
        <v/>
      </c>
      <c r="V631" s="460" t="str">
        <f t="shared" ca="1" si="140"/>
        <v/>
      </c>
      <c r="W631" s="460" t="str">
        <f t="shared" ca="1" si="140"/>
        <v/>
      </c>
      <c r="X631" s="460" t="str">
        <f t="shared" ca="1" si="140"/>
        <v/>
      </c>
      <c r="Y631" s="460" t="str">
        <f t="shared" ca="1" si="140"/>
        <v/>
      </c>
      <c r="Z631" s="460" t="str">
        <f t="shared" ca="1" si="140"/>
        <v/>
      </c>
      <c r="AA631" s="461" t="str">
        <f t="shared" ca="1" si="140"/>
        <v/>
      </c>
      <c r="AB631" s="474" t="str">
        <f t="shared" ca="1" si="140"/>
        <v/>
      </c>
      <c r="AC631" s="475" t="str">
        <f t="shared" ca="1" si="140"/>
        <v/>
      </c>
      <c r="AD631" s="477" t="str">
        <f t="shared" ca="1" si="130"/>
        <v/>
      </c>
      <c r="AE631" s="478">
        <f t="shared" ca="1" si="131"/>
        <v>0</v>
      </c>
      <c r="AF631" s="459" t="str">
        <f t="shared" ca="1" si="138"/>
        <v/>
      </c>
      <c r="AG631" s="460" t="str">
        <f t="shared" ca="1" si="138"/>
        <v/>
      </c>
      <c r="AH631" s="460" t="str">
        <f t="shared" ca="1" si="138"/>
        <v/>
      </c>
      <c r="AI631" s="460" t="str">
        <f t="shared" ca="1" si="138"/>
        <v/>
      </c>
      <c r="AJ631" s="460" t="str">
        <f t="shared" ca="1" si="138"/>
        <v/>
      </c>
      <c r="AK631" s="460" t="str">
        <f t="shared" ca="1" si="138"/>
        <v/>
      </c>
      <c r="AL631" s="460" t="str">
        <f t="shared" ca="1" si="138"/>
        <v/>
      </c>
      <c r="AM631" s="460" t="str">
        <f t="shared" ca="1" si="138"/>
        <v/>
      </c>
      <c r="AN631" s="461" t="str">
        <f t="shared" ca="1" si="138"/>
        <v/>
      </c>
      <c r="AO631" s="474" t="str">
        <f t="shared" ca="1" si="138"/>
        <v/>
      </c>
      <c r="AP631" s="475" t="str">
        <f t="shared" ca="1" si="138"/>
        <v/>
      </c>
      <c r="AQ631" s="479" t="str">
        <f t="array" aca="1" ref="AQ631" ca="1">IF(ROW()-5&lt;=COUNTIF(科目编号,$AR$2),SMALL(IF(科目编号=$AR$2,ROW(科目编号),""),ROW()-5),"")</f>
        <v/>
      </c>
      <c r="AR631" s="480" t="str">
        <f ca="1">IF($BG$2=0,"",IF(AR630="本月合计","本年累计",IF(OR(ROW()=$AU$3,ROW()=$AV$3,ROW()=$AW$3,ROW()=$AX$3,ROW()=$AY$3,ROW()=$AZ$3,ROW()=$BA$3,ROW()=$BB$3,ROW()=$BC$3,ROW()=$BD$3,ROW()=$BE$3,ROW()=$BF$3),"本月合计",IF(ROW()&lt;7,$AQ$6,OFFSET($AQ$6,COUNT($AR$6:AR630),0)))))</f>
        <v/>
      </c>
    </row>
    <row r="632" spans="1:44">
      <c r="A632" s="469" t="str">
        <f ca="1">IFERROR(INDEX(凭证录入!A:A,$AR632),"")</f>
        <v/>
      </c>
      <c r="B632" s="469" t="str">
        <f ca="1">IFERROR(INDEX(凭证录入!B:B,$AR632),"")</f>
        <v/>
      </c>
      <c r="C632" s="470" t="str">
        <f ca="1">IFERROR(INDEX(凭证录入!G:G,$AR632),"")</f>
        <v/>
      </c>
      <c r="D632" s="471" t="str">
        <f ca="1">IFERROR(INDEX(凭证录入!F:F,$AR632),"")</f>
        <v/>
      </c>
      <c r="E632" s="472" t="str">
        <f ca="1">IFERROR(INDEX(凭证录入!H:H,$AR632),$AR632)</f>
        <v/>
      </c>
      <c r="F632" s="473">
        <f ca="1">IF(OR($BG$2=0,$AR632=""),,IF($AR632="本月合计",IF(ROW()=$BG$3,SUM($F$6:$F631),SUM(INDIRECT("$F$"&amp;OFFSET($AU$3,,MATCH(ROW(),$AU$3:$BF$3,)-2)+2&amp;":$E"&amp;ROW()-1))),IF($AR632="本年累计",SUMIF($AR$6:$AR632,"本月合计",$F$6:$F631),INDEX(凭证录入!K:K,$AR632))))</f>
        <v>0</v>
      </c>
      <c r="G632" s="459" t="str">
        <f t="shared" ca="1" si="139"/>
        <v/>
      </c>
      <c r="H632" s="460" t="str">
        <f t="shared" ca="1" si="139"/>
        <v/>
      </c>
      <c r="I632" s="460" t="str">
        <f t="shared" ca="1" si="139"/>
        <v/>
      </c>
      <c r="J632" s="460" t="str">
        <f t="shared" ca="1" si="139"/>
        <v/>
      </c>
      <c r="K632" s="460" t="str">
        <f t="shared" ca="1" si="139"/>
        <v/>
      </c>
      <c r="L632" s="460" t="str">
        <f t="shared" ca="1" si="139"/>
        <v/>
      </c>
      <c r="M632" s="460" t="str">
        <f t="shared" ca="1" si="139"/>
        <v/>
      </c>
      <c r="N632" s="460" t="str">
        <f t="shared" ca="1" si="139"/>
        <v/>
      </c>
      <c r="O632" s="461" t="str">
        <f t="shared" ca="1" si="139"/>
        <v/>
      </c>
      <c r="P632" s="474" t="str">
        <f t="shared" ca="1" si="139"/>
        <v/>
      </c>
      <c r="Q632" s="475" t="str">
        <f t="shared" ca="1" si="139"/>
        <v/>
      </c>
      <c r="R632" s="476">
        <f ca="1">IF(OR($BG$2=0,$AR632=""),,IF($AR632="本月合计",IF(ROW()=$BG$3,SUM($R$6:$R631),SUM(INDIRECT("$R$"&amp;OFFSET($AU$3,,MATCH(ROW(),$AU$3:$BF$3,)-2)+2&amp;":$R"&amp;ROW()-1))),IF($AR632="本年累计",SUMIF($AR$6:$AR632,"本月合计",$R$6:$R631),INDEX(凭证录入!L:L,$AR632))))</f>
        <v>0</v>
      </c>
      <c r="S632" s="459" t="str">
        <f t="shared" ca="1" si="140"/>
        <v/>
      </c>
      <c r="T632" s="460" t="str">
        <f t="shared" ca="1" si="140"/>
        <v/>
      </c>
      <c r="U632" s="460" t="str">
        <f t="shared" ca="1" si="140"/>
        <v/>
      </c>
      <c r="V632" s="460" t="str">
        <f t="shared" ca="1" si="140"/>
        <v/>
      </c>
      <c r="W632" s="460" t="str">
        <f t="shared" ca="1" si="140"/>
        <v/>
      </c>
      <c r="X632" s="460" t="str">
        <f t="shared" ca="1" si="140"/>
        <v/>
      </c>
      <c r="Y632" s="460" t="str">
        <f t="shared" ca="1" si="140"/>
        <v/>
      </c>
      <c r="Z632" s="460" t="str">
        <f t="shared" ca="1" si="140"/>
        <v/>
      </c>
      <c r="AA632" s="461" t="str">
        <f t="shared" ca="1" si="140"/>
        <v/>
      </c>
      <c r="AB632" s="474" t="str">
        <f t="shared" ca="1" si="140"/>
        <v/>
      </c>
      <c r="AC632" s="475" t="str">
        <f t="shared" ca="1" si="140"/>
        <v/>
      </c>
      <c r="AD632" s="477" t="str">
        <f t="shared" ca="1" si="130"/>
        <v/>
      </c>
      <c r="AE632" s="478">
        <f t="shared" ca="1" si="131"/>
        <v>0</v>
      </c>
      <c r="AF632" s="459" t="str">
        <f t="shared" ca="1" si="138"/>
        <v/>
      </c>
      <c r="AG632" s="460" t="str">
        <f t="shared" ca="1" si="138"/>
        <v/>
      </c>
      <c r="AH632" s="460" t="str">
        <f t="shared" ca="1" si="138"/>
        <v/>
      </c>
      <c r="AI632" s="460" t="str">
        <f t="shared" ca="1" si="138"/>
        <v/>
      </c>
      <c r="AJ632" s="460" t="str">
        <f t="shared" ca="1" si="138"/>
        <v/>
      </c>
      <c r="AK632" s="460" t="str">
        <f t="shared" ca="1" si="138"/>
        <v/>
      </c>
      <c r="AL632" s="460" t="str">
        <f t="shared" ca="1" si="138"/>
        <v/>
      </c>
      <c r="AM632" s="460" t="str">
        <f t="shared" ca="1" si="138"/>
        <v/>
      </c>
      <c r="AN632" s="461" t="str">
        <f t="shared" ca="1" si="138"/>
        <v/>
      </c>
      <c r="AO632" s="474" t="str">
        <f t="shared" ca="1" si="138"/>
        <v/>
      </c>
      <c r="AP632" s="475" t="str">
        <f t="shared" ca="1" si="138"/>
        <v/>
      </c>
      <c r="AQ632" s="479" t="str">
        <f t="array" aca="1" ref="AQ632" ca="1">IF(ROW()-5&lt;=COUNTIF(科目编号,$AR$2),SMALL(IF(科目编号=$AR$2,ROW(科目编号),""),ROW()-5),"")</f>
        <v/>
      </c>
      <c r="AR632" s="480" t="str">
        <f ca="1">IF($BG$2=0,"",IF(AR631="本月合计","本年累计",IF(OR(ROW()=$AU$3,ROW()=$AV$3,ROW()=$AW$3,ROW()=$AX$3,ROW()=$AY$3,ROW()=$AZ$3,ROW()=$BA$3,ROW()=$BB$3,ROW()=$BC$3,ROW()=$BD$3,ROW()=$BE$3,ROW()=$BF$3),"本月合计",IF(ROW()&lt;7,$AQ$6,OFFSET($AQ$6,COUNT($AR$6:AR631),0)))))</f>
        <v/>
      </c>
    </row>
    <row r="633" spans="1:44">
      <c r="A633" s="469" t="str">
        <f ca="1">IFERROR(INDEX(凭证录入!A:A,$AR633),"")</f>
        <v/>
      </c>
      <c r="B633" s="469" t="str">
        <f ca="1">IFERROR(INDEX(凭证录入!B:B,$AR633),"")</f>
        <v/>
      </c>
      <c r="C633" s="470" t="str">
        <f ca="1">IFERROR(INDEX(凭证录入!G:G,$AR633),"")</f>
        <v/>
      </c>
      <c r="D633" s="471" t="str">
        <f ca="1">IFERROR(INDEX(凭证录入!F:F,$AR633),"")</f>
        <v/>
      </c>
      <c r="E633" s="472" t="str">
        <f ca="1">IFERROR(INDEX(凭证录入!H:H,$AR633),$AR633)</f>
        <v/>
      </c>
      <c r="F633" s="473">
        <f ca="1">IF(OR($BG$2=0,$AR633=""),,IF($AR633="本月合计",IF(ROW()=$BG$3,SUM($F$6:$F632),SUM(INDIRECT("$F$"&amp;OFFSET($AU$3,,MATCH(ROW(),$AU$3:$BF$3,)-2)+2&amp;":$E"&amp;ROW()-1))),IF($AR633="本年累计",SUMIF($AR$6:$AR633,"本月合计",$F$6:$F632),INDEX(凭证录入!K:K,$AR633))))</f>
        <v>0</v>
      </c>
      <c r="G633" s="459" t="str">
        <f t="shared" ca="1" si="139"/>
        <v/>
      </c>
      <c r="H633" s="460" t="str">
        <f t="shared" ca="1" si="139"/>
        <v/>
      </c>
      <c r="I633" s="460" t="str">
        <f t="shared" ca="1" si="139"/>
        <v/>
      </c>
      <c r="J633" s="460" t="str">
        <f t="shared" ca="1" si="139"/>
        <v/>
      </c>
      <c r="K633" s="460" t="str">
        <f t="shared" ca="1" si="139"/>
        <v/>
      </c>
      <c r="L633" s="460" t="str">
        <f t="shared" ca="1" si="139"/>
        <v/>
      </c>
      <c r="M633" s="460" t="str">
        <f t="shared" ca="1" si="139"/>
        <v/>
      </c>
      <c r="N633" s="460" t="str">
        <f t="shared" ca="1" si="139"/>
        <v/>
      </c>
      <c r="O633" s="461" t="str">
        <f t="shared" ca="1" si="139"/>
        <v/>
      </c>
      <c r="P633" s="474" t="str">
        <f t="shared" ca="1" si="139"/>
        <v/>
      </c>
      <c r="Q633" s="475" t="str">
        <f t="shared" ca="1" si="139"/>
        <v/>
      </c>
      <c r="R633" s="476">
        <f ca="1">IF(OR($BG$2=0,$AR633=""),,IF($AR633="本月合计",IF(ROW()=$BG$3,SUM($R$6:$R632),SUM(INDIRECT("$R$"&amp;OFFSET($AU$3,,MATCH(ROW(),$AU$3:$BF$3,)-2)+2&amp;":$R"&amp;ROW()-1))),IF($AR633="本年累计",SUMIF($AR$6:$AR633,"本月合计",$R$6:$R632),INDEX(凭证录入!L:L,$AR633))))</f>
        <v>0</v>
      </c>
      <c r="S633" s="459" t="str">
        <f t="shared" ca="1" si="140"/>
        <v/>
      </c>
      <c r="T633" s="460" t="str">
        <f t="shared" ca="1" si="140"/>
        <v/>
      </c>
      <c r="U633" s="460" t="str">
        <f t="shared" ca="1" si="140"/>
        <v/>
      </c>
      <c r="V633" s="460" t="str">
        <f t="shared" ca="1" si="140"/>
        <v/>
      </c>
      <c r="W633" s="460" t="str">
        <f t="shared" ca="1" si="140"/>
        <v/>
      </c>
      <c r="X633" s="460" t="str">
        <f t="shared" ca="1" si="140"/>
        <v/>
      </c>
      <c r="Y633" s="460" t="str">
        <f t="shared" ca="1" si="140"/>
        <v/>
      </c>
      <c r="Z633" s="460" t="str">
        <f t="shared" ca="1" si="140"/>
        <v/>
      </c>
      <c r="AA633" s="461" t="str">
        <f t="shared" ca="1" si="140"/>
        <v/>
      </c>
      <c r="AB633" s="474" t="str">
        <f t="shared" ca="1" si="140"/>
        <v/>
      </c>
      <c r="AC633" s="475" t="str">
        <f t="shared" ca="1" si="140"/>
        <v/>
      </c>
      <c r="AD633" s="477" t="str">
        <f t="shared" ca="1" si="130"/>
        <v/>
      </c>
      <c r="AE633" s="478">
        <f t="shared" ca="1" si="131"/>
        <v>0</v>
      </c>
      <c r="AF633" s="459" t="str">
        <f t="shared" ca="1" si="138"/>
        <v/>
      </c>
      <c r="AG633" s="460" t="str">
        <f t="shared" ca="1" si="138"/>
        <v/>
      </c>
      <c r="AH633" s="460" t="str">
        <f t="shared" ca="1" si="138"/>
        <v/>
      </c>
      <c r="AI633" s="460" t="str">
        <f t="shared" ca="1" si="138"/>
        <v/>
      </c>
      <c r="AJ633" s="460" t="str">
        <f t="shared" ca="1" si="138"/>
        <v/>
      </c>
      <c r="AK633" s="460" t="str">
        <f t="shared" ca="1" si="138"/>
        <v/>
      </c>
      <c r="AL633" s="460" t="str">
        <f t="shared" ca="1" si="138"/>
        <v/>
      </c>
      <c r="AM633" s="460" t="str">
        <f t="shared" ca="1" si="138"/>
        <v/>
      </c>
      <c r="AN633" s="461" t="str">
        <f t="shared" ca="1" si="138"/>
        <v/>
      </c>
      <c r="AO633" s="474" t="str">
        <f t="shared" ca="1" si="138"/>
        <v/>
      </c>
      <c r="AP633" s="475" t="str">
        <f t="shared" ca="1" si="138"/>
        <v/>
      </c>
      <c r="AQ633" s="479" t="str">
        <f t="array" aca="1" ref="AQ633" ca="1">IF(ROW()-5&lt;=COUNTIF(科目编号,$AR$2),SMALL(IF(科目编号=$AR$2,ROW(科目编号),""),ROW()-5),"")</f>
        <v/>
      </c>
      <c r="AR633" s="480" t="str">
        <f ca="1">IF($BG$2=0,"",IF(AR632="本月合计","本年累计",IF(OR(ROW()=$AU$3,ROW()=$AV$3,ROW()=$AW$3,ROW()=$AX$3,ROW()=$AY$3,ROW()=$AZ$3,ROW()=$BA$3,ROW()=$BB$3,ROW()=$BC$3,ROW()=$BD$3,ROW()=$BE$3,ROW()=$BF$3),"本月合计",IF(ROW()&lt;7,$AQ$6,OFFSET($AQ$6,COUNT($AR$6:AR632),0)))))</f>
        <v/>
      </c>
    </row>
    <row r="634" spans="1:44">
      <c r="A634" s="469" t="str">
        <f ca="1">IFERROR(INDEX(凭证录入!A:A,$AR634),"")</f>
        <v/>
      </c>
      <c r="B634" s="469" t="str">
        <f ca="1">IFERROR(INDEX(凭证录入!B:B,$AR634),"")</f>
        <v/>
      </c>
      <c r="C634" s="470" t="str">
        <f ca="1">IFERROR(INDEX(凭证录入!G:G,$AR634),"")</f>
        <v/>
      </c>
      <c r="D634" s="471" t="str">
        <f ca="1">IFERROR(INDEX(凭证录入!F:F,$AR634),"")</f>
        <v/>
      </c>
      <c r="E634" s="472" t="str">
        <f ca="1">IFERROR(INDEX(凭证录入!H:H,$AR634),$AR634)</f>
        <v/>
      </c>
      <c r="F634" s="473">
        <f ca="1">IF(OR($BG$2=0,$AR634=""),,IF($AR634="本月合计",IF(ROW()=$BG$3,SUM($F$6:$F633),SUM(INDIRECT("$F$"&amp;OFFSET($AU$3,,MATCH(ROW(),$AU$3:$BF$3,)-2)+2&amp;":$E"&amp;ROW()-1))),IF($AR634="本年累计",SUMIF($AR$6:$AR634,"本月合计",$F$6:$F633),INDEX(凭证录入!K:K,$AR634))))</f>
        <v>0</v>
      </c>
      <c r="G634" s="459" t="str">
        <f t="shared" ca="1" si="139"/>
        <v/>
      </c>
      <c r="H634" s="460" t="str">
        <f t="shared" ca="1" si="139"/>
        <v/>
      </c>
      <c r="I634" s="460" t="str">
        <f t="shared" ca="1" si="139"/>
        <v/>
      </c>
      <c r="J634" s="460" t="str">
        <f t="shared" ca="1" si="139"/>
        <v/>
      </c>
      <c r="K634" s="460" t="str">
        <f t="shared" ca="1" si="139"/>
        <v/>
      </c>
      <c r="L634" s="460" t="str">
        <f t="shared" ca="1" si="139"/>
        <v/>
      </c>
      <c r="M634" s="460" t="str">
        <f t="shared" ca="1" si="139"/>
        <v/>
      </c>
      <c r="N634" s="460" t="str">
        <f t="shared" ca="1" si="139"/>
        <v/>
      </c>
      <c r="O634" s="461" t="str">
        <f t="shared" ca="1" si="139"/>
        <v/>
      </c>
      <c r="P634" s="474" t="str">
        <f t="shared" ca="1" si="139"/>
        <v/>
      </c>
      <c r="Q634" s="475" t="str">
        <f t="shared" ca="1" si="139"/>
        <v/>
      </c>
      <c r="R634" s="476">
        <f ca="1">IF(OR($BG$2=0,$AR634=""),,IF($AR634="本月合计",IF(ROW()=$BG$3,SUM($R$6:$R633),SUM(INDIRECT("$R$"&amp;OFFSET($AU$3,,MATCH(ROW(),$AU$3:$BF$3,)-2)+2&amp;":$R"&amp;ROW()-1))),IF($AR634="本年累计",SUMIF($AR$6:$AR634,"本月合计",$R$6:$R633),INDEX(凭证录入!L:L,$AR634))))</f>
        <v>0</v>
      </c>
      <c r="S634" s="459" t="str">
        <f t="shared" ca="1" si="140"/>
        <v/>
      </c>
      <c r="T634" s="460" t="str">
        <f t="shared" ca="1" si="140"/>
        <v/>
      </c>
      <c r="U634" s="460" t="str">
        <f t="shared" ca="1" si="140"/>
        <v/>
      </c>
      <c r="V634" s="460" t="str">
        <f t="shared" ca="1" si="140"/>
        <v/>
      </c>
      <c r="W634" s="460" t="str">
        <f t="shared" ca="1" si="140"/>
        <v/>
      </c>
      <c r="X634" s="460" t="str">
        <f t="shared" ca="1" si="140"/>
        <v/>
      </c>
      <c r="Y634" s="460" t="str">
        <f t="shared" ca="1" si="140"/>
        <v/>
      </c>
      <c r="Z634" s="460" t="str">
        <f t="shared" ca="1" si="140"/>
        <v/>
      </c>
      <c r="AA634" s="461" t="str">
        <f t="shared" ca="1" si="140"/>
        <v/>
      </c>
      <c r="AB634" s="474" t="str">
        <f t="shared" ca="1" si="140"/>
        <v/>
      </c>
      <c r="AC634" s="475" t="str">
        <f t="shared" ca="1" si="140"/>
        <v/>
      </c>
      <c r="AD634" s="477" t="str">
        <f t="shared" ca="1" si="130"/>
        <v/>
      </c>
      <c r="AE634" s="478">
        <f t="shared" ca="1" si="131"/>
        <v>0</v>
      </c>
      <c r="AF634" s="459" t="str">
        <f t="shared" ca="1" si="138"/>
        <v/>
      </c>
      <c r="AG634" s="460" t="str">
        <f t="shared" ca="1" si="138"/>
        <v/>
      </c>
      <c r="AH634" s="460" t="str">
        <f t="shared" ca="1" si="138"/>
        <v/>
      </c>
      <c r="AI634" s="460" t="str">
        <f t="shared" ca="1" si="138"/>
        <v/>
      </c>
      <c r="AJ634" s="460" t="str">
        <f t="shared" ca="1" si="138"/>
        <v/>
      </c>
      <c r="AK634" s="460" t="str">
        <f t="shared" ca="1" si="138"/>
        <v/>
      </c>
      <c r="AL634" s="460" t="str">
        <f t="shared" ca="1" si="138"/>
        <v/>
      </c>
      <c r="AM634" s="460" t="str">
        <f t="shared" ca="1" si="138"/>
        <v/>
      </c>
      <c r="AN634" s="461" t="str">
        <f t="shared" ca="1" si="138"/>
        <v/>
      </c>
      <c r="AO634" s="474" t="str">
        <f t="shared" ca="1" si="138"/>
        <v/>
      </c>
      <c r="AP634" s="475" t="str">
        <f t="shared" ca="1" si="138"/>
        <v/>
      </c>
      <c r="AQ634" s="479" t="str">
        <f t="array" aca="1" ref="AQ634" ca="1">IF(ROW()-5&lt;=COUNTIF(科目编号,$AR$2),SMALL(IF(科目编号=$AR$2,ROW(科目编号),""),ROW()-5),"")</f>
        <v/>
      </c>
      <c r="AR634" s="480" t="str">
        <f ca="1">IF($BG$2=0,"",IF(AR633="本月合计","本年累计",IF(OR(ROW()=$AU$3,ROW()=$AV$3,ROW()=$AW$3,ROW()=$AX$3,ROW()=$AY$3,ROW()=$AZ$3,ROW()=$BA$3,ROW()=$BB$3,ROW()=$BC$3,ROW()=$BD$3,ROW()=$BE$3,ROW()=$BF$3),"本月合计",IF(ROW()&lt;7,$AQ$6,OFFSET($AQ$6,COUNT($AR$6:AR633),0)))))</f>
        <v/>
      </c>
    </row>
    <row r="635" spans="1:44">
      <c r="A635" s="469" t="str">
        <f ca="1">IFERROR(INDEX(凭证录入!A:A,$AR635),"")</f>
        <v/>
      </c>
      <c r="B635" s="469" t="str">
        <f ca="1">IFERROR(INDEX(凭证录入!B:B,$AR635),"")</f>
        <v/>
      </c>
      <c r="C635" s="470" t="str">
        <f ca="1">IFERROR(INDEX(凭证录入!G:G,$AR635),"")</f>
        <v/>
      </c>
      <c r="D635" s="471" t="str">
        <f ca="1">IFERROR(INDEX(凭证录入!F:F,$AR635),"")</f>
        <v/>
      </c>
      <c r="E635" s="472" t="str">
        <f ca="1">IFERROR(INDEX(凭证录入!H:H,$AR635),$AR635)</f>
        <v/>
      </c>
      <c r="F635" s="473">
        <f ca="1">IF(OR($BG$2=0,$AR635=""),,IF($AR635="本月合计",IF(ROW()=$BG$3,SUM($F$6:$F634),SUM(INDIRECT("$F$"&amp;OFFSET($AU$3,,MATCH(ROW(),$AU$3:$BF$3,)-2)+2&amp;":$E"&amp;ROW()-1))),IF($AR635="本年累计",SUMIF($AR$6:$AR635,"本月合计",$F$6:$F634),INDEX(凭证录入!K:K,$AR635))))</f>
        <v>0</v>
      </c>
      <c r="G635" s="459" t="str">
        <f t="shared" ca="1" si="139"/>
        <v/>
      </c>
      <c r="H635" s="460" t="str">
        <f t="shared" ca="1" si="139"/>
        <v/>
      </c>
      <c r="I635" s="460" t="str">
        <f t="shared" ca="1" si="139"/>
        <v/>
      </c>
      <c r="J635" s="460" t="str">
        <f t="shared" ca="1" si="139"/>
        <v/>
      </c>
      <c r="K635" s="460" t="str">
        <f t="shared" ca="1" si="139"/>
        <v/>
      </c>
      <c r="L635" s="460" t="str">
        <f t="shared" ca="1" si="139"/>
        <v/>
      </c>
      <c r="M635" s="460" t="str">
        <f t="shared" ca="1" si="139"/>
        <v/>
      </c>
      <c r="N635" s="460" t="str">
        <f t="shared" ca="1" si="139"/>
        <v/>
      </c>
      <c r="O635" s="461" t="str">
        <f t="shared" ca="1" si="139"/>
        <v/>
      </c>
      <c r="P635" s="474" t="str">
        <f t="shared" ca="1" si="139"/>
        <v/>
      </c>
      <c r="Q635" s="475" t="str">
        <f t="shared" ca="1" si="139"/>
        <v/>
      </c>
      <c r="R635" s="476">
        <f ca="1">IF(OR($BG$2=0,$AR635=""),,IF($AR635="本月合计",IF(ROW()=$BG$3,SUM($R$6:$R634),SUM(INDIRECT("$R$"&amp;OFFSET($AU$3,,MATCH(ROW(),$AU$3:$BF$3,)-2)+2&amp;":$R"&amp;ROW()-1))),IF($AR635="本年累计",SUMIF($AR$6:$AR635,"本月合计",$R$6:$R634),INDEX(凭证录入!L:L,$AR635))))</f>
        <v>0</v>
      </c>
      <c r="S635" s="459" t="str">
        <f t="shared" ca="1" si="140"/>
        <v/>
      </c>
      <c r="T635" s="460" t="str">
        <f t="shared" ca="1" si="140"/>
        <v/>
      </c>
      <c r="U635" s="460" t="str">
        <f t="shared" ca="1" si="140"/>
        <v/>
      </c>
      <c r="V635" s="460" t="str">
        <f t="shared" ca="1" si="140"/>
        <v/>
      </c>
      <c r="W635" s="460" t="str">
        <f t="shared" ca="1" si="140"/>
        <v/>
      </c>
      <c r="X635" s="460" t="str">
        <f t="shared" ca="1" si="140"/>
        <v/>
      </c>
      <c r="Y635" s="460" t="str">
        <f t="shared" ca="1" si="140"/>
        <v/>
      </c>
      <c r="Z635" s="460" t="str">
        <f t="shared" ca="1" si="140"/>
        <v/>
      </c>
      <c r="AA635" s="461" t="str">
        <f t="shared" ca="1" si="140"/>
        <v/>
      </c>
      <c r="AB635" s="474" t="str">
        <f t="shared" ca="1" si="140"/>
        <v/>
      </c>
      <c r="AC635" s="475" t="str">
        <f t="shared" ca="1" si="140"/>
        <v/>
      </c>
      <c r="AD635" s="477" t="str">
        <f t="shared" ca="1" si="130"/>
        <v/>
      </c>
      <c r="AE635" s="478">
        <f t="shared" ca="1" si="131"/>
        <v>0</v>
      </c>
      <c r="AF635" s="459" t="str">
        <f t="shared" ca="1" si="138"/>
        <v/>
      </c>
      <c r="AG635" s="460" t="str">
        <f t="shared" ca="1" si="138"/>
        <v/>
      </c>
      <c r="AH635" s="460" t="str">
        <f t="shared" ca="1" si="138"/>
        <v/>
      </c>
      <c r="AI635" s="460" t="str">
        <f t="shared" ca="1" si="138"/>
        <v/>
      </c>
      <c r="AJ635" s="460" t="str">
        <f t="shared" ca="1" si="138"/>
        <v/>
      </c>
      <c r="AK635" s="460" t="str">
        <f t="shared" ca="1" si="138"/>
        <v/>
      </c>
      <c r="AL635" s="460" t="str">
        <f t="shared" ca="1" si="138"/>
        <v/>
      </c>
      <c r="AM635" s="460" t="str">
        <f t="shared" ca="1" si="138"/>
        <v/>
      </c>
      <c r="AN635" s="461" t="str">
        <f t="shared" ca="1" si="138"/>
        <v/>
      </c>
      <c r="AO635" s="474" t="str">
        <f t="shared" ca="1" si="138"/>
        <v/>
      </c>
      <c r="AP635" s="475" t="str">
        <f t="shared" ca="1" si="138"/>
        <v/>
      </c>
      <c r="AQ635" s="479" t="str">
        <f t="array" aca="1" ref="AQ635" ca="1">IF(ROW()-5&lt;=COUNTIF(科目编号,$AR$2),SMALL(IF(科目编号=$AR$2,ROW(科目编号),""),ROW()-5),"")</f>
        <v/>
      </c>
      <c r="AR635" s="480" t="str">
        <f ca="1">IF($BG$2=0,"",IF(AR634="本月合计","本年累计",IF(OR(ROW()=$AU$3,ROW()=$AV$3,ROW()=$AW$3,ROW()=$AX$3,ROW()=$AY$3,ROW()=$AZ$3,ROW()=$BA$3,ROW()=$BB$3,ROW()=$BC$3,ROW()=$BD$3,ROW()=$BE$3,ROW()=$BF$3),"本月合计",IF(ROW()&lt;7,$AQ$6,OFFSET($AQ$6,COUNT($AR$6:AR634),0)))))</f>
        <v/>
      </c>
    </row>
    <row r="636" spans="1:44">
      <c r="A636" s="469" t="str">
        <f ca="1">IFERROR(INDEX(凭证录入!A:A,$AR636),"")</f>
        <v/>
      </c>
      <c r="B636" s="469" t="str">
        <f ca="1">IFERROR(INDEX(凭证录入!B:B,$AR636),"")</f>
        <v/>
      </c>
      <c r="C636" s="470" t="str">
        <f ca="1">IFERROR(INDEX(凭证录入!G:G,$AR636),"")</f>
        <v/>
      </c>
      <c r="D636" s="471" t="str">
        <f ca="1">IFERROR(INDEX(凭证录入!F:F,$AR636),"")</f>
        <v/>
      </c>
      <c r="E636" s="472" t="str">
        <f ca="1">IFERROR(INDEX(凭证录入!H:H,$AR636),$AR636)</f>
        <v/>
      </c>
      <c r="F636" s="473">
        <f ca="1">IF(OR($BG$2=0,$AR636=""),,IF($AR636="本月合计",IF(ROW()=$BG$3,SUM($F$6:$F635),SUM(INDIRECT("$F$"&amp;OFFSET($AU$3,,MATCH(ROW(),$AU$3:$BF$3,)-2)+2&amp;":$E"&amp;ROW()-1))),IF($AR636="本年累计",SUMIF($AR$6:$AR636,"本月合计",$F$6:$F635),INDEX(凭证录入!K:K,$AR636))))</f>
        <v>0</v>
      </c>
      <c r="G636" s="459" t="str">
        <f t="shared" ca="1" si="139"/>
        <v/>
      </c>
      <c r="H636" s="460" t="str">
        <f t="shared" ca="1" si="139"/>
        <v/>
      </c>
      <c r="I636" s="460" t="str">
        <f t="shared" ca="1" si="139"/>
        <v/>
      </c>
      <c r="J636" s="460" t="str">
        <f t="shared" ca="1" si="139"/>
        <v/>
      </c>
      <c r="K636" s="460" t="str">
        <f t="shared" ca="1" si="139"/>
        <v/>
      </c>
      <c r="L636" s="460" t="str">
        <f t="shared" ca="1" si="139"/>
        <v/>
      </c>
      <c r="M636" s="460" t="str">
        <f t="shared" ca="1" si="139"/>
        <v/>
      </c>
      <c r="N636" s="460" t="str">
        <f t="shared" ca="1" si="139"/>
        <v/>
      </c>
      <c r="O636" s="461" t="str">
        <f t="shared" ca="1" si="139"/>
        <v/>
      </c>
      <c r="P636" s="474" t="str">
        <f t="shared" ca="1" si="139"/>
        <v/>
      </c>
      <c r="Q636" s="475" t="str">
        <f t="shared" ca="1" si="139"/>
        <v/>
      </c>
      <c r="R636" s="476">
        <f ca="1">IF(OR($BG$2=0,$AR636=""),,IF($AR636="本月合计",IF(ROW()=$BG$3,SUM($R$6:$R635),SUM(INDIRECT("$R$"&amp;OFFSET($AU$3,,MATCH(ROW(),$AU$3:$BF$3,)-2)+2&amp;":$R"&amp;ROW()-1))),IF($AR636="本年累计",SUMIF($AR$6:$AR636,"本月合计",$R$6:$R635),INDEX(凭证录入!L:L,$AR636))))</f>
        <v>0</v>
      </c>
      <c r="S636" s="459" t="str">
        <f t="shared" ca="1" si="140"/>
        <v/>
      </c>
      <c r="T636" s="460" t="str">
        <f t="shared" ca="1" si="140"/>
        <v/>
      </c>
      <c r="U636" s="460" t="str">
        <f t="shared" ca="1" si="140"/>
        <v/>
      </c>
      <c r="V636" s="460" t="str">
        <f t="shared" ca="1" si="140"/>
        <v/>
      </c>
      <c r="W636" s="460" t="str">
        <f t="shared" ca="1" si="140"/>
        <v/>
      </c>
      <c r="X636" s="460" t="str">
        <f t="shared" ca="1" si="140"/>
        <v/>
      </c>
      <c r="Y636" s="460" t="str">
        <f t="shared" ca="1" si="140"/>
        <v/>
      </c>
      <c r="Z636" s="460" t="str">
        <f t="shared" ca="1" si="140"/>
        <v/>
      </c>
      <c r="AA636" s="461" t="str">
        <f t="shared" ca="1" si="140"/>
        <v/>
      </c>
      <c r="AB636" s="474" t="str">
        <f t="shared" ca="1" si="140"/>
        <v/>
      </c>
      <c r="AC636" s="475" t="str">
        <f t="shared" ca="1" si="140"/>
        <v/>
      </c>
      <c r="AD636" s="477" t="str">
        <f t="shared" ca="1" si="130"/>
        <v/>
      </c>
      <c r="AE636" s="478">
        <f t="shared" ca="1" si="131"/>
        <v>0</v>
      </c>
      <c r="AF636" s="459" t="str">
        <f t="shared" ca="1" si="138"/>
        <v/>
      </c>
      <c r="AG636" s="460" t="str">
        <f t="shared" ca="1" si="138"/>
        <v/>
      </c>
      <c r="AH636" s="460" t="str">
        <f t="shared" ca="1" si="138"/>
        <v/>
      </c>
      <c r="AI636" s="460" t="str">
        <f t="shared" ca="1" si="138"/>
        <v/>
      </c>
      <c r="AJ636" s="460" t="str">
        <f t="shared" ca="1" si="138"/>
        <v/>
      </c>
      <c r="AK636" s="460" t="str">
        <f t="shared" ca="1" si="138"/>
        <v/>
      </c>
      <c r="AL636" s="460" t="str">
        <f t="shared" ca="1" si="138"/>
        <v/>
      </c>
      <c r="AM636" s="460" t="str">
        <f t="shared" ca="1" si="138"/>
        <v/>
      </c>
      <c r="AN636" s="461" t="str">
        <f t="shared" ca="1" si="138"/>
        <v/>
      </c>
      <c r="AO636" s="474" t="str">
        <f t="shared" ca="1" si="138"/>
        <v/>
      </c>
      <c r="AP636" s="475" t="str">
        <f t="shared" ca="1" si="138"/>
        <v/>
      </c>
      <c r="AQ636" s="479" t="str">
        <f t="array" aca="1" ref="AQ636" ca="1">IF(ROW()-5&lt;=COUNTIF(科目编号,$AR$2),SMALL(IF(科目编号=$AR$2,ROW(科目编号),""),ROW()-5),"")</f>
        <v/>
      </c>
      <c r="AR636" s="480" t="str">
        <f ca="1">IF($BG$2=0,"",IF(AR635="本月合计","本年累计",IF(OR(ROW()=$AU$3,ROW()=$AV$3,ROW()=$AW$3,ROW()=$AX$3,ROW()=$AY$3,ROW()=$AZ$3,ROW()=$BA$3,ROW()=$BB$3,ROW()=$BC$3,ROW()=$BD$3,ROW()=$BE$3,ROW()=$BF$3),"本月合计",IF(ROW()&lt;7,$AQ$6,OFFSET($AQ$6,COUNT($AR$6:AR635),0)))))</f>
        <v/>
      </c>
    </row>
    <row r="637" spans="1:44">
      <c r="A637" s="469" t="str">
        <f ca="1">IFERROR(INDEX(凭证录入!A:A,$AR637),"")</f>
        <v/>
      </c>
      <c r="B637" s="469" t="str">
        <f ca="1">IFERROR(INDEX(凭证录入!B:B,$AR637),"")</f>
        <v/>
      </c>
      <c r="C637" s="470" t="str">
        <f ca="1">IFERROR(INDEX(凭证录入!G:G,$AR637),"")</f>
        <v/>
      </c>
      <c r="D637" s="471" t="str">
        <f ca="1">IFERROR(INDEX(凭证录入!F:F,$AR637),"")</f>
        <v/>
      </c>
      <c r="E637" s="472" t="str">
        <f ca="1">IFERROR(INDEX(凭证录入!H:H,$AR637),$AR637)</f>
        <v/>
      </c>
      <c r="F637" s="473">
        <f ca="1">IF(OR($BG$2=0,$AR637=""),,IF($AR637="本月合计",IF(ROW()=$BG$3,SUM($F$6:$F636),SUM(INDIRECT("$F$"&amp;OFFSET($AU$3,,MATCH(ROW(),$AU$3:$BF$3,)-2)+2&amp;":$E"&amp;ROW()-1))),IF($AR637="本年累计",SUMIF($AR$6:$AR637,"本月合计",$F$6:$F636),INDEX(凭证录入!K:K,$AR637))))</f>
        <v>0</v>
      </c>
      <c r="G637" s="459" t="str">
        <f t="shared" ca="1" si="139"/>
        <v/>
      </c>
      <c r="H637" s="460" t="str">
        <f t="shared" ca="1" si="139"/>
        <v/>
      </c>
      <c r="I637" s="460" t="str">
        <f t="shared" ca="1" si="139"/>
        <v/>
      </c>
      <c r="J637" s="460" t="str">
        <f t="shared" ca="1" si="139"/>
        <v/>
      </c>
      <c r="K637" s="460" t="str">
        <f t="shared" ca="1" si="139"/>
        <v/>
      </c>
      <c r="L637" s="460" t="str">
        <f t="shared" ca="1" si="139"/>
        <v/>
      </c>
      <c r="M637" s="460" t="str">
        <f t="shared" ca="1" si="139"/>
        <v/>
      </c>
      <c r="N637" s="460" t="str">
        <f t="shared" ca="1" si="139"/>
        <v/>
      </c>
      <c r="O637" s="461" t="str">
        <f t="shared" ca="1" si="139"/>
        <v/>
      </c>
      <c r="P637" s="474" t="str">
        <f t="shared" ca="1" si="139"/>
        <v/>
      </c>
      <c r="Q637" s="475" t="str">
        <f t="shared" ca="1" si="139"/>
        <v/>
      </c>
      <c r="R637" s="476">
        <f ca="1">IF(OR($BG$2=0,$AR637=""),,IF($AR637="本月合计",IF(ROW()=$BG$3,SUM($R$6:$R636),SUM(INDIRECT("$R$"&amp;OFFSET($AU$3,,MATCH(ROW(),$AU$3:$BF$3,)-2)+2&amp;":$R"&amp;ROW()-1))),IF($AR637="本年累计",SUMIF($AR$6:$AR637,"本月合计",$R$6:$R636),INDEX(凭证录入!L:L,$AR637))))</f>
        <v>0</v>
      </c>
      <c r="S637" s="459" t="str">
        <f t="shared" ca="1" si="140"/>
        <v/>
      </c>
      <c r="T637" s="460" t="str">
        <f t="shared" ca="1" si="140"/>
        <v/>
      </c>
      <c r="U637" s="460" t="str">
        <f t="shared" ca="1" si="140"/>
        <v/>
      </c>
      <c r="V637" s="460" t="str">
        <f t="shared" ca="1" si="140"/>
        <v/>
      </c>
      <c r="W637" s="460" t="str">
        <f t="shared" ca="1" si="140"/>
        <v/>
      </c>
      <c r="X637" s="460" t="str">
        <f t="shared" ca="1" si="140"/>
        <v/>
      </c>
      <c r="Y637" s="460" t="str">
        <f t="shared" ca="1" si="140"/>
        <v/>
      </c>
      <c r="Z637" s="460" t="str">
        <f t="shared" ca="1" si="140"/>
        <v/>
      </c>
      <c r="AA637" s="461" t="str">
        <f t="shared" ca="1" si="140"/>
        <v/>
      </c>
      <c r="AB637" s="474" t="str">
        <f t="shared" ca="1" si="140"/>
        <v/>
      </c>
      <c r="AC637" s="475" t="str">
        <f t="shared" ca="1" si="140"/>
        <v/>
      </c>
      <c r="AD637" s="477" t="str">
        <f t="shared" ca="1" si="130"/>
        <v/>
      </c>
      <c r="AE637" s="478">
        <f t="shared" ca="1" si="131"/>
        <v>0</v>
      </c>
      <c r="AF637" s="459" t="str">
        <f t="shared" ca="1" si="138"/>
        <v/>
      </c>
      <c r="AG637" s="460" t="str">
        <f t="shared" ca="1" si="138"/>
        <v/>
      </c>
      <c r="AH637" s="460" t="str">
        <f t="shared" ca="1" si="138"/>
        <v/>
      </c>
      <c r="AI637" s="460" t="str">
        <f t="shared" ca="1" si="138"/>
        <v/>
      </c>
      <c r="AJ637" s="460" t="str">
        <f t="shared" ca="1" si="138"/>
        <v/>
      </c>
      <c r="AK637" s="460" t="str">
        <f t="shared" ca="1" si="138"/>
        <v/>
      </c>
      <c r="AL637" s="460" t="str">
        <f t="shared" ca="1" si="138"/>
        <v/>
      </c>
      <c r="AM637" s="460" t="str">
        <f t="shared" ca="1" si="138"/>
        <v/>
      </c>
      <c r="AN637" s="461" t="str">
        <f t="shared" ca="1" si="138"/>
        <v/>
      </c>
      <c r="AO637" s="474" t="str">
        <f t="shared" ca="1" si="138"/>
        <v/>
      </c>
      <c r="AP637" s="475" t="str">
        <f t="shared" ca="1" si="138"/>
        <v/>
      </c>
      <c r="AQ637" s="479" t="str">
        <f t="array" aca="1" ref="AQ637" ca="1">IF(ROW()-5&lt;=COUNTIF(科目编号,$AR$2),SMALL(IF(科目编号=$AR$2,ROW(科目编号),""),ROW()-5),"")</f>
        <v/>
      </c>
      <c r="AR637" s="480" t="str">
        <f ca="1">IF($BG$2=0,"",IF(AR636="本月合计","本年累计",IF(OR(ROW()=$AU$3,ROW()=$AV$3,ROW()=$AW$3,ROW()=$AX$3,ROW()=$AY$3,ROW()=$AZ$3,ROW()=$BA$3,ROW()=$BB$3,ROW()=$BC$3,ROW()=$BD$3,ROW()=$BE$3,ROW()=$BF$3),"本月合计",IF(ROW()&lt;7,$AQ$6,OFFSET($AQ$6,COUNT($AR$6:AR636),0)))))</f>
        <v/>
      </c>
    </row>
    <row r="638" spans="1:44">
      <c r="A638" s="469" t="str">
        <f ca="1">IFERROR(INDEX(凭证录入!A:A,$AR638),"")</f>
        <v/>
      </c>
      <c r="B638" s="469" t="str">
        <f ca="1">IFERROR(INDEX(凭证录入!B:B,$AR638),"")</f>
        <v/>
      </c>
      <c r="C638" s="470" t="str">
        <f ca="1">IFERROR(INDEX(凭证录入!G:G,$AR638),"")</f>
        <v/>
      </c>
      <c r="D638" s="471" t="str">
        <f ca="1">IFERROR(INDEX(凭证录入!F:F,$AR638),"")</f>
        <v/>
      </c>
      <c r="E638" s="472" t="str">
        <f ca="1">IFERROR(INDEX(凭证录入!H:H,$AR638),$AR638)</f>
        <v/>
      </c>
      <c r="F638" s="473">
        <f ca="1">IF(OR($BG$2=0,$AR638=""),,IF($AR638="本月合计",IF(ROW()=$BG$3,SUM($F$6:$F637),SUM(INDIRECT("$F$"&amp;OFFSET($AU$3,,MATCH(ROW(),$AU$3:$BF$3,)-2)+2&amp;":$E"&amp;ROW()-1))),IF($AR638="本年累计",SUMIF($AR$6:$AR638,"本月合计",$F$6:$F637),INDEX(凭证录入!K:K,$AR638))))</f>
        <v>0</v>
      </c>
      <c r="G638" s="459" t="str">
        <f t="shared" ca="1" si="139"/>
        <v/>
      </c>
      <c r="H638" s="460" t="str">
        <f t="shared" ca="1" si="139"/>
        <v/>
      </c>
      <c r="I638" s="460" t="str">
        <f t="shared" ca="1" si="139"/>
        <v/>
      </c>
      <c r="J638" s="460" t="str">
        <f t="shared" ca="1" si="139"/>
        <v/>
      </c>
      <c r="K638" s="460" t="str">
        <f t="shared" ca="1" si="139"/>
        <v/>
      </c>
      <c r="L638" s="460" t="str">
        <f t="shared" ca="1" si="139"/>
        <v/>
      </c>
      <c r="M638" s="460" t="str">
        <f t="shared" ca="1" si="139"/>
        <v/>
      </c>
      <c r="N638" s="460" t="str">
        <f t="shared" ca="1" si="139"/>
        <v/>
      </c>
      <c r="O638" s="461" t="str">
        <f t="shared" ca="1" si="139"/>
        <v/>
      </c>
      <c r="P638" s="474" t="str">
        <f t="shared" ca="1" si="139"/>
        <v/>
      </c>
      <c r="Q638" s="475" t="str">
        <f t="shared" ca="1" si="139"/>
        <v/>
      </c>
      <c r="R638" s="476">
        <f ca="1">IF(OR($BG$2=0,$AR638=""),,IF($AR638="本月合计",IF(ROW()=$BG$3,SUM($R$6:$R637),SUM(INDIRECT("$R$"&amp;OFFSET($AU$3,,MATCH(ROW(),$AU$3:$BF$3,)-2)+2&amp;":$R"&amp;ROW()-1))),IF($AR638="本年累计",SUMIF($AR$6:$AR638,"本月合计",$R$6:$R637),INDEX(凭证录入!L:L,$AR638))))</f>
        <v>0</v>
      </c>
      <c r="S638" s="459" t="str">
        <f t="shared" ca="1" si="140"/>
        <v/>
      </c>
      <c r="T638" s="460" t="str">
        <f t="shared" ca="1" si="140"/>
        <v/>
      </c>
      <c r="U638" s="460" t="str">
        <f t="shared" ca="1" si="140"/>
        <v/>
      </c>
      <c r="V638" s="460" t="str">
        <f t="shared" ca="1" si="140"/>
        <v/>
      </c>
      <c r="W638" s="460" t="str">
        <f t="shared" ca="1" si="140"/>
        <v/>
      </c>
      <c r="X638" s="460" t="str">
        <f t="shared" ca="1" si="140"/>
        <v/>
      </c>
      <c r="Y638" s="460" t="str">
        <f t="shared" ca="1" si="140"/>
        <v/>
      </c>
      <c r="Z638" s="460" t="str">
        <f t="shared" ca="1" si="140"/>
        <v/>
      </c>
      <c r="AA638" s="461" t="str">
        <f t="shared" ca="1" si="140"/>
        <v/>
      </c>
      <c r="AB638" s="474" t="str">
        <f t="shared" ca="1" si="140"/>
        <v/>
      </c>
      <c r="AC638" s="475" t="str">
        <f t="shared" ca="1" si="140"/>
        <v/>
      </c>
      <c r="AD638" s="477" t="str">
        <f t="shared" ca="1" si="130"/>
        <v/>
      </c>
      <c r="AE638" s="478">
        <f t="shared" ca="1" si="131"/>
        <v>0</v>
      </c>
      <c r="AF638" s="459" t="str">
        <f t="shared" ca="1" si="138"/>
        <v/>
      </c>
      <c r="AG638" s="460" t="str">
        <f t="shared" ca="1" si="138"/>
        <v/>
      </c>
      <c r="AH638" s="460" t="str">
        <f t="shared" ca="1" si="138"/>
        <v/>
      </c>
      <c r="AI638" s="460" t="str">
        <f t="shared" ca="1" si="138"/>
        <v/>
      </c>
      <c r="AJ638" s="460" t="str">
        <f t="shared" ca="1" si="138"/>
        <v/>
      </c>
      <c r="AK638" s="460" t="str">
        <f t="shared" ca="1" si="138"/>
        <v/>
      </c>
      <c r="AL638" s="460" t="str">
        <f t="shared" ca="1" si="138"/>
        <v/>
      </c>
      <c r="AM638" s="460" t="str">
        <f t="shared" ca="1" si="138"/>
        <v/>
      </c>
      <c r="AN638" s="461" t="str">
        <f t="shared" ca="1" si="138"/>
        <v/>
      </c>
      <c r="AO638" s="474" t="str">
        <f t="shared" ca="1" si="138"/>
        <v/>
      </c>
      <c r="AP638" s="475" t="str">
        <f t="shared" ca="1" si="138"/>
        <v/>
      </c>
      <c r="AQ638" s="479" t="str">
        <f t="array" aca="1" ref="AQ638" ca="1">IF(ROW()-5&lt;=COUNTIF(科目编号,$AR$2),SMALL(IF(科目编号=$AR$2,ROW(科目编号),""),ROW()-5),"")</f>
        <v/>
      </c>
      <c r="AR638" s="480" t="str">
        <f ca="1">IF($BG$2=0,"",IF(AR637="本月合计","本年累计",IF(OR(ROW()=$AU$3,ROW()=$AV$3,ROW()=$AW$3,ROW()=$AX$3,ROW()=$AY$3,ROW()=$AZ$3,ROW()=$BA$3,ROW()=$BB$3,ROW()=$BC$3,ROW()=$BD$3,ROW()=$BE$3,ROW()=$BF$3),"本月合计",IF(ROW()&lt;7,$AQ$6,OFFSET($AQ$6,COUNT($AR$6:AR637),0)))))</f>
        <v/>
      </c>
    </row>
    <row r="639" spans="1:44">
      <c r="A639" s="469" t="str">
        <f ca="1">IFERROR(INDEX(凭证录入!A:A,$AR639),"")</f>
        <v/>
      </c>
      <c r="B639" s="469" t="str">
        <f ca="1">IFERROR(INDEX(凭证录入!B:B,$AR639),"")</f>
        <v/>
      </c>
      <c r="C639" s="470" t="str">
        <f ca="1">IFERROR(INDEX(凭证录入!G:G,$AR639),"")</f>
        <v/>
      </c>
      <c r="D639" s="471" t="str">
        <f ca="1">IFERROR(INDEX(凭证录入!F:F,$AR639),"")</f>
        <v/>
      </c>
      <c r="E639" s="472" t="str">
        <f ca="1">IFERROR(INDEX(凭证录入!H:H,$AR639),$AR639)</f>
        <v/>
      </c>
      <c r="F639" s="473">
        <f ca="1">IF(OR($BG$2=0,$AR639=""),,IF($AR639="本月合计",IF(ROW()=$BG$3,SUM($F$6:$F638),SUM(INDIRECT("$F$"&amp;OFFSET($AU$3,,MATCH(ROW(),$AU$3:$BF$3,)-2)+2&amp;":$E"&amp;ROW()-1))),IF($AR639="本年累计",SUMIF($AR$6:$AR639,"本月合计",$F$6:$F638),INDEX(凭证录入!K:K,$AR639))))</f>
        <v>0</v>
      </c>
      <c r="G639" s="459" t="str">
        <f t="shared" ca="1" si="139"/>
        <v/>
      </c>
      <c r="H639" s="460" t="str">
        <f t="shared" ca="1" si="139"/>
        <v/>
      </c>
      <c r="I639" s="460" t="str">
        <f t="shared" ca="1" si="139"/>
        <v/>
      </c>
      <c r="J639" s="460" t="str">
        <f t="shared" ca="1" si="139"/>
        <v/>
      </c>
      <c r="K639" s="460" t="str">
        <f t="shared" ca="1" si="139"/>
        <v/>
      </c>
      <c r="L639" s="460" t="str">
        <f t="shared" ca="1" si="139"/>
        <v/>
      </c>
      <c r="M639" s="460" t="str">
        <f t="shared" ca="1" si="139"/>
        <v/>
      </c>
      <c r="N639" s="460" t="str">
        <f t="shared" ca="1" si="139"/>
        <v/>
      </c>
      <c r="O639" s="461" t="str">
        <f t="shared" ca="1" si="139"/>
        <v/>
      </c>
      <c r="P639" s="474" t="str">
        <f t="shared" ca="1" si="139"/>
        <v/>
      </c>
      <c r="Q639" s="475" t="str">
        <f t="shared" ca="1" si="139"/>
        <v/>
      </c>
      <c r="R639" s="476">
        <f ca="1">IF(OR($BG$2=0,$AR639=""),,IF($AR639="本月合计",IF(ROW()=$BG$3,SUM($R$6:$R638),SUM(INDIRECT("$R$"&amp;OFFSET($AU$3,,MATCH(ROW(),$AU$3:$BF$3,)-2)+2&amp;":$R"&amp;ROW()-1))),IF($AR639="本年累计",SUMIF($AR$6:$AR639,"本月合计",$R$6:$R638),INDEX(凭证录入!L:L,$AR639))))</f>
        <v>0</v>
      </c>
      <c r="S639" s="459" t="str">
        <f t="shared" ca="1" si="140"/>
        <v/>
      </c>
      <c r="T639" s="460" t="str">
        <f t="shared" ca="1" si="140"/>
        <v/>
      </c>
      <c r="U639" s="460" t="str">
        <f t="shared" ca="1" si="140"/>
        <v/>
      </c>
      <c r="V639" s="460" t="str">
        <f t="shared" ca="1" si="140"/>
        <v/>
      </c>
      <c r="W639" s="460" t="str">
        <f t="shared" ca="1" si="140"/>
        <v/>
      </c>
      <c r="X639" s="460" t="str">
        <f t="shared" ca="1" si="140"/>
        <v/>
      </c>
      <c r="Y639" s="460" t="str">
        <f t="shared" ca="1" si="140"/>
        <v/>
      </c>
      <c r="Z639" s="460" t="str">
        <f t="shared" ca="1" si="140"/>
        <v/>
      </c>
      <c r="AA639" s="461" t="str">
        <f t="shared" ca="1" si="140"/>
        <v/>
      </c>
      <c r="AB639" s="474" t="str">
        <f t="shared" ca="1" si="140"/>
        <v/>
      </c>
      <c r="AC639" s="475" t="str">
        <f t="shared" ca="1" si="140"/>
        <v/>
      </c>
      <c r="AD639" s="477" t="str">
        <f t="shared" ca="1" si="130"/>
        <v/>
      </c>
      <c r="AE639" s="478">
        <f t="shared" ca="1" si="131"/>
        <v>0</v>
      </c>
      <c r="AF639" s="459" t="str">
        <f t="shared" ca="1" si="138"/>
        <v/>
      </c>
      <c r="AG639" s="460" t="str">
        <f t="shared" ca="1" si="138"/>
        <v/>
      </c>
      <c r="AH639" s="460" t="str">
        <f t="shared" ca="1" si="138"/>
        <v/>
      </c>
      <c r="AI639" s="460" t="str">
        <f t="shared" ca="1" si="138"/>
        <v/>
      </c>
      <c r="AJ639" s="460" t="str">
        <f t="shared" ca="1" si="138"/>
        <v/>
      </c>
      <c r="AK639" s="460" t="str">
        <f t="shared" ca="1" si="138"/>
        <v/>
      </c>
      <c r="AL639" s="460" t="str">
        <f t="shared" ca="1" si="138"/>
        <v/>
      </c>
      <c r="AM639" s="460" t="str">
        <f t="shared" ca="1" si="138"/>
        <v/>
      </c>
      <c r="AN639" s="461" t="str">
        <f t="shared" ca="1" si="138"/>
        <v/>
      </c>
      <c r="AO639" s="474" t="str">
        <f t="shared" ca="1" si="138"/>
        <v/>
      </c>
      <c r="AP639" s="475" t="str">
        <f t="shared" ca="1" si="138"/>
        <v/>
      </c>
      <c r="AQ639" s="479" t="str">
        <f t="array" aca="1" ref="AQ639" ca="1">IF(ROW()-5&lt;=COUNTIF(科目编号,$AR$2),SMALL(IF(科目编号=$AR$2,ROW(科目编号),""),ROW()-5),"")</f>
        <v/>
      </c>
      <c r="AR639" s="480" t="str">
        <f ca="1">IF($BG$2=0,"",IF(AR638="本月合计","本年累计",IF(OR(ROW()=$AU$3,ROW()=$AV$3,ROW()=$AW$3,ROW()=$AX$3,ROW()=$AY$3,ROW()=$AZ$3,ROW()=$BA$3,ROW()=$BB$3,ROW()=$BC$3,ROW()=$BD$3,ROW()=$BE$3,ROW()=$BF$3),"本月合计",IF(ROW()&lt;7,$AQ$6,OFFSET($AQ$6,COUNT($AR$6:AR638),0)))))</f>
        <v/>
      </c>
    </row>
    <row r="640" spans="1:44">
      <c r="A640" s="469" t="str">
        <f ca="1">IFERROR(INDEX(凭证录入!A:A,$AR640),"")</f>
        <v/>
      </c>
      <c r="B640" s="469" t="str">
        <f ca="1">IFERROR(INDEX(凭证录入!B:B,$AR640),"")</f>
        <v/>
      </c>
      <c r="C640" s="470" t="str">
        <f ca="1">IFERROR(INDEX(凭证录入!G:G,$AR640),"")</f>
        <v/>
      </c>
      <c r="D640" s="471" t="str">
        <f ca="1">IFERROR(INDEX(凭证录入!F:F,$AR640),"")</f>
        <v/>
      </c>
      <c r="E640" s="472" t="str">
        <f ca="1">IFERROR(INDEX(凭证录入!H:H,$AR640),$AR640)</f>
        <v/>
      </c>
      <c r="F640" s="473">
        <f ca="1">IF(OR($BG$2=0,$AR640=""),,IF($AR640="本月合计",IF(ROW()=$BG$3,SUM($F$6:$F639),SUM(INDIRECT("$F$"&amp;OFFSET($AU$3,,MATCH(ROW(),$AU$3:$BF$3,)-2)+2&amp;":$E"&amp;ROW()-1))),IF($AR640="本年累计",SUMIF($AR$6:$AR640,"本月合计",$F$6:$F639),INDEX(凭证录入!K:K,$AR640))))</f>
        <v>0</v>
      </c>
      <c r="G640" s="459" t="str">
        <f t="shared" ca="1" si="139"/>
        <v/>
      </c>
      <c r="H640" s="460" t="str">
        <f t="shared" ca="1" si="139"/>
        <v/>
      </c>
      <c r="I640" s="460" t="str">
        <f t="shared" ca="1" si="139"/>
        <v/>
      </c>
      <c r="J640" s="460" t="str">
        <f t="shared" ca="1" si="139"/>
        <v/>
      </c>
      <c r="K640" s="460" t="str">
        <f t="shared" ca="1" si="139"/>
        <v/>
      </c>
      <c r="L640" s="460" t="str">
        <f t="shared" ca="1" si="139"/>
        <v/>
      </c>
      <c r="M640" s="460" t="str">
        <f t="shared" ca="1" si="139"/>
        <v/>
      </c>
      <c r="N640" s="460" t="str">
        <f t="shared" ca="1" si="139"/>
        <v/>
      </c>
      <c r="O640" s="461" t="str">
        <f t="shared" ca="1" si="139"/>
        <v/>
      </c>
      <c r="P640" s="474" t="str">
        <f t="shared" ca="1" si="139"/>
        <v/>
      </c>
      <c r="Q640" s="475" t="str">
        <f t="shared" ca="1" si="139"/>
        <v/>
      </c>
      <c r="R640" s="476">
        <f ca="1">IF(OR($BG$2=0,$AR640=""),,IF($AR640="本月合计",IF(ROW()=$BG$3,SUM($R$6:$R639),SUM(INDIRECT("$R$"&amp;OFFSET($AU$3,,MATCH(ROW(),$AU$3:$BF$3,)-2)+2&amp;":$R"&amp;ROW()-1))),IF($AR640="本年累计",SUMIF($AR$6:$AR640,"本月合计",$R$6:$R639),INDEX(凭证录入!L:L,$AR640))))</f>
        <v>0</v>
      </c>
      <c r="S640" s="459" t="str">
        <f t="shared" ca="1" si="140"/>
        <v/>
      </c>
      <c r="T640" s="460" t="str">
        <f t="shared" ca="1" si="140"/>
        <v/>
      </c>
      <c r="U640" s="460" t="str">
        <f t="shared" ca="1" si="140"/>
        <v/>
      </c>
      <c r="V640" s="460" t="str">
        <f t="shared" ca="1" si="140"/>
        <v/>
      </c>
      <c r="W640" s="460" t="str">
        <f t="shared" ca="1" si="140"/>
        <v/>
      </c>
      <c r="X640" s="460" t="str">
        <f t="shared" ca="1" si="140"/>
        <v/>
      </c>
      <c r="Y640" s="460" t="str">
        <f t="shared" ca="1" si="140"/>
        <v/>
      </c>
      <c r="Z640" s="460" t="str">
        <f t="shared" ca="1" si="140"/>
        <v/>
      </c>
      <c r="AA640" s="461" t="str">
        <f t="shared" ca="1" si="140"/>
        <v/>
      </c>
      <c r="AB640" s="474" t="str">
        <f t="shared" ca="1" si="140"/>
        <v/>
      </c>
      <c r="AC640" s="475" t="str">
        <f t="shared" ca="1" si="140"/>
        <v/>
      </c>
      <c r="AD640" s="477" t="str">
        <f t="shared" ca="1" si="130"/>
        <v/>
      </c>
      <c r="AE640" s="478">
        <f t="shared" ca="1" si="131"/>
        <v>0</v>
      </c>
      <c r="AF640" s="459" t="str">
        <f t="shared" ca="1" si="138"/>
        <v/>
      </c>
      <c r="AG640" s="460" t="str">
        <f t="shared" ca="1" si="138"/>
        <v/>
      </c>
      <c r="AH640" s="460" t="str">
        <f t="shared" ca="1" si="138"/>
        <v/>
      </c>
      <c r="AI640" s="460" t="str">
        <f t="shared" ca="1" si="138"/>
        <v/>
      </c>
      <c r="AJ640" s="460" t="str">
        <f t="shared" ca="1" si="138"/>
        <v/>
      </c>
      <c r="AK640" s="460" t="str">
        <f t="shared" ca="1" si="138"/>
        <v/>
      </c>
      <c r="AL640" s="460" t="str">
        <f t="shared" ca="1" si="138"/>
        <v/>
      </c>
      <c r="AM640" s="460" t="str">
        <f t="shared" ca="1" si="138"/>
        <v/>
      </c>
      <c r="AN640" s="461" t="str">
        <f t="shared" ca="1" si="138"/>
        <v/>
      </c>
      <c r="AO640" s="474" t="str">
        <f t="shared" ca="1" si="138"/>
        <v/>
      </c>
      <c r="AP640" s="475" t="str">
        <f t="shared" ca="1" si="138"/>
        <v/>
      </c>
      <c r="AQ640" s="479" t="str">
        <f t="array" aca="1" ref="AQ640" ca="1">IF(ROW()-5&lt;=COUNTIF(科目编号,$AR$2),SMALL(IF(科目编号=$AR$2,ROW(科目编号),""),ROW()-5),"")</f>
        <v/>
      </c>
      <c r="AR640" s="480" t="str">
        <f ca="1">IF($BG$2=0,"",IF(AR639="本月合计","本年累计",IF(OR(ROW()=$AU$3,ROW()=$AV$3,ROW()=$AW$3,ROW()=$AX$3,ROW()=$AY$3,ROW()=$AZ$3,ROW()=$BA$3,ROW()=$BB$3,ROW()=$BC$3,ROW()=$BD$3,ROW()=$BE$3,ROW()=$BF$3),"本月合计",IF(ROW()&lt;7,$AQ$6,OFFSET($AQ$6,COUNT($AR$6:AR639),0)))))</f>
        <v/>
      </c>
    </row>
    <row r="641" spans="1:44">
      <c r="A641" s="469" t="str">
        <f ca="1">IFERROR(INDEX(凭证录入!A:A,$AR641),"")</f>
        <v/>
      </c>
      <c r="B641" s="469" t="str">
        <f ca="1">IFERROR(INDEX(凭证录入!B:B,$AR641),"")</f>
        <v/>
      </c>
      <c r="C641" s="470" t="str">
        <f ca="1">IFERROR(INDEX(凭证录入!G:G,$AR641),"")</f>
        <v/>
      </c>
      <c r="D641" s="471" t="str">
        <f ca="1">IFERROR(INDEX(凭证录入!F:F,$AR641),"")</f>
        <v/>
      </c>
      <c r="E641" s="472" t="str">
        <f ca="1">IFERROR(INDEX(凭证录入!H:H,$AR641),$AR641)</f>
        <v/>
      </c>
      <c r="F641" s="473">
        <f ca="1">IF(OR($BG$2=0,$AR641=""),,IF($AR641="本月合计",IF(ROW()=$BG$3,SUM($F$6:$F640),SUM(INDIRECT("$F$"&amp;OFFSET($AU$3,,MATCH(ROW(),$AU$3:$BF$3,)-2)+2&amp;":$E"&amp;ROW()-1))),IF($AR641="本年累计",SUMIF($AR$6:$AR641,"本月合计",$F$6:$F640),INDEX(凭证录入!K:K,$AR641))))</f>
        <v>0</v>
      </c>
      <c r="G641" s="459" t="str">
        <f t="shared" ca="1" si="139"/>
        <v/>
      </c>
      <c r="H641" s="460" t="str">
        <f t="shared" ca="1" si="139"/>
        <v/>
      </c>
      <c r="I641" s="460" t="str">
        <f t="shared" ca="1" si="139"/>
        <v/>
      </c>
      <c r="J641" s="460" t="str">
        <f t="shared" ca="1" si="139"/>
        <v/>
      </c>
      <c r="K641" s="460" t="str">
        <f t="shared" ca="1" si="139"/>
        <v/>
      </c>
      <c r="L641" s="460" t="str">
        <f t="shared" ca="1" si="139"/>
        <v/>
      </c>
      <c r="M641" s="460" t="str">
        <f t="shared" ca="1" si="139"/>
        <v/>
      </c>
      <c r="N641" s="460" t="str">
        <f t="shared" ca="1" si="139"/>
        <v/>
      </c>
      <c r="O641" s="461" t="str">
        <f t="shared" ca="1" si="139"/>
        <v/>
      </c>
      <c r="P641" s="474" t="str">
        <f t="shared" ca="1" si="139"/>
        <v/>
      </c>
      <c r="Q641" s="475" t="str">
        <f t="shared" ca="1" si="139"/>
        <v/>
      </c>
      <c r="R641" s="476">
        <f ca="1">IF(OR($BG$2=0,$AR641=""),,IF($AR641="本月合计",IF(ROW()=$BG$3,SUM($R$6:$R640),SUM(INDIRECT("$R$"&amp;OFFSET($AU$3,,MATCH(ROW(),$AU$3:$BF$3,)-2)+2&amp;":$R"&amp;ROW()-1))),IF($AR641="本年累计",SUMIF($AR$6:$AR641,"本月合计",$R$6:$R640),INDEX(凭证录入!L:L,$AR641))))</f>
        <v>0</v>
      </c>
      <c r="S641" s="459" t="str">
        <f t="shared" ca="1" si="140"/>
        <v/>
      </c>
      <c r="T641" s="460" t="str">
        <f t="shared" ca="1" si="140"/>
        <v/>
      </c>
      <c r="U641" s="460" t="str">
        <f t="shared" ca="1" si="140"/>
        <v/>
      </c>
      <c r="V641" s="460" t="str">
        <f t="shared" ca="1" si="140"/>
        <v/>
      </c>
      <c r="W641" s="460" t="str">
        <f t="shared" ca="1" si="140"/>
        <v/>
      </c>
      <c r="X641" s="460" t="str">
        <f t="shared" ca="1" si="140"/>
        <v/>
      </c>
      <c r="Y641" s="460" t="str">
        <f t="shared" ca="1" si="140"/>
        <v/>
      </c>
      <c r="Z641" s="460" t="str">
        <f t="shared" ca="1" si="140"/>
        <v/>
      </c>
      <c r="AA641" s="461" t="str">
        <f t="shared" ca="1" si="140"/>
        <v/>
      </c>
      <c r="AB641" s="474" t="str">
        <f t="shared" ca="1" si="140"/>
        <v/>
      </c>
      <c r="AC641" s="475" t="str">
        <f t="shared" ca="1" si="140"/>
        <v/>
      </c>
      <c r="AD641" s="477" t="str">
        <f t="shared" ca="1" si="130"/>
        <v/>
      </c>
      <c r="AE641" s="478">
        <f t="shared" ca="1" si="131"/>
        <v>0</v>
      </c>
      <c r="AF641" s="459" t="str">
        <f t="shared" ca="1" si="138"/>
        <v/>
      </c>
      <c r="AG641" s="460" t="str">
        <f t="shared" ca="1" si="138"/>
        <v/>
      </c>
      <c r="AH641" s="460" t="str">
        <f t="shared" ca="1" si="138"/>
        <v/>
      </c>
      <c r="AI641" s="460" t="str">
        <f t="shared" ca="1" si="138"/>
        <v/>
      </c>
      <c r="AJ641" s="460" t="str">
        <f t="shared" ca="1" si="138"/>
        <v/>
      </c>
      <c r="AK641" s="460" t="str">
        <f t="shared" ca="1" si="138"/>
        <v/>
      </c>
      <c r="AL641" s="460" t="str">
        <f t="shared" ca="1" si="138"/>
        <v/>
      </c>
      <c r="AM641" s="460" t="str">
        <f t="shared" ca="1" si="138"/>
        <v/>
      </c>
      <c r="AN641" s="461" t="str">
        <f t="shared" ca="1" si="138"/>
        <v/>
      </c>
      <c r="AO641" s="474" t="str">
        <f t="shared" ca="1" si="138"/>
        <v/>
      </c>
      <c r="AP641" s="475" t="str">
        <f t="shared" ca="1" si="138"/>
        <v/>
      </c>
      <c r="AQ641" s="479" t="str">
        <f t="array" aca="1" ref="AQ641" ca="1">IF(ROW()-5&lt;=COUNTIF(科目编号,$AR$2),SMALL(IF(科目编号=$AR$2,ROW(科目编号),""),ROW()-5),"")</f>
        <v/>
      </c>
      <c r="AR641" s="480" t="str">
        <f ca="1">IF($BG$2=0,"",IF(AR640="本月合计","本年累计",IF(OR(ROW()=$AU$3,ROW()=$AV$3,ROW()=$AW$3,ROW()=$AX$3,ROW()=$AY$3,ROW()=$AZ$3,ROW()=$BA$3,ROW()=$BB$3,ROW()=$BC$3,ROW()=$BD$3,ROW()=$BE$3,ROW()=$BF$3),"本月合计",IF(ROW()&lt;7,$AQ$6,OFFSET($AQ$6,COUNT($AR$6:AR640),0)))))</f>
        <v/>
      </c>
    </row>
    <row r="642" spans="1:44">
      <c r="A642" s="469" t="str">
        <f ca="1">IFERROR(INDEX(凭证录入!A:A,$AR642),"")</f>
        <v/>
      </c>
      <c r="B642" s="469" t="str">
        <f ca="1">IFERROR(INDEX(凭证录入!B:B,$AR642),"")</f>
        <v/>
      </c>
      <c r="C642" s="470" t="str">
        <f ca="1">IFERROR(INDEX(凭证录入!G:G,$AR642),"")</f>
        <v/>
      </c>
      <c r="D642" s="471" t="str">
        <f ca="1">IFERROR(INDEX(凭证录入!F:F,$AR642),"")</f>
        <v/>
      </c>
      <c r="E642" s="472" t="str">
        <f ca="1">IFERROR(INDEX(凭证录入!H:H,$AR642),$AR642)</f>
        <v/>
      </c>
      <c r="F642" s="473">
        <f ca="1">IF(OR($BG$2=0,$AR642=""),,IF($AR642="本月合计",IF(ROW()=$BG$3,SUM($F$6:$F641),SUM(INDIRECT("$F$"&amp;OFFSET($AU$3,,MATCH(ROW(),$AU$3:$BF$3,)-2)+2&amp;":$E"&amp;ROW()-1))),IF($AR642="本年累计",SUMIF($AR$6:$AR642,"本月合计",$F$6:$F641),INDEX(凭证录入!K:K,$AR642))))</f>
        <v>0</v>
      </c>
      <c r="G642" s="459" t="str">
        <f t="shared" ca="1" si="139"/>
        <v/>
      </c>
      <c r="H642" s="460" t="str">
        <f t="shared" ca="1" si="139"/>
        <v/>
      </c>
      <c r="I642" s="460" t="str">
        <f t="shared" ca="1" si="139"/>
        <v/>
      </c>
      <c r="J642" s="460" t="str">
        <f t="shared" ca="1" si="139"/>
        <v/>
      </c>
      <c r="K642" s="460" t="str">
        <f t="shared" ca="1" si="139"/>
        <v/>
      </c>
      <c r="L642" s="460" t="str">
        <f t="shared" ca="1" si="139"/>
        <v/>
      </c>
      <c r="M642" s="460" t="str">
        <f t="shared" ca="1" si="139"/>
        <v/>
      </c>
      <c r="N642" s="460" t="str">
        <f t="shared" ca="1" si="139"/>
        <v/>
      </c>
      <c r="O642" s="461" t="str">
        <f t="shared" ca="1" si="139"/>
        <v/>
      </c>
      <c r="P642" s="474" t="str">
        <f t="shared" ca="1" si="139"/>
        <v/>
      </c>
      <c r="Q642" s="475" t="str">
        <f t="shared" ca="1" si="139"/>
        <v/>
      </c>
      <c r="R642" s="476">
        <f ca="1">IF(OR($BG$2=0,$AR642=""),,IF($AR642="本月合计",IF(ROW()=$BG$3,SUM($R$6:$R641),SUM(INDIRECT("$R$"&amp;OFFSET($AU$3,,MATCH(ROW(),$AU$3:$BF$3,)-2)+2&amp;":$R"&amp;ROW()-1))),IF($AR642="本年累计",SUMIF($AR$6:$AR642,"本月合计",$R$6:$R641),INDEX(凭证录入!L:L,$AR642))))</f>
        <v>0</v>
      </c>
      <c r="S642" s="459" t="str">
        <f t="shared" ca="1" si="140"/>
        <v/>
      </c>
      <c r="T642" s="460" t="str">
        <f t="shared" ca="1" si="140"/>
        <v/>
      </c>
      <c r="U642" s="460" t="str">
        <f t="shared" ca="1" si="140"/>
        <v/>
      </c>
      <c r="V642" s="460" t="str">
        <f t="shared" ca="1" si="140"/>
        <v/>
      </c>
      <c r="W642" s="460" t="str">
        <f t="shared" ca="1" si="140"/>
        <v/>
      </c>
      <c r="X642" s="460" t="str">
        <f t="shared" ca="1" si="140"/>
        <v/>
      </c>
      <c r="Y642" s="460" t="str">
        <f t="shared" ca="1" si="140"/>
        <v/>
      </c>
      <c r="Z642" s="460" t="str">
        <f t="shared" ca="1" si="140"/>
        <v/>
      </c>
      <c r="AA642" s="461" t="str">
        <f t="shared" ca="1" si="140"/>
        <v/>
      </c>
      <c r="AB642" s="474" t="str">
        <f t="shared" ca="1" si="140"/>
        <v/>
      </c>
      <c r="AC642" s="475" t="str">
        <f t="shared" ca="1" si="140"/>
        <v/>
      </c>
      <c r="AD642" s="477" t="str">
        <f t="shared" ca="1" si="130"/>
        <v/>
      </c>
      <c r="AE642" s="478">
        <f t="shared" ca="1" si="131"/>
        <v>0</v>
      </c>
      <c r="AF642" s="459" t="str">
        <f t="shared" ca="1" si="138"/>
        <v/>
      </c>
      <c r="AG642" s="460" t="str">
        <f t="shared" ca="1" si="138"/>
        <v/>
      </c>
      <c r="AH642" s="460" t="str">
        <f t="shared" ca="1" si="138"/>
        <v/>
      </c>
      <c r="AI642" s="460" t="str">
        <f t="shared" ca="1" si="138"/>
        <v/>
      </c>
      <c r="AJ642" s="460" t="str">
        <f t="shared" ca="1" si="138"/>
        <v/>
      </c>
      <c r="AK642" s="460" t="str">
        <f t="shared" ca="1" si="138"/>
        <v/>
      </c>
      <c r="AL642" s="460" t="str">
        <f t="shared" ca="1" si="138"/>
        <v/>
      </c>
      <c r="AM642" s="460" t="str">
        <f t="shared" ca="1" si="138"/>
        <v/>
      </c>
      <c r="AN642" s="461" t="str">
        <f t="shared" ca="1" si="138"/>
        <v/>
      </c>
      <c r="AO642" s="474" t="str">
        <f t="shared" ca="1" si="138"/>
        <v/>
      </c>
      <c r="AP642" s="475" t="str">
        <f t="shared" ca="1" si="138"/>
        <v/>
      </c>
      <c r="AQ642" s="479" t="str">
        <f t="array" aca="1" ref="AQ642" ca="1">IF(ROW()-5&lt;=COUNTIF(科目编号,$AR$2),SMALL(IF(科目编号=$AR$2,ROW(科目编号),""),ROW()-5),"")</f>
        <v/>
      </c>
      <c r="AR642" s="480" t="str">
        <f ca="1">IF($BG$2=0,"",IF(AR641="本月合计","本年累计",IF(OR(ROW()=$AU$3,ROW()=$AV$3,ROW()=$AW$3,ROW()=$AX$3,ROW()=$AY$3,ROW()=$AZ$3,ROW()=$BA$3,ROW()=$BB$3,ROW()=$BC$3,ROW()=$BD$3,ROW()=$BE$3,ROW()=$BF$3),"本月合计",IF(ROW()&lt;7,$AQ$6,OFFSET($AQ$6,COUNT($AR$6:AR641),0)))))</f>
        <v/>
      </c>
    </row>
    <row r="643" spans="1:44">
      <c r="A643" s="469" t="str">
        <f ca="1">IFERROR(INDEX(凭证录入!A:A,$AR643),"")</f>
        <v/>
      </c>
      <c r="B643" s="469" t="str">
        <f ca="1">IFERROR(INDEX(凭证录入!B:B,$AR643),"")</f>
        <v/>
      </c>
      <c r="C643" s="470" t="str">
        <f ca="1">IFERROR(INDEX(凭证录入!G:G,$AR643),"")</f>
        <v/>
      </c>
      <c r="D643" s="471" t="str">
        <f ca="1">IFERROR(INDEX(凭证录入!F:F,$AR643),"")</f>
        <v/>
      </c>
      <c r="E643" s="472" t="str">
        <f ca="1">IFERROR(INDEX(凭证录入!H:H,$AR643),$AR643)</f>
        <v/>
      </c>
      <c r="F643" s="473">
        <f ca="1">IF(OR($BG$2=0,$AR643=""),,IF($AR643="本月合计",IF(ROW()=$BG$3,SUM($F$6:$F642),SUM(INDIRECT("$F$"&amp;OFFSET($AU$3,,MATCH(ROW(),$AU$3:$BF$3,)-2)+2&amp;":$E"&amp;ROW()-1))),IF($AR643="本年累计",SUMIF($AR$6:$AR643,"本月合计",$F$6:$F642),INDEX(凭证录入!K:K,$AR643))))</f>
        <v>0</v>
      </c>
      <c r="G643" s="459" t="str">
        <f t="shared" ca="1" si="139"/>
        <v/>
      </c>
      <c r="H643" s="460" t="str">
        <f t="shared" ca="1" si="139"/>
        <v/>
      </c>
      <c r="I643" s="460" t="str">
        <f t="shared" ca="1" si="139"/>
        <v/>
      </c>
      <c r="J643" s="460" t="str">
        <f t="shared" ca="1" si="139"/>
        <v/>
      </c>
      <c r="K643" s="460" t="str">
        <f t="shared" ca="1" si="139"/>
        <v/>
      </c>
      <c r="L643" s="460" t="str">
        <f t="shared" ca="1" si="139"/>
        <v/>
      </c>
      <c r="M643" s="460" t="str">
        <f t="shared" ca="1" si="139"/>
        <v/>
      </c>
      <c r="N643" s="460" t="str">
        <f t="shared" ca="1" si="139"/>
        <v/>
      </c>
      <c r="O643" s="461" t="str">
        <f t="shared" ca="1" si="139"/>
        <v/>
      </c>
      <c r="P643" s="474" t="str">
        <f t="shared" ca="1" si="139"/>
        <v/>
      </c>
      <c r="Q643" s="475" t="str">
        <f t="shared" ca="1" si="139"/>
        <v/>
      </c>
      <c r="R643" s="476">
        <f ca="1">IF(OR($BG$2=0,$AR643=""),,IF($AR643="本月合计",IF(ROW()=$BG$3,SUM($R$6:$R642),SUM(INDIRECT("$R$"&amp;OFFSET($AU$3,,MATCH(ROW(),$AU$3:$BF$3,)-2)+2&amp;":$R"&amp;ROW()-1))),IF($AR643="本年累计",SUMIF($AR$6:$AR643,"本月合计",$R$6:$R642),INDEX(凭证录入!L:L,$AR643))))</f>
        <v>0</v>
      </c>
      <c r="S643" s="459" t="str">
        <f t="shared" ca="1" si="140"/>
        <v/>
      </c>
      <c r="T643" s="460" t="str">
        <f t="shared" ca="1" si="140"/>
        <v/>
      </c>
      <c r="U643" s="460" t="str">
        <f t="shared" ca="1" si="140"/>
        <v/>
      </c>
      <c r="V643" s="460" t="str">
        <f t="shared" ca="1" si="140"/>
        <v/>
      </c>
      <c r="W643" s="460" t="str">
        <f t="shared" ca="1" si="140"/>
        <v/>
      </c>
      <c r="X643" s="460" t="str">
        <f t="shared" ca="1" si="140"/>
        <v/>
      </c>
      <c r="Y643" s="460" t="str">
        <f t="shared" ca="1" si="140"/>
        <v/>
      </c>
      <c r="Z643" s="460" t="str">
        <f t="shared" ca="1" si="140"/>
        <v/>
      </c>
      <c r="AA643" s="461" t="str">
        <f t="shared" ca="1" si="140"/>
        <v/>
      </c>
      <c r="AB643" s="474" t="str">
        <f t="shared" ca="1" si="140"/>
        <v/>
      </c>
      <c r="AC643" s="475" t="str">
        <f t="shared" ca="1" si="140"/>
        <v/>
      </c>
      <c r="AD643" s="477" t="str">
        <f t="shared" ca="1" si="130"/>
        <v/>
      </c>
      <c r="AE643" s="478">
        <f t="shared" ca="1" si="131"/>
        <v>0</v>
      </c>
      <c r="AF643" s="459" t="str">
        <f t="shared" ca="1" si="138"/>
        <v/>
      </c>
      <c r="AG643" s="460" t="str">
        <f t="shared" ca="1" si="138"/>
        <v/>
      </c>
      <c r="AH643" s="460" t="str">
        <f t="shared" ca="1" si="138"/>
        <v/>
      </c>
      <c r="AI643" s="460" t="str">
        <f t="shared" ca="1" si="138"/>
        <v/>
      </c>
      <c r="AJ643" s="460" t="str">
        <f t="shared" ca="1" si="138"/>
        <v/>
      </c>
      <c r="AK643" s="460" t="str">
        <f t="shared" ca="1" si="138"/>
        <v/>
      </c>
      <c r="AL643" s="460" t="str">
        <f t="shared" ca="1" si="138"/>
        <v/>
      </c>
      <c r="AM643" s="460" t="str">
        <f t="shared" ca="1" si="138"/>
        <v/>
      </c>
      <c r="AN643" s="461" t="str">
        <f t="shared" ca="1" si="138"/>
        <v/>
      </c>
      <c r="AO643" s="474" t="str">
        <f t="shared" ca="1" si="138"/>
        <v/>
      </c>
      <c r="AP643" s="475" t="str">
        <f t="shared" ca="1" si="138"/>
        <v/>
      </c>
      <c r="AQ643" s="479" t="str">
        <f t="array" aca="1" ref="AQ643" ca="1">IF(ROW()-5&lt;=COUNTIF(科目编号,$AR$2),SMALL(IF(科目编号=$AR$2,ROW(科目编号),""),ROW()-5),"")</f>
        <v/>
      </c>
      <c r="AR643" s="480" t="str">
        <f ca="1">IF($BG$2=0,"",IF(AR642="本月合计","本年累计",IF(OR(ROW()=$AU$3,ROW()=$AV$3,ROW()=$AW$3,ROW()=$AX$3,ROW()=$AY$3,ROW()=$AZ$3,ROW()=$BA$3,ROW()=$BB$3,ROW()=$BC$3,ROW()=$BD$3,ROW()=$BE$3,ROW()=$BF$3),"本月合计",IF(ROW()&lt;7,$AQ$6,OFFSET($AQ$6,COUNT($AR$6:AR642),0)))))</f>
        <v/>
      </c>
    </row>
    <row r="644" spans="1:44">
      <c r="A644" s="469" t="str">
        <f ca="1">IFERROR(INDEX(凭证录入!A:A,$AR644),"")</f>
        <v/>
      </c>
      <c r="B644" s="469" t="str">
        <f ca="1">IFERROR(INDEX(凭证录入!B:B,$AR644),"")</f>
        <v/>
      </c>
      <c r="C644" s="470" t="str">
        <f ca="1">IFERROR(INDEX(凭证录入!G:G,$AR644),"")</f>
        <v/>
      </c>
      <c r="D644" s="471" t="str">
        <f ca="1">IFERROR(INDEX(凭证录入!F:F,$AR644),"")</f>
        <v/>
      </c>
      <c r="E644" s="472" t="str">
        <f ca="1">IFERROR(INDEX(凭证录入!H:H,$AR644),$AR644)</f>
        <v/>
      </c>
      <c r="F644" s="473">
        <f ca="1">IF(OR($BG$2=0,$AR644=""),,IF($AR644="本月合计",IF(ROW()=$BG$3,SUM($F$6:$F643),SUM(INDIRECT("$F$"&amp;OFFSET($AU$3,,MATCH(ROW(),$AU$3:$BF$3,)-2)+2&amp;":$E"&amp;ROW()-1))),IF($AR644="本年累计",SUMIF($AR$6:$AR644,"本月合计",$F$6:$F643),INDEX(凭证录入!K:K,$AR644))))</f>
        <v>0</v>
      </c>
      <c r="G644" s="459" t="str">
        <f t="shared" ca="1" si="139"/>
        <v/>
      </c>
      <c r="H644" s="460" t="str">
        <f t="shared" ca="1" si="139"/>
        <v/>
      </c>
      <c r="I644" s="460" t="str">
        <f t="shared" ca="1" si="139"/>
        <v/>
      </c>
      <c r="J644" s="460" t="str">
        <f t="shared" ca="1" si="139"/>
        <v/>
      </c>
      <c r="K644" s="460" t="str">
        <f t="shared" ca="1" si="139"/>
        <v/>
      </c>
      <c r="L644" s="460" t="str">
        <f t="shared" ca="1" si="139"/>
        <v/>
      </c>
      <c r="M644" s="460" t="str">
        <f t="shared" ca="1" si="139"/>
        <v/>
      </c>
      <c r="N644" s="460" t="str">
        <f t="shared" ca="1" si="139"/>
        <v/>
      </c>
      <c r="O644" s="461" t="str">
        <f t="shared" ca="1" si="139"/>
        <v/>
      </c>
      <c r="P644" s="474" t="str">
        <f t="shared" ca="1" si="139"/>
        <v/>
      </c>
      <c r="Q644" s="475" t="str">
        <f t="shared" ca="1" si="139"/>
        <v/>
      </c>
      <c r="R644" s="476">
        <f ca="1">IF(OR($BG$2=0,$AR644=""),,IF($AR644="本月合计",IF(ROW()=$BG$3,SUM($R$6:$R643),SUM(INDIRECT("$R$"&amp;OFFSET($AU$3,,MATCH(ROW(),$AU$3:$BF$3,)-2)+2&amp;":$R"&amp;ROW()-1))),IF($AR644="本年累计",SUMIF($AR$6:$AR644,"本月合计",$R$6:$R643),INDEX(凭证录入!L:L,$AR644))))</f>
        <v>0</v>
      </c>
      <c r="S644" s="459" t="str">
        <f t="shared" ca="1" si="140"/>
        <v/>
      </c>
      <c r="T644" s="460" t="str">
        <f t="shared" ca="1" si="140"/>
        <v/>
      </c>
      <c r="U644" s="460" t="str">
        <f t="shared" ca="1" si="140"/>
        <v/>
      </c>
      <c r="V644" s="460" t="str">
        <f t="shared" ca="1" si="140"/>
        <v/>
      </c>
      <c r="W644" s="460" t="str">
        <f t="shared" ca="1" si="140"/>
        <v/>
      </c>
      <c r="X644" s="460" t="str">
        <f t="shared" ca="1" si="140"/>
        <v/>
      </c>
      <c r="Y644" s="460" t="str">
        <f t="shared" ca="1" si="140"/>
        <v/>
      </c>
      <c r="Z644" s="460" t="str">
        <f t="shared" ca="1" si="140"/>
        <v/>
      </c>
      <c r="AA644" s="461" t="str">
        <f t="shared" ca="1" si="140"/>
        <v/>
      </c>
      <c r="AB644" s="474" t="str">
        <f t="shared" ca="1" si="140"/>
        <v/>
      </c>
      <c r="AC644" s="475" t="str">
        <f t="shared" ca="1" si="140"/>
        <v/>
      </c>
      <c r="AD644" s="477" t="str">
        <f t="shared" ca="1" si="130"/>
        <v/>
      </c>
      <c r="AE644" s="478">
        <f t="shared" ca="1" si="131"/>
        <v>0</v>
      </c>
      <c r="AF644" s="459" t="str">
        <f t="shared" ca="1" si="138"/>
        <v/>
      </c>
      <c r="AG644" s="460" t="str">
        <f t="shared" ca="1" si="138"/>
        <v/>
      </c>
      <c r="AH644" s="460" t="str">
        <f t="shared" ca="1" si="138"/>
        <v/>
      </c>
      <c r="AI644" s="460" t="str">
        <f t="shared" ca="1" si="138"/>
        <v/>
      </c>
      <c r="AJ644" s="460" t="str">
        <f t="shared" ca="1" si="138"/>
        <v/>
      </c>
      <c r="AK644" s="460" t="str">
        <f t="shared" ca="1" si="138"/>
        <v/>
      </c>
      <c r="AL644" s="460" t="str">
        <f t="shared" ca="1" si="138"/>
        <v/>
      </c>
      <c r="AM644" s="460" t="str">
        <f t="shared" ca="1" si="138"/>
        <v/>
      </c>
      <c r="AN644" s="461" t="str">
        <f t="shared" ca="1" si="138"/>
        <v/>
      </c>
      <c r="AO644" s="474" t="str">
        <f t="shared" ca="1" si="138"/>
        <v/>
      </c>
      <c r="AP644" s="475" t="str">
        <f t="shared" ca="1" si="138"/>
        <v/>
      </c>
      <c r="AQ644" s="479" t="str">
        <f t="array" aca="1" ref="AQ644" ca="1">IF(ROW()-5&lt;=COUNTIF(科目编号,$AR$2),SMALL(IF(科目编号=$AR$2,ROW(科目编号),""),ROW()-5),"")</f>
        <v/>
      </c>
      <c r="AR644" s="480" t="str">
        <f ca="1">IF($BG$2=0,"",IF(AR643="本月合计","本年累计",IF(OR(ROW()=$AU$3,ROW()=$AV$3,ROW()=$AW$3,ROW()=$AX$3,ROW()=$AY$3,ROW()=$AZ$3,ROW()=$BA$3,ROW()=$BB$3,ROW()=$BC$3,ROW()=$BD$3,ROW()=$BE$3,ROW()=$BF$3),"本月合计",IF(ROW()&lt;7,$AQ$6,OFFSET($AQ$6,COUNT($AR$6:AR643),0)))))</f>
        <v/>
      </c>
    </row>
    <row r="645" spans="1:44">
      <c r="A645" s="469" t="str">
        <f ca="1">IFERROR(INDEX(凭证录入!A:A,$AR645),"")</f>
        <v/>
      </c>
      <c r="B645" s="469" t="str">
        <f ca="1">IFERROR(INDEX(凭证录入!B:B,$AR645),"")</f>
        <v/>
      </c>
      <c r="C645" s="470" t="str">
        <f ca="1">IFERROR(INDEX(凭证录入!G:G,$AR645),"")</f>
        <v/>
      </c>
      <c r="D645" s="471" t="str">
        <f ca="1">IFERROR(INDEX(凭证录入!F:F,$AR645),"")</f>
        <v/>
      </c>
      <c r="E645" s="472" t="str">
        <f ca="1">IFERROR(INDEX(凭证录入!H:H,$AR645),$AR645)</f>
        <v/>
      </c>
      <c r="F645" s="473">
        <f ca="1">IF(OR($BG$2=0,$AR645=""),,IF($AR645="本月合计",IF(ROW()=$BG$3,SUM($F$6:$F644),SUM(INDIRECT("$F$"&amp;OFFSET($AU$3,,MATCH(ROW(),$AU$3:$BF$3,)-2)+2&amp;":$E"&amp;ROW()-1))),IF($AR645="本年累计",SUMIF($AR$6:$AR645,"本月合计",$F$6:$F644),INDEX(凭证录入!K:K,$AR645))))</f>
        <v>0</v>
      </c>
      <c r="G645" s="459" t="str">
        <f t="shared" ca="1" si="139"/>
        <v/>
      </c>
      <c r="H645" s="460" t="str">
        <f t="shared" ca="1" si="139"/>
        <v/>
      </c>
      <c r="I645" s="460" t="str">
        <f t="shared" ca="1" si="139"/>
        <v/>
      </c>
      <c r="J645" s="460" t="str">
        <f t="shared" ca="1" si="139"/>
        <v/>
      </c>
      <c r="K645" s="460" t="str">
        <f t="shared" ca="1" si="139"/>
        <v/>
      </c>
      <c r="L645" s="460" t="str">
        <f t="shared" ca="1" si="139"/>
        <v/>
      </c>
      <c r="M645" s="460" t="str">
        <f t="shared" ca="1" si="139"/>
        <v/>
      </c>
      <c r="N645" s="460" t="str">
        <f t="shared" ca="1" si="139"/>
        <v/>
      </c>
      <c r="O645" s="461" t="str">
        <f t="shared" ca="1" si="139"/>
        <v/>
      </c>
      <c r="P645" s="474" t="str">
        <f t="shared" ca="1" si="139"/>
        <v/>
      </c>
      <c r="Q645" s="475" t="str">
        <f t="shared" ca="1" si="139"/>
        <v/>
      </c>
      <c r="R645" s="476">
        <f ca="1">IF(OR($BG$2=0,$AR645=""),,IF($AR645="本月合计",IF(ROW()=$BG$3,SUM($R$6:$R644),SUM(INDIRECT("$R$"&amp;OFFSET($AU$3,,MATCH(ROW(),$AU$3:$BF$3,)-2)+2&amp;":$R"&amp;ROW()-1))),IF($AR645="本年累计",SUMIF($AR$6:$AR645,"本月合计",$R$6:$R644),INDEX(凭证录入!L:L,$AR645))))</f>
        <v>0</v>
      </c>
      <c r="S645" s="459" t="str">
        <f t="shared" ca="1" si="140"/>
        <v/>
      </c>
      <c r="T645" s="460" t="str">
        <f t="shared" ca="1" si="140"/>
        <v/>
      </c>
      <c r="U645" s="460" t="str">
        <f t="shared" ca="1" si="140"/>
        <v/>
      </c>
      <c r="V645" s="460" t="str">
        <f t="shared" ca="1" si="140"/>
        <v/>
      </c>
      <c r="W645" s="460" t="str">
        <f t="shared" ca="1" si="140"/>
        <v/>
      </c>
      <c r="X645" s="460" t="str">
        <f t="shared" ca="1" si="140"/>
        <v/>
      </c>
      <c r="Y645" s="460" t="str">
        <f t="shared" ca="1" si="140"/>
        <v/>
      </c>
      <c r="Z645" s="460" t="str">
        <f t="shared" ca="1" si="140"/>
        <v/>
      </c>
      <c r="AA645" s="461" t="str">
        <f t="shared" ca="1" si="140"/>
        <v/>
      </c>
      <c r="AB645" s="474" t="str">
        <f t="shared" ca="1" si="140"/>
        <v/>
      </c>
      <c r="AC645" s="475" t="str">
        <f t="shared" ca="1" si="140"/>
        <v/>
      </c>
      <c r="AD645" s="477" t="str">
        <f t="shared" ca="1" si="130"/>
        <v/>
      </c>
      <c r="AE645" s="478">
        <f t="shared" ca="1" si="131"/>
        <v>0</v>
      </c>
      <c r="AF645" s="459" t="str">
        <f t="shared" ref="AF645:AP660" ca="1" si="141">LEFT(RIGHT(TEXT($AE645/1%," ￥0; ￥-0;"),43-COLUMN()))</f>
        <v/>
      </c>
      <c r="AG645" s="460" t="str">
        <f t="shared" ca="1" si="141"/>
        <v/>
      </c>
      <c r="AH645" s="460" t="str">
        <f t="shared" ca="1" si="141"/>
        <v/>
      </c>
      <c r="AI645" s="460" t="str">
        <f t="shared" ca="1" si="141"/>
        <v/>
      </c>
      <c r="AJ645" s="460" t="str">
        <f t="shared" ca="1" si="141"/>
        <v/>
      </c>
      <c r="AK645" s="460" t="str">
        <f t="shared" ca="1" si="141"/>
        <v/>
      </c>
      <c r="AL645" s="460" t="str">
        <f t="shared" ca="1" si="141"/>
        <v/>
      </c>
      <c r="AM645" s="460" t="str">
        <f t="shared" ca="1" si="141"/>
        <v/>
      </c>
      <c r="AN645" s="461" t="str">
        <f t="shared" ca="1" si="141"/>
        <v/>
      </c>
      <c r="AO645" s="474" t="str">
        <f t="shared" ca="1" si="141"/>
        <v/>
      </c>
      <c r="AP645" s="475" t="str">
        <f t="shared" ca="1" si="141"/>
        <v/>
      </c>
      <c r="AQ645" s="479" t="str">
        <f t="array" aca="1" ref="AQ645" ca="1">IF(ROW()-5&lt;=COUNTIF(科目编号,$AR$2),SMALL(IF(科目编号=$AR$2,ROW(科目编号),""),ROW()-5),"")</f>
        <v/>
      </c>
      <c r="AR645" s="480" t="str">
        <f ca="1">IF($BG$2=0,"",IF(AR644="本月合计","本年累计",IF(OR(ROW()=$AU$3,ROW()=$AV$3,ROW()=$AW$3,ROW()=$AX$3,ROW()=$AY$3,ROW()=$AZ$3,ROW()=$BA$3,ROW()=$BB$3,ROW()=$BC$3,ROW()=$BD$3,ROW()=$BE$3,ROW()=$BF$3),"本月合计",IF(ROW()&lt;7,$AQ$6,OFFSET($AQ$6,COUNT($AR$6:AR644),0)))))</f>
        <v/>
      </c>
    </row>
    <row r="646" spans="1:44">
      <c r="A646" s="469" t="str">
        <f ca="1">IFERROR(INDEX(凭证录入!A:A,$AR646),"")</f>
        <v/>
      </c>
      <c r="B646" s="469" t="str">
        <f ca="1">IFERROR(INDEX(凭证录入!B:B,$AR646),"")</f>
        <v/>
      </c>
      <c r="C646" s="470" t="str">
        <f ca="1">IFERROR(INDEX(凭证录入!G:G,$AR646),"")</f>
        <v/>
      </c>
      <c r="D646" s="471" t="str">
        <f ca="1">IFERROR(INDEX(凭证录入!F:F,$AR646),"")</f>
        <v/>
      </c>
      <c r="E646" s="472" t="str">
        <f ca="1">IFERROR(INDEX(凭证录入!H:H,$AR646),$AR646)</f>
        <v/>
      </c>
      <c r="F646" s="473">
        <f ca="1">IF(OR($BG$2=0,$AR646=""),,IF($AR646="本月合计",IF(ROW()=$BG$3,SUM($F$6:$F645),SUM(INDIRECT("$F$"&amp;OFFSET($AU$3,,MATCH(ROW(),$AU$3:$BF$3,)-2)+2&amp;":$E"&amp;ROW()-1))),IF($AR646="本年累计",SUMIF($AR$6:$AR646,"本月合计",$F$6:$F645),INDEX(凭证录入!K:K,$AR646))))</f>
        <v>0</v>
      </c>
      <c r="G646" s="459" t="str">
        <f t="shared" ref="G646:Q661" ca="1" si="142">LEFT(RIGHT(TEXT($F646/1%," ￥0; ￥-0;"),18-COLUMN()))</f>
        <v/>
      </c>
      <c r="H646" s="460" t="str">
        <f t="shared" ca="1" si="142"/>
        <v/>
      </c>
      <c r="I646" s="460" t="str">
        <f t="shared" ca="1" si="142"/>
        <v/>
      </c>
      <c r="J646" s="460" t="str">
        <f t="shared" ca="1" si="142"/>
        <v/>
      </c>
      <c r="K646" s="460" t="str">
        <f t="shared" ca="1" si="142"/>
        <v/>
      </c>
      <c r="L646" s="460" t="str">
        <f t="shared" ca="1" si="142"/>
        <v/>
      </c>
      <c r="M646" s="460" t="str">
        <f t="shared" ca="1" si="142"/>
        <v/>
      </c>
      <c r="N646" s="460" t="str">
        <f t="shared" ca="1" si="142"/>
        <v/>
      </c>
      <c r="O646" s="461" t="str">
        <f t="shared" ca="1" si="142"/>
        <v/>
      </c>
      <c r="P646" s="474" t="str">
        <f t="shared" ca="1" si="142"/>
        <v/>
      </c>
      <c r="Q646" s="475" t="str">
        <f t="shared" ca="1" si="142"/>
        <v/>
      </c>
      <c r="R646" s="476">
        <f ca="1">IF(OR($BG$2=0,$AR646=""),,IF($AR646="本月合计",IF(ROW()=$BG$3,SUM($R$6:$R645),SUM(INDIRECT("$R$"&amp;OFFSET($AU$3,,MATCH(ROW(),$AU$3:$BF$3,)-2)+2&amp;":$R"&amp;ROW()-1))),IF($AR646="本年累计",SUMIF($AR$6:$AR646,"本月合计",$R$6:$R645),INDEX(凭证录入!L:L,$AR646))))</f>
        <v>0</v>
      </c>
      <c r="S646" s="459" t="str">
        <f t="shared" ref="S646:AC661" ca="1" si="143">LEFT(RIGHT(TEXT($R646/1%," ￥0; ￥-0;"),30-COLUMN()))</f>
        <v/>
      </c>
      <c r="T646" s="460" t="str">
        <f t="shared" ca="1" si="143"/>
        <v/>
      </c>
      <c r="U646" s="460" t="str">
        <f t="shared" ca="1" si="143"/>
        <v/>
      </c>
      <c r="V646" s="460" t="str">
        <f t="shared" ca="1" si="143"/>
        <v/>
      </c>
      <c r="W646" s="460" t="str">
        <f t="shared" ca="1" si="143"/>
        <v/>
      </c>
      <c r="X646" s="460" t="str">
        <f t="shared" ca="1" si="143"/>
        <v/>
      </c>
      <c r="Y646" s="460" t="str">
        <f t="shared" ca="1" si="143"/>
        <v/>
      </c>
      <c r="Z646" s="460" t="str">
        <f t="shared" ca="1" si="143"/>
        <v/>
      </c>
      <c r="AA646" s="461" t="str">
        <f t="shared" ca="1" si="143"/>
        <v/>
      </c>
      <c r="AB646" s="474" t="str">
        <f t="shared" ca="1" si="143"/>
        <v/>
      </c>
      <c r="AC646" s="475" t="str">
        <f t="shared" ca="1" si="143"/>
        <v/>
      </c>
      <c r="AD646" s="477" t="str">
        <f t="shared" ref="AD646:AD709" ca="1" si="144">IF(OR($BG$2=0,$AR646="",$AR646="本月合计",$AR646="本年累计"),"",IF(OR(AND($AD645="",$AE645="",$AD643&lt;&gt;"借",$AD643&lt;&gt;"贷",($F646-$R646)&gt;=0),AND($AD645="",$AE645&lt;&gt;"",$AD643="借",($AE644+$F646-$R646)&gt;=0),AND($AD645="",$AE645&lt;&gt;"",$AD643="贷",(-$AE644+$F646-$R646)&gt;=0),AND($AD645="借",($AE645+$F646-$R646)&gt;=0),AND($AD645="贷",(-$AE645+$F646-$R646)&gt;=0),),"借","贷"))</f>
        <v/>
      </c>
      <c r="AE646" s="478">
        <f t="shared" ref="AE646:AE709" ca="1" si="145">IF(OR($BG$2=0,$AR646=""),,IF(OR($AR646="本月合计",$AR646="本年累计"),$AE645,IF(OR(AD645="借",AND(AD645="",AD644="",AD643="借")),ABS(AE645+F646-R646),ABS(-AE645+F646-R646))))</f>
        <v>0</v>
      </c>
      <c r="AF646" s="459" t="str">
        <f t="shared" ca="1" si="141"/>
        <v/>
      </c>
      <c r="AG646" s="460" t="str">
        <f t="shared" ca="1" si="141"/>
        <v/>
      </c>
      <c r="AH646" s="460" t="str">
        <f t="shared" ca="1" si="141"/>
        <v/>
      </c>
      <c r="AI646" s="460" t="str">
        <f t="shared" ca="1" si="141"/>
        <v/>
      </c>
      <c r="AJ646" s="460" t="str">
        <f t="shared" ca="1" si="141"/>
        <v/>
      </c>
      <c r="AK646" s="460" t="str">
        <f t="shared" ca="1" si="141"/>
        <v/>
      </c>
      <c r="AL646" s="460" t="str">
        <f t="shared" ca="1" si="141"/>
        <v/>
      </c>
      <c r="AM646" s="460" t="str">
        <f t="shared" ca="1" si="141"/>
        <v/>
      </c>
      <c r="AN646" s="461" t="str">
        <f t="shared" ca="1" si="141"/>
        <v/>
      </c>
      <c r="AO646" s="474" t="str">
        <f t="shared" ca="1" si="141"/>
        <v/>
      </c>
      <c r="AP646" s="475" t="str">
        <f t="shared" ca="1" si="141"/>
        <v/>
      </c>
      <c r="AQ646" s="479" t="str">
        <f t="array" aca="1" ref="AQ646" ca="1">IF(ROW()-5&lt;=COUNTIF(科目编号,$AR$2),SMALL(IF(科目编号=$AR$2,ROW(科目编号),""),ROW()-5),"")</f>
        <v/>
      </c>
      <c r="AR646" s="480" t="str">
        <f ca="1">IF($BG$2=0,"",IF(AR645="本月合计","本年累计",IF(OR(ROW()=$AU$3,ROW()=$AV$3,ROW()=$AW$3,ROW()=$AX$3,ROW()=$AY$3,ROW()=$AZ$3,ROW()=$BA$3,ROW()=$BB$3,ROW()=$BC$3,ROW()=$BD$3,ROW()=$BE$3,ROW()=$BF$3),"本月合计",IF(ROW()&lt;7,$AQ$6,OFFSET($AQ$6,COUNT($AR$6:AR645),0)))))</f>
        <v/>
      </c>
    </row>
    <row r="647" spans="1:44">
      <c r="A647" s="469" t="str">
        <f ca="1">IFERROR(INDEX(凭证录入!A:A,$AR647),"")</f>
        <v/>
      </c>
      <c r="B647" s="469" t="str">
        <f ca="1">IFERROR(INDEX(凭证录入!B:B,$AR647),"")</f>
        <v/>
      </c>
      <c r="C647" s="470" t="str">
        <f ca="1">IFERROR(INDEX(凭证录入!G:G,$AR647),"")</f>
        <v/>
      </c>
      <c r="D647" s="471" t="str">
        <f ca="1">IFERROR(INDEX(凭证录入!F:F,$AR647),"")</f>
        <v/>
      </c>
      <c r="E647" s="472" t="str">
        <f ca="1">IFERROR(INDEX(凭证录入!H:H,$AR647),$AR647)</f>
        <v/>
      </c>
      <c r="F647" s="473">
        <f ca="1">IF(OR($BG$2=0,$AR647=""),,IF($AR647="本月合计",IF(ROW()=$BG$3,SUM($F$6:$F646),SUM(INDIRECT("$F$"&amp;OFFSET($AU$3,,MATCH(ROW(),$AU$3:$BF$3,)-2)+2&amp;":$E"&amp;ROW()-1))),IF($AR647="本年累计",SUMIF($AR$6:$AR647,"本月合计",$F$6:$F646),INDEX(凭证录入!K:K,$AR647))))</f>
        <v>0</v>
      </c>
      <c r="G647" s="459" t="str">
        <f t="shared" ca="1" si="142"/>
        <v/>
      </c>
      <c r="H647" s="460" t="str">
        <f t="shared" ca="1" si="142"/>
        <v/>
      </c>
      <c r="I647" s="460" t="str">
        <f t="shared" ca="1" si="142"/>
        <v/>
      </c>
      <c r="J647" s="460" t="str">
        <f t="shared" ca="1" si="142"/>
        <v/>
      </c>
      <c r="K647" s="460" t="str">
        <f t="shared" ca="1" si="142"/>
        <v/>
      </c>
      <c r="L647" s="460" t="str">
        <f t="shared" ca="1" si="142"/>
        <v/>
      </c>
      <c r="M647" s="460" t="str">
        <f t="shared" ca="1" si="142"/>
        <v/>
      </c>
      <c r="N647" s="460" t="str">
        <f t="shared" ca="1" si="142"/>
        <v/>
      </c>
      <c r="O647" s="461" t="str">
        <f t="shared" ca="1" si="142"/>
        <v/>
      </c>
      <c r="P647" s="474" t="str">
        <f t="shared" ca="1" si="142"/>
        <v/>
      </c>
      <c r="Q647" s="475" t="str">
        <f t="shared" ca="1" si="142"/>
        <v/>
      </c>
      <c r="R647" s="476">
        <f ca="1">IF(OR($BG$2=0,$AR647=""),,IF($AR647="本月合计",IF(ROW()=$BG$3,SUM($R$6:$R646),SUM(INDIRECT("$R$"&amp;OFFSET($AU$3,,MATCH(ROW(),$AU$3:$BF$3,)-2)+2&amp;":$R"&amp;ROW()-1))),IF($AR647="本年累计",SUMIF($AR$6:$AR647,"本月合计",$R$6:$R646),INDEX(凭证录入!L:L,$AR647))))</f>
        <v>0</v>
      </c>
      <c r="S647" s="459" t="str">
        <f t="shared" ca="1" si="143"/>
        <v/>
      </c>
      <c r="T647" s="460" t="str">
        <f t="shared" ca="1" si="143"/>
        <v/>
      </c>
      <c r="U647" s="460" t="str">
        <f t="shared" ca="1" si="143"/>
        <v/>
      </c>
      <c r="V647" s="460" t="str">
        <f t="shared" ca="1" si="143"/>
        <v/>
      </c>
      <c r="W647" s="460" t="str">
        <f t="shared" ca="1" si="143"/>
        <v/>
      </c>
      <c r="X647" s="460" t="str">
        <f t="shared" ca="1" si="143"/>
        <v/>
      </c>
      <c r="Y647" s="460" t="str">
        <f t="shared" ca="1" si="143"/>
        <v/>
      </c>
      <c r="Z647" s="460" t="str">
        <f t="shared" ca="1" si="143"/>
        <v/>
      </c>
      <c r="AA647" s="461" t="str">
        <f t="shared" ca="1" si="143"/>
        <v/>
      </c>
      <c r="AB647" s="474" t="str">
        <f t="shared" ca="1" si="143"/>
        <v/>
      </c>
      <c r="AC647" s="475" t="str">
        <f t="shared" ca="1" si="143"/>
        <v/>
      </c>
      <c r="AD647" s="477" t="str">
        <f t="shared" ca="1" si="144"/>
        <v/>
      </c>
      <c r="AE647" s="478">
        <f t="shared" ca="1" si="145"/>
        <v>0</v>
      </c>
      <c r="AF647" s="459" t="str">
        <f t="shared" ca="1" si="141"/>
        <v/>
      </c>
      <c r="AG647" s="460" t="str">
        <f t="shared" ca="1" si="141"/>
        <v/>
      </c>
      <c r="AH647" s="460" t="str">
        <f t="shared" ca="1" si="141"/>
        <v/>
      </c>
      <c r="AI647" s="460" t="str">
        <f t="shared" ca="1" si="141"/>
        <v/>
      </c>
      <c r="AJ647" s="460" t="str">
        <f t="shared" ca="1" si="141"/>
        <v/>
      </c>
      <c r="AK647" s="460" t="str">
        <f t="shared" ca="1" si="141"/>
        <v/>
      </c>
      <c r="AL647" s="460" t="str">
        <f t="shared" ca="1" si="141"/>
        <v/>
      </c>
      <c r="AM647" s="460" t="str">
        <f t="shared" ca="1" si="141"/>
        <v/>
      </c>
      <c r="AN647" s="461" t="str">
        <f t="shared" ca="1" si="141"/>
        <v/>
      </c>
      <c r="AO647" s="474" t="str">
        <f t="shared" ca="1" si="141"/>
        <v/>
      </c>
      <c r="AP647" s="475" t="str">
        <f t="shared" ca="1" si="141"/>
        <v/>
      </c>
      <c r="AQ647" s="479" t="str">
        <f t="array" aca="1" ref="AQ647" ca="1">IF(ROW()-5&lt;=COUNTIF(科目编号,$AR$2),SMALL(IF(科目编号=$AR$2,ROW(科目编号),""),ROW()-5),"")</f>
        <v/>
      </c>
      <c r="AR647" s="480" t="str">
        <f ca="1">IF($BG$2=0,"",IF(AR646="本月合计","本年累计",IF(OR(ROW()=$AU$3,ROW()=$AV$3,ROW()=$AW$3,ROW()=$AX$3,ROW()=$AY$3,ROW()=$AZ$3,ROW()=$BA$3,ROW()=$BB$3,ROW()=$BC$3,ROW()=$BD$3,ROW()=$BE$3,ROW()=$BF$3),"本月合计",IF(ROW()&lt;7,$AQ$6,OFFSET($AQ$6,COUNT($AR$6:AR646),0)))))</f>
        <v/>
      </c>
    </row>
    <row r="648" spans="1:44">
      <c r="A648" s="469" t="str">
        <f ca="1">IFERROR(INDEX(凭证录入!A:A,$AR648),"")</f>
        <v/>
      </c>
      <c r="B648" s="469" t="str">
        <f ca="1">IFERROR(INDEX(凭证录入!B:B,$AR648),"")</f>
        <v/>
      </c>
      <c r="C648" s="470" t="str">
        <f ca="1">IFERROR(INDEX(凭证录入!G:G,$AR648),"")</f>
        <v/>
      </c>
      <c r="D648" s="471" t="str">
        <f ca="1">IFERROR(INDEX(凭证录入!F:F,$AR648),"")</f>
        <v/>
      </c>
      <c r="E648" s="472" t="str">
        <f ca="1">IFERROR(INDEX(凭证录入!H:H,$AR648),$AR648)</f>
        <v/>
      </c>
      <c r="F648" s="473">
        <f ca="1">IF(OR($BG$2=0,$AR648=""),,IF($AR648="本月合计",IF(ROW()=$BG$3,SUM($F$6:$F647),SUM(INDIRECT("$F$"&amp;OFFSET($AU$3,,MATCH(ROW(),$AU$3:$BF$3,)-2)+2&amp;":$E"&amp;ROW()-1))),IF($AR648="本年累计",SUMIF($AR$6:$AR648,"本月合计",$F$6:$F647),INDEX(凭证录入!K:K,$AR648))))</f>
        <v>0</v>
      </c>
      <c r="G648" s="459" t="str">
        <f t="shared" ca="1" si="142"/>
        <v/>
      </c>
      <c r="H648" s="460" t="str">
        <f t="shared" ca="1" si="142"/>
        <v/>
      </c>
      <c r="I648" s="460" t="str">
        <f t="shared" ca="1" si="142"/>
        <v/>
      </c>
      <c r="J648" s="460" t="str">
        <f t="shared" ca="1" si="142"/>
        <v/>
      </c>
      <c r="K648" s="460" t="str">
        <f t="shared" ca="1" si="142"/>
        <v/>
      </c>
      <c r="L648" s="460" t="str">
        <f t="shared" ca="1" si="142"/>
        <v/>
      </c>
      <c r="M648" s="460" t="str">
        <f t="shared" ca="1" si="142"/>
        <v/>
      </c>
      <c r="N648" s="460" t="str">
        <f t="shared" ca="1" si="142"/>
        <v/>
      </c>
      <c r="O648" s="461" t="str">
        <f t="shared" ca="1" si="142"/>
        <v/>
      </c>
      <c r="P648" s="474" t="str">
        <f t="shared" ca="1" si="142"/>
        <v/>
      </c>
      <c r="Q648" s="475" t="str">
        <f t="shared" ca="1" si="142"/>
        <v/>
      </c>
      <c r="R648" s="476">
        <f ca="1">IF(OR($BG$2=0,$AR648=""),,IF($AR648="本月合计",IF(ROW()=$BG$3,SUM($R$6:$R647),SUM(INDIRECT("$R$"&amp;OFFSET($AU$3,,MATCH(ROW(),$AU$3:$BF$3,)-2)+2&amp;":$R"&amp;ROW()-1))),IF($AR648="本年累计",SUMIF($AR$6:$AR648,"本月合计",$R$6:$R647),INDEX(凭证录入!L:L,$AR648))))</f>
        <v>0</v>
      </c>
      <c r="S648" s="459" t="str">
        <f t="shared" ca="1" si="143"/>
        <v/>
      </c>
      <c r="T648" s="460" t="str">
        <f t="shared" ca="1" si="143"/>
        <v/>
      </c>
      <c r="U648" s="460" t="str">
        <f t="shared" ca="1" si="143"/>
        <v/>
      </c>
      <c r="V648" s="460" t="str">
        <f t="shared" ca="1" si="143"/>
        <v/>
      </c>
      <c r="W648" s="460" t="str">
        <f t="shared" ca="1" si="143"/>
        <v/>
      </c>
      <c r="X648" s="460" t="str">
        <f t="shared" ca="1" si="143"/>
        <v/>
      </c>
      <c r="Y648" s="460" t="str">
        <f t="shared" ca="1" si="143"/>
        <v/>
      </c>
      <c r="Z648" s="460" t="str">
        <f t="shared" ca="1" si="143"/>
        <v/>
      </c>
      <c r="AA648" s="461" t="str">
        <f t="shared" ca="1" si="143"/>
        <v/>
      </c>
      <c r="AB648" s="474" t="str">
        <f t="shared" ca="1" si="143"/>
        <v/>
      </c>
      <c r="AC648" s="475" t="str">
        <f t="shared" ca="1" si="143"/>
        <v/>
      </c>
      <c r="AD648" s="477" t="str">
        <f t="shared" ca="1" si="144"/>
        <v/>
      </c>
      <c r="AE648" s="478">
        <f t="shared" ca="1" si="145"/>
        <v>0</v>
      </c>
      <c r="AF648" s="459" t="str">
        <f t="shared" ca="1" si="141"/>
        <v/>
      </c>
      <c r="AG648" s="460" t="str">
        <f t="shared" ca="1" si="141"/>
        <v/>
      </c>
      <c r="AH648" s="460" t="str">
        <f t="shared" ca="1" si="141"/>
        <v/>
      </c>
      <c r="AI648" s="460" t="str">
        <f t="shared" ca="1" si="141"/>
        <v/>
      </c>
      <c r="AJ648" s="460" t="str">
        <f t="shared" ca="1" si="141"/>
        <v/>
      </c>
      <c r="AK648" s="460" t="str">
        <f t="shared" ca="1" si="141"/>
        <v/>
      </c>
      <c r="AL648" s="460" t="str">
        <f t="shared" ca="1" si="141"/>
        <v/>
      </c>
      <c r="AM648" s="460" t="str">
        <f t="shared" ca="1" si="141"/>
        <v/>
      </c>
      <c r="AN648" s="461" t="str">
        <f t="shared" ca="1" si="141"/>
        <v/>
      </c>
      <c r="AO648" s="474" t="str">
        <f t="shared" ca="1" si="141"/>
        <v/>
      </c>
      <c r="AP648" s="475" t="str">
        <f t="shared" ca="1" si="141"/>
        <v/>
      </c>
      <c r="AQ648" s="479" t="str">
        <f t="array" aca="1" ref="AQ648" ca="1">IF(ROW()-5&lt;=COUNTIF(科目编号,$AR$2),SMALL(IF(科目编号=$AR$2,ROW(科目编号),""),ROW()-5),"")</f>
        <v/>
      </c>
      <c r="AR648" s="480" t="str">
        <f ca="1">IF($BG$2=0,"",IF(AR647="本月合计","本年累计",IF(OR(ROW()=$AU$3,ROW()=$AV$3,ROW()=$AW$3,ROW()=$AX$3,ROW()=$AY$3,ROW()=$AZ$3,ROW()=$BA$3,ROW()=$BB$3,ROW()=$BC$3,ROW()=$BD$3,ROW()=$BE$3,ROW()=$BF$3),"本月合计",IF(ROW()&lt;7,$AQ$6,OFFSET($AQ$6,COUNT($AR$6:AR647),0)))))</f>
        <v/>
      </c>
    </row>
    <row r="649" spans="1:44">
      <c r="A649" s="469" t="str">
        <f ca="1">IFERROR(INDEX(凭证录入!A:A,$AR649),"")</f>
        <v/>
      </c>
      <c r="B649" s="469" t="str">
        <f ca="1">IFERROR(INDEX(凭证录入!B:B,$AR649),"")</f>
        <v/>
      </c>
      <c r="C649" s="470" t="str">
        <f ca="1">IFERROR(INDEX(凭证录入!G:G,$AR649),"")</f>
        <v/>
      </c>
      <c r="D649" s="471" t="str">
        <f ca="1">IFERROR(INDEX(凭证录入!F:F,$AR649),"")</f>
        <v/>
      </c>
      <c r="E649" s="472" t="str">
        <f ca="1">IFERROR(INDEX(凭证录入!H:H,$AR649),$AR649)</f>
        <v/>
      </c>
      <c r="F649" s="473">
        <f ca="1">IF(OR($BG$2=0,$AR649=""),,IF($AR649="本月合计",IF(ROW()=$BG$3,SUM($F$6:$F648),SUM(INDIRECT("$F$"&amp;OFFSET($AU$3,,MATCH(ROW(),$AU$3:$BF$3,)-2)+2&amp;":$E"&amp;ROW()-1))),IF($AR649="本年累计",SUMIF($AR$6:$AR649,"本月合计",$F$6:$F648),INDEX(凭证录入!K:K,$AR649))))</f>
        <v>0</v>
      </c>
      <c r="G649" s="459" t="str">
        <f t="shared" ca="1" si="142"/>
        <v/>
      </c>
      <c r="H649" s="460" t="str">
        <f t="shared" ca="1" si="142"/>
        <v/>
      </c>
      <c r="I649" s="460" t="str">
        <f t="shared" ca="1" si="142"/>
        <v/>
      </c>
      <c r="J649" s="460" t="str">
        <f t="shared" ca="1" si="142"/>
        <v/>
      </c>
      <c r="K649" s="460" t="str">
        <f t="shared" ca="1" si="142"/>
        <v/>
      </c>
      <c r="L649" s="460" t="str">
        <f t="shared" ca="1" si="142"/>
        <v/>
      </c>
      <c r="M649" s="460" t="str">
        <f t="shared" ca="1" si="142"/>
        <v/>
      </c>
      <c r="N649" s="460" t="str">
        <f t="shared" ca="1" si="142"/>
        <v/>
      </c>
      <c r="O649" s="461" t="str">
        <f t="shared" ca="1" si="142"/>
        <v/>
      </c>
      <c r="P649" s="474" t="str">
        <f t="shared" ca="1" si="142"/>
        <v/>
      </c>
      <c r="Q649" s="475" t="str">
        <f t="shared" ca="1" si="142"/>
        <v/>
      </c>
      <c r="R649" s="476">
        <f ca="1">IF(OR($BG$2=0,$AR649=""),,IF($AR649="本月合计",IF(ROW()=$BG$3,SUM($R$6:$R648),SUM(INDIRECT("$R$"&amp;OFFSET($AU$3,,MATCH(ROW(),$AU$3:$BF$3,)-2)+2&amp;":$R"&amp;ROW()-1))),IF($AR649="本年累计",SUMIF($AR$6:$AR649,"本月合计",$R$6:$R648),INDEX(凭证录入!L:L,$AR649))))</f>
        <v>0</v>
      </c>
      <c r="S649" s="459" t="str">
        <f t="shared" ca="1" si="143"/>
        <v/>
      </c>
      <c r="T649" s="460" t="str">
        <f t="shared" ca="1" si="143"/>
        <v/>
      </c>
      <c r="U649" s="460" t="str">
        <f t="shared" ca="1" si="143"/>
        <v/>
      </c>
      <c r="V649" s="460" t="str">
        <f t="shared" ca="1" si="143"/>
        <v/>
      </c>
      <c r="W649" s="460" t="str">
        <f t="shared" ca="1" si="143"/>
        <v/>
      </c>
      <c r="X649" s="460" t="str">
        <f t="shared" ca="1" si="143"/>
        <v/>
      </c>
      <c r="Y649" s="460" t="str">
        <f t="shared" ca="1" si="143"/>
        <v/>
      </c>
      <c r="Z649" s="460" t="str">
        <f t="shared" ca="1" si="143"/>
        <v/>
      </c>
      <c r="AA649" s="461" t="str">
        <f t="shared" ca="1" si="143"/>
        <v/>
      </c>
      <c r="AB649" s="474" t="str">
        <f t="shared" ca="1" si="143"/>
        <v/>
      </c>
      <c r="AC649" s="475" t="str">
        <f t="shared" ca="1" si="143"/>
        <v/>
      </c>
      <c r="AD649" s="477" t="str">
        <f t="shared" ca="1" si="144"/>
        <v/>
      </c>
      <c r="AE649" s="478">
        <f t="shared" ca="1" si="145"/>
        <v>0</v>
      </c>
      <c r="AF649" s="459" t="str">
        <f t="shared" ca="1" si="141"/>
        <v/>
      </c>
      <c r="AG649" s="460" t="str">
        <f t="shared" ca="1" si="141"/>
        <v/>
      </c>
      <c r="AH649" s="460" t="str">
        <f t="shared" ca="1" si="141"/>
        <v/>
      </c>
      <c r="AI649" s="460" t="str">
        <f t="shared" ca="1" si="141"/>
        <v/>
      </c>
      <c r="AJ649" s="460" t="str">
        <f t="shared" ca="1" si="141"/>
        <v/>
      </c>
      <c r="AK649" s="460" t="str">
        <f t="shared" ca="1" si="141"/>
        <v/>
      </c>
      <c r="AL649" s="460" t="str">
        <f t="shared" ca="1" si="141"/>
        <v/>
      </c>
      <c r="AM649" s="460" t="str">
        <f t="shared" ca="1" si="141"/>
        <v/>
      </c>
      <c r="AN649" s="461" t="str">
        <f t="shared" ca="1" si="141"/>
        <v/>
      </c>
      <c r="AO649" s="474" t="str">
        <f t="shared" ca="1" si="141"/>
        <v/>
      </c>
      <c r="AP649" s="475" t="str">
        <f t="shared" ca="1" si="141"/>
        <v/>
      </c>
      <c r="AQ649" s="479" t="str">
        <f t="array" aca="1" ref="AQ649" ca="1">IF(ROW()-5&lt;=COUNTIF(科目编号,$AR$2),SMALL(IF(科目编号=$AR$2,ROW(科目编号),""),ROW()-5),"")</f>
        <v/>
      </c>
      <c r="AR649" s="480" t="str">
        <f ca="1">IF($BG$2=0,"",IF(AR648="本月合计","本年累计",IF(OR(ROW()=$AU$3,ROW()=$AV$3,ROW()=$AW$3,ROW()=$AX$3,ROW()=$AY$3,ROW()=$AZ$3,ROW()=$BA$3,ROW()=$BB$3,ROW()=$BC$3,ROW()=$BD$3,ROW()=$BE$3,ROW()=$BF$3),"本月合计",IF(ROW()&lt;7,$AQ$6,OFFSET($AQ$6,COUNT($AR$6:AR648),0)))))</f>
        <v/>
      </c>
    </row>
    <row r="650" spans="1:44">
      <c r="A650" s="469" t="str">
        <f ca="1">IFERROR(INDEX(凭证录入!A:A,$AR650),"")</f>
        <v/>
      </c>
      <c r="B650" s="469" t="str">
        <f ca="1">IFERROR(INDEX(凭证录入!B:B,$AR650),"")</f>
        <v/>
      </c>
      <c r="C650" s="470" t="str">
        <f ca="1">IFERROR(INDEX(凭证录入!G:G,$AR650),"")</f>
        <v/>
      </c>
      <c r="D650" s="471" t="str">
        <f ca="1">IFERROR(INDEX(凭证录入!F:F,$AR650),"")</f>
        <v/>
      </c>
      <c r="E650" s="472" t="str">
        <f ca="1">IFERROR(INDEX(凭证录入!H:H,$AR650),$AR650)</f>
        <v/>
      </c>
      <c r="F650" s="473">
        <f ca="1">IF(OR($BG$2=0,$AR650=""),,IF($AR650="本月合计",IF(ROW()=$BG$3,SUM($F$6:$F649),SUM(INDIRECT("$F$"&amp;OFFSET($AU$3,,MATCH(ROW(),$AU$3:$BF$3,)-2)+2&amp;":$E"&amp;ROW()-1))),IF($AR650="本年累计",SUMIF($AR$6:$AR650,"本月合计",$F$6:$F649),INDEX(凭证录入!K:K,$AR650))))</f>
        <v>0</v>
      </c>
      <c r="G650" s="459" t="str">
        <f t="shared" ca="1" si="142"/>
        <v/>
      </c>
      <c r="H650" s="460" t="str">
        <f t="shared" ca="1" si="142"/>
        <v/>
      </c>
      <c r="I650" s="460" t="str">
        <f t="shared" ca="1" si="142"/>
        <v/>
      </c>
      <c r="J650" s="460" t="str">
        <f t="shared" ca="1" si="142"/>
        <v/>
      </c>
      <c r="K650" s="460" t="str">
        <f t="shared" ca="1" si="142"/>
        <v/>
      </c>
      <c r="L650" s="460" t="str">
        <f t="shared" ca="1" si="142"/>
        <v/>
      </c>
      <c r="M650" s="460" t="str">
        <f t="shared" ca="1" si="142"/>
        <v/>
      </c>
      <c r="N650" s="460" t="str">
        <f t="shared" ca="1" si="142"/>
        <v/>
      </c>
      <c r="O650" s="461" t="str">
        <f t="shared" ca="1" si="142"/>
        <v/>
      </c>
      <c r="P650" s="474" t="str">
        <f t="shared" ca="1" si="142"/>
        <v/>
      </c>
      <c r="Q650" s="475" t="str">
        <f t="shared" ca="1" si="142"/>
        <v/>
      </c>
      <c r="R650" s="476">
        <f ca="1">IF(OR($BG$2=0,$AR650=""),,IF($AR650="本月合计",IF(ROW()=$BG$3,SUM($R$6:$R649),SUM(INDIRECT("$R$"&amp;OFFSET($AU$3,,MATCH(ROW(),$AU$3:$BF$3,)-2)+2&amp;":$R"&amp;ROW()-1))),IF($AR650="本年累计",SUMIF($AR$6:$AR650,"本月合计",$R$6:$R649),INDEX(凭证录入!L:L,$AR650))))</f>
        <v>0</v>
      </c>
      <c r="S650" s="459" t="str">
        <f t="shared" ca="1" si="143"/>
        <v/>
      </c>
      <c r="T650" s="460" t="str">
        <f t="shared" ca="1" si="143"/>
        <v/>
      </c>
      <c r="U650" s="460" t="str">
        <f t="shared" ca="1" si="143"/>
        <v/>
      </c>
      <c r="V650" s="460" t="str">
        <f t="shared" ca="1" si="143"/>
        <v/>
      </c>
      <c r="W650" s="460" t="str">
        <f t="shared" ca="1" si="143"/>
        <v/>
      </c>
      <c r="X650" s="460" t="str">
        <f t="shared" ca="1" si="143"/>
        <v/>
      </c>
      <c r="Y650" s="460" t="str">
        <f t="shared" ca="1" si="143"/>
        <v/>
      </c>
      <c r="Z650" s="460" t="str">
        <f t="shared" ca="1" si="143"/>
        <v/>
      </c>
      <c r="AA650" s="461" t="str">
        <f t="shared" ca="1" si="143"/>
        <v/>
      </c>
      <c r="AB650" s="474" t="str">
        <f t="shared" ca="1" si="143"/>
        <v/>
      </c>
      <c r="AC650" s="475" t="str">
        <f t="shared" ca="1" si="143"/>
        <v/>
      </c>
      <c r="AD650" s="477" t="str">
        <f t="shared" ca="1" si="144"/>
        <v/>
      </c>
      <c r="AE650" s="478">
        <f t="shared" ca="1" si="145"/>
        <v>0</v>
      </c>
      <c r="AF650" s="459" t="str">
        <f t="shared" ca="1" si="141"/>
        <v/>
      </c>
      <c r="AG650" s="460" t="str">
        <f t="shared" ca="1" si="141"/>
        <v/>
      </c>
      <c r="AH650" s="460" t="str">
        <f t="shared" ca="1" si="141"/>
        <v/>
      </c>
      <c r="AI650" s="460" t="str">
        <f t="shared" ca="1" si="141"/>
        <v/>
      </c>
      <c r="AJ650" s="460" t="str">
        <f t="shared" ca="1" si="141"/>
        <v/>
      </c>
      <c r="AK650" s="460" t="str">
        <f t="shared" ca="1" si="141"/>
        <v/>
      </c>
      <c r="AL650" s="460" t="str">
        <f t="shared" ca="1" si="141"/>
        <v/>
      </c>
      <c r="AM650" s="460" t="str">
        <f t="shared" ca="1" si="141"/>
        <v/>
      </c>
      <c r="AN650" s="461" t="str">
        <f t="shared" ca="1" si="141"/>
        <v/>
      </c>
      <c r="AO650" s="474" t="str">
        <f t="shared" ca="1" si="141"/>
        <v/>
      </c>
      <c r="AP650" s="475" t="str">
        <f t="shared" ca="1" si="141"/>
        <v/>
      </c>
      <c r="AQ650" s="479" t="str">
        <f t="array" aca="1" ref="AQ650" ca="1">IF(ROW()-5&lt;=COUNTIF(科目编号,$AR$2),SMALL(IF(科目编号=$AR$2,ROW(科目编号),""),ROW()-5),"")</f>
        <v/>
      </c>
      <c r="AR650" s="480" t="str">
        <f ca="1">IF($BG$2=0,"",IF(AR649="本月合计","本年累计",IF(OR(ROW()=$AU$3,ROW()=$AV$3,ROW()=$AW$3,ROW()=$AX$3,ROW()=$AY$3,ROW()=$AZ$3,ROW()=$BA$3,ROW()=$BB$3,ROW()=$BC$3,ROW()=$BD$3,ROW()=$BE$3,ROW()=$BF$3),"本月合计",IF(ROW()&lt;7,$AQ$6,OFFSET($AQ$6,COUNT($AR$6:AR649),0)))))</f>
        <v/>
      </c>
    </row>
    <row r="651" spans="1:44">
      <c r="A651" s="469" t="str">
        <f ca="1">IFERROR(INDEX(凭证录入!A:A,$AR651),"")</f>
        <v/>
      </c>
      <c r="B651" s="469" t="str">
        <f ca="1">IFERROR(INDEX(凭证录入!B:B,$AR651),"")</f>
        <v/>
      </c>
      <c r="C651" s="470" t="str">
        <f ca="1">IFERROR(INDEX(凭证录入!G:G,$AR651),"")</f>
        <v/>
      </c>
      <c r="D651" s="471" t="str">
        <f ca="1">IFERROR(INDEX(凭证录入!F:F,$AR651),"")</f>
        <v/>
      </c>
      <c r="E651" s="472" t="str">
        <f ca="1">IFERROR(INDEX(凭证录入!H:H,$AR651),$AR651)</f>
        <v/>
      </c>
      <c r="F651" s="473">
        <f ca="1">IF(OR($BG$2=0,$AR651=""),,IF($AR651="本月合计",IF(ROW()=$BG$3,SUM($F$6:$F650),SUM(INDIRECT("$F$"&amp;OFFSET($AU$3,,MATCH(ROW(),$AU$3:$BF$3,)-2)+2&amp;":$E"&amp;ROW()-1))),IF($AR651="本年累计",SUMIF($AR$6:$AR651,"本月合计",$F$6:$F650),INDEX(凭证录入!K:K,$AR651))))</f>
        <v>0</v>
      </c>
      <c r="G651" s="459" t="str">
        <f t="shared" ca="1" si="142"/>
        <v/>
      </c>
      <c r="H651" s="460" t="str">
        <f t="shared" ca="1" si="142"/>
        <v/>
      </c>
      <c r="I651" s="460" t="str">
        <f t="shared" ca="1" si="142"/>
        <v/>
      </c>
      <c r="J651" s="460" t="str">
        <f t="shared" ca="1" si="142"/>
        <v/>
      </c>
      <c r="K651" s="460" t="str">
        <f t="shared" ca="1" si="142"/>
        <v/>
      </c>
      <c r="L651" s="460" t="str">
        <f t="shared" ca="1" si="142"/>
        <v/>
      </c>
      <c r="M651" s="460" t="str">
        <f t="shared" ca="1" si="142"/>
        <v/>
      </c>
      <c r="N651" s="460" t="str">
        <f t="shared" ca="1" si="142"/>
        <v/>
      </c>
      <c r="O651" s="461" t="str">
        <f t="shared" ca="1" si="142"/>
        <v/>
      </c>
      <c r="P651" s="474" t="str">
        <f t="shared" ca="1" si="142"/>
        <v/>
      </c>
      <c r="Q651" s="475" t="str">
        <f t="shared" ca="1" si="142"/>
        <v/>
      </c>
      <c r="R651" s="476">
        <f ca="1">IF(OR($BG$2=0,$AR651=""),,IF($AR651="本月合计",IF(ROW()=$BG$3,SUM($R$6:$R650),SUM(INDIRECT("$R$"&amp;OFFSET($AU$3,,MATCH(ROW(),$AU$3:$BF$3,)-2)+2&amp;":$R"&amp;ROW()-1))),IF($AR651="本年累计",SUMIF($AR$6:$AR651,"本月合计",$R$6:$R650),INDEX(凭证录入!L:L,$AR651))))</f>
        <v>0</v>
      </c>
      <c r="S651" s="459" t="str">
        <f t="shared" ca="1" si="143"/>
        <v/>
      </c>
      <c r="T651" s="460" t="str">
        <f t="shared" ca="1" si="143"/>
        <v/>
      </c>
      <c r="U651" s="460" t="str">
        <f t="shared" ca="1" si="143"/>
        <v/>
      </c>
      <c r="V651" s="460" t="str">
        <f t="shared" ca="1" si="143"/>
        <v/>
      </c>
      <c r="W651" s="460" t="str">
        <f t="shared" ca="1" si="143"/>
        <v/>
      </c>
      <c r="X651" s="460" t="str">
        <f t="shared" ca="1" si="143"/>
        <v/>
      </c>
      <c r="Y651" s="460" t="str">
        <f t="shared" ca="1" si="143"/>
        <v/>
      </c>
      <c r="Z651" s="460" t="str">
        <f t="shared" ca="1" si="143"/>
        <v/>
      </c>
      <c r="AA651" s="461" t="str">
        <f t="shared" ca="1" si="143"/>
        <v/>
      </c>
      <c r="AB651" s="474" t="str">
        <f t="shared" ca="1" si="143"/>
        <v/>
      </c>
      <c r="AC651" s="475" t="str">
        <f t="shared" ca="1" si="143"/>
        <v/>
      </c>
      <c r="AD651" s="477" t="str">
        <f t="shared" ca="1" si="144"/>
        <v/>
      </c>
      <c r="AE651" s="478">
        <f t="shared" ca="1" si="145"/>
        <v>0</v>
      </c>
      <c r="AF651" s="459" t="str">
        <f t="shared" ca="1" si="141"/>
        <v/>
      </c>
      <c r="AG651" s="460" t="str">
        <f t="shared" ca="1" si="141"/>
        <v/>
      </c>
      <c r="AH651" s="460" t="str">
        <f t="shared" ca="1" si="141"/>
        <v/>
      </c>
      <c r="AI651" s="460" t="str">
        <f t="shared" ca="1" si="141"/>
        <v/>
      </c>
      <c r="AJ651" s="460" t="str">
        <f t="shared" ca="1" si="141"/>
        <v/>
      </c>
      <c r="AK651" s="460" t="str">
        <f t="shared" ca="1" si="141"/>
        <v/>
      </c>
      <c r="AL651" s="460" t="str">
        <f t="shared" ca="1" si="141"/>
        <v/>
      </c>
      <c r="AM651" s="460" t="str">
        <f t="shared" ca="1" si="141"/>
        <v/>
      </c>
      <c r="AN651" s="461" t="str">
        <f t="shared" ca="1" si="141"/>
        <v/>
      </c>
      <c r="AO651" s="474" t="str">
        <f t="shared" ca="1" si="141"/>
        <v/>
      </c>
      <c r="AP651" s="475" t="str">
        <f t="shared" ca="1" si="141"/>
        <v/>
      </c>
      <c r="AQ651" s="479" t="str">
        <f t="array" aca="1" ref="AQ651" ca="1">IF(ROW()-5&lt;=COUNTIF(科目编号,$AR$2),SMALL(IF(科目编号=$AR$2,ROW(科目编号),""),ROW()-5),"")</f>
        <v/>
      </c>
      <c r="AR651" s="480" t="str">
        <f ca="1">IF($BG$2=0,"",IF(AR650="本月合计","本年累计",IF(OR(ROW()=$AU$3,ROW()=$AV$3,ROW()=$AW$3,ROW()=$AX$3,ROW()=$AY$3,ROW()=$AZ$3,ROW()=$BA$3,ROW()=$BB$3,ROW()=$BC$3,ROW()=$BD$3,ROW()=$BE$3,ROW()=$BF$3),"本月合计",IF(ROW()&lt;7,$AQ$6,OFFSET($AQ$6,COUNT($AR$6:AR650),0)))))</f>
        <v/>
      </c>
    </row>
    <row r="652" spans="1:44">
      <c r="A652" s="469" t="str">
        <f ca="1">IFERROR(INDEX(凭证录入!A:A,$AR652),"")</f>
        <v/>
      </c>
      <c r="B652" s="469" t="str">
        <f ca="1">IFERROR(INDEX(凭证录入!B:B,$AR652),"")</f>
        <v/>
      </c>
      <c r="C652" s="470" t="str">
        <f ca="1">IFERROR(INDEX(凭证录入!G:G,$AR652),"")</f>
        <v/>
      </c>
      <c r="D652" s="471" t="str">
        <f ca="1">IFERROR(INDEX(凭证录入!F:F,$AR652),"")</f>
        <v/>
      </c>
      <c r="E652" s="472" t="str">
        <f ca="1">IFERROR(INDEX(凭证录入!H:H,$AR652),$AR652)</f>
        <v/>
      </c>
      <c r="F652" s="473">
        <f ca="1">IF(OR($BG$2=0,$AR652=""),,IF($AR652="本月合计",IF(ROW()=$BG$3,SUM($F$6:$F651),SUM(INDIRECT("$F$"&amp;OFFSET($AU$3,,MATCH(ROW(),$AU$3:$BF$3,)-2)+2&amp;":$E"&amp;ROW()-1))),IF($AR652="本年累计",SUMIF($AR$6:$AR652,"本月合计",$F$6:$F651),INDEX(凭证录入!K:K,$AR652))))</f>
        <v>0</v>
      </c>
      <c r="G652" s="459" t="str">
        <f t="shared" ca="1" si="142"/>
        <v/>
      </c>
      <c r="H652" s="460" t="str">
        <f t="shared" ca="1" si="142"/>
        <v/>
      </c>
      <c r="I652" s="460" t="str">
        <f t="shared" ca="1" si="142"/>
        <v/>
      </c>
      <c r="J652" s="460" t="str">
        <f t="shared" ca="1" si="142"/>
        <v/>
      </c>
      <c r="K652" s="460" t="str">
        <f t="shared" ca="1" si="142"/>
        <v/>
      </c>
      <c r="L652" s="460" t="str">
        <f t="shared" ca="1" si="142"/>
        <v/>
      </c>
      <c r="M652" s="460" t="str">
        <f t="shared" ca="1" si="142"/>
        <v/>
      </c>
      <c r="N652" s="460" t="str">
        <f t="shared" ca="1" si="142"/>
        <v/>
      </c>
      <c r="O652" s="461" t="str">
        <f t="shared" ca="1" si="142"/>
        <v/>
      </c>
      <c r="P652" s="474" t="str">
        <f t="shared" ca="1" si="142"/>
        <v/>
      </c>
      <c r="Q652" s="475" t="str">
        <f t="shared" ca="1" si="142"/>
        <v/>
      </c>
      <c r="R652" s="476">
        <f ca="1">IF(OR($BG$2=0,$AR652=""),,IF($AR652="本月合计",IF(ROW()=$BG$3,SUM($R$6:$R651),SUM(INDIRECT("$R$"&amp;OFFSET($AU$3,,MATCH(ROW(),$AU$3:$BF$3,)-2)+2&amp;":$R"&amp;ROW()-1))),IF($AR652="本年累计",SUMIF($AR$6:$AR652,"本月合计",$R$6:$R651),INDEX(凭证录入!L:L,$AR652))))</f>
        <v>0</v>
      </c>
      <c r="S652" s="459" t="str">
        <f t="shared" ca="1" si="143"/>
        <v/>
      </c>
      <c r="T652" s="460" t="str">
        <f t="shared" ca="1" si="143"/>
        <v/>
      </c>
      <c r="U652" s="460" t="str">
        <f t="shared" ca="1" si="143"/>
        <v/>
      </c>
      <c r="V652" s="460" t="str">
        <f t="shared" ca="1" si="143"/>
        <v/>
      </c>
      <c r="W652" s="460" t="str">
        <f t="shared" ca="1" si="143"/>
        <v/>
      </c>
      <c r="X652" s="460" t="str">
        <f t="shared" ca="1" si="143"/>
        <v/>
      </c>
      <c r="Y652" s="460" t="str">
        <f t="shared" ca="1" si="143"/>
        <v/>
      </c>
      <c r="Z652" s="460" t="str">
        <f t="shared" ca="1" si="143"/>
        <v/>
      </c>
      <c r="AA652" s="461" t="str">
        <f t="shared" ca="1" si="143"/>
        <v/>
      </c>
      <c r="AB652" s="474" t="str">
        <f t="shared" ca="1" si="143"/>
        <v/>
      </c>
      <c r="AC652" s="475" t="str">
        <f t="shared" ca="1" si="143"/>
        <v/>
      </c>
      <c r="AD652" s="477" t="str">
        <f t="shared" ca="1" si="144"/>
        <v/>
      </c>
      <c r="AE652" s="478">
        <f t="shared" ca="1" si="145"/>
        <v>0</v>
      </c>
      <c r="AF652" s="459" t="str">
        <f t="shared" ca="1" si="141"/>
        <v/>
      </c>
      <c r="AG652" s="460" t="str">
        <f t="shared" ca="1" si="141"/>
        <v/>
      </c>
      <c r="AH652" s="460" t="str">
        <f t="shared" ca="1" si="141"/>
        <v/>
      </c>
      <c r="AI652" s="460" t="str">
        <f t="shared" ca="1" si="141"/>
        <v/>
      </c>
      <c r="AJ652" s="460" t="str">
        <f t="shared" ca="1" si="141"/>
        <v/>
      </c>
      <c r="AK652" s="460" t="str">
        <f t="shared" ca="1" si="141"/>
        <v/>
      </c>
      <c r="AL652" s="460" t="str">
        <f t="shared" ca="1" si="141"/>
        <v/>
      </c>
      <c r="AM652" s="460" t="str">
        <f t="shared" ca="1" si="141"/>
        <v/>
      </c>
      <c r="AN652" s="461" t="str">
        <f t="shared" ca="1" si="141"/>
        <v/>
      </c>
      <c r="AO652" s="474" t="str">
        <f t="shared" ca="1" si="141"/>
        <v/>
      </c>
      <c r="AP652" s="475" t="str">
        <f t="shared" ca="1" si="141"/>
        <v/>
      </c>
      <c r="AQ652" s="479" t="str">
        <f t="array" aca="1" ref="AQ652" ca="1">IF(ROW()-5&lt;=COUNTIF(科目编号,$AR$2),SMALL(IF(科目编号=$AR$2,ROW(科目编号),""),ROW()-5),"")</f>
        <v/>
      </c>
      <c r="AR652" s="480" t="str">
        <f ca="1">IF($BG$2=0,"",IF(AR651="本月合计","本年累计",IF(OR(ROW()=$AU$3,ROW()=$AV$3,ROW()=$AW$3,ROW()=$AX$3,ROW()=$AY$3,ROW()=$AZ$3,ROW()=$BA$3,ROW()=$BB$3,ROW()=$BC$3,ROW()=$BD$3,ROW()=$BE$3,ROW()=$BF$3),"本月合计",IF(ROW()&lt;7,$AQ$6,OFFSET($AQ$6,COUNT($AR$6:AR651),0)))))</f>
        <v/>
      </c>
    </row>
    <row r="653" spans="1:44">
      <c r="A653" s="469" t="str">
        <f ca="1">IFERROR(INDEX(凭证录入!A:A,$AR653),"")</f>
        <v/>
      </c>
      <c r="B653" s="469" t="str">
        <f ca="1">IFERROR(INDEX(凭证录入!B:B,$AR653),"")</f>
        <v/>
      </c>
      <c r="C653" s="470" t="str">
        <f ca="1">IFERROR(INDEX(凭证录入!G:G,$AR653),"")</f>
        <v/>
      </c>
      <c r="D653" s="471" t="str">
        <f ca="1">IFERROR(INDEX(凭证录入!F:F,$AR653),"")</f>
        <v/>
      </c>
      <c r="E653" s="472" t="str">
        <f ca="1">IFERROR(INDEX(凭证录入!H:H,$AR653),$AR653)</f>
        <v/>
      </c>
      <c r="F653" s="473">
        <f ca="1">IF(OR($BG$2=0,$AR653=""),,IF($AR653="本月合计",IF(ROW()=$BG$3,SUM($F$6:$F652),SUM(INDIRECT("$F$"&amp;OFFSET($AU$3,,MATCH(ROW(),$AU$3:$BF$3,)-2)+2&amp;":$E"&amp;ROW()-1))),IF($AR653="本年累计",SUMIF($AR$6:$AR653,"本月合计",$F$6:$F652),INDEX(凭证录入!K:K,$AR653))))</f>
        <v>0</v>
      </c>
      <c r="G653" s="459" t="str">
        <f t="shared" ca="1" si="142"/>
        <v/>
      </c>
      <c r="H653" s="460" t="str">
        <f t="shared" ca="1" si="142"/>
        <v/>
      </c>
      <c r="I653" s="460" t="str">
        <f t="shared" ca="1" si="142"/>
        <v/>
      </c>
      <c r="J653" s="460" t="str">
        <f t="shared" ca="1" si="142"/>
        <v/>
      </c>
      <c r="K653" s="460" t="str">
        <f t="shared" ca="1" si="142"/>
        <v/>
      </c>
      <c r="L653" s="460" t="str">
        <f t="shared" ca="1" si="142"/>
        <v/>
      </c>
      <c r="M653" s="460" t="str">
        <f t="shared" ca="1" si="142"/>
        <v/>
      </c>
      <c r="N653" s="460" t="str">
        <f t="shared" ca="1" si="142"/>
        <v/>
      </c>
      <c r="O653" s="461" t="str">
        <f t="shared" ca="1" si="142"/>
        <v/>
      </c>
      <c r="P653" s="474" t="str">
        <f t="shared" ca="1" si="142"/>
        <v/>
      </c>
      <c r="Q653" s="475" t="str">
        <f t="shared" ca="1" si="142"/>
        <v/>
      </c>
      <c r="R653" s="476">
        <f ca="1">IF(OR($BG$2=0,$AR653=""),,IF($AR653="本月合计",IF(ROW()=$BG$3,SUM($R$6:$R652),SUM(INDIRECT("$R$"&amp;OFFSET($AU$3,,MATCH(ROW(),$AU$3:$BF$3,)-2)+2&amp;":$R"&amp;ROW()-1))),IF($AR653="本年累计",SUMIF($AR$6:$AR653,"本月合计",$R$6:$R652),INDEX(凭证录入!L:L,$AR653))))</f>
        <v>0</v>
      </c>
      <c r="S653" s="459" t="str">
        <f t="shared" ca="1" si="143"/>
        <v/>
      </c>
      <c r="T653" s="460" t="str">
        <f t="shared" ca="1" si="143"/>
        <v/>
      </c>
      <c r="U653" s="460" t="str">
        <f t="shared" ca="1" si="143"/>
        <v/>
      </c>
      <c r="V653" s="460" t="str">
        <f t="shared" ca="1" si="143"/>
        <v/>
      </c>
      <c r="W653" s="460" t="str">
        <f t="shared" ca="1" si="143"/>
        <v/>
      </c>
      <c r="X653" s="460" t="str">
        <f t="shared" ca="1" si="143"/>
        <v/>
      </c>
      <c r="Y653" s="460" t="str">
        <f t="shared" ca="1" si="143"/>
        <v/>
      </c>
      <c r="Z653" s="460" t="str">
        <f t="shared" ca="1" si="143"/>
        <v/>
      </c>
      <c r="AA653" s="461" t="str">
        <f t="shared" ca="1" si="143"/>
        <v/>
      </c>
      <c r="AB653" s="474" t="str">
        <f t="shared" ca="1" si="143"/>
        <v/>
      </c>
      <c r="AC653" s="475" t="str">
        <f t="shared" ca="1" si="143"/>
        <v/>
      </c>
      <c r="AD653" s="477" t="str">
        <f t="shared" ca="1" si="144"/>
        <v/>
      </c>
      <c r="AE653" s="478">
        <f t="shared" ca="1" si="145"/>
        <v>0</v>
      </c>
      <c r="AF653" s="459" t="str">
        <f t="shared" ca="1" si="141"/>
        <v/>
      </c>
      <c r="AG653" s="460" t="str">
        <f t="shared" ca="1" si="141"/>
        <v/>
      </c>
      <c r="AH653" s="460" t="str">
        <f t="shared" ca="1" si="141"/>
        <v/>
      </c>
      <c r="AI653" s="460" t="str">
        <f t="shared" ca="1" si="141"/>
        <v/>
      </c>
      <c r="AJ653" s="460" t="str">
        <f t="shared" ca="1" si="141"/>
        <v/>
      </c>
      <c r="AK653" s="460" t="str">
        <f t="shared" ca="1" si="141"/>
        <v/>
      </c>
      <c r="AL653" s="460" t="str">
        <f t="shared" ca="1" si="141"/>
        <v/>
      </c>
      <c r="AM653" s="460" t="str">
        <f t="shared" ca="1" si="141"/>
        <v/>
      </c>
      <c r="AN653" s="461" t="str">
        <f t="shared" ca="1" si="141"/>
        <v/>
      </c>
      <c r="AO653" s="474" t="str">
        <f t="shared" ca="1" si="141"/>
        <v/>
      </c>
      <c r="AP653" s="475" t="str">
        <f t="shared" ca="1" si="141"/>
        <v/>
      </c>
      <c r="AQ653" s="479" t="str">
        <f t="array" aca="1" ref="AQ653" ca="1">IF(ROW()-5&lt;=COUNTIF(科目编号,$AR$2),SMALL(IF(科目编号=$AR$2,ROW(科目编号),""),ROW()-5),"")</f>
        <v/>
      </c>
      <c r="AR653" s="480" t="str">
        <f ca="1">IF($BG$2=0,"",IF(AR652="本月合计","本年累计",IF(OR(ROW()=$AU$3,ROW()=$AV$3,ROW()=$AW$3,ROW()=$AX$3,ROW()=$AY$3,ROW()=$AZ$3,ROW()=$BA$3,ROW()=$BB$3,ROW()=$BC$3,ROW()=$BD$3,ROW()=$BE$3,ROW()=$BF$3),"本月合计",IF(ROW()&lt;7,$AQ$6,OFFSET($AQ$6,COUNT($AR$6:AR652),0)))))</f>
        <v/>
      </c>
    </row>
    <row r="654" spans="1:44">
      <c r="A654" s="469" t="str">
        <f ca="1">IFERROR(INDEX(凭证录入!A:A,$AR654),"")</f>
        <v/>
      </c>
      <c r="B654" s="469" t="str">
        <f ca="1">IFERROR(INDEX(凭证录入!B:B,$AR654),"")</f>
        <v/>
      </c>
      <c r="C654" s="470" t="str">
        <f ca="1">IFERROR(INDEX(凭证录入!G:G,$AR654),"")</f>
        <v/>
      </c>
      <c r="D654" s="471" t="str">
        <f ca="1">IFERROR(INDEX(凭证录入!F:F,$AR654),"")</f>
        <v/>
      </c>
      <c r="E654" s="472" t="str">
        <f ca="1">IFERROR(INDEX(凭证录入!H:H,$AR654),$AR654)</f>
        <v/>
      </c>
      <c r="F654" s="473">
        <f ca="1">IF(OR($BG$2=0,$AR654=""),,IF($AR654="本月合计",IF(ROW()=$BG$3,SUM($F$6:$F653),SUM(INDIRECT("$F$"&amp;OFFSET($AU$3,,MATCH(ROW(),$AU$3:$BF$3,)-2)+2&amp;":$E"&amp;ROW()-1))),IF($AR654="本年累计",SUMIF($AR$6:$AR654,"本月合计",$F$6:$F653),INDEX(凭证录入!K:K,$AR654))))</f>
        <v>0</v>
      </c>
      <c r="G654" s="459" t="str">
        <f t="shared" ca="1" si="142"/>
        <v/>
      </c>
      <c r="H654" s="460" t="str">
        <f t="shared" ca="1" si="142"/>
        <v/>
      </c>
      <c r="I654" s="460" t="str">
        <f t="shared" ca="1" si="142"/>
        <v/>
      </c>
      <c r="J654" s="460" t="str">
        <f t="shared" ca="1" si="142"/>
        <v/>
      </c>
      <c r="K654" s="460" t="str">
        <f t="shared" ca="1" si="142"/>
        <v/>
      </c>
      <c r="L654" s="460" t="str">
        <f t="shared" ca="1" si="142"/>
        <v/>
      </c>
      <c r="M654" s="460" t="str">
        <f t="shared" ca="1" si="142"/>
        <v/>
      </c>
      <c r="N654" s="460" t="str">
        <f t="shared" ca="1" si="142"/>
        <v/>
      </c>
      <c r="O654" s="461" t="str">
        <f t="shared" ca="1" si="142"/>
        <v/>
      </c>
      <c r="P654" s="474" t="str">
        <f t="shared" ca="1" si="142"/>
        <v/>
      </c>
      <c r="Q654" s="475" t="str">
        <f t="shared" ca="1" si="142"/>
        <v/>
      </c>
      <c r="R654" s="476">
        <f ca="1">IF(OR($BG$2=0,$AR654=""),,IF($AR654="本月合计",IF(ROW()=$BG$3,SUM($R$6:$R653),SUM(INDIRECT("$R$"&amp;OFFSET($AU$3,,MATCH(ROW(),$AU$3:$BF$3,)-2)+2&amp;":$R"&amp;ROW()-1))),IF($AR654="本年累计",SUMIF($AR$6:$AR654,"本月合计",$R$6:$R653),INDEX(凭证录入!L:L,$AR654))))</f>
        <v>0</v>
      </c>
      <c r="S654" s="459" t="str">
        <f t="shared" ca="1" si="143"/>
        <v/>
      </c>
      <c r="T654" s="460" t="str">
        <f t="shared" ca="1" si="143"/>
        <v/>
      </c>
      <c r="U654" s="460" t="str">
        <f t="shared" ca="1" si="143"/>
        <v/>
      </c>
      <c r="V654" s="460" t="str">
        <f t="shared" ca="1" si="143"/>
        <v/>
      </c>
      <c r="W654" s="460" t="str">
        <f t="shared" ca="1" si="143"/>
        <v/>
      </c>
      <c r="X654" s="460" t="str">
        <f t="shared" ca="1" si="143"/>
        <v/>
      </c>
      <c r="Y654" s="460" t="str">
        <f t="shared" ca="1" si="143"/>
        <v/>
      </c>
      <c r="Z654" s="460" t="str">
        <f t="shared" ca="1" si="143"/>
        <v/>
      </c>
      <c r="AA654" s="461" t="str">
        <f t="shared" ca="1" si="143"/>
        <v/>
      </c>
      <c r="AB654" s="474" t="str">
        <f t="shared" ca="1" si="143"/>
        <v/>
      </c>
      <c r="AC654" s="475" t="str">
        <f t="shared" ca="1" si="143"/>
        <v/>
      </c>
      <c r="AD654" s="477" t="str">
        <f t="shared" ca="1" si="144"/>
        <v/>
      </c>
      <c r="AE654" s="478">
        <f t="shared" ca="1" si="145"/>
        <v>0</v>
      </c>
      <c r="AF654" s="459" t="str">
        <f t="shared" ca="1" si="141"/>
        <v/>
      </c>
      <c r="AG654" s="460" t="str">
        <f t="shared" ca="1" si="141"/>
        <v/>
      </c>
      <c r="AH654" s="460" t="str">
        <f t="shared" ca="1" si="141"/>
        <v/>
      </c>
      <c r="AI654" s="460" t="str">
        <f t="shared" ca="1" si="141"/>
        <v/>
      </c>
      <c r="AJ654" s="460" t="str">
        <f t="shared" ca="1" si="141"/>
        <v/>
      </c>
      <c r="AK654" s="460" t="str">
        <f t="shared" ca="1" si="141"/>
        <v/>
      </c>
      <c r="AL654" s="460" t="str">
        <f t="shared" ca="1" si="141"/>
        <v/>
      </c>
      <c r="AM654" s="460" t="str">
        <f t="shared" ca="1" si="141"/>
        <v/>
      </c>
      <c r="AN654" s="461" t="str">
        <f t="shared" ca="1" si="141"/>
        <v/>
      </c>
      <c r="AO654" s="474" t="str">
        <f t="shared" ca="1" si="141"/>
        <v/>
      </c>
      <c r="AP654" s="475" t="str">
        <f t="shared" ca="1" si="141"/>
        <v/>
      </c>
      <c r="AQ654" s="479" t="str">
        <f t="array" aca="1" ref="AQ654" ca="1">IF(ROW()-5&lt;=COUNTIF(科目编号,$AR$2),SMALL(IF(科目编号=$AR$2,ROW(科目编号),""),ROW()-5),"")</f>
        <v/>
      </c>
      <c r="AR654" s="480" t="str">
        <f ca="1">IF($BG$2=0,"",IF(AR653="本月合计","本年累计",IF(OR(ROW()=$AU$3,ROW()=$AV$3,ROW()=$AW$3,ROW()=$AX$3,ROW()=$AY$3,ROW()=$AZ$3,ROW()=$BA$3,ROW()=$BB$3,ROW()=$BC$3,ROW()=$BD$3,ROW()=$BE$3,ROW()=$BF$3),"本月合计",IF(ROW()&lt;7,$AQ$6,OFFSET($AQ$6,COUNT($AR$6:AR653),0)))))</f>
        <v/>
      </c>
    </row>
    <row r="655" spans="1:44">
      <c r="A655" s="469" t="str">
        <f ca="1">IFERROR(INDEX(凭证录入!A:A,$AR655),"")</f>
        <v/>
      </c>
      <c r="B655" s="469" t="str">
        <f ca="1">IFERROR(INDEX(凭证录入!B:B,$AR655),"")</f>
        <v/>
      </c>
      <c r="C655" s="470" t="str">
        <f ca="1">IFERROR(INDEX(凭证录入!G:G,$AR655),"")</f>
        <v/>
      </c>
      <c r="D655" s="471" t="str">
        <f ca="1">IFERROR(INDEX(凭证录入!F:F,$AR655),"")</f>
        <v/>
      </c>
      <c r="E655" s="472" t="str">
        <f ca="1">IFERROR(INDEX(凭证录入!H:H,$AR655),$AR655)</f>
        <v/>
      </c>
      <c r="F655" s="473">
        <f ca="1">IF(OR($BG$2=0,$AR655=""),,IF($AR655="本月合计",IF(ROW()=$BG$3,SUM($F$6:$F654),SUM(INDIRECT("$F$"&amp;OFFSET($AU$3,,MATCH(ROW(),$AU$3:$BF$3,)-2)+2&amp;":$E"&amp;ROW()-1))),IF($AR655="本年累计",SUMIF($AR$6:$AR655,"本月合计",$F$6:$F654),INDEX(凭证录入!K:K,$AR655))))</f>
        <v>0</v>
      </c>
      <c r="G655" s="459" t="str">
        <f t="shared" ca="1" si="142"/>
        <v/>
      </c>
      <c r="H655" s="460" t="str">
        <f t="shared" ca="1" si="142"/>
        <v/>
      </c>
      <c r="I655" s="460" t="str">
        <f t="shared" ca="1" si="142"/>
        <v/>
      </c>
      <c r="J655" s="460" t="str">
        <f t="shared" ca="1" si="142"/>
        <v/>
      </c>
      <c r="K655" s="460" t="str">
        <f t="shared" ca="1" si="142"/>
        <v/>
      </c>
      <c r="L655" s="460" t="str">
        <f t="shared" ca="1" si="142"/>
        <v/>
      </c>
      <c r="M655" s="460" t="str">
        <f t="shared" ca="1" si="142"/>
        <v/>
      </c>
      <c r="N655" s="460" t="str">
        <f t="shared" ca="1" si="142"/>
        <v/>
      </c>
      <c r="O655" s="461" t="str">
        <f t="shared" ca="1" si="142"/>
        <v/>
      </c>
      <c r="P655" s="474" t="str">
        <f t="shared" ca="1" si="142"/>
        <v/>
      </c>
      <c r="Q655" s="475" t="str">
        <f t="shared" ca="1" si="142"/>
        <v/>
      </c>
      <c r="R655" s="476">
        <f ca="1">IF(OR($BG$2=0,$AR655=""),,IF($AR655="本月合计",IF(ROW()=$BG$3,SUM($R$6:$R654),SUM(INDIRECT("$R$"&amp;OFFSET($AU$3,,MATCH(ROW(),$AU$3:$BF$3,)-2)+2&amp;":$R"&amp;ROW()-1))),IF($AR655="本年累计",SUMIF($AR$6:$AR655,"本月合计",$R$6:$R654),INDEX(凭证录入!L:L,$AR655))))</f>
        <v>0</v>
      </c>
      <c r="S655" s="459" t="str">
        <f t="shared" ca="1" si="143"/>
        <v/>
      </c>
      <c r="T655" s="460" t="str">
        <f t="shared" ca="1" si="143"/>
        <v/>
      </c>
      <c r="U655" s="460" t="str">
        <f t="shared" ca="1" si="143"/>
        <v/>
      </c>
      <c r="V655" s="460" t="str">
        <f t="shared" ca="1" si="143"/>
        <v/>
      </c>
      <c r="W655" s="460" t="str">
        <f t="shared" ca="1" si="143"/>
        <v/>
      </c>
      <c r="X655" s="460" t="str">
        <f t="shared" ca="1" si="143"/>
        <v/>
      </c>
      <c r="Y655" s="460" t="str">
        <f t="shared" ca="1" si="143"/>
        <v/>
      </c>
      <c r="Z655" s="460" t="str">
        <f t="shared" ca="1" si="143"/>
        <v/>
      </c>
      <c r="AA655" s="461" t="str">
        <f t="shared" ca="1" si="143"/>
        <v/>
      </c>
      <c r="AB655" s="474" t="str">
        <f t="shared" ca="1" si="143"/>
        <v/>
      </c>
      <c r="AC655" s="475" t="str">
        <f t="shared" ca="1" si="143"/>
        <v/>
      </c>
      <c r="AD655" s="477" t="str">
        <f t="shared" ca="1" si="144"/>
        <v/>
      </c>
      <c r="AE655" s="478">
        <f t="shared" ca="1" si="145"/>
        <v>0</v>
      </c>
      <c r="AF655" s="459" t="str">
        <f t="shared" ca="1" si="141"/>
        <v/>
      </c>
      <c r="AG655" s="460" t="str">
        <f t="shared" ca="1" si="141"/>
        <v/>
      </c>
      <c r="AH655" s="460" t="str">
        <f t="shared" ca="1" si="141"/>
        <v/>
      </c>
      <c r="AI655" s="460" t="str">
        <f t="shared" ca="1" si="141"/>
        <v/>
      </c>
      <c r="AJ655" s="460" t="str">
        <f t="shared" ca="1" si="141"/>
        <v/>
      </c>
      <c r="AK655" s="460" t="str">
        <f t="shared" ca="1" si="141"/>
        <v/>
      </c>
      <c r="AL655" s="460" t="str">
        <f t="shared" ca="1" si="141"/>
        <v/>
      </c>
      <c r="AM655" s="460" t="str">
        <f t="shared" ca="1" si="141"/>
        <v/>
      </c>
      <c r="AN655" s="461" t="str">
        <f t="shared" ca="1" si="141"/>
        <v/>
      </c>
      <c r="AO655" s="474" t="str">
        <f t="shared" ca="1" si="141"/>
        <v/>
      </c>
      <c r="AP655" s="475" t="str">
        <f t="shared" ca="1" si="141"/>
        <v/>
      </c>
      <c r="AQ655" s="479" t="str">
        <f t="array" aca="1" ref="AQ655" ca="1">IF(ROW()-5&lt;=COUNTIF(科目编号,$AR$2),SMALL(IF(科目编号=$AR$2,ROW(科目编号),""),ROW()-5),"")</f>
        <v/>
      </c>
      <c r="AR655" s="480" t="str">
        <f ca="1">IF($BG$2=0,"",IF(AR654="本月合计","本年累计",IF(OR(ROW()=$AU$3,ROW()=$AV$3,ROW()=$AW$3,ROW()=$AX$3,ROW()=$AY$3,ROW()=$AZ$3,ROW()=$BA$3,ROW()=$BB$3,ROW()=$BC$3,ROW()=$BD$3,ROW()=$BE$3,ROW()=$BF$3),"本月合计",IF(ROW()&lt;7,$AQ$6,OFFSET($AQ$6,COUNT($AR$6:AR654),0)))))</f>
        <v/>
      </c>
    </row>
    <row r="656" spans="1:44">
      <c r="A656" s="469" t="str">
        <f ca="1">IFERROR(INDEX(凭证录入!A:A,$AR656),"")</f>
        <v/>
      </c>
      <c r="B656" s="469" t="str">
        <f ca="1">IFERROR(INDEX(凭证录入!B:B,$AR656),"")</f>
        <v/>
      </c>
      <c r="C656" s="470" t="str">
        <f ca="1">IFERROR(INDEX(凭证录入!G:G,$AR656),"")</f>
        <v/>
      </c>
      <c r="D656" s="471" t="str">
        <f ca="1">IFERROR(INDEX(凭证录入!F:F,$AR656),"")</f>
        <v/>
      </c>
      <c r="E656" s="472" t="str">
        <f ca="1">IFERROR(INDEX(凭证录入!H:H,$AR656),$AR656)</f>
        <v/>
      </c>
      <c r="F656" s="473">
        <f ca="1">IF(OR($BG$2=0,$AR656=""),,IF($AR656="本月合计",IF(ROW()=$BG$3,SUM($F$6:$F655),SUM(INDIRECT("$F$"&amp;OFFSET($AU$3,,MATCH(ROW(),$AU$3:$BF$3,)-2)+2&amp;":$E"&amp;ROW()-1))),IF($AR656="本年累计",SUMIF($AR$6:$AR656,"本月合计",$F$6:$F655),INDEX(凭证录入!K:K,$AR656))))</f>
        <v>0</v>
      </c>
      <c r="G656" s="459" t="str">
        <f t="shared" ca="1" si="142"/>
        <v/>
      </c>
      <c r="H656" s="460" t="str">
        <f t="shared" ca="1" si="142"/>
        <v/>
      </c>
      <c r="I656" s="460" t="str">
        <f t="shared" ca="1" si="142"/>
        <v/>
      </c>
      <c r="J656" s="460" t="str">
        <f t="shared" ca="1" si="142"/>
        <v/>
      </c>
      <c r="K656" s="460" t="str">
        <f t="shared" ca="1" si="142"/>
        <v/>
      </c>
      <c r="L656" s="460" t="str">
        <f t="shared" ca="1" si="142"/>
        <v/>
      </c>
      <c r="M656" s="460" t="str">
        <f t="shared" ca="1" si="142"/>
        <v/>
      </c>
      <c r="N656" s="460" t="str">
        <f t="shared" ca="1" si="142"/>
        <v/>
      </c>
      <c r="O656" s="461" t="str">
        <f t="shared" ca="1" si="142"/>
        <v/>
      </c>
      <c r="P656" s="474" t="str">
        <f t="shared" ca="1" si="142"/>
        <v/>
      </c>
      <c r="Q656" s="475" t="str">
        <f t="shared" ca="1" si="142"/>
        <v/>
      </c>
      <c r="R656" s="476">
        <f ca="1">IF(OR($BG$2=0,$AR656=""),,IF($AR656="本月合计",IF(ROW()=$BG$3,SUM($R$6:$R655),SUM(INDIRECT("$R$"&amp;OFFSET($AU$3,,MATCH(ROW(),$AU$3:$BF$3,)-2)+2&amp;":$R"&amp;ROW()-1))),IF($AR656="本年累计",SUMIF($AR$6:$AR656,"本月合计",$R$6:$R655),INDEX(凭证录入!L:L,$AR656))))</f>
        <v>0</v>
      </c>
      <c r="S656" s="459" t="str">
        <f t="shared" ca="1" si="143"/>
        <v/>
      </c>
      <c r="T656" s="460" t="str">
        <f t="shared" ca="1" si="143"/>
        <v/>
      </c>
      <c r="U656" s="460" t="str">
        <f t="shared" ca="1" si="143"/>
        <v/>
      </c>
      <c r="V656" s="460" t="str">
        <f t="shared" ca="1" si="143"/>
        <v/>
      </c>
      <c r="W656" s="460" t="str">
        <f t="shared" ca="1" si="143"/>
        <v/>
      </c>
      <c r="X656" s="460" t="str">
        <f t="shared" ca="1" si="143"/>
        <v/>
      </c>
      <c r="Y656" s="460" t="str">
        <f t="shared" ca="1" si="143"/>
        <v/>
      </c>
      <c r="Z656" s="460" t="str">
        <f t="shared" ca="1" si="143"/>
        <v/>
      </c>
      <c r="AA656" s="461" t="str">
        <f t="shared" ca="1" si="143"/>
        <v/>
      </c>
      <c r="AB656" s="474" t="str">
        <f t="shared" ca="1" si="143"/>
        <v/>
      </c>
      <c r="AC656" s="475" t="str">
        <f t="shared" ca="1" si="143"/>
        <v/>
      </c>
      <c r="AD656" s="477" t="str">
        <f t="shared" ca="1" si="144"/>
        <v/>
      </c>
      <c r="AE656" s="478">
        <f t="shared" ca="1" si="145"/>
        <v>0</v>
      </c>
      <c r="AF656" s="459" t="str">
        <f t="shared" ca="1" si="141"/>
        <v/>
      </c>
      <c r="AG656" s="460" t="str">
        <f t="shared" ca="1" si="141"/>
        <v/>
      </c>
      <c r="AH656" s="460" t="str">
        <f t="shared" ca="1" si="141"/>
        <v/>
      </c>
      <c r="AI656" s="460" t="str">
        <f t="shared" ca="1" si="141"/>
        <v/>
      </c>
      <c r="AJ656" s="460" t="str">
        <f t="shared" ca="1" si="141"/>
        <v/>
      </c>
      <c r="AK656" s="460" t="str">
        <f t="shared" ca="1" si="141"/>
        <v/>
      </c>
      <c r="AL656" s="460" t="str">
        <f t="shared" ca="1" si="141"/>
        <v/>
      </c>
      <c r="AM656" s="460" t="str">
        <f t="shared" ca="1" si="141"/>
        <v/>
      </c>
      <c r="AN656" s="461" t="str">
        <f t="shared" ca="1" si="141"/>
        <v/>
      </c>
      <c r="AO656" s="474" t="str">
        <f t="shared" ca="1" si="141"/>
        <v/>
      </c>
      <c r="AP656" s="475" t="str">
        <f t="shared" ca="1" si="141"/>
        <v/>
      </c>
      <c r="AQ656" s="479" t="str">
        <f t="array" aca="1" ref="AQ656" ca="1">IF(ROW()-5&lt;=COUNTIF(科目编号,$AR$2),SMALL(IF(科目编号=$AR$2,ROW(科目编号),""),ROW()-5),"")</f>
        <v/>
      </c>
      <c r="AR656" s="480" t="str">
        <f ca="1">IF($BG$2=0,"",IF(AR655="本月合计","本年累计",IF(OR(ROW()=$AU$3,ROW()=$AV$3,ROW()=$AW$3,ROW()=$AX$3,ROW()=$AY$3,ROW()=$AZ$3,ROW()=$BA$3,ROW()=$BB$3,ROW()=$BC$3,ROW()=$BD$3,ROW()=$BE$3,ROW()=$BF$3),"本月合计",IF(ROW()&lt;7,$AQ$6,OFFSET($AQ$6,COUNT($AR$6:AR655),0)))))</f>
        <v/>
      </c>
    </row>
    <row r="657" spans="1:44">
      <c r="A657" s="469" t="str">
        <f ca="1">IFERROR(INDEX(凭证录入!A:A,$AR657),"")</f>
        <v/>
      </c>
      <c r="B657" s="469" t="str">
        <f ca="1">IFERROR(INDEX(凭证录入!B:B,$AR657),"")</f>
        <v/>
      </c>
      <c r="C657" s="470" t="str">
        <f ca="1">IFERROR(INDEX(凭证录入!G:G,$AR657),"")</f>
        <v/>
      </c>
      <c r="D657" s="471" t="str">
        <f ca="1">IFERROR(INDEX(凭证录入!F:F,$AR657),"")</f>
        <v/>
      </c>
      <c r="E657" s="472" t="str">
        <f ca="1">IFERROR(INDEX(凭证录入!H:H,$AR657),$AR657)</f>
        <v/>
      </c>
      <c r="F657" s="473">
        <f ca="1">IF(OR($BG$2=0,$AR657=""),,IF($AR657="本月合计",IF(ROW()=$BG$3,SUM($F$6:$F656),SUM(INDIRECT("$F$"&amp;OFFSET($AU$3,,MATCH(ROW(),$AU$3:$BF$3,)-2)+2&amp;":$E"&amp;ROW()-1))),IF($AR657="本年累计",SUMIF($AR$6:$AR657,"本月合计",$F$6:$F656),INDEX(凭证录入!K:K,$AR657))))</f>
        <v>0</v>
      </c>
      <c r="G657" s="459" t="str">
        <f t="shared" ca="1" si="142"/>
        <v/>
      </c>
      <c r="H657" s="460" t="str">
        <f t="shared" ca="1" si="142"/>
        <v/>
      </c>
      <c r="I657" s="460" t="str">
        <f t="shared" ca="1" si="142"/>
        <v/>
      </c>
      <c r="J657" s="460" t="str">
        <f t="shared" ca="1" si="142"/>
        <v/>
      </c>
      <c r="K657" s="460" t="str">
        <f t="shared" ca="1" si="142"/>
        <v/>
      </c>
      <c r="L657" s="460" t="str">
        <f t="shared" ca="1" si="142"/>
        <v/>
      </c>
      <c r="M657" s="460" t="str">
        <f t="shared" ca="1" si="142"/>
        <v/>
      </c>
      <c r="N657" s="460" t="str">
        <f t="shared" ca="1" si="142"/>
        <v/>
      </c>
      <c r="O657" s="461" t="str">
        <f t="shared" ca="1" si="142"/>
        <v/>
      </c>
      <c r="P657" s="474" t="str">
        <f t="shared" ca="1" si="142"/>
        <v/>
      </c>
      <c r="Q657" s="475" t="str">
        <f t="shared" ca="1" si="142"/>
        <v/>
      </c>
      <c r="R657" s="476">
        <f ca="1">IF(OR($BG$2=0,$AR657=""),,IF($AR657="本月合计",IF(ROW()=$BG$3,SUM($R$6:$R656),SUM(INDIRECT("$R$"&amp;OFFSET($AU$3,,MATCH(ROW(),$AU$3:$BF$3,)-2)+2&amp;":$R"&amp;ROW()-1))),IF($AR657="本年累计",SUMIF($AR$6:$AR657,"本月合计",$R$6:$R656),INDEX(凭证录入!L:L,$AR657))))</f>
        <v>0</v>
      </c>
      <c r="S657" s="459" t="str">
        <f t="shared" ca="1" si="143"/>
        <v/>
      </c>
      <c r="T657" s="460" t="str">
        <f t="shared" ca="1" si="143"/>
        <v/>
      </c>
      <c r="U657" s="460" t="str">
        <f t="shared" ca="1" si="143"/>
        <v/>
      </c>
      <c r="V657" s="460" t="str">
        <f t="shared" ca="1" si="143"/>
        <v/>
      </c>
      <c r="W657" s="460" t="str">
        <f t="shared" ca="1" si="143"/>
        <v/>
      </c>
      <c r="X657" s="460" t="str">
        <f t="shared" ca="1" si="143"/>
        <v/>
      </c>
      <c r="Y657" s="460" t="str">
        <f t="shared" ca="1" si="143"/>
        <v/>
      </c>
      <c r="Z657" s="460" t="str">
        <f t="shared" ca="1" si="143"/>
        <v/>
      </c>
      <c r="AA657" s="461" t="str">
        <f t="shared" ca="1" si="143"/>
        <v/>
      </c>
      <c r="AB657" s="474" t="str">
        <f t="shared" ca="1" si="143"/>
        <v/>
      </c>
      <c r="AC657" s="475" t="str">
        <f t="shared" ca="1" si="143"/>
        <v/>
      </c>
      <c r="AD657" s="477" t="str">
        <f t="shared" ca="1" si="144"/>
        <v/>
      </c>
      <c r="AE657" s="478">
        <f t="shared" ca="1" si="145"/>
        <v>0</v>
      </c>
      <c r="AF657" s="459" t="str">
        <f t="shared" ca="1" si="141"/>
        <v/>
      </c>
      <c r="AG657" s="460" t="str">
        <f t="shared" ca="1" si="141"/>
        <v/>
      </c>
      <c r="AH657" s="460" t="str">
        <f t="shared" ca="1" si="141"/>
        <v/>
      </c>
      <c r="AI657" s="460" t="str">
        <f t="shared" ca="1" si="141"/>
        <v/>
      </c>
      <c r="AJ657" s="460" t="str">
        <f t="shared" ca="1" si="141"/>
        <v/>
      </c>
      <c r="AK657" s="460" t="str">
        <f t="shared" ca="1" si="141"/>
        <v/>
      </c>
      <c r="AL657" s="460" t="str">
        <f t="shared" ca="1" si="141"/>
        <v/>
      </c>
      <c r="AM657" s="460" t="str">
        <f t="shared" ca="1" si="141"/>
        <v/>
      </c>
      <c r="AN657" s="461" t="str">
        <f t="shared" ca="1" si="141"/>
        <v/>
      </c>
      <c r="AO657" s="474" t="str">
        <f t="shared" ca="1" si="141"/>
        <v/>
      </c>
      <c r="AP657" s="475" t="str">
        <f t="shared" ca="1" si="141"/>
        <v/>
      </c>
      <c r="AQ657" s="479" t="str">
        <f t="array" aca="1" ref="AQ657" ca="1">IF(ROW()-5&lt;=COUNTIF(科目编号,$AR$2),SMALL(IF(科目编号=$AR$2,ROW(科目编号),""),ROW()-5),"")</f>
        <v/>
      </c>
      <c r="AR657" s="480" t="str">
        <f ca="1">IF($BG$2=0,"",IF(AR656="本月合计","本年累计",IF(OR(ROW()=$AU$3,ROW()=$AV$3,ROW()=$AW$3,ROW()=$AX$3,ROW()=$AY$3,ROW()=$AZ$3,ROW()=$BA$3,ROW()=$BB$3,ROW()=$BC$3,ROW()=$BD$3,ROW()=$BE$3,ROW()=$BF$3),"本月合计",IF(ROW()&lt;7,$AQ$6,OFFSET($AQ$6,COUNT($AR$6:AR656),0)))))</f>
        <v/>
      </c>
    </row>
    <row r="658" spans="1:44">
      <c r="A658" s="469" t="str">
        <f ca="1">IFERROR(INDEX(凭证录入!A:A,$AR658),"")</f>
        <v/>
      </c>
      <c r="B658" s="469" t="str">
        <f ca="1">IFERROR(INDEX(凭证录入!B:B,$AR658),"")</f>
        <v/>
      </c>
      <c r="C658" s="470" t="str">
        <f ca="1">IFERROR(INDEX(凭证录入!G:G,$AR658),"")</f>
        <v/>
      </c>
      <c r="D658" s="471" t="str">
        <f ca="1">IFERROR(INDEX(凭证录入!F:F,$AR658),"")</f>
        <v/>
      </c>
      <c r="E658" s="472" t="str">
        <f ca="1">IFERROR(INDEX(凭证录入!H:H,$AR658),$AR658)</f>
        <v/>
      </c>
      <c r="F658" s="473">
        <f ca="1">IF(OR($BG$2=0,$AR658=""),,IF($AR658="本月合计",IF(ROW()=$BG$3,SUM($F$6:$F657),SUM(INDIRECT("$F$"&amp;OFFSET($AU$3,,MATCH(ROW(),$AU$3:$BF$3,)-2)+2&amp;":$E"&amp;ROW()-1))),IF($AR658="本年累计",SUMIF($AR$6:$AR658,"本月合计",$F$6:$F657),INDEX(凭证录入!K:K,$AR658))))</f>
        <v>0</v>
      </c>
      <c r="G658" s="459" t="str">
        <f t="shared" ca="1" si="142"/>
        <v/>
      </c>
      <c r="H658" s="460" t="str">
        <f t="shared" ca="1" si="142"/>
        <v/>
      </c>
      <c r="I658" s="460" t="str">
        <f t="shared" ca="1" si="142"/>
        <v/>
      </c>
      <c r="J658" s="460" t="str">
        <f t="shared" ca="1" si="142"/>
        <v/>
      </c>
      <c r="K658" s="460" t="str">
        <f t="shared" ca="1" si="142"/>
        <v/>
      </c>
      <c r="L658" s="460" t="str">
        <f t="shared" ca="1" si="142"/>
        <v/>
      </c>
      <c r="M658" s="460" t="str">
        <f t="shared" ca="1" si="142"/>
        <v/>
      </c>
      <c r="N658" s="460" t="str">
        <f t="shared" ca="1" si="142"/>
        <v/>
      </c>
      <c r="O658" s="461" t="str">
        <f t="shared" ca="1" si="142"/>
        <v/>
      </c>
      <c r="P658" s="474" t="str">
        <f t="shared" ca="1" si="142"/>
        <v/>
      </c>
      <c r="Q658" s="475" t="str">
        <f t="shared" ca="1" si="142"/>
        <v/>
      </c>
      <c r="R658" s="476">
        <f ca="1">IF(OR($BG$2=0,$AR658=""),,IF($AR658="本月合计",IF(ROW()=$BG$3,SUM($R$6:$R657),SUM(INDIRECT("$R$"&amp;OFFSET($AU$3,,MATCH(ROW(),$AU$3:$BF$3,)-2)+2&amp;":$R"&amp;ROW()-1))),IF($AR658="本年累计",SUMIF($AR$6:$AR658,"本月合计",$R$6:$R657),INDEX(凭证录入!L:L,$AR658))))</f>
        <v>0</v>
      </c>
      <c r="S658" s="459" t="str">
        <f t="shared" ca="1" si="143"/>
        <v/>
      </c>
      <c r="T658" s="460" t="str">
        <f t="shared" ca="1" si="143"/>
        <v/>
      </c>
      <c r="U658" s="460" t="str">
        <f t="shared" ca="1" si="143"/>
        <v/>
      </c>
      <c r="V658" s="460" t="str">
        <f t="shared" ca="1" si="143"/>
        <v/>
      </c>
      <c r="W658" s="460" t="str">
        <f t="shared" ca="1" si="143"/>
        <v/>
      </c>
      <c r="X658" s="460" t="str">
        <f t="shared" ca="1" si="143"/>
        <v/>
      </c>
      <c r="Y658" s="460" t="str">
        <f t="shared" ca="1" si="143"/>
        <v/>
      </c>
      <c r="Z658" s="460" t="str">
        <f t="shared" ca="1" si="143"/>
        <v/>
      </c>
      <c r="AA658" s="461" t="str">
        <f t="shared" ca="1" si="143"/>
        <v/>
      </c>
      <c r="AB658" s="474" t="str">
        <f t="shared" ca="1" si="143"/>
        <v/>
      </c>
      <c r="AC658" s="475" t="str">
        <f t="shared" ca="1" si="143"/>
        <v/>
      </c>
      <c r="AD658" s="477" t="str">
        <f t="shared" ca="1" si="144"/>
        <v/>
      </c>
      <c r="AE658" s="478">
        <f t="shared" ca="1" si="145"/>
        <v>0</v>
      </c>
      <c r="AF658" s="459" t="str">
        <f t="shared" ca="1" si="141"/>
        <v/>
      </c>
      <c r="AG658" s="460" t="str">
        <f t="shared" ca="1" si="141"/>
        <v/>
      </c>
      <c r="AH658" s="460" t="str">
        <f t="shared" ca="1" si="141"/>
        <v/>
      </c>
      <c r="AI658" s="460" t="str">
        <f t="shared" ca="1" si="141"/>
        <v/>
      </c>
      <c r="AJ658" s="460" t="str">
        <f t="shared" ca="1" si="141"/>
        <v/>
      </c>
      <c r="AK658" s="460" t="str">
        <f t="shared" ca="1" si="141"/>
        <v/>
      </c>
      <c r="AL658" s="460" t="str">
        <f t="shared" ca="1" si="141"/>
        <v/>
      </c>
      <c r="AM658" s="460" t="str">
        <f t="shared" ca="1" si="141"/>
        <v/>
      </c>
      <c r="AN658" s="461" t="str">
        <f t="shared" ca="1" si="141"/>
        <v/>
      </c>
      <c r="AO658" s="474" t="str">
        <f t="shared" ca="1" si="141"/>
        <v/>
      </c>
      <c r="AP658" s="475" t="str">
        <f t="shared" ca="1" si="141"/>
        <v/>
      </c>
      <c r="AQ658" s="479" t="str">
        <f t="array" aca="1" ref="AQ658" ca="1">IF(ROW()-5&lt;=COUNTIF(科目编号,$AR$2),SMALL(IF(科目编号=$AR$2,ROW(科目编号),""),ROW()-5),"")</f>
        <v/>
      </c>
      <c r="AR658" s="480" t="str">
        <f ca="1">IF($BG$2=0,"",IF(AR657="本月合计","本年累计",IF(OR(ROW()=$AU$3,ROW()=$AV$3,ROW()=$AW$3,ROW()=$AX$3,ROW()=$AY$3,ROW()=$AZ$3,ROW()=$BA$3,ROW()=$BB$3,ROW()=$BC$3,ROW()=$BD$3,ROW()=$BE$3,ROW()=$BF$3),"本月合计",IF(ROW()&lt;7,$AQ$6,OFFSET($AQ$6,COUNT($AR$6:AR657),0)))))</f>
        <v/>
      </c>
    </row>
    <row r="659" spans="1:44">
      <c r="A659" s="469" t="str">
        <f ca="1">IFERROR(INDEX(凭证录入!A:A,$AR659),"")</f>
        <v/>
      </c>
      <c r="B659" s="469" t="str">
        <f ca="1">IFERROR(INDEX(凭证录入!B:B,$AR659),"")</f>
        <v/>
      </c>
      <c r="C659" s="470" t="str">
        <f ca="1">IFERROR(INDEX(凭证录入!G:G,$AR659),"")</f>
        <v/>
      </c>
      <c r="D659" s="471" t="str">
        <f ca="1">IFERROR(INDEX(凭证录入!F:F,$AR659),"")</f>
        <v/>
      </c>
      <c r="E659" s="472" t="str">
        <f ca="1">IFERROR(INDEX(凭证录入!H:H,$AR659),$AR659)</f>
        <v/>
      </c>
      <c r="F659" s="473">
        <f ca="1">IF(OR($BG$2=0,$AR659=""),,IF($AR659="本月合计",IF(ROW()=$BG$3,SUM($F$6:$F658),SUM(INDIRECT("$F$"&amp;OFFSET($AU$3,,MATCH(ROW(),$AU$3:$BF$3,)-2)+2&amp;":$E"&amp;ROW()-1))),IF($AR659="本年累计",SUMIF($AR$6:$AR659,"本月合计",$F$6:$F658),INDEX(凭证录入!K:K,$AR659))))</f>
        <v>0</v>
      </c>
      <c r="G659" s="459" t="str">
        <f t="shared" ca="1" si="142"/>
        <v/>
      </c>
      <c r="H659" s="460" t="str">
        <f t="shared" ca="1" si="142"/>
        <v/>
      </c>
      <c r="I659" s="460" t="str">
        <f t="shared" ca="1" si="142"/>
        <v/>
      </c>
      <c r="J659" s="460" t="str">
        <f t="shared" ca="1" si="142"/>
        <v/>
      </c>
      <c r="K659" s="460" t="str">
        <f t="shared" ca="1" si="142"/>
        <v/>
      </c>
      <c r="L659" s="460" t="str">
        <f t="shared" ca="1" si="142"/>
        <v/>
      </c>
      <c r="M659" s="460" t="str">
        <f t="shared" ca="1" si="142"/>
        <v/>
      </c>
      <c r="N659" s="460" t="str">
        <f t="shared" ca="1" si="142"/>
        <v/>
      </c>
      <c r="O659" s="461" t="str">
        <f t="shared" ca="1" si="142"/>
        <v/>
      </c>
      <c r="P659" s="474" t="str">
        <f t="shared" ca="1" si="142"/>
        <v/>
      </c>
      <c r="Q659" s="475" t="str">
        <f t="shared" ca="1" si="142"/>
        <v/>
      </c>
      <c r="R659" s="476">
        <f ca="1">IF(OR($BG$2=0,$AR659=""),,IF($AR659="本月合计",IF(ROW()=$BG$3,SUM($R$6:$R658),SUM(INDIRECT("$R$"&amp;OFFSET($AU$3,,MATCH(ROW(),$AU$3:$BF$3,)-2)+2&amp;":$R"&amp;ROW()-1))),IF($AR659="本年累计",SUMIF($AR$6:$AR659,"本月合计",$R$6:$R658),INDEX(凭证录入!L:L,$AR659))))</f>
        <v>0</v>
      </c>
      <c r="S659" s="459" t="str">
        <f t="shared" ca="1" si="143"/>
        <v/>
      </c>
      <c r="T659" s="460" t="str">
        <f t="shared" ca="1" si="143"/>
        <v/>
      </c>
      <c r="U659" s="460" t="str">
        <f t="shared" ca="1" si="143"/>
        <v/>
      </c>
      <c r="V659" s="460" t="str">
        <f t="shared" ca="1" si="143"/>
        <v/>
      </c>
      <c r="W659" s="460" t="str">
        <f t="shared" ca="1" si="143"/>
        <v/>
      </c>
      <c r="X659" s="460" t="str">
        <f t="shared" ca="1" si="143"/>
        <v/>
      </c>
      <c r="Y659" s="460" t="str">
        <f t="shared" ca="1" si="143"/>
        <v/>
      </c>
      <c r="Z659" s="460" t="str">
        <f t="shared" ca="1" si="143"/>
        <v/>
      </c>
      <c r="AA659" s="461" t="str">
        <f t="shared" ca="1" si="143"/>
        <v/>
      </c>
      <c r="AB659" s="474" t="str">
        <f t="shared" ca="1" si="143"/>
        <v/>
      </c>
      <c r="AC659" s="475" t="str">
        <f t="shared" ca="1" si="143"/>
        <v/>
      </c>
      <c r="AD659" s="477" t="str">
        <f t="shared" ca="1" si="144"/>
        <v/>
      </c>
      <c r="AE659" s="478">
        <f t="shared" ca="1" si="145"/>
        <v>0</v>
      </c>
      <c r="AF659" s="459" t="str">
        <f t="shared" ca="1" si="141"/>
        <v/>
      </c>
      <c r="AG659" s="460" t="str">
        <f t="shared" ca="1" si="141"/>
        <v/>
      </c>
      <c r="AH659" s="460" t="str">
        <f t="shared" ca="1" si="141"/>
        <v/>
      </c>
      <c r="AI659" s="460" t="str">
        <f t="shared" ca="1" si="141"/>
        <v/>
      </c>
      <c r="AJ659" s="460" t="str">
        <f t="shared" ca="1" si="141"/>
        <v/>
      </c>
      <c r="AK659" s="460" t="str">
        <f t="shared" ca="1" si="141"/>
        <v/>
      </c>
      <c r="AL659" s="460" t="str">
        <f t="shared" ca="1" si="141"/>
        <v/>
      </c>
      <c r="AM659" s="460" t="str">
        <f t="shared" ca="1" si="141"/>
        <v/>
      </c>
      <c r="AN659" s="461" t="str">
        <f t="shared" ca="1" si="141"/>
        <v/>
      </c>
      <c r="AO659" s="474" t="str">
        <f t="shared" ca="1" si="141"/>
        <v/>
      </c>
      <c r="AP659" s="475" t="str">
        <f t="shared" ca="1" si="141"/>
        <v/>
      </c>
      <c r="AQ659" s="479" t="str">
        <f t="array" aca="1" ref="AQ659" ca="1">IF(ROW()-5&lt;=COUNTIF(科目编号,$AR$2),SMALL(IF(科目编号=$AR$2,ROW(科目编号),""),ROW()-5),"")</f>
        <v/>
      </c>
      <c r="AR659" s="480" t="str">
        <f ca="1">IF($BG$2=0,"",IF(AR658="本月合计","本年累计",IF(OR(ROW()=$AU$3,ROW()=$AV$3,ROW()=$AW$3,ROW()=$AX$3,ROW()=$AY$3,ROW()=$AZ$3,ROW()=$BA$3,ROW()=$BB$3,ROW()=$BC$3,ROW()=$BD$3,ROW()=$BE$3,ROW()=$BF$3),"本月合计",IF(ROW()&lt;7,$AQ$6,OFFSET($AQ$6,COUNT($AR$6:AR658),0)))))</f>
        <v/>
      </c>
    </row>
    <row r="660" spans="1:44">
      <c r="A660" s="469" t="str">
        <f ca="1">IFERROR(INDEX(凭证录入!A:A,$AR660),"")</f>
        <v/>
      </c>
      <c r="B660" s="469" t="str">
        <f ca="1">IFERROR(INDEX(凭证录入!B:B,$AR660),"")</f>
        <v/>
      </c>
      <c r="C660" s="470" t="str">
        <f ca="1">IFERROR(INDEX(凭证录入!G:G,$AR660),"")</f>
        <v/>
      </c>
      <c r="D660" s="471" t="str">
        <f ca="1">IFERROR(INDEX(凭证录入!F:F,$AR660),"")</f>
        <v/>
      </c>
      <c r="E660" s="472" t="str">
        <f ca="1">IFERROR(INDEX(凭证录入!H:H,$AR660),$AR660)</f>
        <v/>
      </c>
      <c r="F660" s="473">
        <f ca="1">IF(OR($BG$2=0,$AR660=""),,IF($AR660="本月合计",IF(ROW()=$BG$3,SUM($F$6:$F659),SUM(INDIRECT("$F$"&amp;OFFSET($AU$3,,MATCH(ROW(),$AU$3:$BF$3,)-2)+2&amp;":$E"&amp;ROW()-1))),IF($AR660="本年累计",SUMIF($AR$6:$AR660,"本月合计",$F$6:$F659),INDEX(凭证录入!K:K,$AR660))))</f>
        <v>0</v>
      </c>
      <c r="G660" s="459" t="str">
        <f t="shared" ca="1" si="142"/>
        <v/>
      </c>
      <c r="H660" s="460" t="str">
        <f t="shared" ca="1" si="142"/>
        <v/>
      </c>
      <c r="I660" s="460" t="str">
        <f t="shared" ca="1" si="142"/>
        <v/>
      </c>
      <c r="J660" s="460" t="str">
        <f t="shared" ca="1" si="142"/>
        <v/>
      </c>
      <c r="K660" s="460" t="str">
        <f t="shared" ca="1" si="142"/>
        <v/>
      </c>
      <c r="L660" s="460" t="str">
        <f t="shared" ca="1" si="142"/>
        <v/>
      </c>
      <c r="M660" s="460" t="str">
        <f t="shared" ca="1" si="142"/>
        <v/>
      </c>
      <c r="N660" s="460" t="str">
        <f t="shared" ca="1" si="142"/>
        <v/>
      </c>
      <c r="O660" s="461" t="str">
        <f t="shared" ca="1" si="142"/>
        <v/>
      </c>
      <c r="P660" s="474" t="str">
        <f t="shared" ca="1" si="142"/>
        <v/>
      </c>
      <c r="Q660" s="475" t="str">
        <f t="shared" ca="1" si="142"/>
        <v/>
      </c>
      <c r="R660" s="476">
        <f ca="1">IF(OR($BG$2=0,$AR660=""),,IF($AR660="本月合计",IF(ROW()=$BG$3,SUM($R$6:$R659),SUM(INDIRECT("$R$"&amp;OFFSET($AU$3,,MATCH(ROW(),$AU$3:$BF$3,)-2)+2&amp;":$R"&amp;ROW()-1))),IF($AR660="本年累计",SUMIF($AR$6:$AR660,"本月合计",$R$6:$R659),INDEX(凭证录入!L:L,$AR660))))</f>
        <v>0</v>
      </c>
      <c r="S660" s="459" t="str">
        <f t="shared" ca="1" si="143"/>
        <v/>
      </c>
      <c r="T660" s="460" t="str">
        <f t="shared" ca="1" si="143"/>
        <v/>
      </c>
      <c r="U660" s="460" t="str">
        <f t="shared" ca="1" si="143"/>
        <v/>
      </c>
      <c r="V660" s="460" t="str">
        <f t="shared" ca="1" si="143"/>
        <v/>
      </c>
      <c r="W660" s="460" t="str">
        <f t="shared" ca="1" si="143"/>
        <v/>
      </c>
      <c r="X660" s="460" t="str">
        <f t="shared" ca="1" si="143"/>
        <v/>
      </c>
      <c r="Y660" s="460" t="str">
        <f t="shared" ca="1" si="143"/>
        <v/>
      </c>
      <c r="Z660" s="460" t="str">
        <f t="shared" ca="1" si="143"/>
        <v/>
      </c>
      <c r="AA660" s="461" t="str">
        <f t="shared" ca="1" si="143"/>
        <v/>
      </c>
      <c r="AB660" s="474" t="str">
        <f t="shared" ca="1" si="143"/>
        <v/>
      </c>
      <c r="AC660" s="475" t="str">
        <f t="shared" ca="1" si="143"/>
        <v/>
      </c>
      <c r="AD660" s="477" t="str">
        <f t="shared" ca="1" si="144"/>
        <v/>
      </c>
      <c r="AE660" s="478">
        <f t="shared" ca="1" si="145"/>
        <v>0</v>
      </c>
      <c r="AF660" s="459" t="str">
        <f t="shared" ca="1" si="141"/>
        <v/>
      </c>
      <c r="AG660" s="460" t="str">
        <f t="shared" ca="1" si="141"/>
        <v/>
      </c>
      <c r="AH660" s="460" t="str">
        <f t="shared" ca="1" si="141"/>
        <v/>
      </c>
      <c r="AI660" s="460" t="str">
        <f t="shared" ca="1" si="141"/>
        <v/>
      </c>
      <c r="AJ660" s="460" t="str">
        <f t="shared" ca="1" si="141"/>
        <v/>
      </c>
      <c r="AK660" s="460" t="str">
        <f t="shared" ca="1" si="141"/>
        <v/>
      </c>
      <c r="AL660" s="460" t="str">
        <f t="shared" ca="1" si="141"/>
        <v/>
      </c>
      <c r="AM660" s="460" t="str">
        <f t="shared" ca="1" si="141"/>
        <v/>
      </c>
      <c r="AN660" s="461" t="str">
        <f t="shared" ca="1" si="141"/>
        <v/>
      </c>
      <c r="AO660" s="474" t="str">
        <f t="shared" ca="1" si="141"/>
        <v/>
      </c>
      <c r="AP660" s="475" t="str">
        <f t="shared" ca="1" si="141"/>
        <v/>
      </c>
      <c r="AQ660" s="479" t="str">
        <f t="array" aca="1" ref="AQ660" ca="1">IF(ROW()-5&lt;=COUNTIF(科目编号,$AR$2),SMALL(IF(科目编号=$AR$2,ROW(科目编号),""),ROW()-5),"")</f>
        <v/>
      </c>
      <c r="AR660" s="480" t="str">
        <f ca="1">IF($BG$2=0,"",IF(AR659="本月合计","本年累计",IF(OR(ROW()=$AU$3,ROW()=$AV$3,ROW()=$AW$3,ROW()=$AX$3,ROW()=$AY$3,ROW()=$AZ$3,ROW()=$BA$3,ROW()=$BB$3,ROW()=$BC$3,ROW()=$BD$3,ROW()=$BE$3,ROW()=$BF$3),"本月合计",IF(ROW()&lt;7,$AQ$6,OFFSET($AQ$6,COUNT($AR$6:AR659),0)))))</f>
        <v/>
      </c>
    </row>
    <row r="661" spans="1:44">
      <c r="A661" s="469" t="str">
        <f ca="1">IFERROR(INDEX(凭证录入!A:A,$AR661),"")</f>
        <v/>
      </c>
      <c r="B661" s="469" t="str">
        <f ca="1">IFERROR(INDEX(凭证录入!B:B,$AR661),"")</f>
        <v/>
      </c>
      <c r="C661" s="470" t="str">
        <f ca="1">IFERROR(INDEX(凭证录入!G:G,$AR661),"")</f>
        <v/>
      </c>
      <c r="D661" s="471" t="str">
        <f ca="1">IFERROR(INDEX(凭证录入!F:F,$AR661),"")</f>
        <v/>
      </c>
      <c r="E661" s="472" t="str">
        <f ca="1">IFERROR(INDEX(凭证录入!H:H,$AR661),$AR661)</f>
        <v/>
      </c>
      <c r="F661" s="473">
        <f ca="1">IF(OR($BG$2=0,$AR661=""),,IF($AR661="本月合计",IF(ROW()=$BG$3,SUM($F$6:$F660),SUM(INDIRECT("$F$"&amp;OFFSET($AU$3,,MATCH(ROW(),$AU$3:$BF$3,)-2)+2&amp;":$E"&amp;ROW()-1))),IF($AR661="本年累计",SUMIF($AR$6:$AR661,"本月合计",$F$6:$F660),INDEX(凭证录入!K:K,$AR661))))</f>
        <v>0</v>
      </c>
      <c r="G661" s="459" t="str">
        <f t="shared" ca="1" si="142"/>
        <v/>
      </c>
      <c r="H661" s="460" t="str">
        <f t="shared" ca="1" si="142"/>
        <v/>
      </c>
      <c r="I661" s="460" t="str">
        <f t="shared" ca="1" si="142"/>
        <v/>
      </c>
      <c r="J661" s="460" t="str">
        <f t="shared" ca="1" si="142"/>
        <v/>
      </c>
      <c r="K661" s="460" t="str">
        <f t="shared" ca="1" si="142"/>
        <v/>
      </c>
      <c r="L661" s="460" t="str">
        <f t="shared" ca="1" si="142"/>
        <v/>
      </c>
      <c r="M661" s="460" t="str">
        <f t="shared" ca="1" si="142"/>
        <v/>
      </c>
      <c r="N661" s="460" t="str">
        <f t="shared" ca="1" si="142"/>
        <v/>
      </c>
      <c r="O661" s="461" t="str">
        <f t="shared" ca="1" si="142"/>
        <v/>
      </c>
      <c r="P661" s="474" t="str">
        <f t="shared" ca="1" si="142"/>
        <v/>
      </c>
      <c r="Q661" s="475" t="str">
        <f t="shared" ca="1" si="142"/>
        <v/>
      </c>
      <c r="R661" s="476">
        <f ca="1">IF(OR($BG$2=0,$AR661=""),,IF($AR661="本月合计",IF(ROW()=$BG$3,SUM($R$6:$R660),SUM(INDIRECT("$R$"&amp;OFFSET($AU$3,,MATCH(ROW(),$AU$3:$BF$3,)-2)+2&amp;":$R"&amp;ROW()-1))),IF($AR661="本年累计",SUMIF($AR$6:$AR661,"本月合计",$R$6:$R660),INDEX(凭证录入!L:L,$AR661))))</f>
        <v>0</v>
      </c>
      <c r="S661" s="459" t="str">
        <f t="shared" ca="1" si="143"/>
        <v/>
      </c>
      <c r="T661" s="460" t="str">
        <f t="shared" ca="1" si="143"/>
        <v/>
      </c>
      <c r="U661" s="460" t="str">
        <f t="shared" ca="1" si="143"/>
        <v/>
      </c>
      <c r="V661" s="460" t="str">
        <f t="shared" ca="1" si="143"/>
        <v/>
      </c>
      <c r="W661" s="460" t="str">
        <f t="shared" ca="1" si="143"/>
        <v/>
      </c>
      <c r="X661" s="460" t="str">
        <f t="shared" ca="1" si="143"/>
        <v/>
      </c>
      <c r="Y661" s="460" t="str">
        <f t="shared" ca="1" si="143"/>
        <v/>
      </c>
      <c r="Z661" s="460" t="str">
        <f t="shared" ca="1" si="143"/>
        <v/>
      </c>
      <c r="AA661" s="461" t="str">
        <f t="shared" ca="1" si="143"/>
        <v/>
      </c>
      <c r="AB661" s="474" t="str">
        <f t="shared" ca="1" si="143"/>
        <v/>
      </c>
      <c r="AC661" s="475" t="str">
        <f t="shared" ca="1" si="143"/>
        <v/>
      </c>
      <c r="AD661" s="477" t="str">
        <f t="shared" ca="1" si="144"/>
        <v/>
      </c>
      <c r="AE661" s="478">
        <f t="shared" ca="1" si="145"/>
        <v>0</v>
      </c>
      <c r="AF661" s="459" t="str">
        <f t="shared" ref="AF661:AP676" ca="1" si="146">LEFT(RIGHT(TEXT($AE661/1%," ￥0; ￥-0;"),43-COLUMN()))</f>
        <v/>
      </c>
      <c r="AG661" s="460" t="str">
        <f t="shared" ca="1" si="146"/>
        <v/>
      </c>
      <c r="AH661" s="460" t="str">
        <f t="shared" ca="1" si="146"/>
        <v/>
      </c>
      <c r="AI661" s="460" t="str">
        <f t="shared" ca="1" si="146"/>
        <v/>
      </c>
      <c r="AJ661" s="460" t="str">
        <f t="shared" ca="1" si="146"/>
        <v/>
      </c>
      <c r="AK661" s="460" t="str">
        <f t="shared" ca="1" si="146"/>
        <v/>
      </c>
      <c r="AL661" s="460" t="str">
        <f t="shared" ca="1" si="146"/>
        <v/>
      </c>
      <c r="AM661" s="460" t="str">
        <f t="shared" ca="1" si="146"/>
        <v/>
      </c>
      <c r="AN661" s="461" t="str">
        <f t="shared" ca="1" si="146"/>
        <v/>
      </c>
      <c r="AO661" s="474" t="str">
        <f t="shared" ca="1" si="146"/>
        <v/>
      </c>
      <c r="AP661" s="475" t="str">
        <f t="shared" ca="1" si="146"/>
        <v/>
      </c>
      <c r="AQ661" s="479" t="str">
        <f t="array" aca="1" ref="AQ661" ca="1">IF(ROW()-5&lt;=COUNTIF(科目编号,$AR$2),SMALL(IF(科目编号=$AR$2,ROW(科目编号),""),ROW()-5),"")</f>
        <v/>
      </c>
      <c r="AR661" s="480" t="str">
        <f ca="1">IF($BG$2=0,"",IF(AR660="本月合计","本年累计",IF(OR(ROW()=$AU$3,ROW()=$AV$3,ROW()=$AW$3,ROW()=$AX$3,ROW()=$AY$3,ROW()=$AZ$3,ROW()=$BA$3,ROW()=$BB$3,ROW()=$BC$3,ROW()=$BD$3,ROW()=$BE$3,ROW()=$BF$3),"本月合计",IF(ROW()&lt;7,$AQ$6,OFFSET($AQ$6,COUNT($AR$6:AR660),0)))))</f>
        <v/>
      </c>
    </row>
    <row r="662" spans="1:44">
      <c r="A662" s="469" t="str">
        <f ca="1">IFERROR(INDEX(凭证录入!A:A,$AR662),"")</f>
        <v/>
      </c>
      <c r="B662" s="469" t="str">
        <f ca="1">IFERROR(INDEX(凭证录入!B:B,$AR662),"")</f>
        <v/>
      </c>
      <c r="C662" s="470" t="str">
        <f ca="1">IFERROR(INDEX(凭证录入!G:G,$AR662),"")</f>
        <v/>
      </c>
      <c r="D662" s="471" t="str">
        <f ca="1">IFERROR(INDEX(凭证录入!F:F,$AR662),"")</f>
        <v/>
      </c>
      <c r="E662" s="472" t="str">
        <f ca="1">IFERROR(INDEX(凭证录入!H:H,$AR662),$AR662)</f>
        <v/>
      </c>
      <c r="F662" s="473">
        <f ca="1">IF(OR($BG$2=0,$AR662=""),,IF($AR662="本月合计",IF(ROW()=$BG$3,SUM($F$6:$F661),SUM(INDIRECT("$F$"&amp;OFFSET($AU$3,,MATCH(ROW(),$AU$3:$BF$3,)-2)+2&amp;":$E"&amp;ROW()-1))),IF($AR662="本年累计",SUMIF($AR$6:$AR662,"本月合计",$F$6:$F661),INDEX(凭证录入!K:K,$AR662))))</f>
        <v>0</v>
      </c>
      <c r="G662" s="459" t="str">
        <f t="shared" ref="G662:Q677" ca="1" si="147">LEFT(RIGHT(TEXT($F662/1%," ￥0; ￥-0;"),18-COLUMN()))</f>
        <v/>
      </c>
      <c r="H662" s="460" t="str">
        <f t="shared" ca="1" si="147"/>
        <v/>
      </c>
      <c r="I662" s="460" t="str">
        <f t="shared" ca="1" si="147"/>
        <v/>
      </c>
      <c r="J662" s="460" t="str">
        <f t="shared" ca="1" si="147"/>
        <v/>
      </c>
      <c r="K662" s="460" t="str">
        <f t="shared" ca="1" si="147"/>
        <v/>
      </c>
      <c r="L662" s="460" t="str">
        <f t="shared" ca="1" si="147"/>
        <v/>
      </c>
      <c r="M662" s="460" t="str">
        <f t="shared" ca="1" si="147"/>
        <v/>
      </c>
      <c r="N662" s="460" t="str">
        <f t="shared" ca="1" si="147"/>
        <v/>
      </c>
      <c r="O662" s="461" t="str">
        <f t="shared" ca="1" si="147"/>
        <v/>
      </c>
      <c r="P662" s="474" t="str">
        <f t="shared" ca="1" si="147"/>
        <v/>
      </c>
      <c r="Q662" s="475" t="str">
        <f t="shared" ca="1" si="147"/>
        <v/>
      </c>
      <c r="R662" s="476">
        <f ca="1">IF(OR($BG$2=0,$AR662=""),,IF($AR662="本月合计",IF(ROW()=$BG$3,SUM($R$6:$R661),SUM(INDIRECT("$R$"&amp;OFFSET($AU$3,,MATCH(ROW(),$AU$3:$BF$3,)-2)+2&amp;":$R"&amp;ROW()-1))),IF($AR662="本年累计",SUMIF($AR$6:$AR662,"本月合计",$R$6:$R661),INDEX(凭证录入!L:L,$AR662))))</f>
        <v>0</v>
      </c>
      <c r="S662" s="459" t="str">
        <f t="shared" ref="S662:AC677" ca="1" si="148">LEFT(RIGHT(TEXT($R662/1%," ￥0; ￥-0;"),30-COLUMN()))</f>
        <v/>
      </c>
      <c r="T662" s="460" t="str">
        <f t="shared" ca="1" si="148"/>
        <v/>
      </c>
      <c r="U662" s="460" t="str">
        <f t="shared" ca="1" si="148"/>
        <v/>
      </c>
      <c r="V662" s="460" t="str">
        <f t="shared" ca="1" si="148"/>
        <v/>
      </c>
      <c r="W662" s="460" t="str">
        <f t="shared" ca="1" si="148"/>
        <v/>
      </c>
      <c r="X662" s="460" t="str">
        <f t="shared" ca="1" si="148"/>
        <v/>
      </c>
      <c r="Y662" s="460" t="str">
        <f t="shared" ca="1" si="148"/>
        <v/>
      </c>
      <c r="Z662" s="460" t="str">
        <f t="shared" ca="1" si="148"/>
        <v/>
      </c>
      <c r="AA662" s="461" t="str">
        <f t="shared" ca="1" si="148"/>
        <v/>
      </c>
      <c r="AB662" s="474" t="str">
        <f t="shared" ca="1" si="148"/>
        <v/>
      </c>
      <c r="AC662" s="475" t="str">
        <f t="shared" ca="1" si="148"/>
        <v/>
      </c>
      <c r="AD662" s="477" t="str">
        <f t="shared" ca="1" si="144"/>
        <v/>
      </c>
      <c r="AE662" s="478">
        <f t="shared" ca="1" si="145"/>
        <v>0</v>
      </c>
      <c r="AF662" s="459" t="str">
        <f t="shared" ca="1" si="146"/>
        <v/>
      </c>
      <c r="AG662" s="460" t="str">
        <f t="shared" ca="1" si="146"/>
        <v/>
      </c>
      <c r="AH662" s="460" t="str">
        <f t="shared" ca="1" si="146"/>
        <v/>
      </c>
      <c r="AI662" s="460" t="str">
        <f t="shared" ca="1" si="146"/>
        <v/>
      </c>
      <c r="AJ662" s="460" t="str">
        <f t="shared" ca="1" si="146"/>
        <v/>
      </c>
      <c r="AK662" s="460" t="str">
        <f t="shared" ca="1" si="146"/>
        <v/>
      </c>
      <c r="AL662" s="460" t="str">
        <f t="shared" ca="1" si="146"/>
        <v/>
      </c>
      <c r="AM662" s="460" t="str">
        <f t="shared" ca="1" si="146"/>
        <v/>
      </c>
      <c r="AN662" s="461" t="str">
        <f t="shared" ca="1" si="146"/>
        <v/>
      </c>
      <c r="AO662" s="474" t="str">
        <f t="shared" ca="1" si="146"/>
        <v/>
      </c>
      <c r="AP662" s="475" t="str">
        <f t="shared" ca="1" si="146"/>
        <v/>
      </c>
      <c r="AQ662" s="479" t="str">
        <f t="array" aca="1" ref="AQ662" ca="1">IF(ROW()-5&lt;=COUNTIF(科目编号,$AR$2),SMALL(IF(科目编号=$AR$2,ROW(科目编号),""),ROW()-5),"")</f>
        <v/>
      </c>
      <c r="AR662" s="480" t="str">
        <f ca="1">IF($BG$2=0,"",IF(AR661="本月合计","本年累计",IF(OR(ROW()=$AU$3,ROW()=$AV$3,ROW()=$AW$3,ROW()=$AX$3,ROW()=$AY$3,ROW()=$AZ$3,ROW()=$BA$3,ROW()=$BB$3,ROW()=$BC$3,ROW()=$BD$3,ROW()=$BE$3,ROW()=$BF$3),"本月合计",IF(ROW()&lt;7,$AQ$6,OFFSET($AQ$6,COUNT($AR$6:AR661),0)))))</f>
        <v/>
      </c>
    </row>
    <row r="663" spans="1:44">
      <c r="A663" s="469" t="str">
        <f ca="1">IFERROR(INDEX(凭证录入!A:A,$AR663),"")</f>
        <v/>
      </c>
      <c r="B663" s="469" t="str">
        <f ca="1">IFERROR(INDEX(凭证录入!B:B,$AR663),"")</f>
        <v/>
      </c>
      <c r="C663" s="470" t="str">
        <f ca="1">IFERROR(INDEX(凭证录入!G:G,$AR663),"")</f>
        <v/>
      </c>
      <c r="D663" s="471" t="str">
        <f ca="1">IFERROR(INDEX(凭证录入!F:F,$AR663),"")</f>
        <v/>
      </c>
      <c r="E663" s="472" t="str">
        <f ca="1">IFERROR(INDEX(凭证录入!H:H,$AR663),$AR663)</f>
        <v/>
      </c>
      <c r="F663" s="473">
        <f ca="1">IF(OR($BG$2=0,$AR663=""),,IF($AR663="本月合计",IF(ROW()=$BG$3,SUM($F$6:$F662),SUM(INDIRECT("$F$"&amp;OFFSET($AU$3,,MATCH(ROW(),$AU$3:$BF$3,)-2)+2&amp;":$E"&amp;ROW()-1))),IF($AR663="本年累计",SUMIF($AR$6:$AR663,"本月合计",$F$6:$F662),INDEX(凭证录入!K:K,$AR663))))</f>
        <v>0</v>
      </c>
      <c r="G663" s="459" t="str">
        <f t="shared" ca="1" si="147"/>
        <v/>
      </c>
      <c r="H663" s="460" t="str">
        <f t="shared" ca="1" si="147"/>
        <v/>
      </c>
      <c r="I663" s="460" t="str">
        <f t="shared" ca="1" si="147"/>
        <v/>
      </c>
      <c r="J663" s="460" t="str">
        <f t="shared" ca="1" si="147"/>
        <v/>
      </c>
      <c r="K663" s="460" t="str">
        <f t="shared" ca="1" si="147"/>
        <v/>
      </c>
      <c r="L663" s="460" t="str">
        <f t="shared" ca="1" si="147"/>
        <v/>
      </c>
      <c r="M663" s="460" t="str">
        <f t="shared" ca="1" si="147"/>
        <v/>
      </c>
      <c r="N663" s="460" t="str">
        <f t="shared" ca="1" si="147"/>
        <v/>
      </c>
      <c r="O663" s="461" t="str">
        <f t="shared" ca="1" si="147"/>
        <v/>
      </c>
      <c r="P663" s="474" t="str">
        <f t="shared" ca="1" si="147"/>
        <v/>
      </c>
      <c r="Q663" s="475" t="str">
        <f t="shared" ca="1" si="147"/>
        <v/>
      </c>
      <c r="R663" s="476">
        <f ca="1">IF(OR($BG$2=0,$AR663=""),,IF($AR663="本月合计",IF(ROW()=$BG$3,SUM($R$6:$R662),SUM(INDIRECT("$R$"&amp;OFFSET($AU$3,,MATCH(ROW(),$AU$3:$BF$3,)-2)+2&amp;":$R"&amp;ROW()-1))),IF($AR663="本年累计",SUMIF($AR$6:$AR663,"本月合计",$R$6:$R662),INDEX(凭证录入!L:L,$AR663))))</f>
        <v>0</v>
      </c>
      <c r="S663" s="459" t="str">
        <f t="shared" ca="1" si="148"/>
        <v/>
      </c>
      <c r="T663" s="460" t="str">
        <f t="shared" ca="1" si="148"/>
        <v/>
      </c>
      <c r="U663" s="460" t="str">
        <f t="shared" ca="1" si="148"/>
        <v/>
      </c>
      <c r="V663" s="460" t="str">
        <f t="shared" ca="1" si="148"/>
        <v/>
      </c>
      <c r="W663" s="460" t="str">
        <f t="shared" ca="1" si="148"/>
        <v/>
      </c>
      <c r="X663" s="460" t="str">
        <f t="shared" ca="1" si="148"/>
        <v/>
      </c>
      <c r="Y663" s="460" t="str">
        <f t="shared" ca="1" si="148"/>
        <v/>
      </c>
      <c r="Z663" s="460" t="str">
        <f t="shared" ca="1" si="148"/>
        <v/>
      </c>
      <c r="AA663" s="461" t="str">
        <f t="shared" ca="1" si="148"/>
        <v/>
      </c>
      <c r="AB663" s="474" t="str">
        <f t="shared" ca="1" si="148"/>
        <v/>
      </c>
      <c r="AC663" s="475" t="str">
        <f t="shared" ca="1" si="148"/>
        <v/>
      </c>
      <c r="AD663" s="477" t="str">
        <f t="shared" ca="1" si="144"/>
        <v/>
      </c>
      <c r="AE663" s="478">
        <f t="shared" ca="1" si="145"/>
        <v>0</v>
      </c>
      <c r="AF663" s="459" t="str">
        <f t="shared" ca="1" si="146"/>
        <v/>
      </c>
      <c r="AG663" s="460" t="str">
        <f t="shared" ca="1" si="146"/>
        <v/>
      </c>
      <c r="AH663" s="460" t="str">
        <f t="shared" ca="1" si="146"/>
        <v/>
      </c>
      <c r="AI663" s="460" t="str">
        <f t="shared" ca="1" si="146"/>
        <v/>
      </c>
      <c r="AJ663" s="460" t="str">
        <f t="shared" ca="1" si="146"/>
        <v/>
      </c>
      <c r="AK663" s="460" t="str">
        <f t="shared" ca="1" si="146"/>
        <v/>
      </c>
      <c r="AL663" s="460" t="str">
        <f t="shared" ca="1" si="146"/>
        <v/>
      </c>
      <c r="AM663" s="460" t="str">
        <f t="shared" ca="1" si="146"/>
        <v/>
      </c>
      <c r="AN663" s="461" t="str">
        <f t="shared" ca="1" si="146"/>
        <v/>
      </c>
      <c r="AO663" s="474" t="str">
        <f t="shared" ca="1" si="146"/>
        <v/>
      </c>
      <c r="AP663" s="475" t="str">
        <f t="shared" ca="1" si="146"/>
        <v/>
      </c>
      <c r="AQ663" s="479" t="str">
        <f t="array" aca="1" ref="AQ663" ca="1">IF(ROW()-5&lt;=COUNTIF(科目编号,$AR$2),SMALL(IF(科目编号=$AR$2,ROW(科目编号),""),ROW()-5),"")</f>
        <v/>
      </c>
      <c r="AR663" s="480" t="str">
        <f ca="1">IF($BG$2=0,"",IF(AR662="本月合计","本年累计",IF(OR(ROW()=$AU$3,ROW()=$AV$3,ROW()=$AW$3,ROW()=$AX$3,ROW()=$AY$3,ROW()=$AZ$3,ROW()=$BA$3,ROW()=$BB$3,ROW()=$BC$3,ROW()=$BD$3,ROW()=$BE$3,ROW()=$BF$3),"本月合计",IF(ROW()&lt;7,$AQ$6,OFFSET($AQ$6,COUNT($AR$6:AR662),0)))))</f>
        <v/>
      </c>
    </row>
    <row r="664" spans="1:44">
      <c r="A664" s="469" t="str">
        <f ca="1">IFERROR(INDEX(凭证录入!A:A,$AR664),"")</f>
        <v/>
      </c>
      <c r="B664" s="469" t="str">
        <f ca="1">IFERROR(INDEX(凭证录入!B:B,$AR664),"")</f>
        <v/>
      </c>
      <c r="C664" s="470" t="str">
        <f ca="1">IFERROR(INDEX(凭证录入!G:G,$AR664),"")</f>
        <v/>
      </c>
      <c r="D664" s="471" t="str">
        <f ca="1">IFERROR(INDEX(凭证录入!F:F,$AR664),"")</f>
        <v/>
      </c>
      <c r="E664" s="472" t="str">
        <f ca="1">IFERROR(INDEX(凭证录入!H:H,$AR664),$AR664)</f>
        <v/>
      </c>
      <c r="F664" s="473">
        <f ca="1">IF(OR($BG$2=0,$AR664=""),,IF($AR664="本月合计",IF(ROW()=$BG$3,SUM($F$6:$F663),SUM(INDIRECT("$F$"&amp;OFFSET($AU$3,,MATCH(ROW(),$AU$3:$BF$3,)-2)+2&amp;":$E"&amp;ROW()-1))),IF($AR664="本年累计",SUMIF($AR$6:$AR664,"本月合计",$F$6:$F663),INDEX(凭证录入!K:K,$AR664))))</f>
        <v>0</v>
      </c>
      <c r="G664" s="459" t="str">
        <f t="shared" ca="1" si="147"/>
        <v/>
      </c>
      <c r="H664" s="460" t="str">
        <f t="shared" ca="1" si="147"/>
        <v/>
      </c>
      <c r="I664" s="460" t="str">
        <f t="shared" ca="1" si="147"/>
        <v/>
      </c>
      <c r="J664" s="460" t="str">
        <f t="shared" ca="1" si="147"/>
        <v/>
      </c>
      <c r="K664" s="460" t="str">
        <f t="shared" ca="1" si="147"/>
        <v/>
      </c>
      <c r="L664" s="460" t="str">
        <f t="shared" ca="1" si="147"/>
        <v/>
      </c>
      <c r="M664" s="460" t="str">
        <f t="shared" ca="1" si="147"/>
        <v/>
      </c>
      <c r="N664" s="460" t="str">
        <f t="shared" ca="1" si="147"/>
        <v/>
      </c>
      <c r="O664" s="461" t="str">
        <f t="shared" ca="1" si="147"/>
        <v/>
      </c>
      <c r="P664" s="474" t="str">
        <f t="shared" ca="1" si="147"/>
        <v/>
      </c>
      <c r="Q664" s="475" t="str">
        <f t="shared" ca="1" si="147"/>
        <v/>
      </c>
      <c r="R664" s="476">
        <f ca="1">IF(OR($BG$2=0,$AR664=""),,IF($AR664="本月合计",IF(ROW()=$BG$3,SUM($R$6:$R663),SUM(INDIRECT("$R$"&amp;OFFSET($AU$3,,MATCH(ROW(),$AU$3:$BF$3,)-2)+2&amp;":$R"&amp;ROW()-1))),IF($AR664="本年累计",SUMIF($AR$6:$AR664,"本月合计",$R$6:$R663),INDEX(凭证录入!L:L,$AR664))))</f>
        <v>0</v>
      </c>
      <c r="S664" s="459" t="str">
        <f t="shared" ca="1" si="148"/>
        <v/>
      </c>
      <c r="T664" s="460" t="str">
        <f t="shared" ca="1" si="148"/>
        <v/>
      </c>
      <c r="U664" s="460" t="str">
        <f t="shared" ca="1" si="148"/>
        <v/>
      </c>
      <c r="V664" s="460" t="str">
        <f t="shared" ca="1" si="148"/>
        <v/>
      </c>
      <c r="W664" s="460" t="str">
        <f t="shared" ca="1" si="148"/>
        <v/>
      </c>
      <c r="X664" s="460" t="str">
        <f t="shared" ca="1" si="148"/>
        <v/>
      </c>
      <c r="Y664" s="460" t="str">
        <f t="shared" ca="1" si="148"/>
        <v/>
      </c>
      <c r="Z664" s="460" t="str">
        <f t="shared" ca="1" si="148"/>
        <v/>
      </c>
      <c r="AA664" s="461" t="str">
        <f t="shared" ca="1" si="148"/>
        <v/>
      </c>
      <c r="AB664" s="474" t="str">
        <f t="shared" ca="1" si="148"/>
        <v/>
      </c>
      <c r="AC664" s="475" t="str">
        <f t="shared" ca="1" si="148"/>
        <v/>
      </c>
      <c r="AD664" s="477" t="str">
        <f t="shared" ca="1" si="144"/>
        <v/>
      </c>
      <c r="AE664" s="478">
        <f t="shared" ca="1" si="145"/>
        <v>0</v>
      </c>
      <c r="AF664" s="459" t="str">
        <f t="shared" ca="1" si="146"/>
        <v/>
      </c>
      <c r="AG664" s="460" t="str">
        <f t="shared" ca="1" si="146"/>
        <v/>
      </c>
      <c r="AH664" s="460" t="str">
        <f t="shared" ca="1" si="146"/>
        <v/>
      </c>
      <c r="AI664" s="460" t="str">
        <f t="shared" ca="1" si="146"/>
        <v/>
      </c>
      <c r="AJ664" s="460" t="str">
        <f t="shared" ca="1" si="146"/>
        <v/>
      </c>
      <c r="AK664" s="460" t="str">
        <f t="shared" ca="1" si="146"/>
        <v/>
      </c>
      <c r="AL664" s="460" t="str">
        <f t="shared" ca="1" si="146"/>
        <v/>
      </c>
      <c r="AM664" s="460" t="str">
        <f t="shared" ca="1" si="146"/>
        <v/>
      </c>
      <c r="AN664" s="461" t="str">
        <f t="shared" ca="1" si="146"/>
        <v/>
      </c>
      <c r="AO664" s="474" t="str">
        <f t="shared" ca="1" si="146"/>
        <v/>
      </c>
      <c r="AP664" s="475" t="str">
        <f t="shared" ca="1" si="146"/>
        <v/>
      </c>
      <c r="AQ664" s="479" t="str">
        <f t="array" aca="1" ref="AQ664" ca="1">IF(ROW()-5&lt;=COUNTIF(科目编号,$AR$2),SMALL(IF(科目编号=$AR$2,ROW(科目编号),""),ROW()-5),"")</f>
        <v/>
      </c>
      <c r="AR664" s="480" t="str">
        <f ca="1">IF($BG$2=0,"",IF(AR663="本月合计","本年累计",IF(OR(ROW()=$AU$3,ROW()=$AV$3,ROW()=$AW$3,ROW()=$AX$3,ROW()=$AY$3,ROW()=$AZ$3,ROW()=$BA$3,ROW()=$BB$3,ROW()=$BC$3,ROW()=$BD$3,ROW()=$BE$3,ROW()=$BF$3),"本月合计",IF(ROW()&lt;7,$AQ$6,OFFSET($AQ$6,COUNT($AR$6:AR663),0)))))</f>
        <v/>
      </c>
    </row>
    <row r="665" spans="1:44">
      <c r="A665" s="469" t="str">
        <f ca="1">IFERROR(INDEX(凭证录入!A:A,$AR665),"")</f>
        <v/>
      </c>
      <c r="B665" s="469" t="str">
        <f ca="1">IFERROR(INDEX(凭证录入!B:B,$AR665),"")</f>
        <v/>
      </c>
      <c r="C665" s="470" t="str">
        <f ca="1">IFERROR(INDEX(凭证录入!G:G,$AR665),"")</f>
        <v/>
      </c>
      <c r="D665" s="471" t="str">
        <f ca="1">IFERROR(INDEX(凭证录入!F:F,$AR665),"")</f>
        <v/>
      </c>
      <c r="E665" s="472" t="str">
        <f ca="1">IFERROR(INDEX(凭证录入!H:H,$AR665),$AR665)</f>
        <v/>
      </c>
      <c r="F665" s="473">
        <f ca="1">IF(OR($BG$2=0,$AR665=""),,IF($AR665="本月合计",IF(ROW()=$BG$3,SUM($F$6:$F664),SUM(INDIRECT("$F$"&amp;OFFSET($AU$3,,MATCH(ROW(),$AU$3:$BF$3,)-2)+2&amp;":$E"&amp;ROW()-1))),IF($AR665="本年累计",SUMIF($AR$6:$AR665,"本月合计",$F$6:$F664),INDEX(凭证录入!K:K,$AR665))))</f>
        <v>0</v>
      </c>
      <c r="G665" s="459" t="str">
        <f t="shared" ca="1" si="147"/>
        <v/>
      </c>
      <c r="H665" s="460" t="str">
        <f t="shared" ca="1" si="147"/>
        <v/>
      </c>
      <c r="I665" s="460" t="str">
        <f t="shared" ca="1" si="147"/>
        <v/>
      </c>
      <c r="J665" s="460" t="str">
        <f t="shared" ca="1" si="147"/>
        <v/>
      </c>
      <c r="K665" s="460" t="str">
        <f t="shared" ca="1" si="147"/>
        <v/>
      </c>
      <c r="L665" s="460" t="str">
        <f t="shared" ca="1" si="147"/>
        <v/>
      </c>
      <c r="M665" s="460" t="str">
        <f t="shared" ca="1" si="147"/>
        <v/>
      </c>
      <c r="N665" s="460" t="str">
        <f t="shared" ca="1" si="147"/>
        <v/>
      </c>
      <c r="O665" s="461" t="str">
        <f t="shared" ca="1" si="147"/>
        <v/>
      </c>
      <c r="P665" s="474" t="str">
        <f t="shared" ca="1" si="147"/>
        <v/>
      </c>
      <c r="Q665" s="475" t="str">
        <f t="shared" ca="1" si="147"/>
        <v/>
      </c>
      <c r="R665" s="476">
        <f ca="1">IF(OR($BG$2=0,$AR665=""),,IF($AR665="本月合计",IF(ROW()=$BG$3,SUM($R$6:$R664),SUM(INDIRECT("$R$"&amp;OFFSET($AU$3,,MATCH(ROW(),$AU$3:$BF$3,)-2)+2&amp;":$R"&amp;ROW()-1))),IF($AR665="本年累计",SUMIF($AR$6:$AR665,"本月合计",$R$6:$R664),INDEX(凭证录入!L:L,$AR665))))</f>
        <v>0</v>
      </c>
      <c r="S665" s="459" t="str">
        <f t="shared" ca="1" si="148"/>
        <v/>
      </c>
      <c r="T665" s="460" t="str">
        <f t="shared" ca="1" si="148"/>
        <v/>
      </c>
      <c r="U665" s="460" t="str">
        <f t="shared" ca="1" si="148"/>
        <v/>
      </c>
      <c r="V665" s="460" t="str">
        <f t="shared" ca="1" si="148"/>
        <v/>
      </c>
      <c r="W665" s="460" t="str">
        <f t="shared" ca="1" si="148"/>
        <v/>
      </c>
      <c r="X665" s="460" t="str">
        <f t="shared" ca="1" si="148"/>
        <v/>
      </c>
      <c r="Y665" s="460" t="str">
        <f t="shared" ca="1" si="148"/>
        <v/>
      </c>
      <c r="Z665" s="460" t="str">
        <f t="shared" ca="1" si="148"/>
        <v/>
      </c>
      <c r="AA665" s="461" t="str">
        <f t="shared" ca="1" si="148"/>
        <v/>
      </c>
      <c r="AB665" s="474" t="str">
        <f t="shared" ca="1" si="148"/>
        <v/>
      </c>
      <c r="AC665" s="475" t="str">
        <f t="shared" ca="1" si="148"/>
        <v/>
      </c>
      <c r="AD665" s="477" t="str">
        <f t="shared" ca="1" si="144"/>
        <v/>
      </c>
      <c r="AE665" s="478">
        <f t="shared" ca="1" si="145"/>
        <v>0</v>
      </c>
      <c r="AF665" s="459" t="str">
        <f t="shared" ca="1" si="146"/>
        <v/>
      </c>
      <c r="AG665" s="460" t="str">
        <f t="shared" ca="1" si="146"/>
        <v/>
      </c>
      <c r="AH665" s="460" t="str">
        <f t="shared" ca="1" si="146"/>
        <v/>
      </c>
      <c r="AI665" s="460" t="str">
        <f t="shared" ca="1" si="146"/>
        <v/>
      </c>
      <c r="AJ665" s="460" t="str">
        <f t="shared" ca="1" si="146"/>
        <v/>
      </c>
      <c r="AK665" s="460" t="str">
        <f t="shared" ca="1" si="146"/>
        <v/>
      </c>
      <c r="AL665" s="460" t="str">
        <f t="shared" ca="1" si="146"/>
        <v/>
      </c>
      <c r="AM665" s="460" t="str">
        <f t="shared" ca="1" si="146"/>
        <v/>
      </c>
      <c r="AN665" s="461" t="str">
        <f t="shared" ca="1" si="146"/>
        <v/>
      </c>
      <c r="AO665" s="474" t="str">
        <f t="shared" ca="1" si="146"/>
        <v/>
      </c>
      <c r="AP665" s="475" t="str">
        <f t="shared" ca="1" si="146"/>
        <v/>
      </c>
      <c r="AQ665" s="479" t="str">
        <f t="array" aca="1" ref="AQ665" ca="1">IF(ROW()-5&lt;=COUNTIF(科目编号,$AR$2),SMALL(IF(科目编号=$AR$2,ROW(科目编号),""),ROW()-5),"")</f>
        <v/>
      </c>
      <c r="AR665" s="480" t="str">
        <f ca="1">IF($BG$2=0,"",IF(AR664="本月合计","本年累计",IF(OR(ROW()=$AU$3,ROW()=$AV$3,ROW()=$AW$3,ROW()=$AX$3,ROW()=$AY$3,ROW()=$AZ$3,ROW()=$BA$3,ROW()=$BB$3,ROW()=$BC$3,ROW()=$BD$3,ROW()=$BE$3,ROW()=$BF$3),"本月合计",IF(ROW()&lt;7,$AQ$6,OFFSET($AQ$6,COUNT($AR$6:AR664),0)))))</f>
        <v/>
      </c>
    </row>
    <row r="666" spans="1:44">
      <c r="A666" s="469" t="str">
        <f ca="1">IFERROR(INDEX(凭证录入!A:A,$AR666),"")</f>
        <v/>
      </c>
      <c r="B666" s="469" t="str">
        <f ca="1">IFERROR(INDEX(凭证录入!B:B,$AR666),"")</f>
        <v/>
      </c>
      <c r="C666" s="470" t="str">
        <f ca="1">IFERROR(INDEX(凭证录入!G:G,$AR666),"")</f>
        <v/>
      </c>
      <c r="D666" s="471" t="str">
        <f ca="1">IFERROR(INDEX(凭证录入!F:F,$AR666),"")</f>
        <v/>
      </c>
      <c r="E666" s="472" t="str">
        <f ca="1">IFERROR(INDEX(凭证录入!H:H,$AR666),$AR666)</f>
        <v/>
      </c>
      <c r="F666" s="473">
        <f ca="1">IF(OR($BG$2=0,$AR666=""),,IF($AR666="本月合计",IF(ROW()=$BG$3,SUM($F$6:$F665),SUM(INDIRECT("$F$"&amp;OFFSET($AU$3,,MATCH(ROW(),$AU$3:$BF$3,)-2)+2&amp;":$E"&amp;ROW()-1))),IF($AR666="本年累计",SUMIF($AR$6:$AR666,"本月合计",$F$6:$F665),INDEX(凭证录入!K:K,$AR666))))</f>
        <v>0</v>
      </c>
      <c r="G666" s="459" t="str">
        <f t="shared" ca="1" si="147"/>
        <v/>
      </c>
      <c r="H666" s="460" t="str">
        <f t="shared" ca="1" si="147"/>
        <v/>
      </c>
      <c r="I666" s="460" t="str">
        <f t="shared" ca="1" si="147"/>
        <v/>
      </c>
      <c r="J666" s="460" t="str">
        <f t="shared" ca="1" si="147"/>
        <v/>
      </c>
      <c r="K666" s="460" t="str">
        <f t="shared" ca="1" si="147"/>
        <v/>
      </c>
      <c r="L666" s="460" t="str">
        <f t="shared" ca="1" si="147"/>
        <v/>
      </c>
      <c r="M666" s="460" t="str">
        <f t="shared" ca="1" si="147"/>
        <v/>
      </c>
      <c r="N666" s="460" t="str">
        <f t="shared" ca="1" si="147"/>
        <v/>
      </c>
      <c r="O666" s="461" t="str">
        <f t="shared" ca="1" si="147"/>
        <v/>
      </c>
      <c r="P666" s="474" t="str">
        <f t="shared" ca="1" si="147"/>
        <v/>
      </c>
      <c r="Q666" s="475" t="str">
        <f t="shared" ca="1" si="147"/>
        <v/>
      </c>
      <c r="R666" s="476">
        <f ca="1">IF(OR($BG$2=0,$AR666=""),,IF($AR666="本月合计",IF(ROW()=$BG$3,SUM($R$6:$R665),SUM(INDIRECT("$R$"&amp;OFFSET($AU$3,,MATCH(ROW(),$AU$3:$BF$3,)-2)+2&amp;":$R"&amp;ROW()-1))),IF($AR666="本年累计",SUMIF($AR$6:$AR666,"本月合计",$R$6:$R665),INDEX(凭证录入!L:L,$AR666))))</f>
        <v>0</v>
      </c>
      <c r="S666" s="459" t="str">
        <f t="shared" ca="1" si="148"/>
        <v/>
      </c>
      <c r="T666" s="460" t="str">
        <f t="shared" ca="1" si="148"/>
        <v/>
      </c>
      <c r="U666" s="460" t="str">
        <f t="shared" ca="1" si="148"/>
        <v/>
      </c>
      <c r="V666" s="460" t="str">
        <f t="shared" ca="1" si="148"/>
        <v/>
      </c>
      <c r="W666" s="460" t="str">
        <f t="shared" ca="1" si="148"/>
        <v/>
      </c>
      <c r="X666" s="460" t="str">
        <f t="shared" ca="1" si="148"/>
        <v/>
      </c>
      <c r="Y666" s="460" t="str">
        <f t="shared" ca="1" si="148"/>
        <v/>
      </c>
      <c r="Z666" s="460" t="str">
        <f t="shared" ca="1" si="148"/>
        <v/>
      </c>
      <c r="AA666" s="461" t="str">
        <f t="shared" ca="1" si="148"/>
        <v/>
      </c>
      <c r="AB666" s="474" t="str">
        <f t="shared" ca="1" si="148"/>
        <v/>
      </c>
      <c r="AC666" s="475" t="str">
        <f t="shared" ca="1" si="148"/>
        <v/>
      </c>
      <c r="AD666" s="477" t="str">
        <f t="shared" ca="1" si="144"/>
        <v/>
      </c>
      <c r="AE666" s="478">
        <f t="shared" ca="1" si="145"/>
        <v>0</v>
      </c>
      <c r="AF666" s="459" t="str">
        <f t="shared" ca="1" si="146"/>
        <v/>
      </c>
      <c r="AG666" s="460" t="str">
        <f t="shared" ca="1" si="146"/>
        <v/>
      </c>
      <c r="AH666" s="460" t="str">
        <f t="shared" ca="1" si="146"/>
        <v/>
      </c>
      <c r="AI666" s="460" t="str">
        <f t="shared" ca="1" si="146"/>
        <v/>
      </c>
      <c r="AJ666" s="460" t="str">
        <f t="shared" ca="1" si="146"/>
        <v/>
      </c>
      <c r="AK666" s="460" t="str">
        <f t="shared" ca="1" si="146"/>
        <v/>
      </c>
      <c r="AL666" s="460" t="str">
        <f t="shared" ca="1" si="146"/>
        <v/>
      </c>
      <c r="AM666" s="460" t="str">
        <f t="shared" ca="1" si="146"/>
        <v/>
      </c>
      <c r="AN666" s="461" t="str">
        <f t="shared" ca="1" si="146"/>
        <v/>
      </c>
      <c r="AO666" s="474" t="str">
        <f t="shared" ca="1" si="146"/>
        <v/>
      </c>
      <c r="AP666" s="475" t="str">
        <f t="shared" ca="1" si="146"/>
        <v/>
      </c>
      <c r="AQ666" s="479" t="str">
        <f t="array" aca="1" ref="AQ666" ca="1">IF(ROW()-5&lt;=COUNTIF(科目编号,$AR$2),SMALL(IF(科目编号=$AR$2,ROW(科目编号),""),ROW()-5),"")</f>
        <v/>
      </c>
      <c r="AR666" s="480" t="str">
        <f ca="1">IF($BG$2=0,"",IF(AR665="本月合计","本年累计",IF(OR(ROW()=$AU$3,ROW()=$AV$3,ROW()=$AW$3,ROW()=$AX$3,ROW()=$AY$3,ROW()=$AZ$3,ROW()=$BA$3,ROW()=$BB$3,ROW()=$BC$3,ROW()=$BD$3,ROW()=$BE$3,ROW()=$BF$3),"本月合计",IF(ROW()&lt;7,$AQ$6,OFFSET($AQ$6,COUNT($AR$6:AR665),0)))))</f>
        <v/>
      </c>
    </row>
    <row r="667" spans="1:44">
      <c r="A667" s="469" t="str">
        <f ca="1">IFERROR(INDEX(凭证录入!A:A,$AR667),"")</f>
        <v/>
      </c>
      <c r="B667" s="469" t="str">
        <f ca="1">IFERROR(INDEX(凭证录入!B:B,$AR667),"")</f>
        <v/>
      </c>
      <c r="C667" s="470" t="str">
        <f ca="1">IFERROR(INDEX(凭证录入!G:G,$AR667),"")</f>
        <v/>
      </c>
      <c r="D667" s="471" t="str">
        <f ca="1">IFERROR(INDEX(凭证录入!F:F,$AR667),"")</f>
        <v/>
      </c>
      <c r="E667" s="472" t="str">
        <f ca="1">IFERROR(INDEX(凭证录入!H:H,$AR667),$AR667)</f>
        <v/>
      </c>
      <c r="F667" s="473">
        <f ca="1">IF(OR($BG$2=0,$AR667=""),,IF($AR667="本月合计",IF(ROW()=$BG$3,SUM($F$6:$F666),SUM(INDIRECT("$F$"&amp;OFFSET($AU$3,,MATCH(ROW(),$AU$3:$BF$3,)-2)+2&amp;":$E"&amp;ROW()-1))),IF($AR667="本年累计",SUMIF($AR$6:$AR667,"本月合计",$F$6:$F666),INDEX(凭证录入!K:K,$AR667))))</f>
        <v>0</v>
      </c>
      <c r="G667" s="459" t="str">
        <f t="shared" ca="1" si="147"/>
        <v/>
      </c>
      <c r="H667" s="460" t="str">
        <f t="shared" ca="1" si="147"/>
        <v/>
      </c>
      <c r="I667" s="460" t="str">
        <f t="shared" ca="1" si="147"/>
        <v/>
      </c>
      <c r="J667" s="460" t="str">
        <f t="shared" ca="1" si="147"/>
        <v/>
      </c>
      <c r="K667" s="460" t="str">
        <f t="shared" ca="1" si="147"/>
        <v/>
      </c>
      <c r="L667" s="460" t="str">
        <f t="shared" ca="1" si="147"/>
        <v/>
      </c>
      <c r="M667" s="460" t="str">
        <f t="shared" ca="1" si="147"/>
        <v/>
      </c>
      <c r="N667" s="460" t="str">
        <f t="shared" ca="1" si="147"/>
        <v/>
      </c>
      <c r="O667" s="461" t="str">
        <f t="shared" ca="1" si="147"/>
        <v/>
      </c>
      <c r="P667" s="474" t="str">
        <f t="shared" ca="1" si="147"/>
        <v/>
      </c>
      <c r="Q667" s="475" t="str">
        <f t="shared" ca="1" si="147"/>
        <v/>
      </c>
      <c r="R667" s="476">
        <f ca="1">IF(OR($BG$2=0,$AR667=""),,IF($AR667="本月合计",IF(ROW()=$BG$3,SUM($R$6:$R666),SUM(INDIRECT("$R$"&amp;OFFSET($AU$3,,MATCH(ROW(),$AU$3:$BF$3,)-2)+2&amp;":$R"&amp;ROW()-1))),IF($AR667="本年累计",SUMIF($AR$6:$AR667,"本月合计",$R$6:$R666),INDEX(凭证录入!L:L,$AR667))))</f>
        <v>0</v>
      </c>
      <c r="S667" s="459" t="str">
        <f t="shared" ca="1" si="148"/>
        <v/>
      </c>
      <c r="T667" s="460" t="str">
        <f t="shared" ca="1" si="148"/>
        <v/>
      </c>
      <c r="U667" s="460" t="str">
        <f t="shared" ca="1" si="148"/>
        <v/>
      </c>
      <c r="V667" s="460" t="str">
        <f t="shared" ca="1" si="148"/>
        <v/>
      </c>
      <c r="W667" s="460" t="str">
        <f t="shared" ca="1" si="148"/>
        <v/>
      </c>
      <c r="X667" s="460" t="str">
        <f t="shared" ca="1" si="148"/>
        <v/>
      </c>
      <c r="Y667" s="460" t="str">
        <f t="shared" ca="1" si="148"/>
        <v/>
      </c>
      <c r="Z667" s="460" t="str">
        <f t="shared" ca="1" si="148"/>
        <v/>
      </c>
      <c r="AA667" s="461" t="str">
        <f t="shared" ca="1" si="148"/>
        <v/>
      </c>
      <c r="AB667" s="474" t="str">
        <f t="shared" ca="1" si="148"/>
        <v/>
      </c>
      <c r="AC667" s="475" t="str">
        <f t="shared" ca="1" si="148"/>
        <v/>
      </c>
      <c r="AD667" s="477" t="str">
        <f t="shared" ca="1" si="144"/>
        <v/>
      </c>
      <c r="AE667" s="478">
        <f t="shared" ca="1" si="145"/>
        <v>0</v>
      </c>
      <c r="AF667" s="459" t="str">
        <f t="shared" ca="1" si="146"/>
        <v/>
      </c>
      <c r="AG667" s="460" t="str">
        <f t="shared" ca="1" si="146"/>
        <v/>
      </c>
      <c r="AH667" s="460" t="str">
        <f t="shared" ca="1" si="146"/>
        <v/>
      </c>
      <c r="AI667" s="460" t="str">
        <f t="shared" ca="1" si="146"/>
        <v/>
      </c>
      <c r="AJ667" s="460" t="str">
        <f t="shared" ca="1" si="146"/>
        <v/>
      </c>
      <c r="AK667" s="460" t="str">
        <f t="shared" ca="1" si="146"/>
        <v/>
      </c>
      <c r="AL667" s="460" t="str">
        <f t="shared" ca="1" si="146"/>
        <v/>
      </c>
      <c r="AM667" s="460" t="str">
        <f t="shared" ca="1" si="146"/>
        <v/>
      </c>
      <c r="AN667" s="461" t="str">
        <f t="shared" ca="1" si="146"/>
        <v/>
      </c>
      <c r="AO667" s="474" t="str">
        <f t="shared" ca="1" si="146"/>
        <v/>
      </c>
      <c r="AP667" s="475" t="str">
        <f t="shared" ca="1" si="146"/>
        <v/>
      </c>
      <c r="AQ667" s="479" t="str">
        <f t="array" aca="1" ref="AQ667" ca="1">IF(ROW()-5&lt;=COUNTIF(科目编号,$AR$2),SMALL(IF(科目编号=$AR$2,ROW(科目编号),""),ROW()-5),"")</f>
        <v/>
      </c>
      <c r="AR667" s="480" t="str">
        <f ca="1">IF($BG$2=0,"",IF(AR666="本月合计","本年累计",IF(OR(ROW()=$AU$3,ROW()=$AV$3,ROW()=$AW$3,ROW()=$AX$3,ROW()=$AY$3,ROW()=$AZ$3,ROW()=$BA$3,ROW()=$BB$3,ROW()=$BC$3,ROW()=$BD$3,ROW()=$BE$3,ROW()=$BF$3),"本月合计",IF(ROW()&lt;7,$AQ$6,OFFSET($AQ$6,COUNT($AR$6:AR666),0)))))</f>
        <v/>
      </c>
    </row>
    <row r="668" spans="1:44">
      <c r="A668" s="469" t="str">
        <f ca="1">IFERROR(INDEX(凭证录入!A:A,$AR668),"")</f>
        <v/>
      </c>
      <c r="B668" s="469" t="str">
        <f ca="1">IFERROR(INDEX(凭证录入!B:B,$AR668),"")</f>
        <v/>
      </c>
      <c r="C668" s="470" t="str">
        <f ca="1">IFERROR(INDEX(凭证录入!G:G,$AR668),"")</f>
        <v/>
      </c>
      <c r="D668" s="471" t="str">
        <f ca="1">IFERROR(INDEX(凭证录入!F:F,$AR668),"")</f>
        <v/>
      </c>
      <c r="E668" s="472" t="str">
        <f ca="1">IFERROR(INDEX(凭证录入!H:H,$AR668),$AR668)</f>
        <v/>
      </c>
      <c r="F668" s="473">
        <f ca="1">IF(OR($BG$2=0,$AR668=""),,IF($AR668="本月合计",IF(ROW()=$BG$3,SUM($F$6:$F667),SUM(INDIRECT("$F$"&amp;OFFSET($AU$3,,MATCH(ROW(),$AU$3:$BF$3,)-2)+2&amp;":$E"&amp;ROW()-1))),IF($AR668="本年累计",SUMIF($AR$6:$AR668,"本月合计",$F$6:$F667),INDEX(凭证录入!K:K,$AR668))))</f>
        <v>0</v>
      </c>
      <c r="G668" s="459" t="str">
        <f t="shared" ca="1" si="147"/>
        <v/>
      </c>
      <c r="H668" s="460" t="str">
        <f t="shared" ca="1" si="147"/>
        <v/>
      </c>
      <c r="I668" s="460" t="str">
        <f t="shared" ca="1" si="147"/>
        <v/>
      </c>
      <c r="J668" s="460" t="str">
        <f t="shared" ca="1" si="147"/>
        <v/>
      </c>
      <c r="K668" s="460" t="str">
        <f t="shared" ca="1" si="147"/>
        <v/>
      </c>
      <c r="L668" s="460" t="str">
        <f t="shared" ca="1" si="147"/>
        <v/>
      </c>
      <c r="M668" s="460" t="str">
        <f t="shared" ca="1" si="147"/>
        <v/>
      </c>
      <c r="N668" s="460" t="str">
        <f t="shared" ca="1" si="147"/>
        <v/>
      </c>
      <c r="O668" s="461" t="str">
        <f t="shared" ca="1" si="147"/>
        <v/>
      </c>
      <c r="P668" s="474" t="str">
        <f t="shared" ca="1" si="147"/>
        <v/>
      </c>
      <c r="Q668" s="475" t="str">
        <f t="shared" ca="1" si="147"/>
        <v/>
      </c>
      <c r="R668" s="476">
        <f ca="1">IF(OR($BG$2=0,$AR668=""),,IF($AR668="本月合计",IF(ROW()=$BG$3,SUM($R$6:$R667),SUM(INDIRECT("$R$"&amp;OFFSET($AU$3,,MATCH(ROW(),$AU$3:$BF$3,)-2)+2&amp;":$R"&amp;ROW()-1))),IF($AR668="本年累计",SUMIF($AR$6:$AR668,"本月合计",$R$6:$R667),INDEX(凭证录入!L:L,$AR668))))</f>
        <v>0</v>
      </c>
      <c r="S668" s="459" t="str">
        <f t="shared" ca="1" si="148"/>
        <v/>
      </c>
      <c r="T668" s="460" t="str">
        <f t="shared" ca="1" si="148"/>
        <v/>
      </c>
      <c r="U668" s="460" t="str">
        <f t="shared" ca="1" si="148"/>
        <v/>
      </c>
      <c r="V668" s="460" t="str">
        <f t="shared" ca="1" si="148"/>
        <v/>
      </c>
      <c r="W668" s="460" t="str">
        <f t="shared" ca="1" si="148"/>
        <v/>
      </c>
      <c r="X668" s="460" t="str">
        <f t="shared" ca="1" si="148"/>
        <v/>
      </c>
      <c r="Y668" s="460" t="str">
        <f t="shared" ca="1" si="148"/>
        <v/>
      </c>
      <c r="Z668" s="460" t="str">
        <f t="shared" ca="1" si="148"/>
        <v/>
      </c>
      <c r="AA668" s="461" t="str">
        <f t="shared" ca="1" si="148"/>
        <v/>
      </c>
      <c r="AB668" s="474" t="str">
        <f t="shared" ca="1" si="148"/>
        <v/>
      </c>
      <c r="AC668" s="475" t="str">
        <f t="shared" ca="1" si="148"/>
        <v/>
      </c>
      <c r="AD668" s="477" t="str">
        <f t="shared" ca="1" si="144"/>
        <v/>
      </c>
      <c r="AE668" s="478">
        <f t="shared" ca="1" si="145"/>
        <v>0</v>
      </c>
      <c r="AF668" s="459" t="str">
        <f t="shared" ca="1" si="146"/>
        <v/>
      </c>
      <c r="AG668" s="460" t="str">
        <f t="shared" ca="1" si="146"/>
        <v/>
      </c>
      <c r="AH668" s="460" t="str">
        <f t="shared" ca="1" si="146"/>
        <v/>
      </c>
      <c r="AI668" s="460" t="str">
        <f t="shared" ca="1" si="146"/>
        <v/>
      </c>
      <c r="AJ668" s="460" t="str">
        <f t="shared" ca="1" si="146"/>
        <v/>
      </c>
      <c r="AK668" s="460" t="str">
        <f t="shared" ca="1" si="146"/>
        <v/>
      </c>
      <c r="AL668" s="460" t="str">
        <f t="shared" ca="1" si="146"/>
        <v/>
      </c>
      <c r="AM668" s="460" t="str">
        <f t="shared" ca="1" si="146"/>
        <v/>
      </c>
      <c r="AN668" s="461" t="str">
        <f t="shared" ca="1" si="146"/>
        <v/>
      </c>
      <c r="AO668" s="474" t="str">
        <f t="shared" ca="1" si="146"/>
        <v/>
      </c>
      <c r="AP668" s="475" t="str">
        <f t="shared" ca="1" si="146"/>
        <v/>
      </c>
      <c r="AQ668" s="479" t="str">
        <f t="array" aca="1" ref="AQ668" ca="1">IF(ROW()-5&lt;=COUNTIF(科目编号,$AR$2),SMALL(IF(科目编号=$AR$2,ROW(科目编号),""),ROW()-5),"")</f>
        <v/>
      </c>
      <c r="AR668" s="480" t="str">
        <f ca="1">IF($BG$2=0,"",IF(AR667="本月合计","本年累计",IF(OR(ROW()=$AU$3,ROW()=$AV$3,ROW()=$AW$3,ROW()=$AX$3,ROW()=$AY$3,ROW()=$AZ$3,ROW()=$BA$3,ROW()=$BB$3,ROW()=$BC$3,ROW()=$BD$3,ROW()=$BE$3,ROW()=$BF$3),"本月合计",IF(ROW()&lt;7,$AQ$6,OFFSET($AQ$6,COUNT($AR$6:AR667),0)))))</f>
        <v/>
      </c>
    </row>
    <row r="669" spans="1:44">
      <c r="A669" s="469" t="str">
        <f ca="1">IFERROR(INDEX(凭证录入!A:A,$AR669),"")</f>
        <v/>
      </c>
      <c r="B669" s="469" t="str">
        <f ca="1">IFERROR(INDEX(凭证录入!B:B,$AR669),"")</f>
        <v/>
      </c>
      <c r="C669" s="470" t="str">
        <f ca="1">IFERROR(INDEX(凭证录入!G:G,$AR669),"")</f>
        <v/>
      </c>
      <c r="D669" s="471" t="str">
        <f ca="1">IFERROR(INDEX(凭证录入!F:F,$AR669),"")</f>
        <v/>
      </c>
      <c r="E669" s="472" t="str">
        <f ca="1">IFERROR(INDEX(凭证录入!H:H,$AR669),$AR669)</f>
        <v/>
      </c>
      <c r="F669" s="473">
        <f ca="1">IF(OR($BG$2=0,$AR669=""),,IF($AR669="本月合计",IF(ROW()=$BG$3,SUM($F$6:$F668),SUM(INDIRECT("$F$"&amp;OFFSET($AU$3,,MATCH(ROW(),$AU$3:$BF$3,)-2)+2&amp;":$E"&amp;ROW()-1))),IF($AR669="本年累计",SUMIF($AR$6:$AR669,"本月合计",$F$6:$F668),INDEX(凭证录入!K:K,$AR669))))</f>
        <v>0</v>
      </c>
      <c r="G669" s="459" t="str">
        <f t="shared" ca="1" si="147"/>
        <v/>
      </c>
      <c r="H669" s="460" t="str">
        <f t="shared" ca="1" si="147"/>
        <v/>
      </c>
      <c r="I669" s="460" t="str">
        <f t="shared" ca="1" si="147"/>
        <v/>
      </c>
      <c r="J669" s="460" t="str">
        <f t="shared" ca="1" si="147"/>
        <v/>
      </c>
      <c r="K669" s="460" t="str">
        <f t="shared" ca="1" si="147"/>
        <v/>
      </c>
      <c r="L669" s="460" t="str">
        <f t="shared" ca="1" si="147"/>
        <v/>
      </c>
      <c r="M669" s="460" t="str">
        <f t="shared" ca="1" si="147"/>
        <v/>
      </c>
      <c r="N669" s="460" t="str">
        <f t="shared" ca="1" si="147"/>
        <v/>
      </c>
      <c r="O669" s="461" t="str">
        <f t="shared" ca="1" si="147"/>
        <v/>
      </c>
      <c r="P669" s="474" t="str">
        <f t="shared" ca="1" si="147"/>
        <v/>
      </c>
      <c r="Q669" s="475" t="str">
        <f t="shared" ca="1" si="147"/>
        <v/>
      </c>
      <c r="R669" s="476">
        <f ca="1">IF(OR($BG$2=0,$AR669=""),,IF($AR669="本月合计",IF(ROW()=$BG$3,SUM($R$6:$R668),SUM(INDIRECT("$R$"&amp;OFFSET($AU$3,,MATCH(ROW(),$AU$3:$BF$3,)-2)+2&amp;":$R"&amp;ROW()-1))),IF($AR669="本年累计",SUMIF($AR$6:$AR669,"本月合计",$R$6:$R668),INDEX(凭证录入!L:L,$AR669))))</f>
        <v>0</v>
      </c>
      <c r="S669" s="459" t="str">
        <f t="shared" ca="1" si="148"/>
        <v/>
      </c>
      <c r="T669" s="460" t="str">
        <f t="shared" ca="1" si="148"/>
        <v/>
      </c>
      <c r="U669" s="460" t="str">
        <f t="shared" ca="1" si="148"/>
        <v/>
      </c>
      <c r="V669" s="460" t="str">
        <f t="shared" ca="1" si="148"/>
        <v/>
      </c>
      <c r="W669" s="460" t="str">
        <f t="shared" ca="1" si="148"/>
        <v/>
      </c>
      <c r="X669" s="460" t="str">
        <f t="shared" ca="1" si="148"/>
        <v/>
      </c>
      <c r="Y669" s="460" t="str">
        <f t="shared" ca="1" si="148"/>
        <v/>
      </c>
      <c r="Z669" s="460" t="str">
        <f t="shared" ca="1" si="148"/>
        <v/>
      </c>
      <c r="AA669" s="461" t="str">
        <f t="shared" ca="1" si="148"/>
        <v/>
      </c>
      <c r="AB669" s="474" t="str">
        <f t="shared" ca="1" si="148"/>
        <v/>
      </c>
      <c r="AC669" s="475" t="str">
        <f t="shared" ca="1" si="148"/>
        <v/>
      </c>
      <c r="AD669" s="477" t="str">
        <f t="shared" ca="1" si="144"/>
        <v/>
      </c>
      <c r="AE669" s="478">
        <f t="shared" ca="1" si="145"/>
        <v>0</v>
      </c>
      <c r="AF669" s="459" t="str">
        <f t="shared" ca="1" si="146"/>
        <v/>
      </c>
      <c r="AG669" s="460" t="str">
        <f t="shared" ca="1" si="146"/>
        <v/>
      </c>
      <c r="AH669" s="460" t="str">
        <f t="shared" ca="1" si="146"/>
        <v/>
      </c>
      <c r="AI669" s="460" t="str">
        <f t="shared" ca="1" si="146"/>
        <v/>
      </c>
      <c r="AJ669" s="460" t="str">
        <f t="shared" ca="1" si="146"/>
        <v/>
      </c>
      <c r="AK669" s="460" t="str">
        <f t="shared" ca="1" si="146"/>
        <v/>
      </c>
      <c r="AL669" s="460" t="str">
        <f t="shared" ca="1" si="146"/>
        <v/>
      </c>
      <c r="AM669" s="460" t="str">
        <f t="shared" ca="1" si="146"/>
        <v/>
      </c>
      <c r="AN669" s="461" t="str">
        <f t="shared" ca="1" si="146"/>
        <v/>
      </c>
      <c r="AO669" s="474" t="str">
        <f t="shared" ca="1" si="146"/>
        <v/>
      </c>
      <c r="AP669" s="475" t="str">
        <f t="shared" ca="1" si="146"/>
        <v/>
      </c>
      <c r="AQ669" s="479" t="str">
        <f t="array" aca="1" ref="AQ669" ca="1">IF(ROW()-5&lt;=COUNTIF(科目编号,$AR$2),SMALL(IF(科目编号=$AR$2,ROW(科目编号),""),ROW()-5),"")</f>
        <v/>
      </c>
      <c r="AR669" s="480" t="str">
        <f ca="1">IF($BG$2=0,"",IF(AR668="本月合计","本年累计",IF(OR(ROW()=$AU$3,ROW()=$AV$3,ROW()=$AW$3,ROW()=$AX$3,ROW()=$AY$3,ROW()=$AZ$3,ROW()=$BA$3,ROW()=$BB$3,ROW()=$BC$3,ROW()=$BD$3,ROW()=$BE$3,ROW()=$BF$3),"本月合计",IF(ROW()&lt;7,$AQ$6,OFFSET($AQ$6,COUNT($AR$6:AR668),0)))))</f>
        <v/>
      </c>
    </row>
    <row r="670" spans="1:44">
      <c r="A670" s="469" t="str">
        <f ca="1">IFERROR(INDEX(凭证录入!A:A,$AR670),"")</f>
        <v/>
      </c>
      <c r="B670" s="469" t="str">
        <f ca="1">IFERROR(INDEX(凭证录入!B:B,$AR670),"")</f>
        <v/>
      </c>
      <c r="C670" s="470" t="str">
        <f ca="1">IFERROR(INDEX(凭证录入!G:G,$AR670),"")</f>
        <v/>
      </c>
      <c r="D670" s="471" t="str">
        <f ca="1">IFERROR(INDEX(凭证录入!F:F,$AR670),"")</f>
        <v/>
      </c>
      <c r="E670" s="472" t="str">
        <f ca="1">IFERROR(INDEX(凭证录入!H:H,$AR670),$AR670)</f>
        <v/>
      </c>
      <c r="F670" s="473">
        <f ca="1">IF(OR($BG$2=0,$AR670=""),,IF($AR670="本月合计",IF(ROW()=$BG$3,SUM($F$6:$F669),SUM(INDIRECT("$F$"&amp;OFFSET($AU$3,,MATCH(ROW(),$AU$3:$BF$3,)-2)+2&amp;":$E"&amp;ROW()-1))),IF($AR670="本年累计",SUMIF($AR$6:$AR670,"本月合计",$F$6:$F669),INDEX(凭证录入!K:K,$AR670))))</f>
        <v>0</v>
      </c>
      <c r="G670" s="459" t="str">
        <f t="shared" ca="1" si="147"/>
        <v/>
      </c>
      <c r="H670" s="460" t="str">
        <f t="shared" ca="1" si="147"/>
        <v/>
      </c>
      <c r="I670" s="460" t="str">
        <f t="shared" ca="1" si="147"/>
        <v/>
      </c>
      <c r="J670" s="460" t="str">
        <f t="shared" ca="1" si="147"/>
        <v/>
      </c>
      <c r="K670" s="460" t="str">
        <f t="shared" ca="1" si="147"/>
        <v/>
      </c>
      <c r="L670" s="460" t="str">
        <f t="shared" ca="1" si="147"/>
        <v/>
      </c>
      <c r="M670" s="460" t="str">
        <f t="shared" ca="1" si="147"/>
        <v/>
      </c>
      <c r="N670" s="460" t="str">
        <f t="shared" ca="1" si="147"/>
        <v/>
      </c>
      <c r="O670" s="461" t="str">
        <f t="shared" ca="1" si="147"/>
        <v/>
      </c>
      <c r="P670" s="474" t="str">
        <f t="shared" ca="1" si="147"/>
        <v/>
      </c>
      <c r="Q670" s="475" t="str">
        <f t="shared" ca="1" si="147"/>
        <v/>
      </c>
      <c r="R670" s="476">
        <f ca="1">IF(OR($BG$2=0,$AR670=""),,IF($AR670="本月合计",IF(ROW()=$BG$3,SUM($R$6:$R669),SUM(INDIRECT("$R$"&amp;OFFSET($AU$3,,MATCH(ROW(),$AU$3:$BF$3,)-2)+2&amp;":$R"&amp;ROW()-1))),IF($AR670="本年累计",SUMIF($AR$6:$AR670,"本月合计",$R$6:$R669),INDEX(凭证录入!L:L,$AR670))))</f>
        <v>0</v>
      </c>
      <c r="S670" s="459" t="str">
        <f t="shared" ca="1" si="148"/>
        <v/>
      </c>
      <c r="T670" s="460" t="str">
        <f t="shared" ca="1" si="148"/>
        <v/>
      </c>
      <c r="U670" s="460" t="str">
        <f t="shared" ca="1" si="148"/>
        <v/>
      </c>
      <c r="V670" s="460" t="str">
        <f t="shared" ca="1" si="148"/>
        <v/>
      </c>
      <c r="W670" s="460" t="str">
        <f t="shared" ca="1" si="148"/>
        <v/>
      </c>
      <c r="X670" s="460" t="str">
        <f t="shared" ca="1" si="148"/>
        <v/>
      </c>
      <c r="Y670" s="460" t="str">
        <f t="shared" ca="1" si="148"/>
        <v/>
      </c>
      <c r="Z670" s="460" t="str">
        <f t="shared" ca="1" si="148"/>
        <v/>
      </c>
      <c r="AA670" s="461" t="str">
        <f t="shared" ca="1" si="148"/>
        <v/>
      </c>
      <c r="AB670" s="474" t="str">
        <f t="shared" ca="1" si="148"/>
        <v/>
      </c>
      <c r="AC670" s="475" t="str">
        <f t="shared" ca="1" si="148"/>
        <v/>
      </c>
      <c r="AD670" s="477" t="str">
        <f t="shared" ca="1" si="144"/>
        <v/>
      </c>
      <c r="AE670" s="478">
        <f t="shared" ca="1" si="145"/>
        <v>0</v>
      </c>
      <c r="AF670" s="459" t="str">
        <f t="shared" ca="1" si="146"/>
        <v/>
      </c>
      <c r="AG670" s="460" t="str">
        <f t="shared" ca="1" si="146"/>
        <v/>
      </c>
      <c r="AH670" s="460" t="str">
        <f t="shared" ca="1" si="146"/>
        <v/>
      </c>
      <c r="AI670" s="460" t="str">
        <f t="shared" ca="1" si="146"/>
        <v/>
      </c>
      <c r="AJ670" s="460" t="str">
        <f t="shared" ca="1" si="146"/>
        <v/>
      </c>
      <c r="AK670" s="460" t="str">
        <f t="shared" ca="1" si="146"/>
        <v/>
      </c>
      <c r="AL670" s="460" t="str">
        <f t="shared" ca="1" si="146"/>
        <v/>
      </c>
      <c r="AM670" s="460" t="str">
        <f t="shared" ca="1" si="146"/>
        <v/>
      </c>
      <c r="AN670" s="461" t="str">
        <f t="shared" ca="1" si="146"/>
        <v/>
      </c>
      <c r="AO670" s="474" t="str">
        <f t="shared" ca="1" si="146"/>
        <v/>
      </c>
      <c r="AP670" s="475" t="str">
        <f t="shared" ca="1" si="146"/>
        <v/>
      </c>
      <c r="AQ670" s="479" t="str">
        <f t="array" aca="1" ref="AQ670" ca="1">IF(ROW()-5&lt;=COUNTIF(科目编号,$AR$2),SMALL(IF(科目编号=$AR$2,ROW(科目编号),""),ROW()-5),"")</f>
        <v/>
      </c>
      <c r="AR670" s="480" t="str">
        <f ca="1">IF($BG$2=0,"",IF(AR669="本月合计","本年累计",IF(OR(ROW()=$AU$3,ROW()=$AV$3,ROW()=$AW$3,ROW()=$AX$3,ROW()=$AY$3,ROW()=$AZ$3,ROW()=$BA$3,ROW()=$BB$3,ROW()=$BC$3,ROW()=$BD$3,ROW()=$BE$3,ROW()=$BF$3),"本月合计",IF(ROW()&lt;7,$AQ$6,OFFSET($AQ$6,COUNT($AR$6:AR669),0)))))</f>
        <v/>
      </c>
    </row>
    <row r="671" spans="1:44">
      <c r="A671" s="469" t="str">
        <f ca="1">IFERROR(INDEX(凭证录入!A:A,$AR671),"")</f>
        <v/>
      </c>
      <c r="B671" s="469" t="str">
        <f ca="1">IFERROR(INDEX(凭证录入!B:B,$AR671),"")</f>
        <v/>
      </c>
      <c r="C671" s="470" t="str">
        <f ca="1">IFERROR(INDEX(凭证录入!G:G,$AR671),"")</f>
        <v/>
      </c>
      <c r="D671" s="471" t="str">
        <f ca="1">IFERROR(INDEX(凭证录入!F:F,$AR671),"")</f>
        <v/>
      </c>
      <c r="E671" s="472" t="str">
        <f ca="1">IFERROR(INDEX(凭证录入!H:H,$AR671),$AR671)</f>
        <v/>
      </c>
      <c r="F671" s="473">
        <f ca="1">IF(OR($BG$2=0,$AR671=""),,IF($AR671="本月合计",IF(ROW()=$BG$3,SUM($F$6:$F670),SUM(INDIRECT("$F$"&amp;OFFSET($AU$3,,MATCH(ROW(),$AU$3:$BF$3,)-2)+2&amp;":$E"&amp;ROW()-1))),IF($AR671="本年累计",SUMIF($AR$6:$AR671,"本月合计",$F$6:$F670),INDEX(凭证录入!K:K,$AR671))))</f>
        <v>0</v>
      </c>
      <c r="G671" s="459" t="str">
        <f t="shared" ca="1" si="147"/>
        <v/>
      </c>
      <c r="H671" s="460" t="str">
        <f t="shared" ca="1" si="147"/>
        <v/>
      </c>
      <c r="I671" s="460" t="str">
        <f t="shared" ca="1" si="147"/>
        <v/>
      </c>
      <c r="J671" s="460" t="str">
        <f t="shared" ca="1" si="147"/>
        <v/>
      </c>
      <c r="K671" s="460" t="str">
        <f t="shared" ca="1" si="147"/>
        <v/>
      </c>
      <c r="L671" s="460" t="str">
        <f t="shared" ca="1" si="147"/>
        <v/>
      </c>
      <c r="M671" s="460" t="str">
        <f t="shared" ca="1" si="147"/>
        <v/>
      </c>
      <c r="N671" s="460" t="str">
        <f t="shared" ca="1" si="147"/>
        <v/>
      </c>
      <c r="O671" s="461" t="str">
        <f t="shared" ca="1" si="147"/>
        <v/>
      </c>
      <c r="P671" s="474" t="str">
        <f t="shared" ca="1" si="147"/>
        <v/>
      </c>
      <c r="Q671" s="475" t="str">
        <f t="shared" ca="1" si="147"/>
        <v/>
      </c>
      <c r="R671" s="476">
        <f ca="1">IF(OR($BG$2=0,$AR671=""),,IF($AR671="本月合计",IF(ROW()=$BG$3,SUM($R$6:$R670),SUM(INDIRECT("$R$"&amp;OFFSET($AU$3,,MATCH(ROW(),$AU$3:$BF$3,)-2)+2&amp;":$R"&amp;ROW()-1))),IF($AR671="本年累计",SUMIF($AR$6:$AR671,"本月合计",$R$6:$R670),INDEX(凭证录入!L:L,$AR671))))</f>
        <v>0</v>
      </c>
      <c r="S671" s="459" t="str">
        <f t="shared" ca="1" si="148"/>
        <v/>
      </c>
      <c r="T671" s="460" t="str">
        <f t="shared" ca="1" si="148"/>
        <v/>
      </c>
      <c r="U671" s="460" t="str">
        <f t="shared" ca="1" si="148"/>
        <v/>
      </c>
      <c r="V671" s="460" t="str">
        <f t="shared" ca="1" si="148"/>
        <v/>
      </c>
      <c r="W671" s="460" t="str">
        <f t="shared" ca="1" si="148"/>
        <v/>
      </c>
      <c r="X671" s="460" t="str">
        <f t="shared" ca="1" si="148"/>
        <v/>
      </c>
      <c r="Y671" s="460" t="str">
        <f t="shared" ca="1" si="148"/>
        <v/>
      </c>
      <c r="Z671" s="460" t="str">
        <f t="shared" ca="1" si="148"/>
        <v/>
      </c>
      <c r="AA671" s="461" t="str">
        <f t="shared" ca="1" si="148"/>
        <v/>
      </c>
      <c r="AB671" s="474" t="str">
        <f t="shared" ca="1" si="148"/>
        <v/>
      </c>
      <c r="AC671" s="475" t="str">
        <f t="shared" ca="1" si="148"/>
        <v/>
      </c>
      <c r="AD671" s="477" t="str">
        <f t="shared" ca="1" si="144"/>
        <v/>
      </c>
      <c r="AE671" s="478">
        <f t="shared" ca="1" si="145"/>
        <v>0</v>
      </c>
      <c r="AF671" s="459" t="str">
        <f t="shared" ca="1" si="146"/>
        <v/>
      </c>
      <c r="AG671" s="460" t="str">
        <f t="shared" ca="1" si="146"/>
        <v/>
      </c>
      <c r="AH671" s="460" t="str">
        <f t="shared" ca="1" si="146"/>
        <v/>
      </c>
      <c r="AI671" s="460" t="str">
        <f t="shared" ca="1" si="146"/>
        <v/>
      </c>
      <c r="AJ671" s="460" t="str">
        <f t="shared" ca="1" si="146"/>
        <v/>
      </c>
      <c r="AK671" s="460" t="str">
        <f t="shared" ca="1" si="146"/>
        <v/>
      </c>
      <c r="AL671" s="460" t="str">
        <f t="shared" ca="1" si="146"/>
        <v/>
      </c>
      <c r="AM671" s="460" t="str">
        <f t="shared" ca="1" si="146"/>
        <v/>
      </c>
      <c r="AN671" s="461" t="str">
        <f t="shared" ca="1" si="146"/>
        <v/>
      </c>
      <c r="AO671" s="474" t="str">
        <f t="shared" ca="1" si="146"/>
        <v/>
      </c>
      <c r="AP671" s="475" t="str">
        <f t="shared" ca="1" si="146"/>
        <v/>
      </c>
      <c r="AQ671" s="479" t="str">
        <f t="array" aca="1" ref="AQ671" ca="1">IF(ROW()-5&lt;=COUNTIF(科目编号,$AR$2),SMALL(IF(科目编号=$AR$2,ROW(科目编号),""),ROW()-5),"")</f>
        <v/>
      </c>
      <c r="AR671" s="480" t="str">
        <f ca="1">IF($BG$2=0,"",IF(AR670="本月合计","本年累计",IF(OR(ROW()=$AU$3,ROW()=$AV$3,ROW()=$AW$3,ROW()=$AX$3,ROW()=$AY$3,ROW()=$AZ$3,ROW()=$BA$3,ROW()=$BB$3,ROW()=$BC$3,ROW()=$BD$3,ROW()=$BE$3,ROW()=$BF$3),"本月合计",IF(ROW()&lt;7,$AQ$6,OFFSET($AQ$6,COUNT($AR$6:AR670),0)))))</f>
        <v/>
      </c>
    </row>
    <row r="672" spans="1:44">
      <c r="A672" s="469" t="str">
        <f ca="1">IFERROR(INDEX(凭证录入!A:A,$AR672),"")</f>
        <v/>
      </c>
      <c r="B672" s="469" t="str">
        <f ca="1">IFERROR(INDEX(凭证录入!B:B,$AR672),"")</f>
        <v/>
      </c>
      <c r="C672" s="470" t="str">
        <f ca="1">IFERROR(INDEX(凭证录入!G:G,$AR672),"")</f>
        <v/>
      </c>
      <c r="D672" s="471" t="str">
        <f ca="1">IFERROR(INDEX(凭证录入!F:F,$AR672),"")</f>
        <v/>
      </c>
      <c r="E672" s="472" t="str">
        <f ca="1">IFERROR(INDEX(凭证录入!H:H,$AR672),$AR672)</f>
        <v/>
      </c>
      <c r="F672" s="473">
        <f ca="1">IF(OR($BG$2=0,$AR672=""),,IF($AR672="本月合计",IF(ROW()=$BG$3,SUM($F$6:$F671),SUM(INDIRECT("$F$"&amp;OFFSET($AU$3,,MATCH(ROW(),$AU$3:$BF$3,)-2)+2&amp;":$E"&amp;ROW()-1))),IF($AR672="本年累计",SUMIF($AR$6:$AR672,"本月合计",$F$6:$F671),INDEX(凭证录入!K:K,$AR672))))</f>
        <v>0</v>
      </c>
      <c r="G672" s="459" t="str">
        <f t="shared" ca="1" si="147"/>
        <v/>
      </c>
      <c r="H672" s="460" t="str">
        <f t="shared" ca="1" si="147"/>
        <v/>
      </c>
      <c r="I672" s="460" t="str">
        <f t="shared" ca="1" si="147"/>
        <v/>
      </c>
      <c r="J672" s="460" t="str">
        <f t="shared" ca="1" si="147"/>
        <v/>
      </c>
      <c r="K672" s="460" t="str">
        <f t="shared" ca="1" si="147"/>
        <v/>
      </c>
      <c r="L672" s="460" t="str">
        <f t="shared" ca="1" si="147"/>
        <v/>
      </c>
      <c r="M672" s="460" t="str">
        <f t="shared" ca="1" si="147"/>
        <v/>
      </c>
      <c r="N672" s="460" t="str">
        <f t="shared" ca="1" si="147"/>
        <v/>
      </c>
      <c r="O672" s="461" t="str">
        <f t="shared" ca="1" si="147"/>
        <v/>
      </c>
      <c r="P672" s="474" t="str">
        <f t="shared" ca="1" si="147"/>
        <v/>
      </c>
      <c r="Q672" s="475" t="str">
        <f t="shared" ca="1" si="147"/>
        <v/>
      </c>
      <c r="R672" s="476">
        <f ca="1">IF(OR($BG$2=0,$AR672=""),,IF($AR672="本月合计",IF(ROW()=$BG$3,SUM($R$6:$R671),SUM(INDIRECT("$R$"&amp;OFFSET($AU$3,,MATCH(ROW(),$AU$3:$BF$3,)-2)+2&amp;":$R"&amp;ROW()-1))),IF($AR672="本年累计",SUMIF($AR$6:$AR672,"本月合计",$R$6:$R671),INDEX(凭证录入!L:L,$AR672))))</f>
        <v>0</v>
      </c>
      <c r="S672" s="459" t="str">
        <f t="shared" ca="1" si="148"/>
        <v/>
      </c>
      <c r="T672" s="460" t="str">
        <f t="shared" ca="1" si="148"/>
        <v/>
      </c>
      <c r="U672" s="460" t="str">
        <f t="shared" ca="1" si="148"/>
        <v/>
      </c>
      <c r="V672" s="460" t="str">
        <f t="shared" ca="1" si="148"/>
        <v/>
      </c>
      <c r="W672" s="460" t="str">
        <f t="shared" ca="1" si="148"/>
        <v/>
      </c>
      <c r="X672" s="460" t="str">
        <f t="shared" ca="1" si="148"/>
        <v/>
      </c>
      <c r="Y672" s="460" t="str">
        <f t="shared" ca="1" si="148"/>
        <v/>
      </c>
      <c r="Z672" s="460" t="str">
        <f t="shared" ca="1" si="148"/>
        <v/>
      </c>
      <c r="AA672" s="461" t="str">
        <f t="shared" ca="1" si="148"/>
        <v/>
      </c>
      <c r="AB672" s="474" t="str">
        <f t="shared" ca="1" si="148"/>
        <v/>
      </c>
      <c r="AC672" s="475" t="str">
        <f t="shared" ca="1" si="148"/>
        <v/>
      </c>
      <c r="AD672" s="477" t="str">
        <f t="shared" ca="1" si="144"/>
        <v/>
      </c>
      <c r="AE672" s="478">
        <f t="shared" ca="1" si="145"/>
        <v>0</v>
      </c>
      <c r="AF672" s="459" t="str">
        <f t="shared" ca="1" si="146"/>
        <v/>
      </c>
      <c r="AG672" s="460" t="str">
        <f t="shared" ca="1" si="146"/>
        <v/>
      </c>
      <c r="AH672" s="460" t="str">
        <f t="shared" ca="1" si="146"/>
        <v/>
      </c>
      <c r="AI672" s="460" t="str">
        <f t="shared" ca="1" si="146"/>
        <v/>
      </c>
      <c r="AJ672" s="460" t="str">
        <f t="shared" ca="1" si="146"/>
        <v/>
      </c>
      <c r="AK672" s="460" t="str">
        <f t="shared" ca="1" si="146"/>
        <v/>
      </c>
      <c r="AL672" s="460" t="str">
        <f t="shared" ca="1" si="146"/>
        <v/>
      </c>
      <c r="AM672" s="460" t="str">
        <f t="shared" ca="1" si="146"/>
        <v/>
      </c>
      <c r="AN672" s="461" t="str">
        <f t="shared" ca="1" si="146"/>
        <v/>
      </c>
      <c r="AO672" s="474" t="str">
        <f t="shared" ca="1" si="146"/>
        <v/>
      </c>
      <c r="AP672" s="475" t="str">
        <f t="shared" ca="1" si="146"/>
        <v/>
      </c>
      <c r="AQ672" s="479" t="str">
        <f t="array" aca="1" ref="AQ672" ca="1">IF(ROW()-5&lt;=COUNTIF(科目编号,$AR$2),SMALL(IF(科目编号=$AR$2,ROW(科目编号),""),ROW()-5),"")</f>
        <v/>
      </c>
      <c r="AR672" s="480" t="str">
        <f ca="1">IF($BG$2=0,"",IF(AR671="本月合计","本年累计",IF(OR(ROW()=$AU$3,ROW()=$AV$3,ROW()=$AW$3,ROW()=$AX$3,ROW()=$AY$3,ROW()=$AZ$3,ROW()=$BA$3,ROW()=$BB$3,ROW()=$BC$3,ROW()=$BD$3,ROW()=$BE$3,ROW()=$BF$3),"本月合计",IF(ROW()&lt;7,$AQ$6,OFFSET($AQ$6,COUNT($AR$6:AR671),0)))))</f>
        <v/>
      </c>
    </row>
    <row r="673" spans="1:44">
      <c r="A673" s="469" t="str">
        <f ca="1">IFERROR(INDEX(凭证录入!A:A,$AR673),"")</f>
        <v/>
      </c>
      <c r="B673" s="469" t="str">
        <f ca="1">IFERROR(INDEX(凭证录入!B:B,$AR673),"")</f>
        <v/>
      </c>
      <c r="C673" s="470" t="str">
        <f ca="1">IFERROR(INDEX(凭证录入!G:G,$AR673),"")</f>
        <v/>
      </c>
      <c r="D673" s="471" t="str">
        <f ca="1">IFERROR(INDEX(凭证录入!F:F,$AR673),"")</f>
        <v/>
      </c>
      <c r="E673" s="472" t="str">
        <f ca="1">IFERROR(INDEX(凭证录入!H:H,$AR673),$AR673)</f>
        <v/>
      </c>
      <c r="F673" s="473">
        <f ca="1">IF(OR($BG$2=0,$AR673=""),,IF($AR673="本月合计",IF(ROW()=$BG$3,SUM($F$6:$F672),SUM(INDIRECT("$F$"&amp;OFFSET($AU$3,,MATCH(ROW(),$AU$3:$BF$3,)-2)+2&amp;":$E"&amp;ROW()-1))),IF($AR673="本年累计",SUMIF($AR$6:$AR673,"本月合计",$F$6:$F672),INDEX(凭证录入!K:K,$AR673))))</f>
        <v>0</v>
      </c>
      <c r="G673" s="459" t="str">
        <f t="shared" ca="1" si="147"/>
        <v/>
      </c>
      <c r="H673" s="460" t="str">
        <f t="shared" ca="1" si="147"/>
        <v/>
      </c>
      <c r="I673" s="460" t="str">
        <f t="shared" ca="1" si="147"/>
        <v/>
      </c>
      <c r="J673" s="460" t="str">
        <f t="shared" ca="1" si="147"/>
        <v/>
      </c>
      <c r="K673" s="460" t="str">
        <f t="shared" ca="1" si="147"/>
        <v/>
      </c>
      <c r="L673" s="460" t="str">
        <f t="shared" ca="1" si="147"/>
        <v/>
      </c>
      <c r="M673" s="460" t="str">
        <f t="shared" ca="1" si="147"/>
        <v/>
      </c>
      <c r="N673" s="460" t="str">
        <f t="shared" ca="1" si="147"/>
        <v/>
      </c>
      <c r="O673" s="461" t="str">
        <f t="shared" ca="1" si="147"/>
        <v/>
      </c>
      <c r="P673" s="474" t="str">
        <f t="shared" ca="1" si="147"/>
        <v/>
      </c>
      <c r="Q673" s="475" t="str">
        <f t="shared" ca="1" si="147"/>
        <v/>
      </c>
      <c r="R673" s="476">
        <f ca="1">IF(OR($BG$2=0,$AR673=""),,IF($AR673="本月合计",IF(ROW()=$BG$3,SUM($R$6:$R672),SUM(INDIRECT("$R$"&amp;OFFSET($AU$3,,MATCH(ROW(),$AU$3:$BF$3,)-2)+2&amp;":$R"&amp;ROW()-1))),IF($AR673="本年累计",SUMIF($AR$6:$AR673,"本月合计",$R$6:$R672),INDEX(凭证录入!L:L,$AR673))))</f>
        <v>0</v>
      </c>
      <c r="S673" s="459" t="str">
        <f t="shared" ca="1" si="148"/>
        <v/>
      </c>
      <c r="T673" s="460" t="str">
        <f t="shared" ca="1" si="148"/>
        <v/>
      </c>
      <c r="U673" s="460" t="str">
        <f t="shared" ca="1" si="148"/>
        <v/>
      </c>
      <c r="V673" s="460" t="str">
        <f t="shared" ca="1" si="148"/>
        <v/>
      </c>
      <c r="W673" s="460" t="str">
        <f t="shared" ca="1" si="148"/>
        <v/>
      </c>
      <c r="X673" s="460" t="str">
        <f t="shared" ca="1" si="148"/>
        <v/>
      </c>
      <c r="Y673" s="460" t="str">
        <f t="shared" ca="1" si="148"/>
        <v/>
      </c>
      <c r="Z673" s="460" t="str">
        <f t="shared" ca="1" si="148"/>
        <v/>
      </c>
      <c r="AA673" s="461" t="str">
        <f t="shared" ca="1" si="148"/>
        <v/>
      </c>
      <c r="AB673" s="474" t="str">
        <f t="shared" ca="1" si="148"/>
        <v/>
      </c>
      <c r="AC673" s="475" t="str">
        <f t="shared" ca="1" si="148"/>
        <v/>
      </c>
      <c r="AD673" s="477" t="str">
        <f t="shared" ca="1" si="144"/>
        <v/>
      </c>
      <c r="AE673" s="478">
        <f t="shared" ca="1" si="145"/>
        <v>0</v>
      </c>
      <c r="AF673" s="459" t="str">
        <f t="shared" ca="1" si="146"/>
        <v/>
      </c>
      <c r="AG673" s="460" t="str">
        <f t="shared" ca="1" si="146"/>
        <v/>
      </c>
      <c r="AH673" s="460" t="str">
        <f t="shared" ca="1" si="146"/>
        <v/>
      </c>
      <c r="AI673" s="460" t="str">
        <f t="shared" ca="1" si="146"/>
        <v/>
      </c>
      <c r="AJ673" s="460" t="str">
        <f t="shared" ca="1" si="146"/>
        <v/>
      </c>
      <c r="AK673" s="460" t="str">
        <f t="shared" ca="1" si="146"/>
        <v/>
      </c>
      <c r="AL673" s="460" t="str">
        <f t="shared" ca="1" si="146"/>
        <v/>
      </c>
      <c r="AM673" s="460" t="str">
        <f t="shared" ca="1" si="146"/>
        <v/>
      </c>
      <c r="AN673" s="461" t="str">
        <f t="shared" ca="1" si="146"/>
        <v/>
      </c>
      <c r="AO673" s="474" t="str">
        <f t="shared" ca="1" si="146"/>
        <v/>
      </c>
      <c r="AP673" s="475" t="str">
        <f t="shared" ca="1" si="146"/>
        <v/>
      </c>
      <c r="AQ673" s="479" t="str">
        <f t="array" aca="1" ref="AQ673" ca="1">IF(ROW()-5&lt;=COUNTIF(科目编号,$AR$2),SMALL(IF(科目编号=$AR$2,ROW(科目编号),""),ROW()-5),"")</f>
        <v/>
      </c>
      <c r="AR673" s="480" t="str">
        <f ca="1">IF($BG$2=0,"",IF(AR672="本月合计","本年累计",IF(OR(ROW()=$AU$3,ROW()=$AV$3,ROW()=$AW$3,ROW()=$AX$3,ROW()=$AY$3,ROW()=$AZ$3,ROW()=$BA$3,ROW()=$BB$3,ROW()=$BC$3,ROW()=$BD$3,ROW()=$BE$3,ROW()=$BF$3),"本月合计",IF(ROW()&lt;7,$AQ$6,OFFSET($AQ$6,COUNT($AR$6:AR672),0)))))</f>
        <v/>
      </c>
    </row>
    <row r="674" spans="1:44">
      <c r="A674" s="469" t="str">
        <f ca="1">IFERROR(INDEX(凭证录入!A:A,$AR674),"")</f>
        <v/>
      </c>
      <c r="B674" s="469" t="str">
        <f ca="1">IFERROR(INDEX(凭证录入!B:B,$AR674),"")</f>
        <v/>
      </c>
      <c r="C674" s="470" t="str">
        <f ca="1">IFERROR(INDEX(凭证录入!G:G,$AR674),"")</f>
        <v/>
      </c>
      <c r="D674" s="471" t="str">
        <f ca="1">IFERROR(INDEX(凭证录入!F:F,$AR674),"")</f>
        <v/>
      </c>
      <c r="E674" s="472" t="str">
        <f ca="1">IFERROR(INDEX(凭证录入!H:H,$AR674),$AR674)</f>
        <v/>
      </c>
      <c r="F674" s="473">
        <f ca="1">IF(OR($BG$2=0,$AR674=""),,IF($AR674="本月合计",IF(ROW()=$BG$3,SUM($F$6:$F673),SUM(INDIRECT("$F$"&amp;OFFSET($AU$3,,MATCH(ROW(),$AU$3:$BF$3,)-2)+2&amp;":$E"&amp;ROW()-1))),IF($AR674="本年累计",SUMIF($AR$6:$AR674,"本月合计",$F$6:$F673),INDEX(凭证录入!K:K,$AR674))))</f>
        <v>0</v>
      </c>
      <c r="G674" s="459" t="str">
        <f t="shared" ca="1" si="147"/>
        <v/>
      </c>
      <c r="H674" s="460" t="str">
        <f t="shared" ca="1" si="147"/>
        <v/>
      </c>
      <c r="I674" s="460" t="str">
        <f t="shared" ca="1" si="147"/>
        <v/>
      </c>
      <c r="J674" s="460" t="str">
        <f t="shared" ca="1" si="147"/>
        <v/>
      </c>
      <c r="K674" s="460" t="str">
        <f t="shared" ca="1" si="147"/>
        <v/>
      </c>
      <c r="L674" s="460" t="str">
        <f t="shared" ca="1" si="147"/>
        <v/>
      </c>
      <c r="M674" s="460" t="str">
        <f t="shared" ca="1" si="147"/>
        <v/>
      </c>
      <c r="N674" s="460" t="str">
        <f t="shared" ca="1" si="147"/>
        <v/>
      </c>
      <c r="O674" s="461" t="str">
        <f t="shared" ca="1" si="147"/>
        <v/>
      </c>
      <c r="P674" s="474" t="str">
        <f t="shared" ca="1" si="147"/>
        <v/>
      </c>
      <c r="Q674" s="475" t="str">
        <f t="shared" ca="1" si="147"/>
        <v/>
      </c>
      <c r="R674" s="476">
        <f ca="1">IF(OR($BG$2=0,$AR674=""),,IF($AR674="本月合计",IF(ROW()=$BG$3,SUM($R$6:$R673),SUM(INDIRECT("$R$"&amp;OFFSET($AU$3,,MATCH(ROW(),$AU$3:$BF$3,)-2)+2&amp;":$R"&amp;ROW()-1))),IF($AR674="本年累计",SUMIF($AR$6:$AR674,"本月合计",$R$6:$R673),INDEX(凭证录入!L:L,$AR674))))</f>
        <v>0</v>
      </c>
      <c r="S674" s="459" t="str">
        <f t="shared" ca="1" si="148"/>
        <v/>
      </c>
      <c r="T674" s="460" t="str">
        <f t="shared" ca="1" si="148"/>
        <v/>
      </c>
      <c r="U674" s="460" t="str">
        <f t="shared" ca="1" si="148"/>
        <v/>
      </c>
      <c r="V674" s="460" t="str">
        <f t="shared" ca="1" si="148"/>
        <v/>
      </c>
      <c r="W674" s="460" t="str">
        <f t="shared" ca="1" si="148"/>
        <v/>
      </c>
      <c r="X674" s="460" t="str">
        <f t="shared" ca="1" si="148"/>
        <v/>
      </c>
      <c r="Y674" s="460" t="str">
        <f t="shared" ca="1" si="148"/>
        <v/>
      </c>
      <c r="Z674" s="460" t="str">
        <f t="shared" ca="1" si="148"/>
        <v/>
      </c>
      <c r="AA674" s="461" t="str">
        <f t="shared" ca="1" si="148"/>
        <v/>
      </c>
      <c r="AB674" s="474" t="str">
        <f t="shared" ca="1" si="148"/>
        <v/>
      </c>
      <c r="AC674" s="475" t="str">
        <f t="shared" ca="1" si="148"/>
        <v/>
      </c>
      <c r="AD674" s="477" t="str">
        <f t="shared" ca="1" si="144"/>
        <v/>
      </c>
      <c r="AE674" s="478">
        <f t="shared" ca="1" si="145"/>
        <v>0</v>
      </c>
      <c r="AF674" s="459" t="str">
        <f t="shared" ca="1" si="146"/>
        <v/>
      </c>
      <c r="AG674" s="460" t="str">
        <f t="shared" ca="1" si="146"/>
        <v/>
      </c>
      <c r="AH674" s="460" t="str">
        <f t="shared" ca="1" si="146"/>
        <v/>
      </c>
      <c r="AI674" s="460" t="str">
        <f t="shared" ca="1" si="146"/>
        <v/>
      </c>
      <c r="AJ674" s="460" t="str">
        <f t="shared" ca="1" si="146"/>
        <v/>
      </c>
      <c r="AK674" s="460" t="str">
        <f t="shared" ca="1" si="146"/>
        <v/>
      </c>
      <c r="AL674" s="460" t="str">
        <f t="shared" ca="1" si="146"/>
        <v/>
      </c>
      <c r="AM674" s="460" t="str">
        <f t="shared" ca="1" si="146"/>
        <v/>
      </c>
      <c r="AN674" s="461" t="str">
        <f t="shared" ca="1" si="146"/>
        <v/>
      </c>
      <c r="AO674" s="474" t="str">
        <f t="shared" ca="1" si="146"/>
        <v/>
      </c>
      <c r="AP674" s="475" t="str">
        <f t="shared" ca="1" si="146"/>
        <v/>
      </c>
      <c r="AQ674" s="479" t="str">
        <f t="array" aca="1" ref="AQ674" ca="1">IF(ROW()-5&lt;=COUNTIF(科目编号,$AR$2),SMALL(IF(科目编号=$AR$2,ROW(科目编号),""),ROW()-5),"")</f>
        <v/>
      </c>
      <c r="AR674" s="480" t="str">
        <f ca="1">IF($BG$2=0,"",IF(AR673="本月合计","本年累计",IF(OR(ROW()=$AU$3,ROW()=$AV$3,ROW()=$AW$3,ROW()=$AX$3,ROW()=$AY$3,ROW()=$AZ$3,ROW()=$BA$3,ROW()=$BB$3,ROW()=$BC$3,ROW()=$BD$3,ROW()=$BE$3,ROW()=$BF$3),"本月合计",IF(ROW()&lt;7,$AQ$6,OFFSET($AQ$6,COUNT($AR$6:AR673),0)))))</f>
        <v/>
      </c>
    </row>
    <row r="675" spans="1:44">
      <c r="A675" s="469" t="str">
        <f ca="1">IFERROR(INDEX(凭证录入!A:A,$AR675),"")</f>
        <v/>
      </c>
      <c r="B675" s="469" t="str">
        <f ca="1">IFERROR(INDEX(凭证录入!B:B,$AR675),"")</f>
        <v/>
      </c>
      <c r="C675" s="470" t="str">
        <f ca="1">IFERROR(INDEX(凭证录入!G:G,$AR675),"")</f>
        <v/>
      </c>
      <c r="D675" s="471" t="str">
        <f ca="1">IFERROR(INDEX(凭证录入!F:F,$AR675),"")</f>
        <v/>
      </c>
      <c r="E675" s="472" t="str">
        <f ca="1">IFERROR(INDEX(凭证录入!H:H,$AR675),$AR675)</f>
        <v/>
      </c>
      <c r="F675" s="473">
        <f ca="1">IF(OR($BG$2=0,$AR675=""),,IF($AR675="本月合计",IF(ROW()=$BG$3,SUM($F$6:$F674),SUM(INDIRECT("$F$"&amp;OFFSET($AU$3,,MATCH(ROW(),$AU$3:$BF$3,)-2)+2&amp;":$E"&amp;ROW()-1))),IF($AR675="本年累计",SUMIF($AR$6:$AR675,"本月合计",$F$6:$F674),INDEX(凭证录入!K:K,$AR675))))</f>
        <v>0</v>
      </c>
      <c r="G675" s="459" t="str">
        <f t="shared" ca="1" si="147"/>
        <v/>
      </c>
      <c r="H675" s="460" t="str">
        <f t="shared" ca="1" si="147"/>
        <v/>
      </c>
      <c r="I675" s="460" t="str">
        <f t="shared" ca="1" si="147"/>
        <v/>
      </c>
      <c r="J675" s="460" t="str">
        <f t="shared" ca="1" si="147"/>
        <v/>
      </c>
      <c r="K675" s="460" t="str">
        <f t="shared" ca="1" si="147"/>
        <v/>
      </c>
      <c r="L675" s="460" t="str">
        <f t="shared" ca="1" si="147"/>
        <v/>
      </c>
      <c r="M675" s="460" t="str">
        <f t="shared" ca="1" si="147"/>
        <v/>
      </c>
      <c r="N675" s="460" t="str">
        <f t="shared" ca="1" si="147"/>
        <v/>
      </c>
      <c r="O675" s="461" t="str">
        <f t="shared" ca="1" si="147"/>
        <v/>
      </c>
      <c r="P675" s="474" t="str">
        <f t="shared" ca="1" si="147"/>
        <v/>
      </c>
      <c r="Q675" s="475" t="str">
        <f t="shared" ca="1" si="147"/>
        <v/>
      </c>
      <c r="R675" s="476">
        <f ca="1">IF(OR($BG$2=0,$AR675=""),,IF($AR675="本月合计",IF(ROW()=$BG$3,SUM($R$6:$R674),SUM(INDIRECT("$R$"&amp;OFFSET($AU$3,,MATCH(ROW(),$AU$3:$BF$3,)-2)+2&amp;":$R"&amp;ROW()-1))),IF($AR675="本年累计",SUMIF($AR$6:$AR675,"本月合计",$R$6:$R674),INDEX(凭证录入!L:L,$AR675))))</f>
        <v>0</v>
      </c>
      <c r="S675" s="459" t="str">
        <f t="shared" ca="1" si="148"/>
        <v/>
      </c>
      <c r="T675" s="460" t="str">
        <f t="shared" ca="1" si="148"/>
        <v/>
      </c>
      <c r="U675" s="460" t="str">
        <f t="shared" ca="1" si="148"/>
        <v/>
      </c>
      <c r="V675" s="460" t="str">
        <f t="shared" ca="1" si="148"/>
        <v/>
      </c>
      <c r="W675" s="460" t="str">
        <f t="shared" ca="1" si="148"/>
        <v/>
      </c>
      <c r="X675" s="460" t="str">
        <f t="shared" ca="1" si="148"/>
        <v/>
      </c>
      <c r="Y675" s="460" t="str">
        <f t="shared" ca="1" si="148"/>
        <v/>
      </c>
      <c r="Z675" s="460" t="str">
        <f t="shared" ca="1" si="148"/>
        <v/>
      </c>
      <c r="AA675" s="461" t="str">
        <f t="shared" ca="1" si="148"/>
        <v/>
      </c>
      <c r="AB675" s="474" t="str">
        <f t="shared" ca="1" si="148"/>
        <v/>
      </c>
      <c r="AC675" s="475" t="str">
        <f t="shared" ca="1" si="148"/>
        <v/>
      </c>
      <c r="AD675" s="477" t="str">
        <f t="shared" ca="1" si="144"/>
        <v/>
      </c>
      <c r="AE675" s="478">
        <f t="shared" ca="1" si="145"/>
        <v>0</v>
      </c>
      <c r="AF675" s="459" t="str">
        <f t="shared" ca="1" si="146"/>
        <v/>
      </c>
      <c r="AG675" s="460" t="str">
        <f t="shared" ca="1" si="146"/>
        <v/>
      </c>
      <c r="AH675" s="460" t="str">
        <f t="shared" ca="1" si="146"/>
        <v/>
      </c>
      <c r="AI675" s="460" t="str">
        <f t="shared" ca="1" si="146"/>
        <v/>
      </c>
      <c r="AJ675" s="460" t="str">
        <f t="shared" ca="1" si="146"/>
        <v/>
      </c>
      <c r="AK675" s="460" t="str">
        <f t="shared" ca="1" si="146"/>
        <v/>
      </c>
      <c r="AL675" s="460" t="str">
        <f t="shared" ca="1" si="146"/>
        <v/>
      </c>
      <c r="AM675" s="460" t="str">
        <f t="shared" ca="1" si="146"/>
        <v/>
      </c>
      <c r="AN675" s="461" t="str">
        <f t="shared" ca="1" si="146"/>
        <v/>
      </c>
      <c r="AO675" s="474" t="str">
        <f t="shared" ca="1" si="146"/>
        <v/>
      </c>
      <c r="AP675" s="475" t="str">
        <f t="shared" ca="1" si="146"/>
        <v/>
      </c>
      <c r="AQ675" s="479" t="str">
        <f t="array" aca="1" ref="AQ675" ca="1">IF(ROW()-5&lt;=COUNTIF(科目编号,$AR$2),SMALL(IF(科目编号=$AR$2,ROW(科目编号),""),ROW()-5),"")</f>
        <v/>
      </c>
      <c r="AR675" s="480" t="str">
        <f ca="1">IF($BG$2=0,"",IF(AR674="本月合计","本年累计",IF(OR(ROW()=$AU$3,ROW()=$AV$3,ROW()=$AW$3,ROW()=$AX$3,ROW()=$AY$3,ROW()=$AZ$3,ROW()=$BA$3,ROW()=$BB$3,ROW()=$BC$3,ROW()=$BD$3,ROW()=$BE$3,ROW()=$BF$3),"本月合计",IF(ROW()&lt;7,$AQ$6,OFFSET($AQ$6,COUNT($AR$6:AR674),0)))))</f>
        <v/>
      </c>
    </row>
    <row r="676" spans="1:44">
      <c r="A676" s="469" t="str">
        <f ca="1">IFERROR(INDEX(凭证录入!A:A,$AR676),"")</f>
        <v/>
      </c>
      <c r="B676" s="469" t="str">
        <f ca="1">IFERROR(INDEX(凭证录入!B:B,$AR676),"")</f>
        <v/>
      </c>
      <c r="C676" s="470" t="str">
        <f ca="1">IFERROR(INDEX(凭证录入!G:G,$AR676),"")</f>
        <v/>
      </c>
      <c r="D676" s="471" t="str">
        <f ca="1">IFERROR(INDEX(凭证录入!F:F,$AR676),"")</f>
        <v/>
      </c>
      <c r="E676" s="472" t="str">
        <f ca="1">IFERROR(INDEX(凭证录入!H:H,$AR676),$AR676)</f>
        <v/>
      </c>
      <c r="F676" s="473">
        <f ca="1">IF(OR($BG$2=0,$AR676=""),,IF($AR676="本月合计",IF(ROW()=$BG$3,SUM($F$6:$F675),SUM(INDIRECT("$F$"&amp;OFFSET($AU$3,,MATCH(ROW(),$AU$3:$BF$3,)-2)+2&amp;":$E"&amp;ROW()-1))),IF($AR676="本年累计",SUMIF($AR$6:$AR676,"本月合计",$F$6:$F675),INDEX(凭证录入!K:K,$AR676))))</f>
        <v>0</v>
      </c>
      <c r="G676" s="459" t="str">
        <f t="shared" ca="1" si="147"/>
        <v/>
      </c>
      <c r="H676" s="460" t="str">
        <f t="shared" ca="1" si="147"/>
        <v/>
      </c>
      <c r="I676" s="460" t="str">
        <f t="shared" ca="1" si="147"/>
        <v/>
      </c>
      <c r="J676" s="460" t="str">
        <f t="shared" ca="1" si="147"/>
        <v/>
      </c>
      <c r="K676" s="460" t="str">
        <f t="shared" ca="1" si="147"/>
        <v/>
      </c>
      <c r="L676" s="460" t="str">
        <f t="shared" ca="1" si="147"/>
        <v/>
      </c>
      <c r="M676" s="460" t="str">
        <f t="shared" ca="1" si="147"/>
        <v/>
      </c>
      <c r="N676" s="460" t="str">
        <f t="shared" ca="1" si="147"/>
        <v/>
      </c>
      <c r="O676" s="461" t="str">
        <f t="shared" ca="1" si="147"/>
        <v/>
      </c>
      <c r="P676" s="474" t="str">
        <f t="shared" ca="1" si="147"/>
        <v/>
      </c>
      <c r="Q676" s="475" t="str">
        <f t="shared" ca="1" si="147"/>
        <v/>
      </c>
      <c r="R676" s="476">
        <f ca="1">IF(OR($BG$2=0,$AR676=""),,IF($AR676="本月合计",IF(ROW()=$BG$3,SUM($R$6:$R675),SUM(INDIRECT("$R$"&amp;OFFSET($AU$3,,MATCH(ROW(),$AU$3:$BF$3,)-2)+2&amp;":$R"&amp;ROW()-1))),IF($AR676="本年累计",SUMIF($AR$6:$AR676,"本月合计",$R$6:$R675),INDEX(凭证录入!L:L,$AR676))))</f>
        <v>0</v>
      </c>
      <c r="S676" s="459" t="str">
        <f t="shared" ca="1" si="148"/>
        <v/>
      </c>
      <c r="T676" s="460" t="str">
        <f t="shared" ca="1" si="148"/>
        <v/>
      </c>
      <c r="U676" s="460" t="str">
        <f t="shared" ca="1" si="148"/>
        <v/>
      </c>
      <c r="V676" s="460" t="str">
        <f t="shared" ca="1" si="148"/>
        <v/>
      </c>
      <c r="W676" s="460" t="str">
        <f t="shared" ca="1" si="148"/>
        <v/>
      </c>
      <c r="X676" s="460" t="str">
        <f t="shared" ca="1" si="148"/>
        <v/>
      </c>
      <c r="Y676" s="460" t="str">
        <f t="shared" ca="1" si="148"/>
        <v/>
      </c>
      <c r="Z676" s="460" t="str">
        <f t="shared" ca="1" si="148"/>
        <v/>
      </c>
      <c r="AA676" s="461" t="str">
        <f t="shared" ca="1" si="148"/>
        <v/>
      </c>
      <c r="AB676" s="474" t="str">
        <f t="shared" ca="1" si="148"/>
        <v/>
      </c>
      <c r="AC676" s="475" t="str">
        <f t="shared" ca="1" si="148"/>
        <v/>
      </c>
      <c r="AD676" s="477" t="str">
        <f t="shared" ca="1" si="144"/>
        <v/>
      </c>
      <c r="AE676" s="478">
        <f t="shared" ca="1" si="145"/>
        <v>0</v>
      </c>
      <c r="AF676" s="459" t="str">
        <f t="shared" ca="1" si="146"/>
        <v/>
      </c>
      <c r="AG676" s="460" t="str">
        <f t="shared" ca="1" si="146"/>
        <v/>
      </c>
      <c r="AH676" s="460" t="str">
        <f t="shared" ca="1" si="146"/>
        <v/>
      </c>
      <c r="AI676" s="460" t="str">
        <f t="shared" ca="1" si="146"/>
        <v/>
      </c>
      <c r="AJ676" s="460" t="str">
        <f t="shared" ca="1" si="146"/>
        <v/>
      </c>
      <c r="AK676" s="460" t="str">
        <f t="shared" ca="1" si="146"/>
        <v/>
      </c>
      <c r="AL676" s="460" t="str">
        <f t="shared" ca="1" si="146"/>
        <v/>
      </c>
      <c r="AM676" s="460" t="str">
        <f t="shared" ca="1" si="146"/>
        <v/>
      </c>
      <c r="AN676" s="461" t="str">
        <f t="shared" ca="1" si="146"/>
        <v/>
      </c>
      <c r="AO676" s="474" t="str">
        <f t="shared" ca="1" si="146"/>
        <v/>
      </c>
      <c r="AP676" s="475" t="str">
        <f t="shared" ca="1" si="146"/>
        <v/>
      </c>
      <c r="AQ676" s="479" t="str">
        <f t="array" aca="1" ref="AQ676" ca="1">IF(ROW()-5&lt;=COUNTIF(科目编号,$AR$2),SMALL(IF(科目编号=$AR$2,ROW(科目编号),""),ROW()-5),"")</f>
        <v/>
      </c>
      <c r="AR676" s="480" t="str">
        <f ca="1">IF($BG$2=0,"",IF(AR675="本月合计","本年累计",IF(OR(ROW()=$AU$3,ROW()=$AV$3,ROW()=$AW$3,ROW()=$AX$3,ROW()=$AY$3,ROW()=$AZ$3,ROW()=$BA$3,ROW()=$BB$3,ROW()=$BC$3,ROW()=$BD$3,ROW()=$BE$3,ROW()=$BF$3),"本月合计",IF(ROW()&lt;7,$AQ$6,OFFSET($AQ$6,COUNT($AR$6:AR675),0)))))</f>
        <v/>
      </c>
    </row>
    <row r="677" spans="1:44">
      <c r="A677" s="469" t="str">
        <f ca="1">IFERROR(INDEX(凭证录入!A:A,$AR677),"")</f>
        <v/>
      </c>
      <c r="B677" s="469" t="str">
        <f ca="1">IFERROR(INDEX(凭证录入!B:B,$AR677),"")</f>
        <v/>
      </c>
      <c r="C677" s="470" t="str">
        <f ca="1">IFERROR(INDEX(凭证录入!G:G,$AR677),"")</f>
        <v/>
      </c>
      <c r="D677" s="471" t="str">
        <f ca="1">IFERROR(INDEX(凭证录入!F:F,$AR677),"")</f>
        <v/>
      </c>
      <c r="E677" s="472" t="str">
        <f ca="1">IFERROR(INDEX(凭证录入!H:H,$AR677),$AR677)</f>
        <v/>
      </c>
      <c r="F677" s="473">
        <f ca="1">IF(OR($BG$2=0,$AR677=""),,IF($AR677="本月合计",IF(ROW()=$BG$3,SUM($F$6:$F676),SUM(INDIRECT("$F$"&amp;OFFSET($AU$3,,MATCH(ROW(),$AU$3:$BF$3,)-2)+2&amp;":$E"&amp;ROW()-1))),IF($AR677="本年累计",SUMIF($AR$6:$AR677,"本月合计",$F$6:$F676),INDEX(凭证录入!K:K,$AR677))))</f>
        <v>0</v>
      </c>
      <c r="G677" s="459" t="str">
        <f t="shared" ca="1" si="147"/>
        <v/>
      </c>
      <c r="H677" s="460" t="str">
        <f t="shared" ca="1" si="147"/>
        <v/>
      </c>
      <c r="I677" s="460" t="str">
        <f t="shared" ca="1" si="147"/>
        <v/>
      </c>
      <c r="J677" s="460" t="str">
        <f t="shared" ca="1" si="147"/>
        <v/>
      </c>
      <c r="K677" s="460" t="str">
        <f t="shared" ca="1" si="147"/>
        <v/>
      </c>
      <c r="L677" s="460" t="str">
        <f t="shared" ca="1" si="147"/>
        <v/>
      </c>
      <c r="M677" s="460" t="str">
        <f t="shared" ca="1" si="147"/>
        <v/>
      </c>
      <c r="N677" s="460" t="str">
        <f t="shared" ca="1" si="147"/>
        <v/>
      </c>
      <c r="O677" s="461" t="str">
        <f t="shared" ca="1" si="147"/>
        <v/>
      </c>
      <c r="P677" s="474" t="str">
        <f t="shared" ca="1" si="147"/>
        <v/>
      </c>
      <c r="Q677" s="475" t="str">
        <f t="shared" ca="1" si="147"/>
        <v/>
      </c>
      <c r="R677" s="476">
        <f ca="1">IF(OR($BG$2=0,$AR677=""),,IF($AR677="本月合计",IF(ROW()=$BG$3,SUM($R$6:$R676),SUM(INDIRECT("$R$"&amp;OFFSET($AU$3,,MATCH(ROW(),$AU$3:$BF$3,)-2)+2&amp;":$R"&amp;ROW()-1))),IF($AR677="本年累计",SUMIF($AR$6:$AR677,"本月合计",$R$6:$R676),INDEX(凭证录入!L:L,$AR677))))</f>
        <v>0</v>
      </c>
      <c r="S677" s="459" t="str">
        <f t="shared" ca="1" si="148"/>
        <v/>
      </c>
      <c r="T677" s="460" t="str">
        <f t="shared" ca="1" si="148"/>
        <v/>
      </c>
      <c r="U677" s="460" t="str">
        <f t="shared" ca="1" si="148"/>
        <v/>
      </c>
      <c r="V677" s="460" t="str">
        <f t="shared" ca="1" si="148"/>
        <v/>
      </c>
      <c r="W677" s="460" t="str">
        <f t="shared" ca="1" si="148"/>
        <v/>
      </c>
      <c r="X677" s="460" t="str">
        <f t="shared" ca="1" si="148"/>
        <v/>
      </c>
      <c r="Y677" s="460" t="str">
        <f t="shared" ca="1" si="148"/>
        <v/>
      </c>
      <c r="Z677" s="460" t="str">
        <f t="shared" ca="1" si="148"/>
        <v/>
      </c>
      <c r="AA677" s="461" t="str">
        <f t="shared" ca="1" si="148"/>
        <v/>
      </c>
      <c r="AB677" s="474" t="str">
        <f t="shared" ca="1" si="148"/>
        <v/>
      </c>
      <c r="AC677" s="475" t="str">
        <f t="shared" ca="1" si="148"/>
        <v/>
      </c>
      <c r="AD677" s="477" t="str">
        <f t="shared" ca="1" si="144"/>
        <v/>
      </c>
      <c r="AE677" s="478">
        <f t="shared" ca="1" si="145"/>
        <v>0</v>
      </c>
      <c r="AF677" s="459" t="str">
        <f t="shared" ref="AF677:AP692" ca="1" si="149">LEFT(RIGHT(TEXT($AE677/1%," ￥0; ￥-0;"),43-COLUMN()))</f>
        <v/>
      </c>
      <c r="AG677" s="460" t="str">
        <f t="shared" ca="1" si="149"/>
        <v/>
      </c>
      <c r="AH677" s="460" t="str">
        <f t="shared" ca="1" si="149"/>
        <v/>
      </c>
      <c r="AI677" s="460" t="str">
        <f t="shared" ca="1" si="149"/>
        <v/>
      </c>
      <c r="AJ677" s="460" t="str">
        <f t="shared" ca="1" si="149"/>
        <v/>
      </c>
      <c r="AK677" s="460" t="str">
        <f t="shared" ca="1" si="149"/>
        <v/>
      </c>
      <c r="AL677" s="460" t="str">
        <f t="shared" ca="1" si="149"/>
        <v/>
      </c>
      <c r="AM677" s="460" t="str">
        <f t="shared" ca="1" si="149"/>
        <v/>
      </c>
      <c r="AN677" s="461" t="str">
        <f t="shared" ca="1" si="149"/>
        <v/>
      </c>
      <c r="AO677" s="474" t="str">
        <f t="shared" ca="1" si="149"/>
        <v/>
      </c>
      <c r="AP677" s="475" t="str">
        <f t="shared" ca="1" si="149"/>
        <v/>
      </c>
      <c r="AQ677" s="479" t="str">
        <f t="array" aca="1" ref="AQ677" ca="1">IF(ROW()-5&lt;=COUNTIF(科目编号,$AR$2),SMALL(IF(科目编号=$AR$2,ROW(科目编号),""),ROW()-5),"")</f>
        <v/>
      </c>
      <c r="AR677" s="480" t="str">
        <f ca="1">IF($BG$2=0,"",IF(AR676="本月合计","本年累计",IF(OR(ROW()=$AU$3,ROW()=$AV$3,ROW()=$AW$3,ROW()=$AX$3,ROW()=$AY$3,ROW()=$AZ$3,ROW()=$BA$3,ROW()=$BB$3,ROW()=$BC$3,ROW()=$BD$3,ROW()=$BE$3,ROW()=$BF$3),"本月合计",IF(ROW()&lt;7,$AQ$6,OFFSET($AQ$6,COUNT($AR$6:AR676),0)))))</f>
        <v/>
      </c>
    </row>
    <row r="678" spans="1:44">
      <c r="A678" s="469" t="str">
        <f ca="1">IFERROR(INDEX(凭证录入!A:A,$AR678),"")</f>
        <v/>
      </c>
      <c r="B678" s="469" t="str">
        <f ca="1">IFERROR(INDEX(凭证录入!B:B,$AR678),"")</f>
        <v/>
      </c>
      <c r="C678" s="470" t="str">
        <f ca="1">IFERROR(INDEX(凭证录入!G:G,$AR678),"")</f>
        <v/>
      </c>
      <c r="D678" s="471" t="str">
        <f ca="1">IFERROR(INDEX(凭证录入!F:F,$AR678),"")</f>
        <v/>
      </c>
      <c r="E678" s="472" t="str">
        <f ca="1">IFERROR(INDEX(凭证录入!H:H,$AR678),$AR678)</f>
        <v/>
      </c>
      <c r="F678" s="473">
        <f ca="1">IF(OR($BG$2=0,$AR678=""),,IF($AR678="本月合计",IF(ROW()=$BG$3,SUM($F$6:$F677),SUM(INDIRECT("$F$"&amp;OFFSET($AU$3,,MATCH(ROW(),$AU$3:$BF$3,)-2)+2&amp;":$E"&amp;ROW()-1))),IF($AR678="本年累计",SUMIF($AR$6:$AR678,"本月合计",$F$6:$F677),INDEX(凭证录入!K:K,$AR678))))</f>
        <v>0</v>
      </c>
      <c r="G678" s="459" t="str">
        <f t="shared" ref="G678:Q693" ca="1" si="150">LEFT(RIGHT(TEXT($F678/1%," ￥0; ￥-0;"),18-COLUMN()))</f>
        <v/>
      </c>
      <c r="H678" s="460" t="str">
        <f t="shared" ca="1" si="150"/>
        <v/>
      </c>
      <c r="I678" s="460" t="str">
        <f t="shared" ca="1" si="150"/>
        <v/>
      </c>
      <c r="J678" s="460" t="str">
        <f t="shared" ca="1" si="150"/>
        <v/>
      </c>
      <c r="K678" s="460" t="str">
        <f t="shared" ca="1" si="150"/>
        <v/>
      </c>
      <c r="L678" s="460" t="str">
        <f t="shared" ca="1" si="150"/>
        <v/>
      </c>
      <c r="M678" s="460" t="str">
        <f t="shared" ca="1" si="150"/>
        <v/>
      </c>
      <c r="N678" s="460" t="str">
        <f t="shared" ca="1" si="150"/>
        <v/>
      </c>
      <c r="O678" s="461" t="str">
        <f t="shared" ca="1" si="150"/>
        <v/>
      </c>
      <c r="P678" s="474" t="str">
        <f t="shared" ca="1" si="150"/>
        <v/>
      </c>
      <c r="Q678" s="475" t="str">
        <f t="shared" ca="1" si="150"/>
        <v/>
      </c>
      <c r="R678" s="476">
        <f ca="1">IF(OR($BG$2=0,$AR678=""),,IF($AR678="本月合计",IF(ROW()=$BG$3,SUM($R$6:$R677),SUM(INDIRECT("$R$"&amp;OFFSET($AU$3,,MATCH(ROW(),$AU$3:$BF$3,)-2)+2&amp;":$R"&amp;ROW()-1))),IF($AR678="本年累计",SUMIF($AR$6:$AR678,"本月合计",$R$6:$R677),INDEX(凭证录入!L:L,$AR678))))</f>
        <v>0</v>
      </c>
      <c r="S678" s="459" t="str">
        <f t="shared" ref="S678:AC693" ca="1" si="151">LEFT(RIGHT(TEXT($R678/1%," ￥0; ￥-0;"),30-COLUMN()))</f>
        <v/>
      </c>
      <c r="T678" s="460" t="str">
        <f t="shared" ca="1" si="151"/>
        <v/>
      </c>
      <c r="U678" s="460" t="str">
        <f t="shared" ca="1" si="151"/>
        <v/>
      </c>
      <c r="V678" s="460" t="str">
        <f t="shared" ca="1" si="151"/>
        <v/>
      </c>
      <c r="W678" s="460" t="str">
        <f t="shared" ca="1" si="151"/>
        <v/>
      </c>
      <c r="X678" s="460" t="str">
        <f t="shared" ca="1" si="151"/>
        <v/>
      </c>
      <c r="Y678" s="460" t="str">
        <f t="shared" ca="1" si="151"/>
        <v/>
      </c>
      <c r="Z678" s="460" t="str">
        <f t="shared" ca="1" si="151"/>
        <v/>
      </c>
      <c r="AA678" s="461" t="str">
        <f t="shared" ca="1" si="151"/>
        <v/>
      </c>
      <c r="AB678" s="474" t="str">
        <f t="shared" ca="1" si="151"/>
        <v/>
      </c>
      <c r="AC678" s="475" t="str">
        <f t="shared" ca="1" si="151"/>
        <v/>
      </c>
      <c r="AD678" s="477" t="str">
        <f t="shared" ca="1" si="144"/>
        <v/>
      </c>
      <c r="AE678" s="478">
        <f t="shared" ca="1" si="145"/>
        <v>0</v>
      </c>
      <c r="AF678" s="459" t="str">
        <f t="shared" ca="1" si="149"/>
        <v/>
      </c>
      <c r="AG678" s="460" t="str">
        <f t="shared" ca="1" si="149"/>
        <v/>
      </c>
      <c r="AH678" s="460" t="str">
        <f t="shared" ca="1" si="149"/>
        <v/>
      </c>
      <c r="AI678" s="460" t="str">
        <f t="shared" ca="1" si="149"/>
        <v/>
      </c>
      <c r="AJ678" s="460" t="str">
        <f t="shared" ca="1" si="149"/>
        <v/>
      </c>
      <c r="AK678" s="460" t="str">
        <f t="shared" ca="1" si="149"/>
        <v/>
      </c>
      <c r="AL678" s="460" t="str">
        <f t="shared" ca="1" si="149"/>
        <v/>
      </c>
      <c r="AM678" s="460" t="str">
        <f t="shared" ca="1" si="149"/>
        <v/>
      </c>
      <c r="AN678" s="461" t="str">
        <f t="shared" ca="1" si="149"/>
        <v/>
      </c>
      <c r="AO678" s="474" t="str">
        <f t="shared" ca="1" si="149"/>
        <v/>
      </c>
      <c r="AP678" s="475" t="str">
        <f t="shared" ca="1" si="149"/>
        <v/>
      </c>
      <c r="AQ678" s="479" t="str">
        <f t="array" aca="1" ref="AQ678" ca="1">IF(ROW()-5&lt;=COUNTIF(科目编号,$AR$2),SMALL(IF(科目编号=$AR$2,ROW(科目编号),""),ROW()-5),"")</f>
        <v/>
      </c>
      <c r="AR678" s="480" t="str">
        <f ca="1">IF($BG$2=0,"",IF(AR677="本月合计","本年累计",IF(OR(ROW()=$AU$3,ROW()=$AV$3,ROW()=$AW$3,ROW()=$AX$3,ROW()=$AY$3,ROW()=$AZ$3,ROW()=$BA$3,ROW()=$BB$3,ROW()=$BC$3,ROW()=$BD$3,ROW()=$BE$3,ROW()=$BF$3),"本月合计",IF(ROW()&lt;7,$AQ$6,OFFSET($AQ$6,COUNT($AR$6:AR677),0)))))</f>
        <v/>
      </c>
    </row>
    <row r="679" spans="1:44">
      <c r="A679" s="469" t="str">
        <f ca="1">IFERROR(INDEX(凭证录入!A:A,$AR679),"")</f>
        <v/>
      </c>
      <c r="B679" s="469" t="str">
        <f ca="1">IFERROR(INDEX(凭证录入!B:B,$AR679),"")</f>
        <v/>
      </c>
      <c r="C679" s="470" t="str">
        <f ca="1">IFERROR(INDEX(凭证录入!G:G,$AR679),"")</f>
        <v/>
      </c>
      <c r="D679" s="471" t="str">
        <f ca="1">IFERROR(INDEX(凭证录入!F:F,$AR679),"")</f>
        <v/>
      </c>
      <c r="E679" s="472" t="str">
        <f ca="1">IFERROR(INDEX(凭证录入!H:H,$AR679),$AR679)</f>
        <v/>
      </c>
      <c r="F679" s="473">
        <f ca="1">IF(OR($BG$2=0,$AR679=""),,IF($AR679="本月合计",IF(ROW()=$BG$3,SUM($F$6:$F678),SUM(INDIRECT("$F$"&amp;OFFSET($AU$3,,MATCH(ROW(),$AU$3:$BF$3,)-2)+2&amp;":$E"&amp;ROW()-1))),IF($AR679="本年累计",SUMIF($AR$6:$AR679,"本月合计",$F$6:$F678),INDEX(凭证录入!K:K,$AR679))))</f>
        <v>0</v>
      </c>
      <c r="G679" s="459" t="str">
        <f t="shared" ca="1" si="150"/>
        <v/>
      </c>
      <c r="H679" s="460" t="str">
        <f t="shared" ca="1" si="150"/>
        <v/>
      </c>
      <c r="I679" s="460" t="str">
        <f t="shared" ca="1" si="150"/>
        <v/>
      </c>
      <c r="J679" s="460" t="str">
        <f t="shared" ca="1" si="150"/>
        <v/>
      </c>
      <c r="K679" s="460" t="str">
        <f t="shared" ca="1" si="150"/>
        <v/>
      </c>
      <c r="L679" s="460" t="str">
        <f t="shared" ca="1" si="150"/>
        <v/>
      </c>
      <c r="M679" s="460" t="str">
        <f t="shared" ca="1" si="150"/>
        <v/>
      </c>
      <c r="N679" s="460" t="str">
        <f t="shared" ca="1" si="150"/>
        <v/>
      </c>
      <c r="O679" s="461" t="str">
        <f t="shared" ca="1" si="150"/>
        <v/>
      </c>
      <c r="P679" s="474" t="str">
        <f t="shared" ca="1" si="150"/>
        <v/>
      </c>
      <c r="Q679" s="475" t="str">
        <f t="shared" ca="1" si="150"/>
        <v/>
      </c>
      <c r="R679" s="476">
        <f ca="1">IF(OR($BG$2=0,$AR679=""),,IF($AR679="本月合计",IF(ROW()=$BG$3,SUM($R$6:$R678),SUM(INDIRECT("$R$"&amp;OFFSET($AU$3,,MATCH(ROW(),$AU$3:$BF$3,)-2)+2&amp;":$R"&amp;ROW()-1))),IF($AR679="本年累计",SUMIF($AR$6:$AR679,"本月合计",$R$6:$R678),INDEX(凭证录入!L:L,$AR679))))</f>
        <v>0</v>
      </c>
      <c r="S679" s="459" t="str">
        <f t="shared" ca="1" si="151"/>
        <v/>
      </c>
      <c r="T679" s="460" t="str">
        <f t="shared" ca="1" si="151"/>
        <v/>
      </c>
      <c r="U679" s="460" t="str">
        <f t="shared" ca="1" si="151"/>
        <v/>
      </c>
      <c r="V679" s="460" t="str">
        <f t="shared" ca="1" si="151"/>
        <v/>
      </c>
      <c r="W679" s="460" t="str">
        <f t="shared" ca="1" si="151"/>
        <v/>
      </c>
      <c r="X679" s="460" t="str">
        <f t="shared" ca="1" si="151"/>
        <v/>
      </c>
      <c r="Y679" s="460" t="str">
        <f t="shared" ca="1" si="151"/>
        <v/>
      </c>
      <c r="Z679" s="460" t="str">
        <f t="shared" ca="1" si="151"/>
        <v/>
      </c>
      <c r="AA679" s="461" t="str">
        <f t="shared" ca="1" si="151"/>
        <v/>
      </c>
      <c r="AB679" s="474" t="str">
        <f t="shared" ca="1" si="151"/>
        <v/>
      </c>
      <c r="AC679" s="475" t="str">
        <f t="shared" ca="1" si="151"/>
        <v/>
      </c>
      <c r="AD679" s="477" t="str">
        <f t="shared" ca="1" si="144"/>
        <v/>
      </c>
      <c r="AE679" s="478">
        <f t="shared" ca="1" si="145"/>
        <v>0</v>
      </c>
      <c r="AF679" s="459" t="str">
        <f t="shared" ca="1" si="149"/>
        <v/>
      </c>
      <c r="AG679" s="460" t="str">
        <f t="shared" ca="1" si="149"/>
        <v/>
      </c>
      <c r="AH679" s="460" t="str">
        <f t="shared" ca="1" si="149"/>
        <v/>
      </c>
      <c r="AI679" s="460" t="str">
        <f t="shared" ca="1" si="149"/>
        <v/>
      </c>
      <c r="AJ679" s="460" t="str">
        <f t="shared" ca="1" si="149"/>
        <v/>
      </c>
      <c r="AK679" s="460" t="str">
        <f t="shared" ca="1" si="149"/>
        <v/>
      </c>
      <c r="AL679" s="460" t="str">
        <f t="shared" ca="1" si="149"/>
        <v/>
      </c>
      <c r="AM679" s="460" t="str">
        <f t="shared" ca="1" si="149"/>
        <v/>
      </c>
      <c r="AN679" s="461" t="str">
        <f t="shared" ca="1" si="149"/>
        <v/>
      </c>
      <c r="AO679" s="474" t="str">
        <f t="shared" ca="1" si="149"/>
        <v/>
      </c>
      <c r="AP679" s="475" t="str">
        <f t="shared" ca="1" si="149"/>
        <v/>
      </c>
      <c r="AQ679" s="479" t="str">
        <f t="array" aca="1" ref="AQ679" ca="1">IF(ROW()-5&lt;=COUNTIF(科目编号,$AR$2),SMALL(IF(科目编号=$AR$2,ROW(科目编号),""),ROW()-5),"")</f>
        <v/>
      </c>
      <c r="AR679" s="480" t="str">
        <f ca="1">IF($BG$2=0,"",IF(AR678="本月合计","本年累计",IF(OR(ROW()=$AU$3,ROW()=$AV$3,ROW()=$AW$3,ROW()=$AX$3,ROW()=$AY$3,ROW()=$AZ$3,ROW()=$BA$3,ROW()=$BB$3,ROW()=$BC$3,ROW()=$BD$3,ROW()=$BE$3,ROW()=$BF$3),"本月合计",IF(ROW()&lt;7,$AQ$6,OFFSET($AQ$6,COUNT($AR$6:AR678),0)))))</f>
        <v/>
      </c>
    </row>
    <row r="680" spans="1:44">
      <c r="A680" s="469" t="str">
        <f ca="1">IFERROR(INDEX(凭证录入!A:A,$AR680),"")</f>
        <v/>
      </c>
      <c r="B680" s="469" t="str">
        <f ca="1">IFERROR(INDEX(凭证录入!B:B,$AR680),"")</f>
        <v/>
      </c>
      <c r="C680" s="470" t="str">
        <f ca="1">IFERROR(INDEX(凭证录入!G:G,$AR680),"")</f>
        <v/>
      </c>
      <c r="D680" s="471" t="str">
        <f ca="1">IFERROR(INDEX(凭证录入!F:F,$AR680),"")</f>
        <v/>
      </c>
      <c r="E680" s="472" t="str">
        <f ca="1">IFERROR(INDEX(凭证录入!H:H,$AR680),$AR680)</f>
        <v/>
      </c>
      <c r="F680" s="473">
        <f ca="1">IF(OR($BG$2=0,$AR680=""),,IF($AR680="本月合计",IF(ROW()=$BG$3,SUM($F$6:$F679),SUM(INDIRECT("$F$"&amp;OFFSET($AU$3,,MATCH(ROW(),$AU$3:$BF$3,)-2)+2&amp;":$E"&amp;ROW()-1))),IF($AR680="本年累计",SUMIF($AR$6:$AR680,"本月合计",$F$6:$F679),INDEX(凭证录入!K:K,$AR680))))</f>
        <v>0</v>
      </c>
      <c r="G680" s="459" t="str">
        <f t="shared" ca="1" si="150"/>
        <v/>
      </c>
      <c r="H680" s="460" t="str">
        <f t="shared" ca="1" si="150"/>
        <v/>
      </c>
      <c r="I680" s="460" t="str">
        <f t="shared" ca="1" si="150"/>
        <v/>
      </c>
      <c r="J680" s="460" t="str">
        <f t="shared" ca="1" si="150"/>
        <v/>
      </c>
      <c r="K680" s="460" t="str">
        <f t="shared" ca="1" si="150"/>
        <v/>
      </c>
      <c r="L680" s="460" t="str">
        <f t="shared" ca="1" si="150"/>
        <v/>
      </c>
      <c r="M680" s="460" t="str">
        <f t="shared" ca="1" si="150"/>
        <v/>
      </c>
      <c r="N680" s="460" t="str">
        <f t="shared" ca="1" si="150"/>
        <v/>
      </c>
      <c r="O680" s="461" t="str">
        <f t="shared" ca="1" si="150"/>
        <v/>
      </c>
      <c r="P680" s="474" t="str">
        <f t="shared" ca="1" si="150"/>
        <v/>
      </c>
      <c r="Q680" s="475" t="str">
        <f t="shared" ca="1" si="150"/>
        <v/>
      </c>
      <c r="R680" s="476">
        <f ca="1">IF(OR($BG$2=0,$AR680=""),,IF($AR680="本月合计",IF(ROW()=$BG$3,SUM($R$6:$R679),SUM(INDIRECT("$R$"&amp;OFFSET($AU$3,,MATCH(ROW(),$AU$3:$BF$3,)-2)+2&amp;":$R"&amp;ROW()-1))),IF($AR680="本年累计",SUMIF($AR$6:$AR680,"本月合计",$R$6:$R679),INDEX(凭证录入!L:L,$AR680))))</f>
        <v>0</v>
      </c>
      <c r="S680" s="459" t="str">
        <f t="shared" ca="1" si="151"/>
        <v/>
      </c>
      <c r="T680" s="460" t="str">
        <f t="shared" ca="1" si="151"/>
        <v/>
      </c>
      <c r="U680" s="460" t="str">
        <f t="shared" ca="1" si="151"/>
        <v/>
      </c>
      <c r="V680" s="460" t="str">
        <f t="shared" ca="1" si="151"/>
        <v/>
      </c>
      <c r="W680" s="460" t="str">
        <f t="shared" ca="1" si="151"/>
        <v/>
      </c>
      <c r="X680" s="460" t="str">
        <f t="shared" ca="1" si="151"/>
        <v/>
      </c>
      <c r="Y680" s="460" t="str">
        <f t="shared" ca="1" si="151"/>
        <v/>
      </c>
      <c r="Z680" s="460" t="str">
        <f t="shared" ca="1" si="151"/>
        <v/>
      </c>
      <c r="AA680" s="461" t="str">
        <f t="shared" ca="1" si="151"/>
        <v/>
      </c>
      <c r="AB680" s="474" t="str">
        <f t="shared" ca="1" si="151"/>
        <v/>
      </c>
      <c r="AC680" s="475" t="str">
        <f t="shared" ca="1" si="151"/>
        <v/>
      </c>
      <c r="AD680" s="477" t="str">
        <f t="shared" ca="1" si="144"/>
        <v/>
      </c>
      <c r="AE680" s="478">
        <f t="shared" ca="1" si="145"/>
        <v>0</v>
      </c>
      <c r="AF680" s="459" t="str">
        <f t="shared" ca="1" si="149"/>
        <v/>
      </c>
      <c r="AG680" s="460" t="str">
        <f t="shared" ca="1" si="149"/>
        <v/>
      </c>
      <c r="AH680" s="460" t="str">
        <f t="shared" ca="1" si="149"/>
        <v/>
      </c>
      <c r="AI680" s="460" t="str">
        <f t="shared" ca="1" si="149"/>
        <v/>
      </c>
      <c r="AJ680" s="460" t="str">
        <f t="shared" ca="1" si="149"/>
        <v/>
      </c>
      <c r="AK680" s="460" t="str">
        <f t="shared" ca="1" si="149"/>
        <v/>
      </c>
      <c r="AL680" s="460" t="str">
        <f t="shared" ca="1" si="149"/>
        <v/>
      </c>
      <c r="AM680" s="460" t="str">
        <f t="shared" ca="1" si="149"/>
        <v/>
      </c>
      <c r="AN680" s="461" t="str">
        <f t="shared" ca="1" si="149"/>
        <v/>
      </c>
      <c r="AO680" s="474" t="str">
        <f t="shared" ca="1" si="149"/>
        <v/>
      </c>
      <c r="AP680" s="475" t="str">
        <f t="shared" ca="1" si="149"/>
        <v/>
      </c>
      <c r="AQ680" s="479" t="str">
        <f t="array" aca="1" ref="AQ680" ca="1">IF(ROW()-5&lt;=COUNTIF(科目编号,$AR$2),SMALL(IF(科目编号=$AR$2,ROW(科目编号),""),ROW()-5),"")</f>
        <v/>
      </c>
      <c r="AR680" s="480" t="str">
        <f ca="1">IF($BG$2=0,"",IF(AR679="本月合计","本年累计",IF(OR(ROW()=$AU$3,ROW()=$AV$3,ROW()=$AW$3,ROW()=$AX$3,ROW()=$AY$3,ROW()=$AZ$3,ROW()=$BA$3,ROW()=$BB$3,ROW()=$BC$3,ROW()=$BD$3,ROW()=$BE$3,ROW()=$BF$3),"本月合计",IF(ROW()&lt;7,$AQ$6,OFFSET($AQ$6,COUNT($AR$6:AR679),0)))))</f>
        <v/>
      </c>
    </row>
    <row r="681" spans="1:44">
      <c r="A681" s="469" t="str">
        <f ca="1">IFERROR(INDEX(凭证录入!A:A,$AR681),"")</f>
        <v/>
      </c>
      <c r="B681" s="469" t="str">
        <f ca="1">IFERROR(INDEX(凭证录入!B:B,$AR681),"")</f>
        <v/>
      </c>
      <c r="C681" s="470" t="str">
        <f ca="1">IFERROR(INDEX(凭证录入!G:G,$AR681),"")</f>
        <v/>
      </c>
      <c r="D681" s="471" t="str">
        <f ca="1">IFERROR(INDEX(凭证录入!F:F,$AR681),"")</f>
        <v/>
      </c>
      <c r="E681" s="472" t="str">
        <f ca="1">IFERROR(INDEX(凭证录入!H:H,$AR681),$AR681)</f>
        <v/>
      </c>
      <c r="F681" s="473">
        <f ca="1">IF(OR($BG$2=0,$AR681=""),,IF($AR681="本月合计",IF(ROW()=$BG$3,SUM($F$6:$F680),SUM(INDIRECT("$F$"&amp;OFFSET($AU$3,,MATCH(ROW(),$AU$3:$BF$3,)-2)+2&amp;":$E"&amp;ROW()-1))),IF($AR681="本年累计",SUMIF($AR$6:$AR681,"本月合计",$F$6:$F680),INDEX(凭证录入!K:K,$AR681))))</f>
        <v>0</v>
      </c>
      <c r="G681" s="459" t="str">
        <f t="shared" ca="1" si="150"/>
        <v/>
      </c>
      <c r="H681" s="460" t="str">
        <f t="shared" ca="1" si="150"/>
        <v/>
      </c>
      <c r="I681" s="460" t="str">
        <f t="shared" ca="1" si="150"/>
        <v/>
      </c>
      <c r="J681" s="460" t="str">
        <f t="shared" ca="1" si="150"/>
        <v/>
      </c>
      <c r="K681" s="460" t="str">
        <f t="shared" ca="1" si="150"/>
        <v/>
      </c>
      <c r="L681" s="460" t="str">
        <f t="shared" ca="1" si="150"/>
        <v/>
      </c>
      <c r="M681" s="460" t="str">
        <f t="shared" ca="1" si="150"/>
        <v/>
      </c>
      <c r="N681" s="460" t="str">
        <f t="shared" ca="1" si="150"/>
        <v/>
      </c>
      <c r="O681" s="461" t="str">
        <f t="shared" ca="1" si="150"/>
        <v/>
      </c>
      <c r="P681" s="474" t="str">
        <f t="shared" ca="1" si="150"/>
        <v/>
      </c>
      <c r="Q681" s="475" t="str">
        <f t="shared" ca="1" si="150"/>
        <v/>
      </c>
      <c r="R681" s="476">
        <f ca="1">IF(OR($BG$2=0,$AR681=""),,IF($AR681="本月合计",IF(ROW()=$BG$3,SUM($R$6:$R680),SUM(INDIRECT("$R$"&amp;OFFSET($AU$3,,MATCH(ROW(),$AU$3:$BF$3,)-2)+2&amp;":$R"&amp;ROW()-1))),IF($AR681="本年累计",SUMIF($AR$6:$AR681,"本月合计",$R$6:$R680),INDEX(凭证录入!L:L,$AR681))))</f>
        <v>0</v>
      </c>
      <c r="S681" s="459" t="str">
        <f t="shared" ca="1" si="151"/>
        <v/>
      </c>
      <c r="T681" s="460" t="str">
        <f t="shared" ca="1" si="151"/>
        <v/>
      </c>
      <c r="U681" s="460" t="str">
        <f t="shared" ca="1" si="151"/>
        <v/>
      </c>
      <c r="V681" s="460" t="str">
        <f t="shared" ca="1" si="151"/>
        <v/>
      </c>
      <c r="W681" s="460" t="str">
        <f t="shared" ca="1" si="151"/>
        <v/>
      </c>
      <c r="X681" s="460" t="str">
        <f t="shared" ca="1" si="151"/>
        <v/>
      </c>
      <c r="Y681" s="460" t="str">
        <f t="shared" ca="1" si="151"/>
        <v/>
      </c>
      <c r="Z681" s="460" t="str">
        <f t="shared" ca="1" si="151"/>
        <v/>
      </c>
      <c r="AA681" s="461" t="str">
        <f t="shared" ca="1" si="151"/>
        <v/>
      </c>
      <c r="AB681" s="474" t="str">
        <f t="shared" ca="1" si="151"/>
        <v/>
      </c>
      <c r="AC681" s="475" t="str">
        <f t="shared" ca="1" si="151"/>
        <v/>
      </c>
      <c r="AD681" s="477" t="str">
        <f t="shared" ca="1" si="144"/>
        <v/>
      </c>
      <c r="AE681" s="478">
        <f t="shared" ca="1" si="145"/>
        <v>0</v>
      </c>
      <c r="AF681" s="459" t="str">
        <f t="shared" ca="1" si="149"/>
        <v/>
      </c>
      <c r="AG681" s="460" t="str">
        <f t="shared" ca="1" si="149"/>
        <v/>
      </c>
      <c r="AH681" s="460" t="str">
        <f t="shared" ca="1" si="149"/>
        <v/>
      </c>
      <c r="AI681" s="460" t="str">
        <f t="shared" ca="1" si="149"/>
        <v/>
      </c>
      <c r="AJ681" s="460" t="str">
        <f t="shared" ca="1" si="149"/>
        <v/>
      </c>
      <c r="AK681" s="460" t="str">
        <f t="shared" ca="1" si="149"/>
        <v/>
      </c>
      <c r="AL681" s="460" t="str">
        <f t="shared" ca="1" si="149"/>
        <v/>
      </c>
      <c r="AM681" s="460" t="str">
        <f t="shared" ca="1" si="149"/>
        <v/>
      </c>
      <c r="AN681" s="461" t="str">
        <f t="shared" ca="1" si="149"/>
        <v/>
      </c>
      <c r="AO681" s="474" t="str">
        <f t="shared" ca="1" si="149"/>
        <v/>
      </c>
      <c r="AP681" s="475" t="str">
        <f t="shared" ca="1" si="149"/>
        <v/>
      </c>
      <c r="AQ681" s="479" t="str">
        <f t="array" aca="1" ref="AQ681" ca="1">IF(ROW()-5&lt;=COUNTIF(科目编号,$AR$2),SMALL(IF(科目编号=$AR$2,ROW(科目编号),""),ROW()-5),"")</f>
        <v/>
      </c>
      <c r="AR681" s="480" t="str">
        <f ca="1">IF($BG$2=0,"",IF(AR680="本月合计","本年累计",IF(OR(ROW()=$AU$3,ROW()=$AV$3,ROW()=$AW$3,ROW()=$AX$3,ROW()=$AY$3,ROW()=$AZ$3,ROW()=$BA$3,ROW()=$BB$3,ROW()=$BC$3,ROW()=$BD$3,ROW()=$BE$3,ROW()=$BF$3),"本月合计",IF(ROW()&lt;7,$AQ$6,OFFSET($AQ$6,COUNT($AR$6:AR680),0)))))</f>
        <v/>
      </c>
    </row>
    <row r="682" spans="1:44">
      <c r="A682" s="469" t="str">
        <f ca="1">IFERROR(INDEX(凭证录入!A:A,$AR682),"")</f>
        <v/>
      </c>
      <c r="B682" s="469" t="str">
        <f ca="1">IFERROR(INDEX(凭证录入!B:B,$AR682),"")</f>
        <v/>
      </c>
      <c r="C682" s="470" t="str">
        <f ca="1">IFERROR(INDEX(凭证录入!G:G,$AR682),"")</f>
        <v/>
      </c>
      <c r="D682" s="471" t="str">
        <f ca="1">IFERROR(INDEX(凭证录入!F:F,$AR682),"")</f>
        <v/>
      </c>
      <c r="E682" s="472" t="str">
        <f ca="1">IFERROR(INDEX(凭证录入!H:H,$AR682),$AR682)</f>
        <v/>
      </c>
      <c r="F682" s="473">
        <f ca="1">IF(OR($BG$2=0,$AR682=""),,IF($AR682="本月合计",IF(ROW()=$BG$3,SUM($F$6:$F681),SUM(INDIRECT("$F$"&amp;OFFSET($AU$3,,MATCH(ROW(),$AU$3:$BF$3,)-2)+2&amp;":$E"&amp;ROW()-1))),IF($AR682="本年累计",SUMIF($AR$6:$AR682,"本月合计",$F$6:$F681),INDEX(凭证录入!K:K,$AR682))))</f>
        <v>0</v>
      </c>
      <c r="G682" s="459" t="str">
        <f t="shared" ca="1" si="150"/>
        <v/>
      </c>
      <c r="H682" s="460" t="str">
        <f t="shared" ca="1" si="150"/>
        <v/>
      </c>
      <c r="I682" s="460" t="str">
        <f t="shared" ca="1" si="150"/>
        <v/>
      </c>
      <c r="J682" s="460" t="str">
        <f t="shared" ca="1" si="150"/>
        <v/>
      </c>
      <c r="K682" s="460" t="str">
        <f t="shared" ca="1" si="150"/>
        <v/>
      </c>
      <c r="L682" s="460" t="str">
        <f t="shared" ca="1" si="150"/>
        <v/>
      </c>
      <c r="M682" s="460" t="str">
        <f t="shared" ca="1" si="150"/>
        <v/>
      </c>
      <c r="N682" s="460" t="str">
        <f t="shared" ca="1" si="150"/>
        <v/>
      </c>
      <c r="O682" s="461" t="str">
        <f t="shared" ca="1" si="150"/>
        <v/>
      </c>
      <c r="P682" s="474" t="str">
        <f t="shared" ca="1" si="150"/>
        <v/>
      </c>
      <c r="Q682" s="475" t="str">
        <f t="shared" ca="1" si="150"/>
        <v/>
      </c>
      <c r="R682" s="476">
        <f ca="1">IF(OR($BG$2=0,$AR682=""),,IF($AR682="本月合计",IF(ROW()=$BG$3,SUM($R$6:$R681),SUM(INDIRECT("$R$"&amp;OFFSET($AU$3,,MATCH(ROW(),$AU$3:$BF$3,)-2)+2&amp;":$R"&amp;ROW()-1))),IF($AR682="本年累计",SUMIF($AR$6:$AR682,"本月合计",$R$6:$R681),INDEX(凭证录入!L:L,$AR682))))</f>
        <v>0</v>
      </c>
      <c r="S682" s="459" t="str">
        <f t="shared" ca="1" si="151"/>
        <v/>
      </c>
      <c r="T682" s="460" t="str">
        <f t="shared" ca="1" si="151"/>
        <v/>
      </c>
      <c r="U682" s="460" t="str">
        <f t="shared" ca="1" si="151"/>
        <v/>
      </c>
      <c r="V682" s="460" t="str">
        <f t="shared" ca="1" si="151"/>
        <v/>
      </c>
      <c r="W682" s="460" t="str">
        <f t="shared" ca="1" si="151"/>
        <v/>
      </c>
      <c r="X682" s="460" t="str">
        <f t="shared" ca="1" si="151"/>
        <v/>
      </c>
      <c r="Y682" s="460" t="str">
        <f t="shared" ca="1" si="151"/>
        <v/>
      </c>
      <c r="Z682" s="460" t="str">
        <f t="shared" ca="1" si="151"/>
        <v/>
      </c>
      <c r="AA682" s="461" t="str">
        <f t="shared" ca="1" si="151"/>
        <v/>
      </c>
      <c r="AB682" s="474" t="str">
        <f t="shared" ca="1" si="151"/>
        <v/>
      </c>
      <c r="AC682" s="475" t="str">
        <f t="shared" ca="1" si="151"/>
        <v/>
      </c>
      <c r="AD682" s="477" t="str">
        <f t="shared" ca="1" si="144"/>
        <v/>
      </c>
      <c r="AE682" s="478">
        <f t="shared" ca="1" si="145"/>
        <v>0</v>
      </c>
      <c r="AF682" s="459" t="str">
        <f t="shared" ca="1" si="149"/>
        <v/>
      </c>
      <c r="AG682" s="460" t="str">
        <f t="shared" ca="1" si="149"/>
        <v/>
      </c>
      <c r="AH682" s="460" t="str">
        <f t="shared" ca="1" si="149"/>
        <v/>
      </c>
      <c r="AI682" s="460" t="str">
        <f t="shared" ca="1" si="149"/>
        <v/>
      </c>
      <c r="AJ682" s="460" t="str">
        <f t="shared" ca="1" si="149"/>
        <v/>
      </c>
      <c r="AK682" s="460" t="str">
        <f t="shared" ca="1" si="149"/>
        <v/>
      </c>
      <c r="AL682" s="460" t="str">
        <f t="shared" ca="1" si="149"/>
        <v/>
      </c>
      <c r="AM682" s="460" t="str">
        <f t="shared" ca="1" si="149"/>
        <v/>
      </c>
      <c r="AN682" s="461" t="str">
        <f t="shared" ca="1" si="149"/>
        <v/>
      </c>
      <c r="AO682" s="474" t="str">
        <f t="shared" ca="1" si="149"/>
        <v/>
      </c>
      <c r="AP682" s="475" t="str">
        <f t="shared" ca="1" si="149"/>
        <v/>
      </c>
      <c r="AQ682" s="479" t="str">
        <f t="array" aca="1" ref="AQ682" ca="1">IF(ROW()-5&lt;=COUNTIF(科目编号,$AR$2),SMALL(IF(科目编号=$AR$2,ROW(科目编号),""),ROW()-5),"")</f>
        <v/>
      </c>
      <c r="AR682" s="480" t="str">
        <f ca="1">IF($BG$2=0,"",IF(AR681="本月合计","本年累计",IF(OR(ROW()=$AU$3,ROW()=$AV$3,ROW()=$AW$3,ROW()=$AX$3,ROW()=$AY$3,ROW()=$AZ$3,ROW()=$BA$3,ROW()=$BB$3,ROW()=$BC$3,ROW()=$BD$3,ROW()=$BE$3,ROW()=$BF$3),"本月合计",IF(ROW()&lt;7,$AQ$6,OFFSET($AQ$6,COUNT($AR$6:AR681),0)))))</f>
        <v/>
      </c>
    </row>
    <row r="683" spans="1:44">
      <c r="A683" s="469" t="str">
        <f ca="1">IFERROR(INDEX(凭证录入!A:A,$AR683),"")</f>
        <v/>
      </c>
      <c r="B683" s="469" t="str">
        <f ca="1">IFERROR(INDEX(凭证录入!B:B,$AR683),"")</f>
        <v/>
      </c>
      <c r="C683" s="470" t="str">
        <f ca="1">IFERROR(INDEX(凭证录入!G:G,$AR683),"")</f>
        <v/>
      </c>
      <c r="D683" s="471" t="str">
        <f ca="1">IFERROR(INDEX(凭证录入!F:F,$AR683),"")</f>
        <v/>
      </c>
      <c r="E683" s="472" t="str">
        <f ca="1">IFERROR(INDEX(凭证录入!H:H,$AR683),$AR683)</f>
        <v/>
      </c>
      <c r="F683" s="473">
        <f ca="1">IF(OR($BG$2=0,$AR683=""),,IF($AR683="本月合计",IF(ROW()=$BG$3,SUM($F$6:$F682),SUM(INDIRECT("$F$"&amp;OFFSET($AU$3,,MATCH(ROW(),$AU$3:$BF$3,)-2)+2&amp;":$E"&amp;ROW()-1))),IF($AR683="本年累计",SUMIF($AR$6:$AR683,"本月合计",$F$6:$F682),INDEX(凭证录入!K:K,$AR683))))</f>
        <v>0</v>
      </c>
      <c r="G683" s="459" t="str">
        <f t="shared" ca="1" si="150"/>
        <v/>
      </c>
      <c r="H683" s="460" t="str">
        <f t="shared" ca="1" si="150"/>
        <v/>
      </c>
      <c r="I683" s="460" t="str">
        <f t="shared" ca="1" si="150"/>
        <v/>
      </c>
      <c r="J683" s="460" t="str">
        <f t="shared" ca="1" si="150"/>
        <v/>
      </c>
      <c r="K683" s="460" t="str">
        <f t="shared" ca="1" si="150"/>
        <v/>
      </c>
      <c r="L683" s="460" t="str">
        <f t="shared" ca="1" si="150"/>
        <v/>
      </c>
      <c r="M683" s="460" t="str">
        <f t="shared" ca="1" si="150"/>
        <v/>
      </c>
      <c r="N683" s="460" t="str">
        <f t="shared" ca="1" si="150"/>
        <v/>
      </c>
      <c r="O683" s="461" t="str">
        <f t="shared" ca="1" si="150"/>
        <v/>
      </c>
      <c r="P683" s="474" t="str">
        <f t="shared" ca="1" si="150"/>
        <v/>
      </c>
      <c r="Q683" s="475" t="str">
        <f t="shared" ca="1" si="150"/>
        <v/>
      </c>
      <c r="R683" s="476">
        <f ca="1">IF(OR($BG$2=0,$AR683=""),,IF($AR683="本月合计",IF(ROW()=$BG$3,SUM($R$6:$R682),SUM(INDIRECT("$R$"&amp;OFFSET($AU$3,,MATCH(ROW(),$AU$3:$BF$3,)-2)+2&amp;":$R"&amp;ROW()-1))),IF($AR683="本年累计",SUMIF($AR$6:$AR683,"本月合计",$R$6:$R682),INDEX(凭证录入!L:L,$AR683))))</f>
        <v>0</v>
      </c>
      <c r="S683" s="459" t="str">
        <f t="shared" ca="1" si="151"/>
        <v/>
      </c>
      <c r="T683" s="460" t="str">
        <f t="shared" ca="1" si="151"/>
        <v/>
      </c>
      <c r="U683" s="460" t="str">
        <f t="shared" ca="1" si="151"/>
        <v/>
      </c>
      <c r="V683" s="460" t="str">
        <f t="shared" ca="1" si="151"/>
        <v/>
      </c>
      <c r="W683" s="460" t="str">
        <f t="shared" ca="1" si="151"/>
        <v/>
      </c>
      <c r="X683" s="460" t="str">
        <f t="shared" ca="1" si="151"/>
        <v/>
      </c>
      <c r="Y683" s="460" t="str">
        <f t="shared" ca="1" si="151"/>
        <v/>
      </c>
      <c r="Z683" s="460" t="str">
        <f t="shared" ca="1" si="151"/>
        <v/>
      </c>
      <c r="AA683" s="461" t="str">
        <f t="shared" ca="1" si="151"/>
        <v/>
      </c>
      <c r="AB683" s="474" t="str">
        <f t="shared" ca="1" si="151"/>
        <v/>
      </c>
      <c r="AC683" s="475" t="str">
        <f t="shared" ca="1" si="151"/>
        <v/>
      </c>
      <c r="AD683" s="477" t="str">
        <f t="shared" ca="1" si="144"/>
        <v/>
      </c>
      <c r="AE683" s="478">
        <f t="shared" ca="1" si="145"/>
        <v>0</v>
      </c>
      <c r="AF683" s="459" t="str">
        <f t="shared" ca="1" si="149"/>
        <v/>
      </c>
      <c r="AG683" s="460" t="str">
        <f t="shared" ca="1" si="149"/>
        <v/>
      </c>
      <c r="AH683" s="460" t="str">
        <f t="shared" ca="1" si="149"/>
        <v/>
      </c>
      <c r="AI683" s="460" t="str">
        <f t="shared" ca="1" si="149"/>
        <v/>
      </c>
      <c r="AJ683" s="460" t="str">
        <f t="shared" ca="1" si="149"/>
        <v/>
      </c>
      <c r="AK683" s="460" t="str">
        <f t="shared" ca="1" si="149"/>
        <v/>
      </c>
      <c r="AL683" s="460" t="str">
        <f t="shared" ca="1" si="149"/>
        <v/>
      </c>
      <c r="AM683" s="460" t="str">
        <f t="shared" ca="1" si="149"/>
        <v/>
      </c>
      <c r="AN683" s="461" t="str">
        <f t="shared" ca="1" si="149"/>
        <v/>
      </c>
      <c r="AO683" s="474" t="str">
        <f t="shared" ca="1" si="149"/>
        <v/>
      </c>
      <c r="AP683" s="475" t="str">
        <f t="shared" ca="1" si="149"/>
        <v/>
      </c>
      <c r="AQ683" s="479" t="str">
        <f t="array" aca="1" ref="AQ683" ca="1">IF(ROW()-5&lt;=COUNTIF(科目编号,$AR$2),SMALL(IF(科目编号=$AR$2,ROW(科目编号),""),ROW()-5),"")</f>
        <v/>
      </c>
      <c r="AR683" s="480" t="str">
        <f ca="1">IF($BG$2=0,"",IF(AR682="本月合计","本年累计",IF(OR(ROW()=$AU$3,ROW()=$AV$3,ROW()=$AW$3,ROW()=$AX$3,ROW()=$AY$3,ROW()=$AZ$3,ROW()=$BA$3,ROW()=$BB$3,ROW()=$BC$3,ROW()=$BD$3,ROW()=$BE$3,ROW()=$BF$3),"本月合计",IF(ROW()&lt;7,$AQ$6,OFFSET($AQ$6,COUNT($AR$6:AR682),0)))))</f>
        <v/>
      </c>
    </row>
    <row r="684" spans="1:44">
      <c r="A684" s="469" t="str">
        <f ca="1">IFERROR(INDEX(凭证录入!A:A,$AR684),"")</f>
        <v/>
      </c>
      <c r="B684" s="469" t="str">
        <f ca="1">IFERROR(INDEX(凭证录入!B:B,$AR684),"")</f>
        <v/>
      </c>
      <c r="C684" s="470" t="str">
        <f ca="1">IFERROR(INDEX(凭证录入!G:G,$AR684),"")</f>
        <v/>
      </c>
      <c r="D684" s="471" t="str">
        <f ca="1">IFERROR(INDEX(凭证录入!F:F,$AR684),"")</f>
        <v/>
      </c>
      <c r="E684" s="472" t="str">
        <f ca="1">IFERROR(INDEX(凭证录入!H:H,$AR684),$AR684)</f>
        <v/>
      </c>
      <c r="F684" s="473">
        <f ca="1">IF(OR($BG$2=0,$AR684=""),,IF($AR684="本月合计",IF(ROW()=$BG$3,SUM($F$6:$F683),SUM(INDIRECT("$F$"&amp;OFFSET($AU$3,,MATCH(ROW(),$AU$3:$BF$3,)-2)+2&amp;":$E"&amp;ROW()-1))),IF($AR684="本年累计",SUMIF($AR$6:$AR684,"本月合计",$F$6:$F683),INDEX(凭证录入!K:K,$AR684))))</f>
        <v>0</v>
      </c>
      <c r="G684" s="459" t="str">
        <f t="shared" ca="1" si="150"/>
        <v/>
      </c>
      <c r="H684" s="460" t="str">
        <f t="shared" ca="1" si="150"/>
        <v/>
      </c>
      <c r="I684" s="460" t="str">
        <f t="shared" ca="1" si="150"/>
        <v/>
      </c>
      <c r="J684" s="460" t="str">
        <f t="shared" ca="1" si="150"/>
        <v/>
      </c>
      <c r="K684" s="460" t="str">
        <f t="shared" ca="1" si="150"/>
        <v/>
      </c>
      <c r="L684" s="460" t="str">
        <f t="shared" ca="1" si="150"/>
        <v/>
      </c>
      <c r="M684" s="460" t="str">
        <f t="shared" ca="1" si="150"/>
        <v/>
      </c>
      <c r="N684" s="460" t="str">
        <f t="shared" ca="1" si="150"/>
        <v/>
      </c>
      <c r="O684" s="461" t="str">
        <f t="shared" ca="1" si="150"/>
        <v/>
      </c>
      <c r="P684" s="474" t="str">
        <f t="shared" ca="1" si="150"/>
        <v/>
      </c>
      <c r="Q684" s="475" t="str">
        <f t="shared" ca="1" si="150"/>
        <v/>
      </c>
      <c r="R684" s="476">
        <f ca="1">IF(OR($BG$2=0,$AR684=""),,IF($AR684="本月合计",IF(ROW()=$BG$3,SUM($R$6:$R683),SUM(INDIRECT("$R$"&amp;OFFSET($AU$3,,MATCH(ROW(),$AU$3:$BF$3,)-2)+2&amp;":$R"&amp;ROW()-1))),IF($AR684="本年累计",SUMIF($AR$6:$AR684,"本月合计",$R$6:$R683),INDEX(凭证录入!L:L,$AR684))))</f>
        <v>0</v>
      </c>
      <c r="S684" s="459" t="str">
        <f t="shared" ca="1" si="151"/>
        <v/>
      </c>
      <c r="T684" s="460" t="str">
        <f t="shared" ca="1" si="151"/>
        <v/>
      </c>
      <c r="U684" s="460" t="str">
        <f t="shared" ca="1" si="151"/>
        <v/>
      </c>
      <c r="V684" s="460" t="str">
        <f t="shared" ca="1" si="151"/>
        <v/>
      </c>
      <c r="W684" s="460" t="str">
        <f t="shared" ca="1" si="151"/>
        <v/>
      </c>
      <c r="X684" s="460" t="str">
        <f t="shared" ca="1" si="151"/>
        <v/>
      </c>
      <c r="Y684" s="460" t="str">
        <f t="shared" ca="1" si="151"/>
        <v/>
      </c>
      <c r="Z684" s="460" t="str">
        <f t="shared" ca="1" si="151"/>
        <v/>
      </c>
      <c r="AA684" s="461" t="str">
        <f t="shared" ca="1" si="151"/>
        <v/>
      </c>
      <c r="AB684" s="474" t="str">
        <f t="shared" ca="1" si="151"/>
        <v/>
      </c>
      <c r="AC684" s="475" t="str">
        <f t="shared" ca="1" si="151"/>
        <v/>
      </c>
      <c r="AD684" s="477" t="str">
        <f t="shared" ca="1" si="144"/>
        <v/>
      </c>
      <c r="AE684" s="478">
        <f t="shared" ca="1" si="145"/>
        <v>0</v>
      </c>
      <c r="AF684" s="459" t="str">
        <f t="shared" ca="1" si="149"/>
        <v/>
      </c>
      <c r="AG684" s="460" t="str">
        <f t="shared" ca="1" si="149"/>
        <v/>
      </c>
      <c r="AH684" s="460" t="str">
        <f t="shared" ca="1" si="149"/>
        <v/>
      </c>
      <c r="AI684" s="460" t="str">
        <f t="shared" ca="1" si="149"/>
        <v/>
      </c>
      <c r="AJ684" s="460" t="str">
        <f t="shared" ca="1" si="149"/>
        <v/>
      </c>
      <c r="AK684" s="460" t="str">
        <f t="shared" ca="1" si="149"/>
        <v/>
      </c>
      <c r="AL684" s="460" t="str">
        <f t="shared" ca="1" si="149"/>
        <v/>
      </c>
      <c r="AM684" s="460" t="str">
        <f t="shared" ca="1" si="149"/>
        <v/>
      </c>
      <c r="AN684" s="461" t="str">
        <f t="shared" ca="1" si="149"/>
        <v/>
      </c>
      <c r="AO684" s="474" t="str">
        <f t="shared" ca="1" si="149"/>
        <v/>
      </c>
      <c r="AP684" s="475" t="str">
        <f t="shared" ca="1" si="149"/>
        <v/>
      </c>
      <c r="AQ684" s="479" t="str">
        <f t="array" aca="1" ref="AQ684" ca="1">IF(ROW()-5&lt;=COUNTIF(科目编号,$AR$2),SMALL(IF(科目编号=$AR$2,ROW(科目编号),""),ROW()-5),"")</f>
        <v/>
      </c>
      <c r="AR684" s="480" t="str">
        <f ca="1">IF($BG$2=0,"",IF(AR683="本月合计","本年累计",IF(OR(ROW()=$AU$3,ROW()=$AV$3,ROW()=$AW$3,ROW()=$AX$3,ROW()=$AY$3,ROW()=$AZ$3,ROW()=$BA$3,ROW()=$BB$3,ROW()=$BC$3,ROW()=$BD$3,ROW()=$BE$3,ROW()=$BF$3),"本月合计",IF(ROW()&lt;7,$AQ$6,OFFSET($AQ$6,COUNT($AR$6:AR683),0)))))</f>
        <v/>
      </c>
    </row>
    <row r="685" spans="1:44">
      <c r="A685" s="469" t="str">
        <f ca="1">IFERROR(INDEX(凭证录入!A:A,$AR685),"")</f>
        <v/>
      </c>
      <c r="B685" s="469" t="str">
        <f ca="1">IFERROR(INDEX(凭证录入!B:B,$AR685),"")</f>
        <v/>
      </c>
      <c r="C685" s="470" t="str">
        <f ca="1">IFERROR(INDEX(凭证录入!G:G,$AR685),"")</f>
        <v/>
      </c>
      <c r="D685" s="471" t="str">
        <f ca="1">IFERROR(INDEX(凭证录入!F:F,$AR685),"")</f>
        <v/>
      </c>
      <c r="E685" s="472" t="str">
        <f ca="1">IFERROR(INDEX(凭证录入!H:H,$AR685),$AR685)</f>
        <v/>
      </c>
      <c r="F685" s="473">
        <f ca="1">IF(OR($BG$2=0,$AR685=""),,IF($AR685="本月合计",IF(ROW()=$BG$3,SUM($F$6:$F684),SUM(INDIRECT("$F$"&amp;OFFSET($AU$3,,MATCH(ROW(),$AU$3:$BF$3,)-2)+2&amp;":$E"&amp;ROW()-1))),IF($AR685="本年累计",SUMIF($AR$6:$AR685,"本月合计",$F$6:$F684),INDEX(凭证录入!K:K,$AR685))))</f>
        <v>0</v>
      </c>
      <c r="G685" s="459" t="str">
        <f t="shared" ca="1" si="150"/>
        <v/>
      </c>
      <c r="H685" s="460" t="str">
        <f t="shared" ca="1" si="150"/>
        <v/>
      </c>
      <c r="I685" s="460" t="str">
        <f t="shared" ca="1" si="150"/>
        <v/>
      </c>
      <c r="J685" s="460" t="str">
        <f t="shared" ca="1" si="150"/>
        <v/>
      </c>
      <c r="K685" s="460" t="str">
        <f t="shared" ca="1" si="150"/>
        <v/>
      </c>
      <c r="L685" s="460" t="str">
        <f t="shared" ca="1" si="150"/>
        <v/>
      </c>
      <c r="M685" s="460" t="str">
        <f t="shared" ca="1" si="150"/>
        <v/>
      </c>
      <c r="N685" s="460" t="str">
        <f t="shared" ca="1" si="150"/>
        <v/>
      </c>
      <c r="O685" s="461" t="str">
        <f t="shared" ca="1" si="150"/>
        <v/>
      </c>
      <c r="P685" s="474" t="str">
        <f t="shared" ca="1" si="150"/>
        <v/>
      </c>
      <c r="Q685" s="475" t="str">
        <f t="shared" ca="1" si="150"/>
        <v/>
      </c>
      <c r="R685" s="476">
        <f ca="1">IF(OR($BG$2=0,$AR685=""),,IF($AR685="本月合计",IF(ROW()=$BG$3,SUM($R$6:$R684),SUM(INDIRECT("$R$"&amp;OFFSET($AU$3,,MATCH(ROW(),$AU$3:$BF$3,)-2)+2&amp;":$R"&amp;ROW()-1))),IF($AR685="本年累计",SUMIF($AR$6:$AR685,"本月合计",$R$6:$R684),INDEX(凭证录入!L:L,$AR685))))</f>
        <v>0</v>
      </c>
      <c r="S685" s="459" t="str">
        <f t="shared" ca="1" si="151"/>
        <v/>
      </c>
      <c r="T685" s="460" t="str">
        <f t="shared" ca="1" si="151"/>
        <v/>
      </c>
      <c r="U685" s="460" t="str">
        <f t="shared" ca="1" si="151"/>
        <v/>
      </c>
      <c r="V685" s="460" t="str">
        <f t="shared" ca="1" si="151"/>
        <v/>
      </c>
      <c r="W685" s="460" t="str">
        <f t="shared" ca="1" si="151"/>
        <v/>
      </c>
      <c r="X685" s="460" t="str">
        <f t="shared" ca="1" si="151"/>
        <v/>
      </c>
      <c r="Y685" s="460" t="str">
        <f t="shared" ca="1" si="151"/>
        <v/>
      </c>
      <c r="Z685" s="460" t="str">
        <f t="shared" ca="1" si="151"/>
        <v/>
      </c>
      <c r="AA685" s="461" t="str">
        <f t="shared" ca="1" si="151"/>
        <v/>
      </c>
      <c r="AB685" s="474" t="str">
        <f t="shared" ca="1" si="151"/>
        <v/>
      </c>
      <c r="AC685" s="475" t="str">
        <f t="shared" ca="1" si="151"/>
        <v/>
      </c>
      <c r="AD685" s="477" t="str">
        <f t="shared" ca="1" si="144"/>
        <v/>
      </c>
      <c r="AE685" s="478">
        <f t="shared" ca="1" si="145"/>
        <v>0</v>
      </c>
      <c r="AF685" s="459" t="str">
        <f t="shared" ca="1" si="149"/>
        <v/>
      </c>
      <c r="AG685" s="460" t="str">
        <f t="shared" ca="1" si="149"/>
        <v/>
      </c>
      <c r="AH685" s="460" t="str">
        <f t="shared" ca="1" si="149"/>
        <v/>
      </c>
      <c r="AI685" s="460" t="str">
        <f t="shared" ca="1" si="149"/>
        <v/>
      </c>
      <c r="AJ685" s="460" t="str">
        <f t="shared" ca="1" si="149"/>
        <v/>
      </c>
      <c r="AK685" s="460" t="str">
        <f t="shared" ca="1" si="149"/>
        <v/>
      </c>
      <c r="AL685" s="460" t="str">
        <f t="shared" ca="1" si="149"/>
        <v/>
      </c>
      <c r="AM685" s="460" t="str">
        <f t="shared" ca="1" si="149"/>
        <v/>
      </c>
      <c r="AN685" s="461" t="str">
        <f t="shared" ca="1" si="149"/>
        <v/>
      </c>
      <c r="AO685" s="474" t="str">
        <f t="shared" ca="1" si="149"/>
        <v/>
      </c>
      <c r="AP685" s="475" t="str">
        <f t="shared" ca="1" si="149"/>
        <v/>
      </c>
      <c r="AQ685" s="479" t="str">
        <f t="array" aca="1" ref="AQ685" ca="1">IF(ROW()-5&lt;=COUNTIF(科目编号,$AR$2),SMALL(IF(科目编号=$AR$2,ROW(科目编号),""),ROW()-5),"")</f>
        <v/>
      </c>
      <c r="AR685" s="480" t="str">
        <f ca="1">IF($BG$2=0,"",IF(AR684="本月合计","本年累计",IF(OR(ROW()=$AU$3,ROW()=$AV$3,ROW()=$AW$3,ROW()=$AX$3,ROW()=$AY$3,ROW()=$AZ$3,ROW()=$BA$3,ROW()=$BB$3,ROW()=$BC$3,ROW()=$BD$3,ROW()=$BE$3,ROW()=$BF$3),"本月合计",IF(ROW()&lt;7,$AQ$6,OFFSET($AQ$6,COUNT($AR$6:AR684),0)))))</f>
        <v/>
      </c>
    </row>
    <row r="686" spans="1:44">
      <c r="A686" s="469" t="str">
        <f ca="1">IFERROR(INDEX(凭证录入!A:A,$AR686),"")</f>
        <v/>
      </c>
      <c r="B686" s="469" t="str">
        <f ca="1">IFERROR(INDEX(凭证录入!B:B,$AR686),"")</f>
        <v/>
      </c>
      <c r="C686" s="470" t="str">
        <f ca="1">IFERROR(INDEX(凭证录入!G:G,$AR686),"")</f>
        <v/>
      </c>
      <c r="D686" s="471" t="str">
        <f ca="1">IFERROR(INDEX(凭证录入!F:F,$AR686),"")</f>
        <v/>
      </c>
      <c r="E686" s="472" t="str">
        <f ca="1">IFERROR(INDEX(凭证录入!H:H,$AR686),$AR686)</f>
        <v/>
      </c>
      <c r="F686" s="473">
        <f ca="1">IF(OR($BG$2=0,$AR686=""),,IF($AR686="本月合计",IF(ROW()=$BG$3,SUM($F$6:$F685),SUM(INDIRECT("$F$"&amp;OFFSET($AU$3,,MATCH(ROW(),$AU$3:$BF$3,)-2)+2&amp;":$E"&amp;ROW()-1))),IF($AR686="本年累计",SUMIF($AR$6:$AR686,"本月合计",$F$6:$F685),INDEX(凭证录入!K:K,$AR686))))</f>
        <v>0</v>
      </c>
      <c r="G686" s="459" t="str">
        <f t="shared" ca="1" si="150"/>
        <v/>
      </c>
      <c r="H686" s="460" t="str">
        <f t="shared" ca="1" si="150"/>
        <v/>
      </c>
      <c r="I686" s="460" t="str">
        <f t="shared" ca="1" si="150"/>
        <v/>
      </c>
      <c r="J686" s="460" t="str">
        <f t="shared" ca="1" si="150"/>
        <v/>
      </c>
      <c r="K686" s="460" t="str">
        <f t="shared" ca="1" si="150"/>
        <v/>
      </c>
      <c r="L686" s="460" t="str">
        <f t="shared" ca="1" si="150"/>
        <v/>
      </c>
      <c r="M686" s="460" t="str">
        <f t="shared" ca="1" si="150"/>
        <v/>
      </c>
      <c r="N686" s="460" t="str">
        <f t="shared" ca="1" si="150"/>
        <v/>
      </c>
      <c r="O686" s="461" t="str">
        <f t="shared" ca="1" si="150"/>
        <v/>
      </c>
      <c r="P686" s="474" t="str">
        <f t="shared" ca="1" si="150"/>
        <v/>
      </c>
      <c r="Q686" s="475" t="str">
        <f t="shared" ca="1" si="150"/>
        <v/>
      </c>
      <c r="R686" s="476">
        <f ca="1">IF(OR($BG$2=0,$AR686=""),,IF($AR686="本月合计",IF(ROW()=$BG$3,SUM($R$6:$R685),SUM(INDIRECT("$R$"&amp;OFFSET($AU$3,,MATCH(ROW(),$AU$3:$BF$3,)-2)+2&amp;":$R"&amp;ROW()-1))),IF($AR686="本年累计",SUMIF($AR$6:$AR686,"本月合计",$R$6:$R685),INDEX(凭证录入!L:L,$AR686))))</f>
        <v>0</v>
      </c>
      <c r="S686" s="459" t="str">
        <f t="shared" ca="1" si="151"/>
        <v/>
      </c>
      <c r="T686" s="460" t="str">
        <f t="shared" ca="1" si="151"/>
        <v/>
      </c>
      <c r="U686" s="460" t="str">
        <f t="shared" ca="1" si="151"/>
        <v/>
      </c>
      <c r="V686" s="460" t="str">
        <f t="shared" ca="1" si="151"/>
        <v/>
      </c>
      <c r="W686" s="460" t="str">
        <f t="shared" ca="1" si="151"/>
        <v/>
      </c>
      <c r="X686" s="460" t="str">
        <f t="shared" ca="1" si="151"/>
        <v/>
      </c>
      <c r="Y686" s="460" t="str">
        <f t="shared" ca="1" si="151"/>
        <v/>
      </c>
      <c r="Z686" s="460" t="str">
        <f t="shared" ca="1" si="151"/>
        <v/>
      </c>
      <c r="AA686" s="461" t="str">
        <f t="shared" ca="1" si="151"/>
        <v/>
      </c>
      <c r="AB686" s="474" t="str">
        <f t="shared" ca="1" si="151"/>
        <v/>
      </c>
      <c r="AC686" s="475" t="str">
        <f t="shared" ca="1" si="151"/>
        <v/>
      </c>
      <c r="AD686" s="477" t="str">
        <f t="shared" ca="1" si="144"/>
        <v/>
      </c>
      <c r="AE686" s="478">
        <f t="shared" ca="1" si="145"/>
        <v>0</v>
      </c>
      <c r="AF686" s="459" t="str">
        <f t="shared" ca="1" si="149"/>
        <v/>
      </c>
      <c r="AG686" s="460" t="str">
        <f t="shared" ca="1" si="149"/>
        <v/>
      </c>
      <c r="AH686" s="460" t="str">
        <f t="shared" ca="1" si="149"/>
        <v/>
      </c>
      <c r="AI686" s="460" t="str">
        <f t="shared" ca="1" si="149"/>
        <v/>
      </c>
      <c r="AJ686" s="460" t="str">
        <f t="shared" ca="1" si="149"/>
        <v/>
      </c>
      <c r="AK686" s="460" t="str">
        <f t="shared" ca="1" si="149"/>
        <v/>
      </c>
      <c r="AL686" s="460" t="str">
        <f t="shared" ca="1" si="149"/>
        <v/>
      </c>
      <c r="AM686" s="460" t="str">
        <f t="shared" ca="1" si="149"/>
        <v/>
      </c>
      <c r="AN686" s="461" t="str">
        <f t="shared" ca="1" si="149"/>
        <v/>
      </c>
      <c r="AO686" s="474" t="str">
        <f t="shared" ca="1" si="149"/>
        <v/>
      </c>
      <c r="AP686" s="475" t="str">
        <f t="shared" ca="1" si="149"/>
        <v/>
      </c>
      <c r="AQ686" s="479" t="str">
        <f t="array" aca="1" ref="AQ686" ca="1">IF(ROW()-5&lt;=COUNTIF(科目编号,$AR$2),SMALL(IF(科目编号=$AR$2,ROW(科目编号),""),ROW()-5),"")</f>
        <v/>
      </c>
      <c r="AR686" s="480" t="str">
        <f ca="1">IF($BG$2=0,"",IF(AR685="本月合计","本年累计",IF(OR(ROW()=$AU$3,ROW()=$AV$3,ROW()=$AW$3,ROW()=$AX$3,ROW()=$AY$3,ROW()=$AZ$3,ROW()=$BA$3,ROW()=$BB$3,ROW()=$BC$3,ROW()=$BD$3,ROW()=$BE$3,ROW()=$BF$3),"本月合计",IF(ROW()&lt;7,$AQ$6,OFFSET($AQ$6,COUNT($AR$6:AR685),0)))))</f>
        <v/>
      </c>
    </row>
    <row r="687" spans="1:44">
      <c r="A687" s="469" t="str">
        <f ca="1">IFERROR(INDEX(凭证录入!A:A,$AR687),"")</f>
        <v/>
      </c>
      <c r="B687" s="469" t="str">
        <f ca="1">IFERROR(INDEX(凭证录入!B:B,$AR687),"")</f>
        <v/>
      </c>
      <c r="C687" s="470" t="str">
        <f ca="1">IFERROR(INDEX(凭证录入!G:G,$AR687),"")</f>
        <v/>
      </c>
      <c r="D687" s="471" t="str">
        <f ca="1">IFERROR(INDEX(凭证录入!F:F,$AR687),"")</f>
        <v/>
      </c>
      <c r="E687" s="472" t="str">
        <f ca="1">IFERROR(INDEX(凭证录入!H:H,$AR687),$AR687)</f>
        <v/>
      </c>
      <c r="F687" s="473">
        <f ca="1">IF(OR($BG$2=0,$AR687=""),,IF($AR687="本月合计",IF(ROW()=$BG$3,SUM($F$6:$F686),SUM(INDIRECT("$F$"&amp;OFFSET($AU$3,,MATCH(ROW(),$AU$3:$BF$3,)-2)+2&amp;":$E"&amp;ROW()-1))),IF($AR687="本年累计",SUMIF($AR$6:$AR687,"本月合计",$F$6:$F686),INDEX(凭证录入!K:K,$AR687))))</f>
        <v>0</v>
      </c>
      <c r="G687" s="459" t="str">
        <f t="shared" ca="1" si="150"/>
        <v/>
      </c>
      <c r="H687" s="460" t="str">
        <f t="shared" ca="1" si="150"/>
        <v/>
      </c>
      <c r="I687" s="460" t="str">
        <f t="shared" ca="1" si="150"/>
        <v/>
      </c>
      <c r="J687" s="460" t="str">
        <f t="shared" ca="1" si="150"/>
        <v/>
      </c>
      <c r="K687" s="460" t="str">
        <f t="shared" ca="1" si="150"/>
        <v/>
      </c>
      <c r="L687" s="460" t="str">
        <f t="shared" ca="1" si="150"/>
        <v/>
      </c>
      <c r="M687" s="460" t="str">
        <f t="shared" ca="1" si="150"/>
        <v/>
      </c>
      <c r="N687" s="460" t="str">
        <f t="shared" ca="1" si="150"/>
        <v/>
      </c>
      <c r="O687" s="461" t="str">
        <f t="shared" ca="1" si="150"/>
        <v/>
      </c>
      <c r="P687" s="474" t="str">
        <f t="shared" ca="1" si="150"/>
        <v/>
      </c>
      <c r="Q687" s="475" t="str">
        <f t="shared" ca="1" si="150"/>
        <v/>
      </c>
      <c r="R687" s="476">
        <f ca="1">IF(OR($BG$2=0,$AR687=""),,IF($AR687="本月合计",IF(ROW()=$BG$3,SUM($R$6:$R686),SUM(INDIRECT("$R$"&amp;OFFSET($AU$3,,MATCH(ROW(),$AU$3:$BF$3,)-2)+2&amp;":$R"&amp;ROW()-1))),IF($AR687="本年累计",SUMIF($AR$6:$AR687,"本月合计",$R$6:$R686),INDEX(凭证录入!L:L,$AR687))))</f>
        <v>0</v>
      </c>
      <c r="S687" s="459" t="str">
        <f t="shared" ca="1" si="151"/>
        <v/>
      </c>
      <c r="T687" s="460" t="str">
        <f t="shared" ca="1" si="151"/>
        <v/>
      </c>
      <c r="U687" s="460" t="str">
        <f t="shared" ca="1" si="151"/>
        <v/>
      </c>
      <c r="V687" s="460" t="str">
        <f t="shared" ca="1" si="151"/>
        <v/>
      </c>
      <c r="W687" s="460" t="str">
        <f t="shared" ca="1" si="151"/>
        <v/>
      </c>
      <c r="X687" s="460" t="str">
        <f t="shared" ca="1" si="151"/>
        <v/>
      </c>
      <c r="Y687" s="460" t="str">
        <f t="shared" ca="1" si="151"/>
        <v/>
      </c>
      <c r="Z687" s="460" t="str">
        <f t="shared" ca="1" si="151"/>
        <v/>
      </c>
      <c r="AA687" s="461" t="str">
        <f t="shared" ca="1" si="151"/>
        <v/>
      </c>
      <c r="AB687" s="474" t="str">
        <f t="shared" ca="1" si="151"/>
        <v/>
      </c>
      <c r="AC687" s="475" t="str">
        <f t="shared" ca="1" si="151"/>
        <v/>
      </c>
      <c r="AD687" s="477" t="str">
        <f t="shared" ca="1" si="144"/>
        <v/>
      </c>
      <c r="AE687" s="478">
        <f t="shared" ca="1" si="145"/>
        <v>0</v>
      </c>
      <c r="AF687" s="459" t="str">
        <f t="shared" ca="1" si="149"/>
        <v/>
      </c>
      <c r="AG687" s="460" t="str">
        <f t="shared" ca="1" si="149"/>
        <v/>
      </c>
      <c r="AH687" s="460" t="str">
        <f t="shared" ca="1" si="149"/>
        <v/>
      </c>
      <c r="AI687" s="460" t="str">
        <f t="shared" ca="1" si="149"/>
        <v/>
      </c>
      <c r="AJ687" s="460" t="str">
        <f t="shared" ca="1" si="149"/>
        <v/>
      </c>
      <c r="AK687" s="460" t="str">
        <f t="shared" ca="1" si="149"/>
        <v/>
      </c>
      <c r="AL687" s="460" t="str">
        <f t="shared" ca="1" si="149"/>
        <v/>
      </c>
      <c r="AM687" s="460" t="str">
        <f t="shared" ca="1" si="149"/>
        <v/>
      </c>
      <c r="AN687" s="461" t="str">
        <f t="shared" ca="1" si="149"/>
        <v/>
      </c>
      <c r="AO687" s="474" t="str">
        <f t="shared" ca="1" si="149"/>
        <v/>
      </c>
      <c r="AP687" s="475" t="str">
        <f t="shared" ca="1" si="149"/>
        <v/>
      </c>
      <c r="AQ687" s="479" t="str">
        <f t="array" aca="1" ref="AQ687" ca="1">IF(ROW()-5&lt;=COUNTIF(科目编号,$AR$2),SMALL(IF(科目编号=$AR$2,ROW(科目编号),""),ROW()-5),"")</f>
        <v/>
      </c>
      <c r="AR687" s="480" t="str">
        <f ca="1">IF($BG$2=0,"",IF(AR686="本月合计","本年累计",IF(OR(ROW()=$AU$3,ROW()=$AV$3,ROW()=$AW$3,ROW()=$AX$3,ROW()=$AY$3,ROW()=$AZ$3,ROW()=$BA$3,ROW()=$BB$3,ROW()=$BC$3,ROW()=$BD$3,ROW()=$BE$3,ROW()=$BF$3),"本月合计",IF(ROW()&lt;7,$AQ$6,OFFSET($AQ$6,COUNT($AR$6:AR686),0)))))</f>
        <v/>
      </c>
    </row>
    <row r="688" spans="1:44">
      <c r="A688" s="469" t="str">
        <f ca="1">IFERROR(INDEX(凭证录入!A:A,$AR688),"")</f>
        <v/>
      </c>
      <c r="B688" s="469" t="str">
        <f ca="1">IFERROR(INDEX(凭证录入!B:B,$AR688),"")</f>
        <v/>
      </c>
      <c r="C688" s="470" t="str">
        <f ca="1">IFERROR(INDEX(凭证录入!G:G,$AR688),"")</f>
        <v/>
      </c>
      <c r="D688" s="471" t="str">
        <f ca="1">IFERROR(INDEX(凭证录入!F:F,$AR688),"")</f>
        <v/>
      </c>
      <c r="E688" s="472" t="str">
        <f ca="1">IFERROR(INDEX(凭证录入!H:H,$AR688),$AR688)</f>
        <v/>
      </c>
      <c r="F688" s="473">
        <f ca="1">IF(OR($BG$2=0,$AR688=""),,IF($AR688="本月合计",IF(ROW()=$BG$3,SUM($F$6:$F687),SUM(INDIRECT("$F$"&amp;OFFSET($AU$3,,MATCH(ROW(),$AU$3:$BF$3,)-2)+2&amp;":$E"&amp;ROW()-1))),IF($AR688="本年累计",SUMIF($AR$6:$AR688,"本月合计",$F$6:$F687),INDEX(凭证录入!K:K,$AR688))))</f>
        <v>0</v>
      </c>
      <c r="G688" s="459" t="str">
        <f t="shared" ca="1" si="150"/>
        <v/>
      </c>
      <c r="H688" s="460" t="str">
        <f t="shared" ca="1" si="150"/>
        <v/>
      </c>
      <c r="I688" s="460" t="str">
        <f t="shared" ca="1" si="150"/>
        <v/>
      </c>
      <c r="J688" s="460" t="str">
        <f t="shared" ca="1" si="150"/>
        <v/>
      </c>
      <c r="K688" s="460" t="str">
        <f t="shared" ca="1" si="150"/>
        <v/>
      </c>
      <c r="L688" s="460" t="str">
        <f t="shared" ca="1" si="150"/>
        <v/>
      </c>
      <c r="M688" s="460" t="str">
        <f t="shared" ca="1" si="150"/>
        <v/>
      </c>
      <c r="N688" s="460" t="str">
        <f t="shared" ca="1" si="150"/>
        <v/>
      </c>
      <c r="O688" s="461" t="str">
        <f t="shared" ca="1" si="150"/>
        <v/>
      </c>
      <c r="P688" s="474" t="str">
        <f t="shared" ca="1" si="150"/>
        <v/>
      </c>
      <c r="Q688" s="475" t="str">
        <f t="shared" ca="1" si="150"/>
        <v/>
      </c>
      <c r="R688" s="476">
        <f ca="1">IF(OR($BG$2=0,$AR688=""),,IF($AR688="本月合计",IF(ROW()=$BG$3,SUM($R$6:$R687),SUM(INDIRECT("$R$"&amp;OFFSET($AU$3,,MATCH(ROW(),$AU$3:$BF$3,)-2)+2&amp;":$R"&amp;ROW()-1))),IF($AR688="本年累计",SUMIF($AR$6:$AR688,"本月合计",$R$6:$R687),INDEX(凭证录入!L:L,$AR688))))</f>
        <v>0</v>
      </c>
      <c r="S688" s="459" t="str">
        <f t="shared" ca="1" si="151"/>
        <v/>
      </c>
      <c r="T688" s="460" t="str">
        <f t="shared" ca="1" si="151"/>
        <v/>
      </c>
      <c r="U688" s="460" t="str">
        <f t="shared" ca="1" si="151"/>
        <v/>
      </c>
      <c r="V688" s="460" t="str">
        <f t="shared" ca="1" si="151"/>
        <v/>
      </c>
      <c r="W688" s="460" t="str">
        <f t="shared" ca="1" si="151"/>
        <v/>
      </c>
      <c r="X688" s="460" t="str">
        <f t="shared" ca="1" si="151"/>
        <v/>
      </c>
      <c r="Y688" s="460" t="str">
        <f t="shared" ca="1" si="151"/>
        <v/>
      </c>
      <c r="Z688" s="460" t="str">
        <f t="shared" ca="1" si="151"/>
        <v/>
      </c>
      <c r="AA688" s="461" t="str">
        <f t="shared" ca="1" si="151"/>
        <v/>
      </c>
      <c r="AB688" s="474" t="str">
        <f t="shared" ca="1" si="151"/>
        <v/>
      </c>
      <c r="AC688" s="475" t="str">
        <f t="shared" ca="1" si="151"/>
        <v/>
      </c>
      <c r="AD688" s="477" t="str">
        <f t="shared" ca="1" si="144"/>
        <v/>
      </c>
      <c r="AE688" s="478">
        <f t="shared" ca="1" si="145"/>
        <v>0</v>
      </c>
      <c r="AF688" s="459" t="str">
        <f t="shared" ca="1" si="149"/>
        <v/>
      </c>
      <c r="AG688" s="460" t="str">
        <f t="shared" ca="1" si="149"/>
        <v/>
      </c>
      <c r="AH688" s="460" t="str">
        <f t="shared" ca="1" si="149"/>
        <v/>
      </c>
      <c r="AI688" s="460" t="str">
        <f t="shared" ca="1" si="149"/>
        <v/>
      </c>
      <c r="AJ688" s="460" t="str">
        <f t="shared" ca="1" si="149"/>
        <v/>
      </c>
      <c r="AK688" s="460" t="str">
        <f t="shared" ca="1" si="149"/>
        <v/>
      </c>
      <c r="AL688" s="460" t="str">
        <f t="shared" ca="1" si="149"/>
        <v/>
      </c>
      <c r="AM688" s="460" t="str">
        <f t="shared" ca="1" si="149"/>
        <v/>
      </c>
      <c r="AN688" s="461" t="str">
        <f t="shared" ca="1" si="149"/>
        <v/>
      </c>
      <c r="AO688" s="474" t="str">
        <f t="shared" ca="1" si="149"/>
        <v/>
      </c>
      <c r="AP688" s="475" t="str">
        <f t="shared" ca="1" si="149"/>
        <v/>
      </c>
      <c r="AQ688" s="479" t="str">
        <f t="array" aca="1" ref="AQ688" ca="1">IF(ROW()-5&lt;=COUNTIF(科目编号,$AR$2),SMALL(IF(科目编号=$AR$2,ROW(科目编号),""),ROW()-5),"")</f>
        <v/>
      </c>
      <c r="AR688" s="480" t="str">
        <f ca="1">IF($BG$2=0,"",IF(AR687="本月合计","本年累计",IF(OR(ROW()=$AU$3,ROW()=$AV$3,ROW()=$AW$3,ROW()=$AX$3,ROW()=$AY$3,ROW()=$AZ$3,ROW()=$BA$3,ROW()=$BB$3,ROW()=$BC$3,ROW()=$BD$3,ROW()=$BE$3,ROW()=$BF$3),"本月合计",IF(ROW()&lt;7,$AQ$6,OFFSET($AQ$6,COUNT($AR$6:AR687),0)))))</f>
        <v/>
      </c>
    </row>
    <row r="689" spans="1:44">
      <c r="A689" s="469" t="str">
        <f ca="1">IFERROR(INDEX(凭证录入!A:A,$AR689),"")</f>
        <v/>
      </c>
      <c r="B689" s="469" t="str">
        <f ca="1">IFERROR(INDEX(凭证录入!B:B,$AR689),"")</f>
        <v/>
      </c>
      <c r="C689" s="470" t="str">
        <f ca="1">IFERROR(INDEX(凭证录入!G:G,$AR689),"")</f>
        <v/>
      </c>
      <c r="D689" s="471" t="str">
        <f ca="1">IFERROR(INDEX(凭证录入!F:F,$AR689),"")</f>
        <v/>
      </c>
      <c r="E689" s="472" t="str">
        <f ca="1">IFERROR(INDEX(凭证录入!H:H,$AR689),$AR689)</f>
        <v/>
      </c>
      <c r="F689" s="473">
        <f ca="1">IF(OR($BG$2=0,$AR689=""),,IF($AR689="本月合计",IF(ROW()=$BG$3,SUM($F$6:$F688),SUM(INDIRECT("$F$"&amp;OFFSET($AU$3,,MATCH(ROW(),$AU$3:$BF$3,)-2)+2&amp;":$E"&amp;ROW()-1))),IF($AR689="本年累计",SUMIF($AR$6:$AR689,"本月合计",$F$6:$F688),INDEX(凭证录入!K:K,$AR689))))</f>
        <v>0</v>
      </c>
      <c r="G689" s="459" t="str">
        <f t="shared" ca="1" si="150"/>
        <v/>
      </c>
      <c r="H689" s="460" t="str">
        <f t="shared" ca="1" si="150"/>
        <v/>
      </c>
      <c r="I689" s="460" t="str">
        <f t="shared" ca="1" si="150"/>
        <v/>
      </c>
      <c r="J689" s="460" t="str">
        <f t="shared" ca="1" si="150"/>
        <v/>
      </c>
      <c r="K689" s="460" t="str">
        <f t="shared" ca="1" si="150"/>
        <v/>
      </c>
      <c r="L689" s="460" t="str">
        <f t="shared" ca="1" si="150"/>
        <v/>
      </c>
      <c r="M689" s="460" t="str">
        <f t="shared" ca="1" si="150"/>
        <v/>
      </c>
      <c r="N689" s="460" t="str">
        <f t="shared" ca="1" si="150"/>
        <v/>
      </c>
      <c r="O689" s="461" t="str">
        <f t="shared" ca="1" si="150"/>
        <v/>
      </c>
      <c r="P689" s="474" t="str">
        <f t="shared" ca="1" si="150"/>
        <v/>
      </c>
      <c r="Q689" s="475" t="str">
        <f t="shared" ca="1" si="150"/>
        <v/>
      </c>
      <c r="R689" s="476">
        <f ca="1">IF(OR($BG$2=0,$AR689=""),,IF($AR689="本月合计",IF(ROW()=$BG$3,SUM($R$6:$R688),SUM(INDIRECT("$R$"&amp;OFFSET($AU$3,,MATCH(ROW(),$AU$3:$BF$3,)-2)+2&amp;":$R"&amp;ROW()-1))),IF($AR689="本年累计",SUMIF($AR$6:$AR689,"本月合计",$R$6:$R688),INDEX(凭证录入!L:L,$AR689))))</f>
        <v>0</v>
      </c>
      <c r="S689" s="459" t="str">
        <f t="shared" ca="1" si="151"/>
        <v/>
      </c>
      <c r="T689" s="460" t="str">
        <f t="shared" ca="1" si="151"/>
        <v/>
      </c>
      <c r="U689" s="460" t="str">
        <f t="shared" ca="1" si="151"/>
        <v/>
      </c>
      <c r="V689" s="460" t="str">
        <f t="shared" ca="1" si="151"/>
        <v/>
      </c>
      <c r="W689" s="460" t="str">
        <f t="shared" ca="1" si="151"/>
        <v/>
      </c>
      <c r="X689" s="460" t="str">
        <f t="shared" ca="1" si="151"/>
        <v/>
      </c>
      <c r="Y689" s="460" t="str">
        <f t="shared" ca="1" si="151"/>
        <v/>
      </c>
      <c r="Z689" s="460" t="str">
        <f t="shared" ca="1" si="151"/>
        <v/>
      </c>
      <c r="AA689" s="461" t="str">
        <f t="shared" ca="1" si="151"/>
        <v/>
      </c>
      <c r="AB689" s="474" t="str">
        <f t="shared" ca="1" si="151"/>
        <v/>
      </c>
      <c r="AC689" s="475" t="str">
        <f t="shared" ca="1" si="151"/>
        <v/>
      </c>
      <c r="AD689" s="477" t="str">
        <f t="shared" ca="1" si="144"/>
        <v/>
      </c>
      <c r="AE689" s="478">
        <f t="shared" ca="1" si="145"/>
        <v>0</v>
      </c>
      <c r="AF689" s="459" t="str">
        <f t="shared" ca="1" si="149"/>
        <v/>
      </c>
      <c r="AG689" s="460" t="str">
        <f t="shared" ca="1" si="149"/>
        <v/>
      </c>
      <c r="AH689" s="460" t="str">
        <f t="shared" ca="1" si="149"/>
        <v/>
      </c>
      <c r="AI689" s="460" t="str">
        <f t="shared" ca="1" si="149"/>
        <v/>
      </c>
      <c r="AJ689" s="460" t="str">
        <f t="shared" ca="1" si="149"/>
        <v/>
      </c>
      <c r="AK689" s="460" t="str">
        <f t="shared" ca="1" si="149"/>
        <v/>
      </c>
      <c r="AL689" s="460" t="str">
        <f t="shared" ca="1" si="149"/>
        <v/>
      </c>
      <c r="AM689" s="460" t="str">
        <f t="shared" ca="1" si="149"/>
        <v/>
      </c>
      <c r="AN689" s="461" t="str">
        <f t="shared" ca="1" si="149"/>
        <v/>
      </c>
      <c r="AO689" s="474" t="str">
        <f t="shared" ca="1" si="149"/>
        <v/>
      </c>
      <c r="AP689" s="475" t="str">
        <f t="shared" ca="1" si="149"/>
        <v/>
      </c>
      <c r="AQ689" s="479" t="str">
        <f t="array" aca="1" ref="AQ689" ca="1">IF(ROW()-5&lt;=COUNTIF(科目编号,$AR$2),SMALL(IF(科目编号=$AR$2,ROW(科目编号),""),ROW()-5),"")</f>
        <v/>
      </c>
      <c r="AR689" s="480" t="str">
        <f ca="1">IF($BG$2=0,"",IF(AR688="本月合计","本年累计",IF(OR(ROW()=$AU$3,ROW()=$AV$3,ROW()=$AW$3,ROW()=$AX$3,ROW()=$AY$3,ROW()=$AZ$3,ROW()=$BA$3,ROW()=$BB$3,ROW()=$BC$3,ROW()=$BD$3,ROW()=$BE$3,ROW()=$BF$3),"本月合计",IF(ROW()&lt;7,$AQ$6,OFFSET($AQ$6,COUNT($AR$6:AR688),0)))))</f>
        <v/>
      </c>
    </row>
    <row r="690" spans="1:44">
      <c r="A690" s="469" t="str">
        <f ca="1">IFERROR(INDEX(凭证录入!A:A,$AR690),"")</f>
        <v/>
      </c>
      <c r="B690" s="469" t="str">
        <f ca="1">IFERROR(INDEX(凭证录入!B:B,$AR690),"")</f>
        <v/>
      </c>
      <c r="C690" s="470" t="str">
        <f ca="1">IFERROR(INDEX(凭证录入!G:G,$AR690),"")</f>
        <v/>
      </c>
      <c r="D690" s="471" t="str">
        <f ca="1">IFERROR(INDEX(凭证录入!F:F,$AR690),"")</f>
        <v/>
      </c>
      <c r="E690" s="472" t="str">
        <f ca="1">IFERROR(INDEX(凭证录入!H:H,$AR690),$AR690)</f>
        <v/>
      </c>
      <c r="F690" s="473">
        <f ca="1">IF(OR($BG$2=0,$AR690=""),,IF($AR690="本月合计",IF(ROW()=$BG$3,SUM($F$6:$F689),SUM(INDIRECT("$F$"&amp;OFFSET($AU$3,,MATCH(ROW(),$AU$3:$BF$3,)-2)+2&amp;":$E"&amp;ROW()-1))),IF($AR690="本年累计",SUMIF($AR$6:$AR690,"本月合计",$F$6:$F689),INDEX(凭证录入!K:K,$AR690))))</f>
        <v>0</v>
      </c>
      <c r="G690" s="459" t="str">
        <f t="shared" ca="1" si="150"/>
        <v/>
      </c>
      <c r="H690" s="460" t="str">
        <f t="shared" ca="1" si="150"/>
        <v/>
      </c>
      <c r="I690" s="460" t="str">
        <f t="shared" ca="1" si="150"/>
        <v/>
      </c>
      <c r="J690" s="460" t="str">
        <f t="shared" ca="1" si="150"/>
        <v/>
      </c>
      <c r="K690" s="460" t="str">
        <f t="shared" ca="1" si="150"/>
        <v/>
      </c>
      <c r="L690" s="460" t="str">
        <f t="shared" ca="1" si="150"/>
        <v/>
      </c>
      <c r="M690" s="460" t="str">
        <f t="shared" ca="1" si="150"/>
        <v/>
      </c>
      <c r="N690" s="460" t="str">
        <f t="shared" ca="1" si="150"/>
        <v/>
      </c>
      <c r="O690" s="461" t="str">
        <f t="shared" ca="1" si="150"/>
        <v/>
      </c>
      <c r="P690" s="474" t="str">
        <f t="shared" ca="1" si="150"/>
        <v/>
      </c>
      <c r="Q690" s="475" t="str">
        <f t="shared" ca="1" si="150"/>
        <v/>
      </c>
      <c r="R690" s="476">
        <f ca="1">IF(OR($BG$2=0,$AR690=""),,IF($AR690="本月合计",IF(ROW()=$BG$3,SUM($R$6:$R689),SUM(INDIRECT("$R$"&amp;OFFSET($AU$3,,MATCH(ROW(),$AU$3:$BF$3,)-2)+2&amp;":$R"&amp;ROW()-1))),IF($AR690="本年累计",SUMIF($AR$6:$AR690,"本月合计",$R$6:$R689),INDEX(凭证录入!L:L,$AR690))))</f>
        <v>0</v>
      </c>
      <c r="S690" s="459" t="str">
        <f t="shared" ca="1" si="151"/>
        <v/>
      </c>
      <c r="T690" s="460" t="str">
        <f t="shared" ca="1" si="151"/>
        <v/>
      </c>
      <c r="U690" s="460" t="str">
        <f t="shared" ca="1" si="151"/>
        <v/>
      </c>
      <c r="V690" s="460" t="str">
        <f t="shared" ca="1" si="151"/>
        <v/>
      </c>
      <c r="W690" s="460" t="str">
        <f t="shared" ca="1" si="151"/>
        <v/>
      </c>
      <c r="X690" s="460" t="str">
        <f t="shared" ca="1" si="151"/>
        <v/>
      </c>
      <c r="Y690" s="460" t="str">
        <f t="shared" ca="1" si="151"/>
        <v/>
      </c>
      <c r="Z690" s="460" t="str">
        <f t="shared" ca="1" si="151"/>
        <v/>
      </c>
      <c r="AA690" s="461" t="str">
        <f t="shared" ca="1" si="151"/>
        <v/>
      </c>
      <c r="AB690" s="474" t="str">
        <f t="shared" ca="1" si="151"/>
        <v/>
      </c>
      <c r="AC690" s="475" t="str">
        <f t="shared" ca="1" si="151"/>
        <v/>
      </c>
      <c r="AD690" s="477" t="str">
        <f t="shared" ca="1" si="144"/>
        <v/>
      </c>
      <c r="AE690" s="478">
        <f t="shared" ca="1" si="145"/>
        <v>0</v>
      </c>
      <c r="AF690" s="459" t="str">
        <f t="shared" ca="1" si="149"/>
        <v/>
      </c>
      <c r="AG690" s="460" t="str">
        <f t="shared" ca="1" si="149"/>
        <v/>
      </c>
      <c r="AH690" s="460" t="str">
        <f t="shared" ca="1" si="149"/>
        <v/>
      </c>
      <c r="AI690" s="460" t="str">
        <f t="shared" ca="1" si="149"/>
        <v/>
      </c>
      <c r="AJ690" s="460" t="str">
        <f t="shared" ca="1" si="149"/>
        <v/>
      </c>
      <c r="AK690" s="460" t="str">
        <f t="shared" ca="1" si="149"/>
        <v/>
      </c>
      <c r="AL690" s="460" t="str">
        <f t="shared" ca="1" si="149"/>
        <v/>
      </c>
      <c r="AM690" s="460" t="str">
        <f t="shared" ca="1" si="149"/>
        <v/>
      </c>
      <c r="AN690" s="461" t="str">
        <f t="shared" ca="1" si="149"/>
        <v/>
      </c>
      <c r="AO690" s="474" t="str">
        <f t="shared" ca="1" si="149"/>
        <v/>
      </c>
      <c r="AP690" s="475" t="str">
        <f t="shared" ca="1" si="149"/>
        <v/>
      </c>
      <c r="AQ690" s="479" t="str">
        <f t="array" aca="1" ref="AQ690" ca="1">IF(ROW()-5&lt;=COUNTIF(科目编号,$AR$2),SMALL(IF(科目编号=$AR$2,ROW(科目编号),""),ROW()-5),"")</f>
        <v/>
      </c>
      <c r="AR690" s="480" t="str">
        <f ca="1">IF($BG$2=0,"",IF(AR689="本月合计","本年累计",IF(OR(ROW()=$AU$3,ROW()=$AV$3,ROW()=$AW$3,ROW()=$AX$3,ROW()=$AY$3,ROW()=$AZ$3,ROW()=$BA$3,ROW()=$BB$3,ROW()=$BC$3,ROW()=$BD$3,ROW()=$BE$3,ROW()=$BF$3),"本月合计",IF(ROW()&lt;7,$AQ$6,OFFSET($AQ$6,COUNT($AR$6:AR689),0)))))</f>
        <v/>
      </c>
    </row>
    <row r="691" spans="1:44">
      <c r="A691" s="469" t="str">
        <f ca="1">IFERROR(INDEX(凭证录入!A:A,$AR691),"")</f>
        <v/>
      </c>
      <c r="B691" s="469" t="str">
        <f ca="1">IFERROR(INDEX(凭证录入!B:B,$AR691),"")</f>
        <v/>
      </c>
      <c r="C691" s="470" t="str">
        <f ca="1">IFERROR(INDEX(凭证录入!G:G,$AR691),"")</f>
        <v/>
      </c>
      <c r="D691" s="471" t="str">
        <f ca="1">IFERROR(INDEX(凭证录入!F:F,$AR691),"")</f>
        <v/>
      </c>
      <c r="E691" s="472" t="str">
        <f ca="1">IFERROR(INDEX(凭证录入!H:H,$AR691),$AR691)</f>
        <v/>
      </c>
      <c r="F691" s="473">
        <f ca="1">IF(OR($BG$2=0,$AR691=""),,IF($AR691="本月合计",IF(ROW()=$BG$3,SUM($F$6:$F690),SUM(INDIRECT("$F$"&amp;OFFSET($AU$3,,MATCH(ROW(),$AU$3:$BF$3,)-2)+2&amp;":$E"&amp;ROW()-1))),IF($AR691="本年累计",SUMIF($AR$6:$AR691,"本月合计",$F$6:$F690),INDEX(凭证录入!K:K,$AR691))))</f>
        <v>0</v>
      </c>
      <c r="G691" s="459" t="str">
        <f t="shared" ca="1" si="150"/>
        <v/>
      </c>
      <c r="H691" s="460" t="str">
        <f t="shared" ca="1" si="150"/>
        <v/>
      </c>
      <c r="I691" s="460" t="str">
        <f t="shared" ca="1" si="150"/>
        <v/>
      </c>
      <c r="J691" s="460" t="str">
        <f t="shared" ca="1" si="150"/>
        <v/>
      </c>
      <c r="K691" s="460" t="str">
        <f t="shared" ca="1" si="150"/>
        <v/>
      </c>
      <c r="L691" s="460" t="str">
        <f t="shared" ca="1" si="150"/>
        <v/>
      </c>
      <c r="M691" s="460" t="str">
        <f t="shared" ca="1" si="150"/>
        <v/>
      </c>
      <c r="N691" s="460" t="str">
        <f t="shared" ca="1" si="150"/>
        <v/>
      </c>
      <c r="O691" s="461" t="str">
        <f t="shared" ca="1" si="150"/>
        <v/>
      </c>
      <c r="P691" s="474" t="str">
        <f t="shared" ca="1" si="150"/>
        <v/>
      </c>
      <c r="Q691" s="475" t="str">
        <f t="shared" ca="1" si="150"/>
        <v/>
      </c>
      <c r="R691" s="476">
        <f ca="1">IF(OR($BG$2=0,$AR691=""),,IF($AR691="本月合计",IF(ROW()=$BG$3,SUM($R$6:$R690),SUM(INDIRECT("$R$"&amp;OFFSET($AU$3,,MATCH(ROW(),$AU$3:$BF$3,)-2)+2&amp;":$R"&amp;ROW()-1))),IF($AR691="本年累计",SUMIF($AR$6:$AR691,"本月合计",$R$6:$R690),INDEX(凭证录入!L:L,$AR691))))</f>
        <v>0</v>
      </c>
      <c r="S691" s="459" t="str">
        <f t="shared" ca="1" si="151"/>
        <v/>
      </c>
      <c r="T691" s="460" t="str">
        <f t="shared" ca="1" si="151"/>
        <v/>
      </c>
      <c r="U691" s="460" t="str">
        <f t="shared" ca="1" si="151"/>
        <v/>
      </c>
      <c r="V691" s="460" t="str">
        <f t="shared" ca="1" si="151"/>
        <v/>
      </c>
      <c r="W691" s="460" t="str">
        <f t="shared" ca="1" si="151"/>
        <v/>
      </c>
      <c r="X691" s="460" t="str">
        <f t="shared" ca="1" si="151"/>
        <v/>
      </c>
      <c r="Y691" s="460" t="str">
        <f t="shared" ca="1" si="151"/>
        <v/>
      </c>
      <c r="Z691" s="460" t="str">
        <f t="shared" ca="1" si="151"/>
        <v/>
      </c>
      <c r="AA691" s="461" t="str">
        <f t="shared" ca="1" si="151"/>
        <v/>
      </c>
      <c r="AB691" s="474" t="str">
        <f t="shared" ca="1" si="151"/>
        <v/>
      </c>
      <c r="AC691" s="475" t="str">
        <f t="shared" ca="1" si="151"/>
        <v/>
      </c>
      <c r="AD691" s="477" t="str">
        <f t="shared" ca="1" si="144"/>
        <v/>
      </c>
      <c r="AE691" s="478">
        <f t="shared" ca="1" si="145"/>
        <v>0</v>
      </c>
      <c r="AF691" s="459" t="str">
        <f t="shared" ca="1" si="149"/>
        <v/>
      </c>
      <c r="AG691" s="460" t="str">
        <f t="shared" ca="1" si="149"/>
        <v/>
      </c>
      <c r="AH691" s="460" t="str">
        <f t="shared" ca="1" si="149"/>
        <v/>
      </c>
      <c r="AI691" s="460" t="str">
        <f t="shared" ca="1" si="149"/>
        <v/>
      </c>
      <c r="AJ691" s="460" t="str">
        <f t="shared" ca="1" si="149"/>
        <v/>
      </c>
      <c r="AK691" s="460" t="str">
        <f t="shared" ca="1" si="149"/>
        <v/>
      </c>
      <c r="AL691" s="460" t="str">
        <f t="shared" ca="1" si="149"/>
        <v/>
      </c>
      <c r="AM691" s="460" t="str">
        <f t="shared" ca="1" si="149"/>
        <v/>
      </c>
      <c r="AN691" s="461" t="str">
        <f t="shared" ca="1" si="149"/>
        <v/>
      </c>
      <c r="AO691" s="474" t="str">
        <f t="shared" ca="1" si="149"/>
        <v/>
      </c>
      <c r="AP691" s="475" t="str">
        <f t="shared" ca="1" si="149"/>
        <v/>
      </c>
      <c r="AQ691" s="479" t="str">
        <f t="array" aca="1" ref="AQ691" ca="1">IF(ROW()-5&lt;=COUNTIF(科目编号,$AR$2),SMALL(IF(科目编号=$AR$2,ROW(科目编号),""),ROW()-5),"")</f>
        <v/>
      </c>
      <c r="AR691" s="480" t="str">
        <f ca="1">IF($BG$2=0,"",IF(AR690="本月合计","本年累计",IF(OR(ROW()=$AU$3,ROW()=$AV$3,ROW()=$AW$3,ROW()=$AX$3,ROW()=$AY$3,ROW()=$AZ$3,ROW()=$BA$3,ROW()=$BB$3,ROW()=$BC$3,ROW()=$BD$3,ROW()=$BE$3,ROW()=$BF$3),"本月合计",IF(ROW()&lt;7,$AQ$6,OFFSET($AQ$6,COUNT($AR$6:AR690),0)))))</f>
        <v/>
      </c>
    </row>
    <row r="692" spans="1:44">
      <c r="A692" s="469" t="str">
        <f ca="1">IFERROR(INDEX(凭证录入!A:A,$AR692),"")</f>
        <v/>
      </c>
      <c r="B692" s="469" t="str">
        <f ca="1">IFERROR(INDEX(凭证录入!B:B,$AR692),"")</f>
        <v/>
      </c>
      <c r="C692" s="470" t="str">
        <f ca="1">IFERROR(INDEX(凭证录入!G:G,$AR692),"")</f>
        <v/>
      </c>
      <c r="D692" s="471" t="str">
        <f ca="1">IFERROR(INDEX(凭证录入!F:F,$AR692),"")</f>
        <v/>
      </c>
      <c r="E692" s="472" t="str">
        <f ca="1">IFERROR(INDEX(凭证录入!H:H,$AR692),$AR692)</f>
        <v/>
      </c>
      <c r="F692" s="473">
        <f ca="1">IF(OR($BG$2=0,$AR692=""),,IF($AR692="本月合计",IF(ROW()=$BG$3,SUM($F$6:$F691),SUM(INDIRECT("$F$"&amp;OFFSET($AU$3,,MATCH(ROW(),$AU$3:$BF$3,)-2)+2&amp;":$E"&amp;ROW()-1))),IF($AR692="本年累计",SUMIF($AR$6:$AR692,"本月合计",$F$6:$F691),INDEX(凭证录入!K:K,$AR692))))</f>
        <v>0</v>
      </c>
      <c r="G692" s="459" t="str">
        <f t="shared" ca="1" si="150"/>
        <v/>
      </c>
      <c r="H692" s="460" t="str">
        <f t="shared" ca="1" si="150"/>
        <v/>
      </c>
      <c r="I692" s="460" t="str">
        <f t="shared" ca="1" si="150"/>
        <v/>
      </c>
      <c r="J692" s="460" t="str">
        <f t="shared" ca="1" si="150"/>
        <v/>
      </c>
      <c r="K692" s="460" t="str">
        <f t="shared" ca="1" si="150"/>
        <v/>
      </c>
      <c r="L692" s="460" t="str">
        <f t="shared" ca="1" si="150"/>
        <v/>
      </c>
      <c r="M692" s="460" t="str">
        <f t="shared" ca="1" si="150"/>
        <v/>
      </c>
      <c r="N692" s="460" t="str">
        <f t="shared" ca="1" si="150"/>
        <v/>
      </c>
      <c r="O692" s="461" t="str">
        <f t="shared" ca="1" si="150"/>
        <v/>
      </c>
      <c r="P692" s="474" t="str">
        <f t="shared" ca="1" si="150"/>
        <v/>
      </c>
      <c r="Q692" s="475" t="str">
        <f t="shared" ca="1" si="150"/>
        <v/>
      </c>
      <c r="R692" s="476">
        <f ca="1">IF(OR($BG$2=0,$AR692=""),,IF($AR692="本月合计",IF(ROW()=$BG$3,SUM($R$6:$R691),SUM(INDIRECT("$R$"&amp;OFFSET($AU$3,,MATCH(ROW(),$AU$3:$BF$3,)-2)+2&amp;":$R"&amp;ROW()-1))),IF($AR692="本年累计",SUMIF($AR$6:$AR692,"本月合计",$R$6:$R691),INDEX(凭证录入!L:L,$AR692))))</f>
        <v>0</v>
      </c>
      <c r="S692" s="459" t="str">
        <f t="shared" ca="1" si="151"/>
        <v/>
      </c>
      <c r="T692" s="460" t="str">
        <f t="shared" ca="1" si="151"/>
        <v/>
      </c>
      <c r="U692" s="460" t="str">
        <f t="shared" ca="1" si="151"/>
        <v/>
      </c>
      <c r="V692" s="460" t="str">
        <f t="shared" ca="1" si="151"/>
        <v/>
      </c>
      <c r="W692" s="460" t="str">
        <f t="shared" ca="1" si="151"/>
        <v/>
      </c>
      <c r="X692" s="460" t="str">
        <f t="shared" ca="1" si="151"/>
        <v/>
      </c>
      <c r="Y692" s="460" t="str">
        <f t="shared" ca="1" si="151"/>
        <v/>
      </c>
      <c r="Z692" s="460" t="str">
        <f t="shared" ca="1" si="151"/>
        <v/>
      </c>
      <c r="AA692" s="461" t="str">
        <f t="shared" ca="1" si="151"/>
        <v/>
      </c>
      <c r="AB692" s="474" t="str">
        <f t="shared" ca="1" si="151"/>
        <v/>
      </c>
      <c r="AC692" s="475" t="str">
        <f t="shared" ca="1" si="151"/>
        <v/>
      </c>
      <c r="AD692" s="477" t="str">
        <f t="shared" ca="1" si="144"/>
        <v/>
      </c>
      <c r="AE692" s="478">
        <f t="shared" ca="1" si="145"/>
        <v>0</v>
      </c>
      <c r="AF692" s="459" t="str">
        <f t="shared" ca="1" si="149"/>
        <v/>
      </c>
      <c r="AG692" s="460" t="str">
        <f t="shared" ca="1" si="149"/>
        <v/>
      </c>
      <c r="AH692" s="460" t="str">
        <f t="shared" ca="1" si="149"/>
        <v/>
      </c>
      <c r="AI692" s="460" t="str">
        <f t="shared" ca="1" si="149"/>
        <v/>
      </c>
      <c r="AJ692" s="460" t="str">
        <f t="shared" ca="1" si="149"/>
        <v/>
      </c>
      <c r="AK692" s="460" t="str">
        <f t="shared" ca="1" si="149"/>
        <v/>
      </c>
      <c r="AL692" s="460" t="str">
        <f t="shared" ca="1" si="149"/>
        <v/>
      </c>
      <c r="AM692" s="460" t="str">
        <f t="shared" ca="1" si="149"/>
        <v/>
      </c>
      <c r="AN692" s="461" t="str">
        <f t="shared" ca="1" si="149"/>
        <v/>
      </c>
      <c r="AO692" s="474" t="str">
        <f t="shared" ca="1" si="149"/>
        <v/>
      </c>
      <c r="AP692" s="475" t="str">
        <f t="shared" ca="1" si="149"/>
        <v/>
      </c>
      <c r="AQ692" s="479" t="str">
        <f t="array" aca="1" ref="AQ692" ca="1">IF(ROW()-5&lt;=COUNTIF(科目编号,$AR$2),SMALL(IF(科目编号=$AR$2,ROW(科目编号),""),ROW()-5),"")</f>
        <v/>
      </c>
      <c r="AR692" s="480" t="str">
        <f ca="1">IF($BG$2=0,"",IF(AR691="本月合计","本年累计",IF(OR(ROW()=$AU$3,ROW()=$AV$3,ROW()=$AW$3,ROW()=$AX$3,ROW()=$AY$3,ROW()=$AZ$3,ROW()=$BA$3,ROW()=$BB$3,ROW()=$BC$3,ROW()=$BD$3,ROW()=$BE$3,ROW()=$BF$3),"本月合计",IF(ROW()&lt;7,$AQ$6,OFFSET($AQ$6,COUNT($AR$6:AR691),0)))))</f>
        <v/>
      </c>
    </row>
    <row r="693" spans="1:44">
      <c r="A693" s="469" t="str">
        <f ca="1">IFERROR(INDEX(凭证录入!A:A,$AR693),"")</f>
        <v/>
      </c>
      <c r="B693" s="469" t="str">
        <f ca="1">IFERROR(INDEX(凭证录入!B:B,$AR693),"")</f>
        <v/>
      </c>
      <c r="C693" s="470" t="str">
        <f ca="1">IFERROR(INDEX(凭证录入!G:G,$AR693),"")</f>
        <v/>
      </c>
      <c r="D693" s="471" t="str">
        <f ca="1">IFERROR(INDEX(凭证录入!F:F,$AR693),"")</f>
        <v/>
      </c>
      <c r="E693" s="472" t="str">
        <f ca="1">IFERROR(INDEX(凭证录入!H:H,$AR693),$AR693)</f>
        <v/>
      </c>
      <c r="F693" s="473">
        <f ca="1">IF(OR($BG$2=0,$AR693=""),,IF($AR693="本月合计",IF(ROW()=$BG$3,SUM($F$6:$F692),SUM(INDIRECT("$F$"&amp;OFFSET($AU$3,,MATCH(ROW(),$AU$3:$BF$3,)-2)+2&amp;":$E"&amp;ROW()-1))),IF($AR693="本年累计",SUMIF($AR$6:$AR693,"本月合计",$F$6:$F692),INDEX(凭证录入!K:K,$AR693))))</f>
        <v>0</v>
      </c>
      <c r="G693" s="459" t="str">
        <f t="shared" ca="1" si="150"/>
        <v/>
      </c>
      <c r="H693" s="460" t="str">
        <f t="shared" ca="1" si="150"/>
        <v/>
      </c>
      <c r="I693" s="460" t="str">
        <f t="shared" ca="1" si="150"/>
        <v/>
      </c>
      <c r="J693" s="460" t="str">
        <f t="shared" ca="1" si="150"/>
        <v/>
      </c>
      <c r="K693" s="460" t="str">
        <f t="shared" ca="1" si="150"/>
        <v/>
      </c>
      <c r="L693" s="460" t="str">
        <f t="shared" ca="1" si="150"/>
        <v/>
      </c>
      <c r="M693" s="460" t="str">
        <f t="shared" ca="1" si="150"/>
        <v/>
      </c>
      <c r="N693" s="460" t="str">
        <f t="shared" ca="1" si="150"/>
        <v/>
      </c>
      <c r="O693" s="461" t="str">
        <f t="shared" ca="1" si="150"/>
        <v/>
      </c>
      <c r="P693" s="474" t="str">
        <f t="shared" ca="1" si="150"/>
        <v/>
      </c>
      <c r="Q693" s="475" t="str">
        <f t="shared" ca="1" si="150"/>
        <v/>
      </c>
      <c r="R693" s="476">
        <f ca="1">IF(OR($BG$2=0,$AR693=""),,IF($AR693="本月合计",IF(ROW()=$BG$3,SUM($R$6:$R692),SUM(INDIRECT("$R$"&amp;OFFSET($AU$3,,MATCH(ROW(),$AU$3:$BF$3,)-2)+2&amp;":$R"&amp;ROW()-1))),IF($AR693="本年累计",SUMIF($AR$6:$AR693,"本月合计",$R$6:$R692),INDEX(凭证录入!L:L,$AR693))))</f>
        <v>0</v>
      </c>
      <c r="S693" s="459" t="str">
        <f t="shared" ca="1" si="151"/>
        <v/>
      </c>
      <c r="T693" s="460" t="str">
        <f t="shared" ca="1" si="151"/>
        <v/>
      </c>
      <c r="U693" s="460" t="str">
        <f t="shared" ca="1" si="151"/>
        <v/>
      </c>
      <c r="V693" s="460" t="str">
        <f t="shared" ca="1" si="151"/>
        <v/>
      </c>
      <c r="W693" s="460" t="str">
        <f t="shared" ca="1" si="151"/>
        <v/>
      </c>
      <c r="X693" s="460" t="str">
        <f t="shared" ca="1" si="151"/>
        <v/>
      </c>
      <c r="Y693" s="460" t="str">
        <f t="shared" ca="1" si="151"/>
        <v/>
      </c>
      <c r="Z693" s="460" t="str">
        <f t="shared" ca="1" si="151"/>
        <v/>
      </c>
      <c r="AA693" s="461" t="str">
        <f t="shared" ca="1" si="151"/>
        <v/>
      </c>
      <c r="AB693" s="474" t="str">
        <f t="shared" ca="1" si="151"/>
        <v/>
      </c>
      <c r="AC693" s="475" t="str">
        <f t="shared" ca="1" si="151"/>
        <v/>
      </c>
      <c r="AD693" s="477" t="str">
        <f t="shared" ca="1" si="144"/>
        <v/>
      </c>
      <c r="AE693" s="478">
        <f t="shared" ca="1" si="145"/>
        <v>0</v>
      </c>
      <c r="AF693" s="459" t="str">
        <f t="shared" ref="AF693:AP708" ca="1" si="152">LEFT(RIGHT(TEXT($AE693/1%," ￥0; ￥-0;"),43-COLUMN()))</f>
        <v/>
      </c>
      <c r="AG693" s="460" t="str">
        <f t="shared" ca="1" si="152"/>
        <v/>
      </c>
      <c r="AH693" s="460" t="str">
        <f t="shared" ca="1" si="152"/>
        <v/>
      </c>
      <c r="AI693" s="460" t="str">
        <f t="shared" ca="1" si="152"/>
        <v/>
      </c>
      <c r="AJ693" s="460" t="str">
        <f t="shared" ca="1" si="152"/>
        <v/>
      </c>
      <c r="AK693" s="460" t="str">
        <f t="shared" ca="1" si="152"/>
        <v/>
      </c>
      <c r="AL693" s="460" t="str">
        <f t="shared" ca="1" si="152"/>
        <v/>
      </c>
      <c r="AM693" s="460" t="str">
        <f t="shared" ca="1" si="152"/>
        <v/>
      </c>
      <c r="AN693" s="461" t="str">
        <f t="shared" ca="1" si="152"/>
        <v/>
      </c>
      <c r="AO693" s="474" t="str">
        <f t="shared" ca="1" si="152"/>
        <v/>
      </c>
      <c r="AP693" s="475" t="str">
        <f t="shared" ca="1" si="152"/>
        <v/>
      </c>
      <c r="AQ693" s="479" t="str">
        <f t="array" aca="1" ref="AQ693" ca="1">IF(ROW()-5&lt;=COUNTIF(科目编号,$AR$2),SMALL(IF(科目编号=$AR$2,ROW(科目编号),""),ROW()-5),"")</f>
        <v/>
      </c>
      <c r="AR693" s="480" t="str">
        <f ca="1">IF($BG$2=0,"",IF(AR692="本月合计","本年累计",IF(OR(ROW()=$AU$3,ROW()=$AV$3,ROW()=$AW$3,ROW()=$AX$3,ROW()=$AY$3,ROW()=$AZ$3,ROW()=$BA$3,ROW()=$BB$3,ROW()=$BC$3,ROW()=$BD$3,ROW()=$BE$3,ROW()=$BF$3),"本月合计",IF(ROW()&lt;7,$AQ$6,OFFSET($AQ$6,COUNT($AR$6:AR692),0)))))</f>
        <v/>
      </c>
    </row>
    <row r="694" spans="1:44">
      <c r="A694" s="469" t="str">
        <f ca="1">IFERROR(INDEX(凭证录入!A:A,$AR694),"")</f>
        <v/>
      </c>
      <c r="B694" s="469" t="str">
        <f ca="1">IFERROR(INDEX(凭证录入!B:B,$AR694),"")</f>
        <v/>
      </c>
      <c r="C694" s="470" t="str">
        <f ca="1">IFERROR(INDEX(凭证录入!G:G,$AR694),"")</f>
        <v/>
      </c>
      <c r="D694" s="471" t="str">
        <f ca="1">IFERROR(INDEX(凭证录入!F:F,$AR694),"")</f>
        <v/>
      </c>
      <c r="E694" s="472" t="str">
        <f ca="1">IFERROR(INDEX(凭证录入!H:H,$AR694),$AR694)</f>
        <v/>
      </c>
      <c r="F694" s="473">
        <f ca="1">IF(OR($BG$2=0,$AR694=""),,IF($AR694="本月合计",IF(ROW()=$BG$3,SUM($F$6:$F693),SUM(INDIRECT("$F$"&amp;OFFSET($AU$3,,MATCH(ROW(),$AU$3:$BF$3,)-2)+2&amp;":$E"&amp;ROW()-1))),IF($AR694="本年累计",SUMIF($AR$6:$AR694,"本月合计",$F$6:$F693),INDEX(凭证录入!K:K,$AR694))))</f>
        <v>0</v>
      </c>
      <c r="G694" s="459" t="str">
        <f t="shared" ref="G694:Q709" ca="1" si="153">LEFT(RIGHT(TEXT($F694/1%," ￥0; ￥-0;"),18-COLUMN()))</f>
        <v/>
      </c>
      <c r="H694" s="460" t="str">
        <f t="shared" ca="1" si="153"/>
        <v/>
      </c>
      <c r="I694" s="460" t="str">
        <f t="shared" ca="1" si="153"/>
        <v/>
      </c>
      <c r="J694" s="460" t="str">
        <f t="shared" ca="1" si="153"/>
        <v/>
      </c>
      <c r="K694" s="460" t="str">
        <f t="shared" ca="1" si="153"/>
        <v/>
      </c>
      <c r="L694" s="460" t="str">
        <f t="shared" ca="1" si="153"/>
        <v/>
      </c>
      <c r="M694" s="460" t="str">
        <f t="shared" ca="1" si="153"/>
        <v/>
      </c>
      <c r="N694" s="460" t="str">
        <f t="shared" ca="1" si="153"/>
        <v/>
      </c>
      <c r="O694" s="461" t="str">
        <f t="shared" ca="1" si="153"/>
        <v/>
      </c>
      <c r="P694" s="474" t="str">
        <f t="shared" ca="1" si="153"/>
        <v/>
      </c>
      <c r="Q694" s="475" t="str">
        <f t="shared" ca="1" si="153"/>
        <v/>
      </c>
      <c r="R694" s="476">
        <f ca="1">IF(OR($BG$2=0,$AR694=""),,IF($AR694="本月合计",IF(ROW()=$BG$3,SUM($R$6:$R693),SUM(INDIRECT("$R$"&amp;OFFSET($AU$3,,MATCH(ROW(),$AU$3:$BF$3,)-2)+2&amp;":$R"&amp;ROW()-1))),IF($AR694="本年累计",SUMIF($AR$6:$AR694,"本月合计",$R$6:$R693),INDEX(凭证录入!L:L,$AR694))))</f>
        <v>0</v>
      </c>
      <c r="S694" s="459" t="str">
        <f t="shared" ref="S694:AC709" ca="1" si="154">LEFT(RIGHT(TEXT($R694/1%," ￥0; ￥-0;"),30-COLUMN()))</f>
        <v/>
      </c>
      <c r="T694" s="460" t="str">
        <f t="shared" ca="1" si="154"/>
        <v/>
      </c>
      <c r="U694" s="460" t="str">
        <f t="shared" ca="1" si="154"/>
        <v/>
      </c>
      <c r="V694" s="460" t="str">
        <f t="shared" ca="1" si="154"/>
        <v/>
      </c>
      <c r="W694" s="460" t="str">
        <f t="shared" ca="1" si="154"/>
        <v/>
      </c>
      <c r="X694" s="460" t="str">
        <f t="shared" ca="1" si="154"/>
        <v/>
      </c>
      <c r="Y694" s="460" t="str">
        <f t="shared" ca="1" si="154"/>
        <v/>
      </c>
      <c r="Z694" s="460" t="str">
        <f t="shared" ca="1" si="154"/>
        <v/>
      </c>
      <c r="AA694" s="461" t="str">
        <f t="shared" ca="1" si="154"/>
        <v/>
      </c>
      <c r="AB694" s="474" t="str">
        <f t="shared" ca="1" si="154"/>
        <v/>
      </c>
      <c r="AC694" s="475" t="str">
        <f t="shared" ca="1" si="154"/>
        <v/>
      </c>
      <c r="AD694" s="477" t="str">
        <f t="shared" ca="1" si="144"/>
        <v/>
      </c>
      <c r="AE694" s="478">
        <f t="shared" ca="1" si="145"/>
        <v>0</v>
      </c>
      <c r="AF694" s="459" t="str">
        <f t="shared" ca="1" si="152"/>
        <v/>
      </c>
      <c r="AG694" s="460" t="str">
        <f t="shared" ca="1" si="152"/>
        <v/>
      </c>
      <c r="AH694" s="460" t="str">
        <f t="shared" ca="1" si="152"/>
        <v/>
      </c>
      <c r="AI694" s="460" t="str">
        <f t="shared" ca="1" si="152"/>
        <v/>
      </c>
      <c r="AJ694" s="460" t="str">
        <f t="shared" ca="1" si="152"/>
        <v/>
      </c>
      <c r="AK694" s="460" t="str">
        <f t="shared" ca="1" si="152"/>
        <v/>
      </c>
      <c r="AL694" s="460" t="str">
        <f t="shared" ca="1" si="152"/>
        <v/>
      </c>
      <c r="AM694" s="460" t="str">
        <f t="shared" ca="1" si="152"/>
        <v/>
      </c>
      <c r="AN694" s="461" t="str">
        <f t="shared" ca="1" si="152"/>
        <v/>
      </c>
      <c r="AO694" s="474" t="str">
        <f t="shared" ca="1" si="152"/>
        <v/>
      </c>
      <c r="AP694" s="475" t="str">
        <f t="shared" ca="1" si="152"/>
        <v/>
      </c>
      <c r="AQ694" s="479" t="str">
        <f t="array" aca="1" ref="AQ694" ca="1">IF(ROW()-5&lt;=COUNTIF(科目编号,$AR$2),SMALL(IF(科目编号=$AR$2,ROW(科目编号),""),ROW()-5),"")</f>
        <v/>
      </c>
      <c r="AR694" s="480" t="str">
        <f ca="1">IF($BG$2=0,"",IF(AR693="本月合计","本年累计",IF(OR(ROW()=$AU$3,ROW()=$AV$3,ROW()=$AW$3,ROW()=$AX$3,ROW()=$AY$3,ROW()=$AZ$3,ROW()=$BA$3,ROW()=$BB$3,ROW()=$BC$3,ROW()=$BD$3,ROW()=$BE$3,ROW()=$BF$3),"本月合计",IF(ROW()&lt;7,$AQ$6,OFFSET($AQ$6,COUNT($AR$6:AR693),0)))))</f>
        <v/>
      </c>
    </row>
    <row r="695" spans="1:44">
      <c r="A695" s="469" t="str">
        <f ca="1">IFERROR(INDEX(凭证录入!A:A,$AR695),"")</f>
        <v/>
      </c>
      <c r="B695" s="469" t="str">
        <f ca="1">IFERROR(INDEX(凭证录入!B:B,$AR695),"")</f>
        <v/>
      </c>
      <c r="C695" s="470" t="str">
        <f ca="1">IFERROR(INDEX(凭证录入!G:G,$AR695),"")</f>
        <v/>
      </c>
      <c r="D695" s="471" t="str">
        <f ca="1">IFERROR(INDEX(凭证录入!F:F,$AR695),"")</f>
        <v/>
      </c>
      <c r="E695" s="472" t="str">
        <f ca="1">IFERROR(INDEX(凭证录入!H:H,$AR695),$AR695)</f>
        <v/>
      </c>
      <c r="F695" s="473">
        <f ca="1">IF(OR($BG$2=0,$AR695=""),,IF($AR695="本月合计",IF(ROW()=$BG$3,SUM($F$6:$F694),SUM(INDIRECT("$F$"&amp;OFFSET($AU$3,,MATCH(ROW(),$AU$3:$BF$3,)-2)+2&amp;":$E"&amp;ROW()-1))),IF($AR695="本年累计",SUMIF($AR$6:$AR695,"本月合计",$F$6:$F694),INDEX(凭证录入!K:K,$AR695))))</f>
        <v>0</v>
      </c>
      <c r="G695" s="459" t="str">
        <f t="shared" ca="1" si="153"/>
        <v/>
      </c>
      <c r="H695" s="460" t="str">
        <f t="shared" ca="1" si="153"/>
        <v/>
      </c>
      <c r="I695" s="460" t="str">
        <f t="shared" ca="1" si="153"/>
        <v/>
      </c>
      <c r="J695" s="460" t="str">
        <f t="shared" ca="1" si="153"/>
        <v/>
      </c>
      <c r="K695" s="460" t="str">
        <f t="shared" ca="1" si="153"/>
        <v/>
      </c>
      <c r="L695" s="460" t="str">
        <f t="shared" ca="1" si="153"/>
        <v/>
      </c>
      <c r="M695" s="460" t="str">
        <f t="shared" ca="1" si="153"/>
        <v/>
      </c>
      <c r="N695" s="460" t="str">
        <f t="shared" ca="1" si="153"/>
        <v/>
      </c>
      <c r="O695" s="461" t="str">
        <f t="shared" ca="1" si="153"/>
        <v/>
      </c>
      <c r="P695" s="474" t="str">
        <f t="shared" ca="1" si="153"/>
        <v/>
      </c>
      <c r="Q695" s="475" t="str">
        <f t="shared" ca="1" si="153"/>
        <v/>
      </c>
      <c r="R695" s="476">
        <f ca="1">IF(OR($BG$2=0,$AR695=""),,IF($AR695="本月合计",IF(ROW()=$BG$3,SUM($R$6:$R694),SUM(INDIRECT("$R$"&amp;OFFSET($AU$3,,MATCH(ROW(),$AU$3:$BF$3,)-2)+2&amp;":$R"&amp;ROW()-1))),IF($AR695="本年累计",SUMIF($AR$6:$AR695,"本月合计",$R$6:$R694),INDEX(凭证录入!L:L,$AR695))))</f>
        <v>0</v>
      </c>
      <c r="S695" s="459" t="str">
        <f t="shared" ca="1" si="154"/>
        <v/>
      </c>
      <c r="T695" s="460" t="str">
        <f t="shared" ca="1" si="154"/>
        <v/>
      </c>
      <c r="U695" s="460" t="str">
        <f t="shared" ca="1" si="154"/>
        <v/>
      </c>
      <c r="V695" s="460" t="str">
        <f t="shared" ca="1" si="154"/>
        <v/>
      </c>
      <c r="W695" s="460" t="str">
        <f t="shared" ca="1" si="154"/>
        <v/>
      </c>
      <c r="X695" s="460" t="str">
        <f t="shared" ca="1" si="154"/>
        <v/>
      </c>
      <c r="Y695" s="460" t="str">
        <f t="shared" ca="1" si="154"/>
        <v/>
      </c>
      <c r="Z695" s="460" t="str">
        <f t="shared" ca="1" si="154"/>
        <v/>
      </c>
      <c r="AA695" s="461" t="str">
        <f t="shared" ca="1" si="154"/>
        <v/>
      </c>
      <c r="AB695" s="474" t="str">
        <f t="shared" ca="1" si="154"/>
        <v/>
      </c>
      <c r="AC695" s="475" t="str">
        <f t="shared" ca="1" si="154"/>
        <v/>
      </c>
      <c r="AD695" s="477" t="str">
        <f t="shared" ca="1" si="144"/>
        <v/>
      </c>
      <c r="AE695" s="478">
        <f t="shared" ca="1" si="145"/>
        <v>0</v>
      </c>
      <c r="AF695" s="459" t="str">
        <f t="shared" ca="1" si="152"/>
        <v/>
      </c>
      <c r="AG695" s="460" t="str">
        <f t="shared" ca="1" si="152"/>
        <v/>
      </c>
      <c r="AH695" s="460" t="str">
        <f t="shared" ca="1" si="152"/>
        <v/>
      </c>
      <c r="AI695" s="460" t="str">
        <f t="shared" ca="1" si="152"/>
        <v/>
      </c>
      <c r="AJ695" s="460" t="str">
        <f t="shared" ca="1" si="152"/>
        <v/>
      </c>
      <c r="AK695" s="460" t="str">
        <f t="shared" ca="1" si="152"/>
        <v/>
      </c>
      <c r="AL695" s="460" t="str">
        <f t="shared" ca="1" si="152"/>
        <v/>
      </c>
      <c r="AM695" s="460" t="str">
        <f t="shared" ca="1" si="152"/>
        <v/>
      </c>
      <c r="AN695" s="461" t="str">
        <f t="shared" ca="1" si="152"/>
        <v/>
      </c>
      <c r="AO695" s="474" t="str">
        <f t="shared" ca="1" si="152"/>
        <v/>
      </c>
      <c r="AP695" s="475" t="str">
        <f t="shared" ca="1" si="152"/>
        <v/>
      </c>
      <c r="AQ695" s="479" t="str">
        <f t="array" aca="1" ref="AQ695" ca="1">IF(ROW()-5&lt;=COUNTIF(科目编号,$AR$2),SMALL(IF(科目编号=$AR$2,ROW(科目编号),""),ROW()-5),"")</f>
        <v/>
      </c>
      <c r="AR695" s="480" t="str">
        <f ca="1">IF($BG$2=0,"",IF(AR694="本月合计","本年累计",IF(OR(ROW()=$AU$3,ROW()=$AV$3,ROW()=$AW$3,ROW()=$AX$3,ROW()=$AY$3,ROW()=$AZ$3,ROW()=$BA$3,ROW()=$BB$3,ROW()=$BC$3,ROW()=$BD$3,ROW()=$BE$3,ROW()=$BF$3),"本月合计",IF(ROW()&lt;7,$AQ$6,OFFSET($AQ$6,COUNT($AR$6:AR694),0)))))</f>
        <v/>
      </c>
    </row>
    <row r="696" spans="1:44">
      <c r="A696" s="469" t="str">
        <f ca="1">IFERROR(INDEX(凭证录入!A:A,$AR696),"")</f>
        <v/>
      </c>
      <c r="B696" s="469" t="str">
        <f ca="1">IFERROR(INDEX(凭证录入!B:B,$AR696),"")</f>
        <v/>
      </c>
      <c r="C696" s="470" t="str">
        <f ca="1">IFERROR(INDEX(凭证录入!G:G,$AR696),"")</f>
        <v/>
      </c>
      <c r="D696" s="471" t="str">
        <f ca="1">IFERROR(INDEX(凭证录入!F:F,$AR696),"")</f>
        <v/>
      </c>
      <c r="E696" s="472" t="str">
        <f ca="1">IFERROR(INDEX(凭证录入!H:H,$AR696),$AR696)</f>
        <v/>
      </c>
      <c r="F696" s="473">
        <f ca="1">IF(OR($BG$2=0,$AR696=""),,IF($AR696="本月合计",IF(ROW()=$BG$3,SUM($F$6:$F695),SUM(INDIRECT("$F$"&amp;OFFSET($AU$3,,MATCH(ROW(),$AU$3:$BF$3,)-2)+2&amp;":$E"&amp;ROW()-1))),IF($AR696="本年累计",SUMIF($AR$6:$AR696,"本月合计",$F$6:$F695),INDEX(凭证录入!K:K,$AR696))))</f>
        <v>0</v>
      </c>
      <c r="G696" s="459" t="str">
        <f t="shared" ca="1" si="153"/>
        <v/>
      </c>
      <c r="H696" s="460" t="str">
        <f t="shared" ca="1" si="153"/>
        <v/>
      </c>
      <c r="I696" s="460" t="str">
        <f t="shared" ca="1" si="153"/>
        <v/>
      </c>
      <c r="J696" s="460" t="str">
        <f t="shared" ca="1" si="153"/>
        <v/>
      </c>
      <c r="K696" s="460" t="str">
        <f t="shared" ca="1" si="153"/>
        <v/>
      </c>
      <c r="L696" s="460" t="str">
        <f t="shared" ca="1" si="153"/>
        <v/>
      </c>
      <c r="M696" s="460" t="str">
        <f t="shared" ca="1" si="153"/>
        <v/>
      </c>
      <c r="N696" s="460" t="str">
        <f t="shared" ca="1" si="153"/>
        <v/>
      </c>
      <c r="O696" s="461" t="str">
        <f t="shared" ca="1" si="153"/>
        <v/>
      </c>
      <c r="P696" s="474" t="str">
        <f t="shared" ca="1" si="153"/>
        <v/>
      </c>
      <c r="Q696" s="475" t="str">
        <f t="shared" ca="1" si="153"/>
        <v/>
      </c>
      <c r="R696" s="476">
        <f ca="1">IF(OR($BG$2=0,$AR696=""),,IF($AR696="本月合计",IF(ROW()=$BG$3,SUM($R$6:$R695),SUM(INDIRECT("$R$"&amp;OFFSET($AU$3,,MATCH(ROW(),$AU$3:$BF$3,)-2)+2&amp;":$R"&amp;ROW()-1))),IF($AR696="本年累计",SUMIF($AR$6:$AR696,"本月合计",$R$6:$R695),INDEX(凭证录入!L:L,$AR696))))</f>
        <v>0</v>
      </c>
      <c r="S696" s="459" t="str">
        <f t="shared" ca="1" si="154"/>
        <v/>
      </c>
      <c r="T696" s="460" t="str">
        <f t="shared" ca="1" si="154"/>
        <v/>
      </c>
      <c r="U696" s="460" t="str">
        <f t="shared" ca="1" si="154"/>
        <v/>
      </c>
      <c r="V696" s="460" t="str">
        <f t="shared" ca="1" si="154"/>
        <v/>
      </c>
      <c r="W696" s="460" t="str">
        <f t="shared" ca="1" si="154"/>
        <v/>
      </c>
      <c r="X696" s="460" t="str">
        <f t="shared" ca="1" si="154"/>
        <v/>
      </c>
      <c r="Y696" s="460" t="str">
        <f t="shared" ca="1" si="154"/>
        <v/>
      </c>
      <c r="Z696" s="460" t="str">
        <f t="shared" ca="1" si="154"/>
        <v/>
      </c>
      <c r="AA696" s="461" t="str">
        <f t="shared" ca="1" si="154"/>
        <v/>
      </c>
      <c r="AB696" s="474" t="str">
        <f t="shared" ca="1" si="154"/>
        <v/>
      </c>
      <c r="AC696" s="475" t="str">
        <f t="shared" ca="1" si="154"/>
        <v/>
      </c>
      <c r="AD696" s="477" t="str">
        <f t="shared" ca="1" si="144"/>
        <v/>
      </c>
      <c r="AE696" s="478">
        <f t="shared" ca="1" si="145"/>
        <v>0</v>
      </c>
      <c r="AF696" s="459" t="str">
        <f t="shared" ca="1" si="152"/>
        <v/>
      </c>
      <c r="AG696" s="460" t="str">
        <f t="shared" ca="1" si="152"/>
        <v/>
      </c>
      <c r="AH696" s="460" t="str">
        <f t="shared" ca="1" si="152"/>
        <v/>
      </c>
      <c r="AI696" s="460" t="str">
        <f t="shared" ca="1" si="152"/>
        <v/>
      </c>
      <c r="AJ696" s="460" t="str">
        <f t="shared" ca="1" si="152"/>
        <v/>
      </c>
      <c r="AK696" s="460" t="str">
        <f t="shared" ca="1" si="152"/>
        <v/>
      </c>
      <c r="AL696" s="460" t="str">
        <f t="shared" ca="1" si="152"/>
        <v/>
      </c>
      <c r="AM696" s="460" t="str">
        <f t="shared" ca="1" si="152"/>
        <v/>
      </c>
      <c r="AN696" s="461" t="str">
        <f t="shared" ca="1" si="152"/>
        <v/>
      </c>
      <c r="AO696" s="474" t="str">
        <f t="shared" ca="1" si="152"/>
        <v/>
      </c>
      <c r="AP696" s="475" t="str">
        <f t="shared" ca="1" si="152"/>
        <v/>
      </c>
      <c r="AQ696" s="479" t="str">
        <f t="array" aca="1" ref="AQ696" ca="1">IF(ROW()-5&lt;=COUNTIF(科目编号,$AR$2),SMALL(IF(科目编号=$AR$2,ROW(科目编号),""),ROW()-5),"")</f>
        <v/>
      </c>
      <c r="AR696" s="480" t="str">
        <f ca="1">IF($BG$2=0,"",IF(AR695="本月合计","本年累计",IF(OR(ROW()=$AU$3,ROW()=$AV$3,ROW()=$AW$3,ROW()=$AX$3,ROW()=$AY$3,ROW()=$AZ$3,ROW()=$BA$3,ROW()=$BB$3,ROW()=$BC$3,ROW()=$BD$3,ROW()=$BE$3,ROW()=$BF$3),"本月合计",IF(ROW()&lt;7,$AQ$6,OFFSET($AQ$6,COUNT($AR$6:AR695),0)))))</f>
        <v/>
      </c>
    </row>
    <row r="697" spans="1:44">
      <c r="A697" s="469" t="str">
        <f ca="1">IFERROR(INDEX(凭证录入!A:A,$AR697),"")</f>
        <v/>
      </c>
      <c r="B697" s="469" t="str">
        <f ca="1">IFERROR(INDEX(凭证录入!B:B,$AR697),"")</f>
        <v/>
      </c>
      <c r="C697" s="470" t="str">
        <f ca="1">IFERROR(INDEX(凭证录入!G:G,$AR697),"")</f>
        <v/>
      </c>
      <c r="D697" s="471" t="str">
        <f ca="1">IFERROR(INDEX(凭证录入!F:F,$AR697),"")</f>
        <v/>
      </c>
      <c r="E697" s="472" t="str">
        <f ca="1">IFERROR(INDEX(凭证录入!H:H,$AR697),$AR697)</f>
        <v/>
      </c>
      <c r="F697" s="473">
        <f ca="1">IF(OR($BG$2=0,$AR697=""),,IF($AR697="本月合计",IF(ROW()=$BG$3,SUM($F$6:$F696),SUM(INDIRECT("$F$"&amp;OFFSET($AU$3,,MATCH(ROW(),$AU$3:$BF$3,)-2)+2&amp;":$E"&amp;ROW()-1))),IF($AR697="本年累计",SUMIF($AR$6:$AR697,"本月合计",$F$6:$F696),INDEX(凭证录入!K:K,$AR697))))</f>
        <v>0</v>
      </c>
      <c r="G697" s="459" t="str">
        <f t="shared" ca="1" si="153"/>
        <v/>
      </c>
      <c r="H697" s="460" t="str">
        <f t="shared" ca="1" si="153"/>
        <v/>
      </c>
      <c r="I697" s="460" t="str">
        <f t="shared" ca="1" si="153"/>
        <v/>
      </c>
      <c r="J697" s="460" t="str">
        <f t="shared" ca="1" si="153"/>
        <v/>
      </c>
      <c r="K697" s="460" t="str">
        <f t="shared" ca="1" si="153"/>
        <v/>
      </c>
      <c r="L697" s="460" t="str">
        <f t="shared" ca="1" si="153"/>
        <v/>
      </c>
      <c r="M697" s="460" t="str">
        <f t="shared" ca="1" si="153"/>
        <v/>
      </c>
      <c r="N697" s="460" t="str">
        <f t="shared" ca="1" si="153"/>
        <v/>
      </c>
      <c r="O697" s="461" t="str">
        <f t="shared" ca="1" si="153"/>
        <v/>
      </c>
      <c r="P697" s="474" t="str">
        <f t="shared" ca="1" si="153"/>
        <v/>
      </c>
      <c r="Q697" s="475" t="str">
        <f t="shared" ca="1" si="153"/>
        <v/>
      </c>
      <c r="R697" s="476">
        <f ca="1">IF(OR($BG$2=0,$AR697=""),,IF($AR697="本月合计",IF(ROW()=$BG$3,SUM($R$6:$R696),SUM(INDIRECT("$R$"&amp;OFFSET($AU$3,,MATCH(ROW(),$AU$3:$BF$3,)-2)+2&amp;":$R"&amp;ROW()-1))),IF($AR697="本年累计",SUMIF($AR$6:$AR697,"本月合计",$R$6:$R696),INDEX(凭证录入!L:L,$AR697))))</f>
        <v>0</v>
      </c>
      <c r="S697" s="459" t="str">
        <f t="shared" ca="1" si="154"/>
        <v/>
      </c>
      <c r="T697" s="460" t="str">
        <f t="shared" ca="1" si="154"/>
        <v/>
      </c>
      <c r="U697" s="460" t="str">
        <f t="shared" ca="1" si="154"/>
        <v/>
      </c>
      <c r="V697" s="460" t="str">
        <f t="shared" ca="1" si="154"/>
        <v/>
      </c>
      <c r="W697" s="460" t="str">
        <f t="shared" ca="1" si="154"/>
        <v/>
      </c>
      <c r="X697" s="460" t="str">
        <f t="shared" ca="1" si="154"/>
        <v/>
      </c>
      <c r="Y697" s="460" t="str">
        <f t="shared" ca="1" si="154"/>
        <v/>
      </c>
      <c r="Z697" s="460" t="str">
        <f t="shared" ca="1" si="154"/>
        <v/>
      </c>
      <c r="AA697" s="461" t="str">
        <f t="shared" ca="1" si="154"/>
        <v/>
      </c>
      <c r="AB697" s="474" t="str">
        <f t="shared" ca="1" si="154"/>
        <v/>
      </c>
      <c r="AC697" s="475" t="str">
        <f t="shared" ca="1" si="154"/>
        <v/>
      </c>
      <c r="AD697" s="477" t="str">
        <f t="shared" ca="1" si="144"/>
        <v/>
      </c>
      <c r="AE697" s="478">
        <f t="shared" ca="1" si="145"/>
        <v>0</v>
      </c>
      <c r="AF697" s="459" t="str">
        <f t="shared" ca="1" si="152"/>
        <v/>
      </c>
      <c r="AG697" s="460" t="str">
        <f t="shared" ca="1" si="152"/>
        <v/>
      </c>
      <c r="AH697" s="460" t="str">
        <f t="shared" ca="1" si="152"/>
        <v/>
      </c>
      <c r="AI697" s="460" t="str">
        <f t="shared" ca="1" si="152"/>
        <v/>
      </c>
      <c r="AJ697" s="460" t="str">
        <f t="shared" ca="1" si="152"/>
        <v/>
      </c>
      <c r="AK697" s="460" t="str">
        <f t="shared" ca="1" si="152"/>
        <v/>
      </c>
      <c r="AL697" s="460" t="str">
        <f t="shared" ca="1" si="152"/>
        <v/>
      </c>
      <c r="AM697" s="460" t="str">
        <f t="shared" ca="1" si="152"/>
        <v/>
      </c>
      <c r="AN697" s="461" t="str">
        <f t="shared" ca="1" si="152"/>
        <v/>
      </c>
      <c r="AO697" s="474" t="str">
        <f t="shared" ca="1" si="152"/>
        <v/>
      </c>
      <c r="AP697" s="475" t="str">
        <f t="shared" ca="1" si="152"/>
        <v/>
      </c>
      <c r="AQ697" s="479" t="str">
        <f t="array" aca="1" ref="AQ697" ca="1">IF(ROW()-5&lt;=COUNTIF(科目编号,$AR$2),SMALL(IF(科目编号=$AR$2,ROW(科目编号),""),ROW()-5),"")</f>
        <v/>
      </c>
      <c r="AR697" s="480" t="str">
        <f ca="1">IF($BG$2=0,"",IF(AR696="本月合计","本年累计",IF(OR(ROW()=$AU$3,ROW()=$AV$3,ROW()=$AW$3,ROW()=$AX$3,ROW()=$AY$3,ROW()=$AZ$3,ROW()=$BA$3,ROW()=$BB$3,ROW()=$BC$3,ROW()=$BD$3,ROW()=$BE$3,ROW()=$BF$3),"本月合计",IF(ROW()&lt;7,$AQ$6,OFFSET($AQ$6,COUNT($AR$6:AR696),0)))))</f>
        <v/>
      </c>
    </row>
    <row r="698" spans="1:44">
      <c r="A698" s="469" t="str">
        <f ca="1">IFERROR(INDEX(凭证录入!A:A,$AR698),"")</f>
        <v/>
      </c>
      <c r="B698" s="469" t="str">
        <f ca="1">IFERROR(INDEX(凭证录入!B:B,$AR698),"")</f>
        <v/>
      </c>
      <c r="C698" s="470" t="str">
        <f ca="1">IFERROR(INDEX(凭证录入!G:G,$AR698),"")</f>
        <v/>
      </c>
      <c r="D698" s="471" t="str">
        <f ca="1">IFERROR(INDEX(凭证录入!F:F,$AR698),"")</f>
        <v/>
      </c>
      <c r="E698" s="472" t="str">
        <f ca="1">IFERROR(INDEX(凭证录入!H:H,$AR698),$AR698)</f>
        <v/>
      </c>
      <c r="F698" s="473">
        <f ca="1">IF(OR($BG$2=0,$AR698=""),,IF($AR698="本月合计",IF(ROW()=$BG$3,SUM($F$6:$F697),SUM(INDIRECT("$F$"&amp;OFFSET($AU$3,,MATCH(ROW(),$AU$3:$BF$3,)-2)+2&amp;":$E"&amp;ROW()-1))),IF($AR698="本年累计",SUMIF($AR$6:$AR698,"本月合计",$F$6:$F697),INDEX(凭证录入!K:K,$AR698))))</f>
        <v>0</v>
      </c>
      <c r="G698" s="459" t="str">
        <f t="shared" ca="1" si="153"/>
        <v/>
      </c>
      <c r="H698" s="460" t="str">
        <f t="shared" ca="1" si="153"/>
        <v/>
      </c>
      <c r="I698" s="460" t="str">
        <f t="shared" ca="1" si="153"/>
        <v/>
      </c>
      <c r="J698" s="460" t="str">
        <f t="shared" ca="1" si="153"/>
        <v/>
      </c>
      <c r="K698" s="460" t="str">
        <f t="shared" ca="1" si="153"/>
        <v/>
      </c>
      <c r="L698" s="460" t="str">
        <f t="shared" ca="1" si="153"/>
        <v/>
      </c>
      <c r="M698" s="460" t="str">
        <f t="shared" ca="1" si="153"/>
        <v/>
      </c>
      <c r="N698" s="460" t="str">
        <f t="shared" ca="1" si="153"/>
        <v/>
      </c>
      <c r="O698" s="461" t="str">
        <f t="shared" ca="1" si="153"/>
        <v/>
      </c>
      <c r="P698" s="474" t="str">
        <f t="shared" ca="1" si="153"/>
        <v/>
      </c>
      <c r="Q698" s="475" t="str">
        <f t="shared" ca="1" si="153"/>
        <v/>
      </c>
      <c r="R698" s="476">
        <f ca="1">IF(OR($BG$2=0,$AR698=""),,IF($AR698="本月合计",IF(ROW()=$BG$3,SUM($R$6:$R697),SUM(INDIRECT("$R$"&amp;OFFSET($AU$3,,MATCH(ROW(),$AU$3:$BF$3,)-2)+2&amp;":$R"&amp;ROW()-1))),IF($AR698="本年累计",SUMIF($AR$6:$AR698,"本月合计",$R$6:$R697),INDEX(凭证录入!L:L,$AR698))))</f>
        <v>0</v>
      </c>
      <c r="S698" s="459" t="str">
        <f t="shared" ca="1" si="154"/>
        <v/>
      </c>
      <c r="T698" s="460" t="str">
        <f t="shared" ca="1" si="154"/>
        <v/>
      </c>
      <c r="U698" s="460" t="str">
        <f t="shared" ca="1" si="154"/>
        <v/>
      </c>
      <c r="V698" s="460" t="str">
        <f t="shared" ca="1" si="154"/>
        <v/>
      </c>
      <c r="W698" s="460" t="str">
        <f t="shared" ca="1" si="154"/>
        <v/>
      </c>
      <c r="X698" s="460" t="str">
        <f t="shared" ca="1" si="154"/>
        <v/>
      </c>
      <c r="Y698" s="460" t="str">
        <f t="shared" ca="1" si="154"/>
        <v/>
      </c>
      <c r="Z698" s="460" t="str">
        <f t="shared" ca="1" si="154"/>
        <v/>
      </c>
      <c r="AA698" s="461" t="str">
        <f t="shared" ca="1" si="154"/>
        <v/>
      </c>
      <c r="AB698" s="474" t="str">
        <f t="shared" ca="1" si="154"/>
        <v/>
      </c>
      <c r="AC698" s="475" t="str">
        <f t="shared" ca="1" si="154"/>
        <v/>
      </c>
      <c r="AD698" s="477" t="str">
        <f t="shared" ca="1" si="144"/>
        <v/>
      </c>
      <c r="AE698" s="478">
        <f t="shared" ca="1" si="145"/>
        <v>0</v>
      </c>
      <c r="AF698" s="459" t="str">
        <f t="shared" ca="1" si="152"/>
        <v/>
      </c>
      <c r="AG698" s="460" t="str">
        <f t="shared" ca="1" si="152"/>
        <v/>
      </c>
      <c r="AH698" s="460" t="str">
        <f t="shared" ca="1" si="152"/>
        <v/>
      </c>
      <c r="AI698" s="460" t="str">
        <f t="shared" ca="1" si="152"/>
        <v/>
      </c>
      <c r="AJ698" s="460" t="str">
        <f t="shared" ca="1" si="152"/>
        <v/>
      </c>
      <c r="AK698" s="460" t="str">
        <f t="shared" ca="1" si="152"/>
        <v/>
      </c>
      <c r="AL698" s="460" t="str">
        <f t="shared" ca="1" si="152"/>
        <v/>
      </c>
      <c r="AM698" s="460" t="str">
        <f t="shared" ca="1" si="152"/>
        <v/>
      </c>
      <c r="AN698" s="461" t="str">
        <f t="shared" ca="1" si="152"/>
        <v/>
      </c>
      <c r="AO698" s="474" t="str">
        <f t="shared" ca="1" si="152"/>
        <v/>
      </c>
      <c r="AP698" s="475" t="str">
        <f t="shared" ca="1" si="152"/>
        <v/>
      </c>
      <c r="AQ698" s="479" t="str">
        <f t="array" aca="1" ref="AQ698" ca="1">IF(ROW()-5&lt;=COUNTIF(科目编号,$AR$2),SMALL(IF(科目编号=$AR$2,ROW(科目编号),""),ROW()-5),"")</f>
        <v/>
      </c>
      <c r="AR698" s="480" t="str">
        <f ca="1">IF($BG$2=0,"",IF(AR697="本月合计","本年累计",IF(OR(ROW()=$AU$3,ROW()=$AV$3,ROW()=$AW$3,ROW()=$AX$3,ROW()=$AY$3,ROW()=$AZ$3,ROW()=$BA$3,ROW()=$BB$3,ROW()=$BC$3,ROW()=$BD$3,ROW()=$BE$3,ROW()=$BF$3),"本月合计",IF(ROW()&lt;7,$AQ$6,OFFSET($AQ$6,COUNT($AR$6:AR697),0)))))</f>
        <v/>
      </c>
    </row>
    <row r="699" spans="1:44">
      <c r="A699" s="469" t="str">
        <f ca="1">IFERROR(INDEX(凭证录入!A:A,$AR699),"")</f>
        <v/>
      </c>
      <c r="B699" s="469" t="str">
        <f ca="1">IFERROR(INDEX(凭证录入!B:B,$AR699),"")</f>
        <v/>
      </c>
      <c r="C699" s="470" t="str">
        <f ca="1">IFERROR(INDEX(凭证录入!G:G,$AR699),"")</f>
        <v/>
      </c>
      <c r="D699" s="471" t="str">
        <f ca="1">IFERROR(INDEX(凭证录入!F:F,$AR699),"")</f>
        <v/>
      </c>
      <c r="E699" s="472" t="str">
        <f ca="1">IFERROR(INDEX(凭证录入!H:H,$AR699),$AR699)</f>
        <v/>
      </c>
      <c r="F699" s="473">
        <f ca="1">IF(OR($BG$2=0,$AR699=""),,IF($AR699="本月合计",IF(ROW()=$BG$3,SUM($F$6:$F698),SUM(INDIRECT("$F$"&amp;OFFSET($AU$3,,MATCH(ROW(),$AU$3:$BF$3,)-2)+2&amp;":$E"&amp;ROW()-1))),IF($AR699="本年累计",SUMIF($AR$6:$AR699,"本月合计",$F$6:$F698),INDEX(凭证录入!K:K,$AR699))))</f>
        <v>0</v>
      </c>
      <c r="G699" s="459" t="str">
        <f t="shared" ca="1" si="153"/>
        <v/>
      </c>
      <c r="H699" s="460" t="str">
        <f t="shared" ca="1" si="153"/>
        <v/>
      </c>
      <c r="I699" s="460" t="str">
        <f t="shared" ca="1" si="153"/>
        <v/>
      </c>
      <c r="J699" s="460" t="str">
        <f t="shared" ca="1" si="153"/>
        <v/>
      </c>
      <c r="K699" s="460" t="str">
        <f t="shared" ca="1" si="153"/>
        <v/>
      </c>
      <c r="L699" s="460" t="str">
        <f t="shared" ca="1" si="153"/>
        <v/>
      </c>
      <c r="M699" s="460" t="str">
        <f t="shared" ca="1" si="153"/>
        <v/>
      </c>
      <c r="N699" s="460" t="str">
        <f t="shared" ca="1" si="153"/>
        <v/>
      </c>
      <c r="O699" s="461" t="str">
        <f t="shared" ca="1" si="153"/>
        <v/>
      </c>
      <c r="P699" s="474" t="str">
        <f t="shared" ca="1" si="153"/>
        <v/>
      </c>
      <c r="Q699" s="475" t="str">
        <f t="shared" ca="1" si="153"/>
        <v/>
      </c>
      <c r="R699" s="476">
        <f ca="1">IF(OR($BG$2=0,$AR699=""),,IF($AR699="本月合计",IF(ROW()=$BG$3,SUM($R$6:$R698),SUM(INDIRECT("$R$"&amp;OFFSET($AU$3,,MATCH(ROW(),$AU$3:$BF$3,)-2)+2&amp;":$R"&amp;ROW()-1))),IF($AR699="本年累计",SUMIF($AR$6:$AR699,"本月合计",$R$6:$R698),INDEX(凭证录入!L:L,$AR699))))</f>
        <v>0</v>
      </c>
      <c r="S699" s="459" t="str">
        <f t="shared" ca="1" si="154"/>
        <v/>
      </c>
      <c r="T699" s="460" t="str">
        <f t="shared" ca="1" si="154"/>
        <v/>
      </c>
      <c r="U699" s="460" t="str">
        <f t="shared" ca="1" si="154"/>
        <v/>
      </c>
      <c r="V699" s="460" t="str">
        <f t="shared" ca="1" si="154"/>
        <v/>
      </c>
      <c r="W699" s="460" t="str">
        <f t="shared" ca="1" si="154"/>
        <v/>
      </c>
      <c r="X699" s="460" t="str">
        <f t="shared" ca="1" si="154"/>
        <v/>
      </c>
      <c r="Y699" s="460" t="str">
        <f t="shared" ca="1" si="154"/>
        <v/>
      </c>
      <c r="Z699" s="460" t="str">
        <f t="shared" ca="1" si="154"/>
        <v/>
      </c>
      <c r="AA699" s="461" t="str">
        <f t="shared" ca="1" si="154"/>
        <v/>
      </c>
      <c r="AB699" s="474" t="str">
        <f t="shared" ca="1" si="154"/>
        <v/>
      </c>
      <c r="AC699" s="475" t="str">
        <f t="shared" ca="1" si="154"/>
        <v/>
      </c>
      <c r="AD699" s="477" t="str">
        <f t="shared" ca="1" si="144"/>
        <v/>
      </c>
      <c r="AE699" s="478">
        <f t="shared" ca="1" si="145"/>
        <v>0</v>
      </c>
      <c r="AF699" s="459" t="str">
        <f t="shared" ca="1" si="152"/>
        <v/>
      </c>
      <c r="AG699" s="460" t="str">
        <f t="shared" ca="1" si="152"/>
        <v/>
      </c>
      <c r="AH699" s="460" t="str">
        <f t="shared" ca="1" si="152"/>
        <v/>
      </c>
      <c r="AI699" s="460" t="str">
        <f t="shared" ca="1" si="152"/>
        <v/>
      </c>
      <c r="AJ699" s="460" t="str">
        <f t="shared" ca="1" si="152"/>
        <v/>
      </c>
      <c r="AK699" s="460" t="str">
        <f t="shared" ca="1" si="152"/>
        <v/>
      </c>
      <c r="AL699" s="460" t="str">
        <f t="shared" ca="1" si="152"/>
        <v/>
      </c>
      <c r="AM699" s="460" t="str">
        <f t="shared" ca="1" si="152"/>
        <v/>
      </c>
      <c r="AN699" s="461" t="str">
        <f t="shared" ca="1" si="152"/>
        <v/>
      </c>
      <c r="AO699" s="474" t="str">
        <f t="shared" ca="1" si="152"/>
        <v/>
      </c>
      <c r="AP699" s="475" t="str">
        <f t="shared" ca="1" si="152"/>
        <v/>
      </c>
      <c r="AQ699" s="479" t="str">
        <f t="array" aca="1" ref="AQ699" ca="1">IF(ROW()-5&lt;=COUNTIF(科目编号,$AR$2),SMALL(IF(科目编号=$AR$2,ROW(科目编号),""),ROW()-5),"")</f>
        <v/>
      </c>
      <c r="AR699" s="480" t="str">
        <f ca="1">IF($BG$2=0,"",IF(AR698="本月合计","本年累计",IF(OR(ROW()=$AU$3,ROW()=$AV$3,ROW()=$AW$3,ROW()=$AX$3,ROW()=$AY$3,ROW()=$AZ$3,ROW()=$BA$3,ROW()=$BB$3,ROW()=$BC$3,ROW()=$BD$3,ROW()=$BE$3,ROW()=$BF$3),"本月合计",IF(ROW()&lt;7,$AQ$6,OFFSET($AQ$6,COUNT($AR$6:AR698),0)))))</f>
        <v/>
      </c>
    </row>
    <row r="700" spans="1:44">
      <c r="A700" s="469" t="str">
        <f ca="1">IFERROR(INDEX(凭证录入!A:A,$AR700),"")</f>
        <v/>
      </c>
      <c r="B700" s="469" t="str">
        <f ca="1">IFERROR(INDEX(凭证录入!B:B,$AR700),"")</f>
        <v/>
      </c>
      <c r="C700" s="470" t="str">
        <f ca="1">IFERROR(INDEX(凭证录入!G:G,$AR700),"")</f>
        <v/>
      </c>
      <c r="D700" s="471" t="str">
        <f ca="1">IFERROR(INDEX(凭证录入!F:F,$AR700),"")</f>
        <v/>
      </c>
      <c r="E700" s="472" t="str">
        <f ca="1">IFERROR(INDEX(凭证录入!H:H,$AR700),$AR700)</f>
        <v/>
      </c>
      <c r="F700" s="473">
        <f ca="1">IF(OR($BG$2=0,$AR700=""),,IF($AR700="本月合计",IF(ROW()=$BG$3,SUM($F$6:$F699),SUM(INDIRECT("$F$"&amp;OFFSET($AU$3,,MATCH(ROW(),$AU$3:$BF$3,)-2)+2&amp;":$E"&amp;ROW()-1))),IF($AR700="本年累计",SUMIF($AR$6:$AR700,"本月合计",$F$6:$F699),INDEX(凭证录入!K:K,$AR700))))</f>
        <v>0</v>
      </c>
      <c r="G700" s="459" t="str">
        <f t="shared" ca="1" si="153"/>
        <v/>
      </c>
      <c r="H700" s="460" t="str">
        <f t="shared" ca="1" si="153"/>
        <v/>
      </c>
      <c r="I700" s="460" t="str">
        <f t="shared" ca="1" si="153"/>
        <v/>
      </c>
      <c r="J700" s="460" t="str">
        <f t="shared" ca="1" si="153"/>
        <v/>
      </c>
      <c r="K700" s="460" t="str">
        <f t="shared" ca="1" si="153"/>
        <v/>
      </c>
      <c r="L700" s="460" t="str">
        <f t="shared" ca="1" si="153"/>
        <v/>
      </c>
      <c r="M700" s="460" t="str">
        <f t="shared" ca="1" si="153"/>
        <v/>
      </c>
      <c r="N700" s="460" t="str">
        <f t="shared" ca="1" si="153"/>
        <v/>
      </c>
      <c r="O700" s="461" t="str">
        <f t="shared" ca="1" si="153"/>
        <v/>
      </c>
      <c r="P700" s="474" t="str">
        <f t="shared" ca="1" si="153"/>
        <v/>
      </c>
      <c r="Q700" s="475" t="str">
        <f t="shared" ca="1" si="153"/>
        <v/>
      </c>
      <c r="R700" s="476">
        <f ca="1">IF(OR($BG$2=0,$AR700=""),,IF($AR700="本月合计",IF(ROW()=$BG$3,SUM($R$6:$R699),SUM(INDIRECT("$R$"&amp;OFFSET($AU$3,,MATCH(ROW(),$AU$3:$BF$3,)-2)+2&amp;":$R"&amp;ROW()-1))),IF($AR700="本年累计",SUMIF($AR$6:$AR700,"本月合计",$R$6:$R699),INDEX(凭证录入!L:L,$AR700))))</f>
        <v>0</v>
      </c>
      <c r="S700" s="459" t="str">
        <f t="shared" ca="1" si="154"/>
        <v/>
      </c>
      <c r="T700" s="460" t="str">
        <f t="shared" ca="1" si="154"/>
        <v/>
      </c>
      <c r="U700" s="460" t="str">
        <f t="shared" ca="1" si="154"/>
        <v/>
      </c>
      <c r="V700" s="460" t="str">
        <f t="shared" ca="1" si="154"/>
        <v/>
      </c>
      <c r="W700" s="460" t="str">
        <f t="shared" ca="1" si="154"/>
        <v/>
      </c>
      <c r="X700" s="460" t="str">
        <f t="shared" ca="1" si="154"/>
        <v/>
      </c>
      <c r="Y700" s="460" t="str">
        <f t="shared" ca="1" si="154"/>
        <v/>
      </c>
      <c r="Z700" s="460" t="str">
        <f t="shared" ca="1" si="154"/>
        <v/>
      </c>
      <c r="AA700" s="461" t="str">
        <f t="shared" ca="1" si="154"/>
        <v/>
      </c>
      <c r="AB700" s="474" t="str">
        <f t="shared" ca="1" si="154"/>
        <v/>
      </c>
      <c r="AC700" s="475" t="str">
        <f t="shared" ca="1" si="154"/>
        <v/>
      </c>
      <c r="AD700" s="477" t="str">
        <f t="shared" ca="1" si="144"/>
        <v/>
      </c>
      <c r="AE700" s="478">
        <f t="shared" ca="1" si="145"/>
        <v>0</v>
      </c>
      <c r="AF700" s="459" t="str">
        <f t="shared" ca="1" si="152"/>
        <v/>
      </c>
      <c r="AG700" s="460" t="str">
        <f t="shared" ca="1" si="152"/>
        <v/>
      </c>
      <c r="AH700" s="460" t="str">
        <f t="shared" ca="1" si="152"/>
        <v/>
      </c>
      <c r="AI700" s="460" t="str">
        <f t="shared" ca="1" si="152"/>
        <v/>
      </c>
      <c r="AJ700" s="460" t="str">
        <f t="shared" ca="1" si="152"/>
        <v/>
      </c>
      <c r="AK700" s="460" t="str">
        <f t="shared" ca="1" si="152"/>
        <v/>
      </c>
      <c r="AL700" s="460" t="str">
        <f t="shared" ca="1" si="152"/>
        <v/>
      </c>
      <c r="AM700" s="460" t="str">
        <f t="shared" ca="1" si="152"/>
        <v/>
      </c>
      <c r="AN700" s="461" t="str">
        <f t="shared" ca="1" si="152"/>
        <v/>
      </c>
      <c r="AO700" s="474" t="str">
        <f t="shared" ca="1" si="152"/>
        <v/>
      </c>
      <c r="AP700" s="475" t="str">
        <f t="shared" ca="1" si="152"/>
        <v/>
      </c>
      <c r="AQ700" s="479" t="str">
        <f t="array" aca="1" ref="AQ700" ca="1">IF(ROW()-5&lt;=COUNTIF(科目编号,$AR$2),SMALL(IF(科目编号=$AR$2,ROW(科目编号),""),ROW()-5),"")</f>
        <v/>
      </c>
      <c r="AR700" s="480" t="str">
        <f ca="1">IF($BG$2=0,"",IF(AR699="本月合计","本年累计",IF(OR(ROW()=$AU$3,ROW()=$AV$3,ROW()=$AW$3,ROW()=$AX$3,ROW()=$AY$3,ROW()=$AZ$3,ROW()=$BA$3,ROW()=$BB$3,ROW()=$BC$3,ROW()=$BD$3,ROW()=$BE$3,ROW()=$BF$3),"本月合计",IF(ROW()&lt;7,$AQ$6,OFFSET($AQ$6,COUNT($AR$6:AR699),0)))))</f>
        <v/>
      </c>
    </row>
    <row r="701" spans="1:44">
      <c r="A701" s="469" t="str">
        <f ca="1">IFERROR(INDEX(凭证录入!A:A,$AR701),"")</f>
        <v/>
      </c>
      <c r="B701" s="469" t="str">
        <f ca="1">IFERROR(INDEX(凭证录入!B:B,$AR701),"")</f>
        <v/>
      </c>
      <c r="C701" s="470" t="str">
        <f ca="1">IFERROR(INDEX(凭证录入!G:G,$AR701),"")</f>
        <v/>
      </c>
      <c r="D701" s="471" t="str">
        <f ca="1">IFERROR(INDEX(凭证录入!F:F,$AR701),"")</f>
        <v/>
      </c>
      <c r="E701" s="472" t="str">
        <f ca="1">IFERROR(INDEX(凭证录入!H:H,$AR701),$AR701)</f>
        <v/>
      </c>
      <c r="F701" s="473">
        <f ca="1">IF(OR($BG$2=0,$AR701=""),,IF($AR701="本月合计",IF(ROW()=$BG$3,SUM($F$6:$F700),SUM(INDIRECT("$F$"&amp;OFFSET($AU$3,,MATCH(ROW(),$AU$3:$BF$3,)-2)+2&amp;":$E"&amp;ROW()-1))),IF($AR701="本年累计",SUMIF($AR$6:$AR701,"本月合计",$F$6:$F700),INDEX(凭证录入!K:K,$AR701))))</f>
        <v>0</v>
      </c>
      <c r="G701" s="459" t="str">
        <f t="shared" ca="1" si="153"/>
        <v/>
      </c>
      <c r="H701" s="460" t="str">
        <f t="shared" ca="1" si="153"/>
        <v/>
      </c>
      <c r="I701" s="460" t="str">
        <f t="shared" ca="1" si="153"/>
        <v/>
      </c>
      <c r="J701" s="460" t="str">
        <f t="shared" ca="1" si="153"/>
        <v/>
      </c>
      <c r="K701" s="460" t="str">
        <f t="shared" ca="1" si="153"/>
        <v/>
      </c>
      <c r="L701" s="460" t="str">
        <f t="shared" ca="1" si="153"/>
        <v/>
      </c>
      <c r="M701" s="460" t="str">
        <f t="shared" ca="1" si="153"/>
        <v/>
      </c>
      <c r="N701" s="460" t="str">
        <f t="shared" ca="1" si="153"/>
        <v/>
      </c>
      <c r="O701" s="461" t="str">
        <f t="shared" ca="1" si="153"/>
        <v/>
      </c>
      <c r="P701" s="474" t="str">
        <f t="shared" ca="1" si="153"/>
        <v/>
      </c>
      <c r="Q701" s="475" t="str">
        <f t="shared" ca="1" si="153"/>
        <v/>
      </c>
      <c r="R701" s="476">
        <f ca="1">IF(OR($BG$2=0,$AR701=""),,IF($AR701="本月合计",IF(ROW()=$BG$3,SUM($R$6:$R700),SUM(INDIRECT("$R$"&amp;OFFSET($AU$3,,MATCH(ROW(),$AU$3:$BF$3,)-2)+2&amp;":$R"&amp;ROW()-1))),IF($AR701="本年累计",SUMIF($AR$6:$AR701,"本月合计",$R$6:$R700),INDEX(凭证录入!L:L,$AR701))))</f>
        <v>0</v>
      </c>
      <c r="S701" s="459" t="str">
        <f t="shared" ca="1" si="154"/>
        <v/>
      </c>
      <c r="T701" s="460" t="str">
        <f t="shared" ca="1" si="154"/>
        <v/>
      </c>
      <c r="U701" s="460" t="str">
        <f t="shared" ca="1" si="154"/>
        <v/>
      </c>
      <c r="V701" s="460" t="str">
        <f t="shared" ca="1" si="154"/>
        <v/>
      </c>
      <c r="W701" s="460" t="str">
        <f t="shared" ca="1" si="154"/>
        <v/>
      </c>
      <c r="X701" s="460" t="str">
        <f t="shared" ca="1" si="154"/>
        <v/>
      </c>
      <c r="Y701" s="460" t="str">
        <f t="shared" ca="1" si="154"/>
        <v/>
      </c>
      <c r="Z701" s="460" t="str">
        <f t="shared" ca="1" si="154"/>
        <v/>
      </c>
      <c r="AA701" s="461" t="str">
        <f t="shared" ca="1" si="154"/>
        <v/>
      </c>
      <c r="AB701" s="474" t="str">
        <f t="shared" ca="1" si="154"/>
        <v/>
      </c>
      <c r="AC701" s="475" t="str">
        <f t="shared" ca="1" si="154"/>
        <v/>
      </c>
      <c r="AD701" s="477" t="str">
        <f t="shared" ca="1" si="144"/>
        <v/>
      </c>
      <c r="AE701" s="478">
        <f t="shared" ca="1" si="145"/>
        <v>0</v>
      </c>
      <c r="AF701" s="459" t="str">
        <f t="shared" ca="1" si="152"/>
        <v/>
      </c>
      <c r="AG701" s="460" t="str">
        <f t="shared" ca="1" si="152"/>
        <v/>
      </c>
      <c r="AH701" s="460" t="str">
        <f t="shared" ca="1" si="152"/>
        <v/>
      </c>
      <c r="AI701" s="460" t="str">
        <f t="shared" ca="1" si="152"/>
        <v/>
      </c>
      <c r="AJ701" s="460" t="str">
        <f t="shared" ca="1" si="152"/>
        <v/>
      </c>
      <c r="AK701" s="460" t="str">
        <f t="shared" ca="1" si="152"/>
        <v/>
      </c>
      <c r="AL701" s="460" t="str">
        <f t="shared" ca="1" si="152"/>
        <v/>
      </c>
      <c r="AM701" s="460" t="str">
        <f t="shared" ca="1" si="152"/>
        <v/>
      </c>
      <c r="AN701" s="461" t="str">
        <f t="shared" ca="1" si="152"/>
        <v/>
      </c>
      <c r="AO701" s="474" t="str">
        <f t="shared" ca="1" si="152"/>
        <v/>
      </c>
      <c r="AP701" s="475" t="str">
        <f t="shared" ca="1" si="152"/>
        <v/>
      </c>
      <c r="AQ701" s="479" t="str">
        <f t="array" aca="1" ref="AQ701" ca="1">IF(ROW()-5&lt;=COUNTIF(科目编号,$AR$2),SMALL(IF(科目编号=$AR$2,ROW(科目编号),""),ROW()-5),"")</f>
        <v/>
      </c>
      <c r="AR701" s="480" t="str">
        <f ca="1">IF($BG$2=0,"",IF(AR700="本月合计","本年累计",IF(OR(ROW()=$AU$3,ROW()=$AV$3,ROW()=$AW$3,ROW()=$AX$3,ROW()=$AY$3,ROW()=$AZ$3,ROW()=$BA$3,ROW()=$BB$3,ROW()=$BC$3,ROW()=$BD$3,ROW()=$BE$3,ROW()=$BF$3),"本月合计",IF(ROW()&lt;7,$AQ$6,OFFSET($AQ$6,COUNT($AR$6:AR700),0)))))</f>
        <v/>
      </c>
    </row>
    <row r="702" spans="1:44">
      <c r="A702" s="469" t="str">
        <f ca="1">IFERROR(INDEX(凭证录入!A:A,$AR702),"")</f>
        <v/>
      </c>
      <c r="B702" s="469" t="str">
        <f ca="1">IFERROR(INDEX(凭证录入!B:B,$AR702),"")</f>
        <v/>
      </c>
      <c r="C702" s="470" t="str">
        <f ca="1">IFERROR(INDEX(凭证录入!G:G,$AR702),"")</f>
        <v/>
      </c>
      <c r="D702" s="471" t="str">
        <f ca="1">IFERROR(INDEX(凭证录入!F:F,$AR702),"")</f>
        <v/>
      </c>
      <c r="E702" s="472" t="str">
        <f ca="1">IFERROR(INDEX(凭证录入!H:H,$AR702),$AR702)</f>
        <v/>
      </c>
      <c r="F702" s="473">
        <f ca="1">IF(OR($BG$2=0,$AR702=""),,IF($AR702="本月合计",IF(ROW()=$BG$3,SUM($F$6:$F701),SUM(INDIRECT("$F$"&amp;OFFSET($AU$3,,MATCH(ROW(),$AU$3:$BF$3,)-2)+2&amp;":$E"&amp;ROW()-1))),IF($AR702="本年累计",SUMIF($AR$6:$AR702,"本月合计",$F$6:$F701),INDEX(凭证录入!K:K,$AR702))))</f>
        <v>0</v>
      </c>
      <c r="G702" s="459" t="str">
        <f t="shared" ca="1" si="153"/>
        <v/>
      </c>
      <c r="H702" s="460" t="str">
        <f t="shared" ca="1" si="153"/>
        <v/>
      </c>
      <c r="I702" s="460" t="str">
        <f t="shared" ca="1" si="153"/>
        <v/>
      </c>
      <c r="J702" s="460" t="str">
        <f t="shared" ca="1" si="153"/>
        <v/>
      </c>
      <c r="K702" s="460" t="str">
        <f t="shared" ca="1" si="153"/>
        <v/>
      </c>
      <c r="L702" s="460" t="str">
        <f t="shared" ca="1" si="153"/>
        <v/>
      </c>
      <c r="M702" s="460" t="str">
        <f t="shared" ca="1" si="153"/>
        <v/>
      </c>
      <c r="N702" s="460" t="str">
        <f t="shared" ca="1" si="153"/>
        <v/>
      </c>
      <c r="O702" s="461" t="str">
        <f t="shared" ca="1" si="153"/>
        <v/>
      </c>
      <c r="P702" s="474" t="str">
        <f t="shared" ca="1" si="153"/>
        <v/>
      </c>
      <c r="Q702" s="475" t="str">
        <f t="shared" ca="1" si="153"/>
        <v/>
      </c>
      <c r="R702" s="476">
        <f ca="1">IF(OR($BG$2=0,$AR702=""),,IF($AR702="本月合计",IF(ROW()=$BG$3,SUM($R$6:$R701),SUM(INDIRECT("$R$"&amp;OFFSET($AU$3,,MATCH(ROW(),$AU$3:$BF$3,)-2)+2&amp;":$R"&amp;ROW()-1))),IF($AR702="本年累计",SUMIF($AR$6:$AR702,"本月合计",$R$6:$R701),INDEX(凭证录入!L:L,$AR702))))</f>
        <v>0</v>
      </c>
      <c r="S702" s="459" t="str">
        <f t="shared" ca="1" si="154"/>
        <v/>
      </c>
      <c r="T702" s="460" t="str">
        <f t="shared" ca="1" si="154"/>
        <v/>
      </c>
      <c r="U702" s="460" t="str">
        <f t="shared" ca="1" si="154"/>
        <v/>
      </c>
      <c r="V702" s="460" t="str">
        <f t="shared" ca="1" si="154"/>
        <v/>
      </c>
      <c r="W702" s="460" t="str">
        <f t="shared" ca="1" si="154"/>
        <v/>
      </c>
      <c r="X702" s="460" t="str">
        <f t="shared" ca="1" si="154"/>
        <v/>
      </c>
      <c r="Y702" s="460" t="str">
        <f t="shared" ca="1" si="154"/>
        <v/>
      </c>
      <c r="Z702" s="460" t="str">
        <f t="shared" ca="1" si="154"/>
        <v/>
      </c>
      <c r="AA702" s="461" t="str">
        <f t="shared" ca="1" si="154"/>
        <v/>
      </c>
      <c r="AB702" s="474" t="str">
        <f t="shared" ca="1" si="154"/>
        <v/>
      </c>
      <c r="AC702" s="475" t="str">
        <f t="shared" ca="1" si="154"/>
        <v/>
      </c>
      <c r="AD702" s="477" t="str">
        <f t="shared" ca="1" si="144"/>
        <v/>
      </c>
      <c r="AE702" s="478">
        <f t="shared" ca="1" si="145"/>
        <v>0</v>
      </c>
      <c r="AF702" s="459" t="str">
        <f t="shared" ca="1" si="152"/>
        <v/>
      </c>
      <c r="AG702" s="460" t="str">
        <f t="shared" ca="1" si="152"/>
        <v/>
      </c>
      <c r="AH702" s="460" t="str">
        <f t="shared" ca="1" si="152"/>
        <v/>
      </c>
      <c r="AI702" s="460" t="str">
        <f t="shared" ca="1" si="152"/>
        <v/>
      </c>
      <c r="AJ702" s="460" t="str">
        <f t="shared" ca="1" si="152"/>
        <v/>
      </c>
      <c r="AK702" s="460" t="str">
        <f t="shared" ca="1" si="152"/>
        <v/>
      </c>
      <c r="AL702" s="460" t="str">
        <f t="shared" ca="1" si="152"/>
        <v/>
      </c>
      <c r="AM702" s="460" t="str">
        <f t="shared" ca="1" si="152"/>
        <v/>
      </c>
      <c r="AN702" s="461" t="str">
        <f t="shared" ca="1" si="152"/>
        <v/>
      </c>
      <c r="AO702" s="474" t="str">
        <f t="shared" ca="1" si="152"/>
        <v/>
      </c>
      <c r="AP702" s="475" t="str">
        <f t="shared" ca="1" si="152"/>
        <v/>
      </c>
      <c r="AQ702" s="479" t="str">
        <f t="array" aca="1" ref="AQ702" ca="1">IF(ROW()-5&lt;=COUNTIF(科目编号,$AR$2),SMALL(IF(科目编号=$AR$2,ROW(科目编号),""),ROW()-5),"")</f>
        <v/>
      </c>
      <c r="AR702" s="480" t="str">
        <f ca="1">IF($BG$2=0,"",IF(AR701="本月合计","本年累计",IF(OR(ROW()=$AU$3,ROW()=$AV$3,ROW()=$AW$3,ROW()=$AX$3,ROW()=$AY$3,ROW()=$AZ$3,ROW()=$BA$3,ROW()=$BB$3,ROW()=$BC$3,ROW()=$BD$3,ROW()=$BE$3,ROW()=$BF$3),"本月合计",IF(ROW()&lt;7,$AQ$6,OFFSET($AQ$6,COUNT($AR$6:AR701),0)))))</f>
        <v/>
      </c>
    </row>
    <row r="703" spans="1:44">
      <c r="A703" s="469" t="str">
        <f ca="1">IFERROR(INDEX(凭证录入!A:A,$AR703),"")</f>
        <v/>
      </c>
      <c r="B703" s="469" t="str">
        <f ca="1">IFERROR(INDEX(凭证录入!B:B,$AR703),"")</f>
        <v/>
      </c>
      <c r="C703" s="470" t="str">
        <f ca="1">IFERROR(INDEX(凭证录入!G:G,$AR703),"")</f>
        <v/>
      </c>
      <c r="D703" s="471" t="str">
        <f ca="1">IFERROR(INDEX(凭证录入!F:F,$AR703),"")</f>
        <v/>
      </c>
      <c r="E703" s="472" t="str">
        <f ca="1">IFERROR(INDEX(凭证录入!H:H,$AR703),$AR703)</f>
        <v/>
      </c>
      <c r="F703" s="473">
        <f ca="1">IF(OR($BG$2=0,$AR703=""),,IF($AR703="本月合计",IF(ROW()=$BG$3,SUM($F$6:$F702),SUM(INDIRECT("$F$"&amp;OFFSET($AU$3,,MATCH(ROW(),$AU$3:$BF$3,)-2)+2&amp;":$E"&amp;ROW()-1))),IF($AR703="本年累计",SUMIF($AR$6:$AR703,"本月合计",$F$6:$F702),INDEX(凭证录入!K:K,$AR703))))</f>
        <v>0</v>
      </c>
      <c r="G703" s="459" t="str">
        <f t="shared" ca="1" si="153"/>
        <v/>
      </c>
      <c r="H703" s="460" t="str">
        <f t="shared" ca="1" si="153"/>
        <v/>
      </c>
      <c r="I703" s="460" t="str">
        <f t="shared" ca="1" si="153"/>
        <v/>
      </c>
      <c r="J703" s="460" t="str">
        <f t="shared" ca="1" si="153"/>
        <v/>
      </c>
      <c r="K703" s="460" t="str">
        <f t="shared" ca="1" si="153"/>
        <v/>
      </c>
      <c r="L703" s="460" t="str">
        <f t="shared" ca="1" si="153"/>
        <v/>
      </c>
      <c r="M703" s="460" t="str">
        <f t="shared" ca="1" si="153"/>
        <v/>
      </c>
      <c r="N703" s="460" t="str">
        <f t="shared" ca="1" si="153"/>
        <v/>
      </c>
      <c r="O703" s="461" t="str">
        <f t="shared" ca="1" si="153"/>
        <v/>
      </c>
      <c r="P703" s="474" t="str">
        <f t="shared" ca="1" si="153"/>
        <v/>
      </c>
      <c r="Q703" s="475" t="str">
        <f t="shared" ca="1" si="153"/>
        <v/>
      </c>
      <c r="R703" s="476">
        <f ca="1">IF(OR($BG$2=0,$AR703=""),,IF($AR703="本月合计",IF(ROW()=$BG$3,SUM($R$6:$R702),SUM(INDIRECT("$R$"&amp;OFFSET($AU$3,,MATCH(ROW(),$AU$3:$BF$3,)-2)+2&amp;":$R"&amp;ROW()-1))),IF($AR703="本年累计",SUMIF($AR$6:$AR703,"本月合计",$R$6:$R702),INDEX(凭证录入!L:L,$AR703))))</f>
        <v>0</v>
      </c>
      <c r="S703" s="459" t="str">
        <f t="shared" ca="1" si="154"/>
        <v/>
      </c>
      <c r="T703" s="460" t="str">
        <f t="shared" ca="1" si="154"/>
        <v/>
      </c>
      <c r="U703" s="460" t="str">
        <f t="shared" ca="1" si="154"/>
        <v/>
      </c>
      <c r="V703" s="460" t="str">
        <f t="shared" ca="1" si="154"/>
        <v/>
      </c>
      <c r="W703" s="460" t="str">
        <f t="shared" ca="1" si="154"/>
        <v/>
      </c>
      <c r="X703" s="460" t="str">
        <f t="shared" ca="1" si="154"/>
        <v/>
      </c>
      <c r="Y703" s="460" t="str">
        <f t="shared" ca="1" si="154"/>
        <v/>
      </c>
      <c r="Z703" s="460" t="str">
        <f t="shared" ca="1" si="154"/>
        <v/>
      </c>
      <c r="AA703" s="461" t="str">
        <f t="shared" ca="1" si="154"/>
        <v/>
      </c>
      <c r="AB703" s="474" t="str">
        <f t="shared" ca="1" si="154"/>
        <v/>
      </c>
      <c r="AC703" s="475" t="str">
        <f t="shared" ca="1" si="154"/>
        <v/>
      </c>
      <c r="AD703" s="477" t="str">
        <f t="shared" ca="1" si="144"/>
        <v/>
      </c>
      <c r="AE703" s="478">
        <f t="shared" ca="1" si="145"/>
        <v>0</v>
      </c>
      <c r="AF703" s="459" t="str">
        <f t="shared" ca="1" si="152"/>
        <v/>
      </c>
      <c r="AG703" s="460" t="str">
        <f t="shared" ca="1" si="152"/>
        <v/>
      </c>
      <c r="AH703" s="460" t="str">
        <f t="shared" ca="1" si="152"/>
        <v/>
      </c>
      <c r="AI703" s="460" t="str">
        <f t="shared" ca="1" si="152"/>
        <v/>
      </c>
      <c r="AJ703" s="460" t="str">
        <f t="shared" ca="1" si="152"/>
        <v/>
      </c>
      <c r="AK703" s="460" t="str">
        <f t="shared" ca="1" si="152"/>
        <v/>
      </c>
      <c r="AL703" s="460" t="str">
        <f t="shared" ca="1" si="152"/>
        <v/>
      </c>
      <c r="AM703" s="460" t="str">
        <f t="shared" ca="1" si="152"/>
        <v/>
      </c>
      <c r="AN703" s="461" t="str">
        <f t="shared" ca="1" si="152"/>
        <v/>
      </c>
      <c r="AO703" s="474" t="str">
        <f t="shared" ca="1" si="152"/>
        <v/>
      </c>
      <c r="AP703" s="475" t="str">
        <f t="shared" ca="1" si="152"/>
        <v/>
      </c>
      <c r="AQ703" s="479" t="str">
        <f t="array" aca="1" ref="AQ703" ca="1">IF(ROW()-5&lt;=COUNTIF(科目编号,$AR$2),SMALL(IF(科目编号=$AR$2,ROW(科目编号),""),ROW()-5),"")</f>
        <v/>
      </c>
      <c r="AR703" s="480" t="str">
        <f ca="1">IF($BG$2=0,"",IF(AR702="本月合计","本年累计",IF(OR(ROW()=$AU$3,ROW()=$AV$3,ROW()=$AW$3,ROW()=$AX$3,ROW()=$AY$3,ROW()=$AZ$3,ROW()=$BA$3,ROW()=$BB$3,ROW()=$BC$3,ROW()=$BD$3,ROW()=$BE$3,ROW()=$BF$3),"本月合计",IF(ROW()&lt;7,$AQ$6,OFFSET($AQ$6,COUNT($AR$6:AR702),0)))))</f>
        <v/>
      </c>
    </row>
    <row r="704" spans="1:44">
      <c r="A704" s="469" t="str">
        <f ca="1">IFERROR(INDEX(凭证录入!A:A,$AR704),"")</f>
        <v/>
      </c>
      <c r="B704" s="469" t="str">
        <f ca="1">IFERROR(INDEX(凭证录入!B:B,$AR704),"")</f>
        <v/>
      </c>
      <c r="C704" s="470" t="str">
        <f ca="1">IFERROR(INDEX(凭证录入!G:G,$AR704),"")</f>
        <v/>
      </c>
      <c r="D704" s="471" t="str">
        <f ca="1">IFERROR(INDEX(凭证录入!F:F,$AR704),"")</f>
        <v/>
      </c>
      <c r="E704" s="472" t="str">
        <f ca="1">IFERROR(INDEX(凭证录入!H:H,$AR704),$AR704)</f>
        <v/>
      </c>
      <c r="F704" s="473">
        <f ca="1">IF(OR($BG$2=0,$AR704=""),,IF($AR704="本月合计",IF(ROW()=$BG$3,SUM($F$6:$F703),SUM(INDIRECT("$F$"&amp;OFFSET($AU$3,,MATCH(ROW(),$AU$3:$BF$3,)-2)+2&amp;":$E"&amp;ROW()-1))),IF($AR704="本年累计",SUMIF($AR$6:$AR704,"本月合计",$F$6:$F703),INDEX(凭证录入!K:K,$AR704))))</f>
        <v>0</v>
      </c>
      <c r="G704" s="459" t="str">
        <f t="shared" ca="1" si="153"/>
        <v/>
      </c>
      <c r="H704" s="460" t="str">
        <f t="shared" ca="1" si="153"/>
        <v/>
      </c>
      <c r="I704" s="460" t="str">
        <f t="shared" ca="1" si="153"/>
        <v/>
      </c>
      <c r="J704" s="460" t="str">
        <f t="shared" ca="1" si="153"/>
        <v/>
      </c>
      <c r="K704" s="460" t="str">
        <f t="shared" ca="1" si="153"/>
        <v/>
      </c>
      <c r="L704" s="460" t="str">
        <f t="shared" ca="1" si="153"/>
        <v/>
      </c>
      <c r="M704" s="460" t="str">
        <f t="shared" ca="1" si="153"/>
        <v/>
      </c>
      <c r="N704" s="460" t="str">
        <f t="shared" ca="1" si="153"/>
        <v/>
      </c>
      <c r="O704" s="461" t="str">
        <f t="shared" ca="1" si="153"/>
        <v/>
      </c>
      <c r="P704" s="474" t="str">
        <f t="shared" ca="1" si="153"/>
        <v/>
      </c>
      <c r="Q704" s="475" t="str">
        <f t="shared" ca="1" si="153"/>
        <v/>
      </c>
      <c r="R704" s="476">
        <f ca="1">IF(OR($BG$2=0,$AR704=""),,IF($AR704="本月合计",IF(ROW()=$BG$3,SUM($R$6:$R703),SUM(INDIRECT("$R$"&amp;OFFSET($AU$3,,MATCH(ROW(),$AU$3:$BF$3,)-2)+2&amp;":$R"&amp;ROW()-1))),IF($AR704="本年累计",SUMIF($AR$6:$AR704,"本月合计",$R$6:$R703),INDEX(凭证录入!L:L,$AR704))))</f>
        <v>0</v>
      </c>
      <c r="S704" s="459" t="str">
        <f t="shared" ca="1" si="154"/>
        <v/>
      </c>
      <c r="T704" s="460" t="str">
        <f t="shared" ca="1" si="154"/>
        <v/>
      </c>
      <c r="U704" s="460" t="str">
        <f t="shared" ca="1" si="154"/>
        <v/>
      </c>
      <c r="V704" s="460" t="str">
        <f t="shared" ca="1" si="154"/>
        <v/>
      </c>
      <c r="W704" s="460" t="str">
        <f t="shared" ca="1" si="154"/>
        <v/>
      </c>
      <c r="X704" s="460" t="str">
        <f t="shared" ca="1" si="154"/>
        <v/>
      </c>
      <c r="Y704" s="460" t="str">
        <f t="shared" ca="1" si="154"/>
        <v/>
      </c>
      <c r="Z704" s="460" t="str">
        <f t="shared" ca="1" si="154"/>
        <v/>
      </c>
      <c r="AA704" s="461" t="str">
        <f t="shared" ca="1" si="154"/>
        <v/>
      </c>
      <c r="AB704" s="474" t="str">
        <f t="shared" ca="1" si="154"/>
        <v/>
      </c>
      <c r="AC704" s="475" t="str">
        <f t="shared" ca="1" si="154"/>
        <v/>
      </c>
      <c r="AD704" s="477" t="str">
        <f t="shared" ca="1" si="144"/>
        <v/>
      </c>
      <c r="AE704" s="478">
        <f t="shared" ca="1" si="145"/>
        <v>0</v>
      </c>
      <c r="AF704" s="459" t="str">
        <f t="shared" ca="1" si="152"/>
        <v/>
      </c>
      <c r="AG704" s="460" t="str">
        <f t="shared" ca="1" si="152"/>
        <v/>
      </c>
      <c r="AH704" s="460" t="str">
        <f t="shared" ca="1" si="152"/>
        <v/>
      </c>
      <c r="AI704" s="460" t="str">
        <f t="shared" ca="1" si="152"/>
        <v/>
      </c>
      <c r="AJ704" s="460" t="str">
        <f t="shared" ca="1" si="152"/>
        <v/>
      </c>
      <c r="AK704" s="460" t="str">
        <f t="shared" ca="1" si="152"/>
        <v/>
      </c>
      <c r="AL704" s="460" t="str">
        <f t="shared" ca="1" si="152"/>
        <v/>
      </c>
      <c r="AM704" s="460" t="str">
        <f t="shared" ca="1" si="152"/>
        <v/>
      </c>
      <c r="AN704" s="461" t="str">
        <f t="shared" ca="1" si="152"/>
        <v/>
      </c>
      <c r="AO704" s="474" t="str">
        <f t="shared" ca="1" si="152"/>
        <v/>
      </c>
      <c r="AP704" s="475" t="str">
        <f t="shared" ca="1" si="152"/>
        <v/>
      </c>
      <c r="AQ704" s="479" t="str">
        <f t="array" aca="1" ref="AQ704" ca="1">IF(ROW()-5&lt;=COUNTIF(科目编号,$AR$2),SMALL(IF(科目编号=$AR$2,ROW(科目编号),""),ROW()-5),"")</f>
        <v/>
      </c>
      <c r="AR704" s="480" t="str">
        <f ca="1">IF($BG$2=0,"",IF(AR703="本月合计","本年累计",IF(OR(ROW()=$AU$3,ROW()=$AV$3,ROW()=$AW$3,ROW()=$AX$3,ROW()=$AY$3,ROW()=$AZ$3,ROW()=$BA$3,ROW()=$BB$3,ROW()=$BC$3,ROW()=$BD$3,ROW()=$BE$3,ROW()=$BF$3),"本月合计",IF(ROW()&lt;7,$AQ$6,OFFSET($AQ$6,COUNT($AR$6:AR703),0)))))</f>
        <v/>
      </c>
    </row>
    <row r="705" spans="1:44">
      <c r="A705" s="469" t="str">
        <f ca="1">IFERROR(INDEX(凭证录入!A:A,$AR705),"")</f>
        <v/>
      </c>
      <c r="B705" s="469" t="str">
        <f ca="1">IFERROR(INDEX(凭证录入!B:B,$AR705),"")</f>
        <v/>
      </c>
      <c r="C705" s="470" t="str">
        <f ca="1">IFERROR(INDEX(凭证录入!G:G,$AR705),"")</f>
        <v/>
      </c>
      <c r="D705" s="471" t="str">
        <f ca="1">IFERROR(INDEX(凭证录入!F:F,$AR705),"")</f>
        <v/>
      </c>
      <c r="E705" s="472" t="str">
        <f ca="1">IFERROR(INDEX(凭证录入!H:H,$AR705),$AR705)</f>
        <v/>
      </c>
      <c r="F705" s="473">
        <f ca="1">IF(OR($BG$2=0,$AR705=""),,IF($AR705="本月合计",IF(ROW()=$BG$3,SUM($F$6:$F704),SUM(INDIRECT("$F$"&amp;OFFSET($AU$3,,MATCH(ROW(),$AU$3:$BF$3,)-2)+2&amp;":$E"&amp;ROW()-1))),IF($AR705="本年累计",SUMIF($AR$6:$AR705,"本月合计",$F$6:$F704),INDEX(凭证录入!K:K,$AR705))))</f>
        <v>0</v>
      </c>
      <c r="G705" s="459" t="str">
        <f t="shared" ca="1" si="153"/>
        <v/>
      </c>
      <c r="H705" s="460" t="str">
        <f t="shared" ca="1" si="153"/>
        <v/>
      </c>
      <c r="I705" s="460" t="str">
        <f t="shared" ca="1" si="153"/>
        <v/>
      </c>
      <c r="J705" s="460" t="str">
        <f t="shared" ca="1" si="153"/>
        <v/>
      </c>
      <c r="K705" s="460" t="str">
        <f t="shared" ca="1" si="153"/>
        <v/>
      </c>
      <c r="L705" s="460" t="str">
        <f t="shared" ca="1" si="153"/>
        <v/>
      </c>
      <c r="M705" s="460" t="str">
        <f t="shared" ca="1" si="153"/>
        <v/>
      </c>
      <c r="N705" s="460" t="str">
        <f t="shared" ca="1" si="153"/>
        <v/>
      </c>
      <c r="O705" s="461" t="str">
        <f t="shared" ca="1" si="153"/>
        <v/>
      </c>
      <c r="P705" s="474" t="str">
        <f t="shared" ca="1" si="153"/>
        <v/>
      </c>
      <c r="Q705" s="475" t="str">
        <f t="shared" ca="1" si="153"/>
        <v/>
      </c>
      <c r="R705" s="476">
        <f ca="1">IF(OR($BG$2=0,$AR705=""),,IF($AR705="本月合计",IF(ROW()=$BG$3,SUM($R$6:$R704),SUM(INDIRECT("$R$"&amp;OFFSET($AU$3,,MATCH(ROW(),$AU$3:$BF$3,)-2)+2&amp;":$R"&amp;ROW()-1))),IF($AR705="本年累计",SUMIF($AR$6:$AR705,"本月合计",$R$6:$R704),INDEX(凭证录入!L:L,$AR705))))</f>
        <v>0</v>
      </c>
      <c r="S705" s="459" t="str">
        <f t="shared" ca="1" si="154"/>
        <v/>
      </c>
      <c r="T705" s="460" t="str">
        <f t="shared" ca="1" si="154"/>
        <v/>
      </c>
      <c r="U705" s="460" t="str">
        <f t="shared" ca="1" si="154"/>
        <v/>
      </c>
      <c r="V705" s="460" t="str">
        <f t="shared" ca="1" si="154"/>
        <v/>
      </c>
      <c r="W705" s="460" t="str">
        <f t="shared" ca="1" si="154"/>
        <v/>
      </c>
      <c r="X705" s="460" t="str">
        <f t="shared" ca="1" si="154"/>
        <v/>
      </c>
      <c r="Y705" s="460" t="str">
        <f t="shared" ca="1" si="154"/>
        <v/>
      </c>
      <c r="Z705" s="460" t="str">
        <f t="shared" ca="1" si="154"/>
        <v/>
      </c>
      <c r="AA705" s="461" t="str">
        <f t="shared" ca="1" si="154"/>
        <v/>
      </c>
      <c r="AB705" s="474" t="str">
        <f t="shared" ca="1" si="154"/>
        <v/>
      </c>
      <c r="AC705" s="475" t="str">
        <f t="shared" ca="1" si="154"/>
        <v/>
      </c>
      <c r="AD705" s="477" t="str">
        <f t="shared" ca="1" si="144"/>
        <v/>
      </c>
      <c r="AE705" s="478">
        <f t="shared" ca="1" si="145"/>
        <v>0</v>
      </c>
      <c r="AF705" s="459" t="str">
        <f t="shared" ca="1" si="152"/>
        <v/>
      </c>
      <c r="AG705" s="460" t="str">
        <f t="shared" ca="1" si="152"/>
        <v/>
      </c>
      <c r="AH705" s="460" t="str">
        <f t="shared" ca="1" si="152"/>
        <v/>
      </c>
      <c r="AI705" s="460" t="str">
        <f t="shared" ca="1" si="152"/>
        <v/>
      </c>
      <c r="AJ705" s="460" t="str">
        <f t="shared" ca="1" si="152"/>
        <v/>
      </c>
      <c r="AK705" s="460" t="str">
        <f t="shared" ca="1" si="152"/>
        <v/>
      </c>
      <c r="AL705" s="460" t="str">
        <f t="shared" ca="1" si="152"/>
        <v/>
      </c>
      <c r="AM705" s="460" t="str">
        <f t="shared" ca="1" si="152"/>
        <v/>
      </c>
      <c r="AN705" s="461" t="str">
        <f t="shared" ca="1" si="152"/>
        <v/>
      </c>
      <c r="AO705" s="474" t="str">
        <f t="shared" ca="1" si="152"/>
        <v/>
      </c>
      <c r="AP705" s="475" t="str">
        <f t="shared" ca="1" si="152"/>
        <v/>
      </c>
      <c r="AQ705" s="479" t="str">
        <f t="array" aca="1" ref="AQ705" ca="1">IF(ROW()-5&lt;=COUNTIF(科目编号,$AR$2),SMALL(IF(科目编号=$AR$2,ROW(科目编号),""),ROW()-5),"")</f>
        <v/>
      </c>
      <c r="AR705" s="480" t="str">
        <f ca="1">IF($BG$2=0,"",IF(AR704="本月合计","本年累计",IF(OR(ROW()=$AU$3,ROW()=$AV$3,ROW()=$AW$3,ROW()=$AX$3,ROW()=$AY$3,ROW()=$AZ$3,ROW()=$BA$3,ROW()=$BB$3,ROW()=$BC$3,ROW()=$BD$3,ROW()=$BE$3,ROW()=$BF$3),"本月合计",IF(ROW()&lt;7,$AQ$6,OFFSET($AQ$6,COUNT($AR$6:AR704),0)))))</f>
        <v/>
      </c>
    </row>
    <row r="706" spans="1:44">
      <c r="A706" s="469" t="str">
        <f ca="1">IFERROR(INDEX(凭证录入!A:A,$AR706),"")</f>
        <v/>
      </c>
      <c r="B706" s="469" t="str">
        <f ca="1">IFERROR(INDEX(凭证录入!B:B,$AR706),"")</f>
        <v/>
      </c>
      <c r="C706" s="470" t="str">
        <f ca="1">IFERROR(INDEX(凭证录入!G:G,$AR706),"")</f>
        <v/>
      </c>
      <c r="D706" s="471" t="str">
        <f ca="1">IFERROR(INDEX(凭证录入!F:F,$AR706),"")</f>
        <v/>
      </c>
      <c r="E706" s="472" t="str">
        <f ca="1">IFERROR(INDEX(凭证录入!H:H,$AR706),$AR706)</f>
        <v/>
      </c>
      <c r="F706" s="473">
        <f ca="1">IF(OR($BG$2=0,$AR706=""),,IF($AR706="本月合计",IF(ROW()=$BG$3,SUM($F$6:$F705),SUM(INDIRECT("$F$"&amp;OFFSET($AU$3,,MATCH(ROW(),$AU$3:$BF$3,)-2)+2&amp;":$E"&amp;ROW()-1))),IF($AR706="本年累计",SUMIF($AR$6:$AR706,"本月合计",$F$6:$F705),INDEX(凭证录入!K:K,$AR706))))</f>
        <v>0</v>
      </c>
      <c r="G706" s="459" t="str">
        <f t="shared" ca="1" si="153"/>
        <v/>
      </c>
      <c r="H706" s="460" t="str">
        <f t="shared" ca="1" si="153"/>
        <v/>
      </c>
      <c r="I706" s="460" t="str">
        <f t="shared" ca="1" si="153"/>
        <v/>
      </c>
      <c r="J706" s="460" t="str">
        <f t="shared" ca="1" si="153"/>
        <v/>
      </c>
      <c r="K706" s="460" t="str">
        <f t="shared" ca="1" si="153"/>
        <v/>
      </c>
      <c r="L706" s="460" t="str">
        <f t="shared" ca="1" si="153"/>
        <v/>
      </c>
      <c r="M706" s="460" t="str">
        <f t="shared" ca="1" si="153"/>
        <v/>
      </c>
      <c r="N706" s="460" t="str">
        <f t="shared" ca="1" si="153"/>
        <v/>
      </c>
      <c r="O706" s="461" t="str">
        <f t="shared" ca="1" si="153"/>
        <v/>
      </c>
      <c r="P706" s="474" t="str">
        <f t="shared" ca="1" si="153"/>
        <v/>
      </c>
      <c r="Q706" s="475" t="str">
        <f t="shared" ca="1" si="153"/>
        <v/>
      </c>
      <c r="R706" s="476">
        <f ca="1">IF(OR($BG$2=0,$AR706=""),,IF($AR706="本月合计",IF(ROW()=$BG$3,SUM($R$6:$R705),SUM(INDIRECT("$R$"&amp;OFFSET($AU$3,,MATCH(ROW(),$AU$3:$BF$3,)-2)+2&amp;":$R"&amp;ROW()-1))),IF($AR706="本年累计",SUMIF($AR$6:$AR706,"本月合计",$R$6:$R705),INDEX(凭证录入!L:L,$AR706))))</f>
        <v>0</v>
      </c>
      <c r="S706" s="459" t="str">
        <f t="shared" ca="1" si="154"/>
        <v/>
      </c>
      <c r="T706" s="460" t="str">
        <f t="shared" ca="1" si="154"/>
        <v/>
      </c>
      <c r="U706" s="460" t="str">
        <f t="shared" ca="1" si="154"/>
        <v/>
      </c>
      <c r="V706" s="460" t="str">
        <f t="shared" ca="1" si="154"/>
        <v/>
      </c>
      <c r="W706" s="460" t="str">
        <f t="shared" ca="1" si="154"/>
        <v/>
      </c>
      <c r="X706" s="460" t="str">
        <f t="shared" ca="1" si="154"/>
        <v/>
      </c>
      <c r="Y706" s="460" t="str">
        <f t="shared" ca="1" si="154"/>
        <v/>
      </c>
      <c r="Z706" s="460" t="str">
        <f t="shared" ca="1" si="154"/>
        <v/>
      </c>
      <c r="AA706" s="461" t="str">
        <f t="shared" ca="1" si="154"/>
        <v/>
      </c>
      <c r="AB706" s="474" t="str">
        <f t="shared" ca="1" si="154"/>
        <v/>
      </c>
      <c r="AC706" s="475" t="str">
        <f t="shared" ca="1" si="154"/>
        <v/>
      </c>
      <c r="AD706" s="477" t="str">
        <f t="shared" ca="1" si="144"/>
        <v/>
      </c>
      <c r="AE706" s="478">
        <f t="shared" ca="1" si="145"/>
        <v>0</v>
      </c>
      <c r="AF706" s="459" t="str">
        <f t="shared" ca="1" si="152"/>
        <v/>
      </c>
      <c r="AG706" s="460" t="str">
        <f t="shared" ca="1" si="152"/>
        <v/>
      </c>
      <c r="AH706" s="460" t="str">
        <f t="shared" ca="1" si="152"/>
        <v/>
      </c>
      <c r="AI706" s="460" t="str">
        <f t="shared" ca="1" si="152"/>
        <v/>
      </c>
      <c r="AJ706" s="460" t="str">
        <f t="shared" ca="1" si="152"/>
        <v/>
      </c>
      <c r="AK706" s="460" t="str">
        <f t="shared" ca="1" si="152"/>
        <v/>
      </c>
      <c r="AL706" s="460" t="str">
        <f t="shared" ca="1" si="152"/>
        <v/>
      </c>
      <c r="AM706" s="460" t="str">
        <f t="shared" ca="1" si="152"/>
        <v/>
      </c>
      <c r="AN706" s="461" t="str">
        <f t="shared" ca="1" si="152"/>
        <v/>
      </c>
      <c r="AO706" s="474" t="str">
        <f t="shared" ca="1" si="152"/>
        <v/>
      </c>
      <c r="AP706" s="475" t="str">
        <f t="shared" ca="1" si="152"/>
        <v/>
      </c>
      <c r="AQ706" s="479" t="str">
        <f t="array" aca="1" ref="AQ706" ca="1">IF(ROW()-5&lt;=COUNTIF(科目编号,$AR$2),SMALL(IF(科目编号=$AR$2,ROW(科目编号),""),ROW()-5),"")</f>
        <v/>
      </c>
      <c r="AR706" s="480" t="str">
        <f ca="1">IF($BG$2=0,"",IF(AR705="本月合计","本年累计",IF(OR(ROW()=$AU$3,ROW()=$AV$3,ROW()=$AW$3,ROW()=$AX$3,ROW()=$AY$3,ROW()=$AZ$3,ROW()=$BA$3,ROW()=$BB$3,ROW()=$BC$3,ROW()=$BD$3,ROW()=$BE$3,ROW()=$BF$3),"本月合计",IF(ROW()&lt;7,$AQ$6,OFFSET($AQ$6,COUNT($AR$6:AR705),0)))))</f>
        <v/>
      </c>
    </row>
    <row r="707" spans="1:44">
      <c r="A707" s="469" t="str">
        <f ca="1">IFERROR(INDEX(凭证录入!A:A,$AR707),"")</f>
        <v/>
      </c>
      <c r="B707" s="469" t="str">
        <f ca="1">IFERROR(INDEX(凭证录入!B:B,$AR707),"")</f>
        <v/>
      </c>
      <c r="C707" s="470" t="str">
        <f ca="1">IFERROR(INDEX(凭证录入!G:G,$AR707),"")</f>
        <v/>
      </c>
      <c r="D707" s="471" t="str">
        <f ca="1">IFERROR(INDEX(凭证录入!F:F,$AR707),"")</f>
        <v/>
      </c>
      <c r="E707" s="472" t="str">
        <f ca="1">IFERROR(INDEX(凭证录入!H:H,$AR707),$AR707)</f>
        <v/>
      </c>
      <c r="F707" s="473">
        <f ca="1">IF(OR($BG$2=0,$AR707=""),,IF($AR707="本月合计",IF(ROW()=$BG$3,SUM($F$6:$F706),SUM(INDIRECT("$F$"&amp;OFFSET($AU$3,,MATCH(ROW(),$AU$3:$BF$3,)-2)+2&amp;":$E"&amp;ROW()-1))),IF($AR707="本年累计",SUMIF($AR$6:$AR707,"本月合计",$F$6:$F706),INDEX(凭证录入!K:K,$AR707))))</f>
        <v>0</v>
      </c>
      <c r="G707" s="459" t="str">
        <f t="shared" ca="1" si="153"/>
        <v/>
      </c>
      <c r="H707" s="460" t="str">
        <f t="shared" ca="1" si="153"/>
        <v/>
      </c>
      <c r="I707" s="460" t="str">
        <f t="shared" ca="1" si="153"/>
        <v/>
      </c>
      <c r="J707" s="460" t="str">
        <f t="shared" ca="1" si="153"/>
        <v/>
      </c>
      <c r="K707" s="460" t="str">
        <f t="shared" ca="1" si="153"/>
        <v/>
      </c>
      <c r="L707" s="460" t="str">
        <f t="shared" ca="1" si="153"/>
        <v/>
      </c>
      <c r="M707" s="460" t="str">
        <f t="shared" ca="1" si="153"/>
        <v/>
      </c>
      <c r="N707" s="460" t="str">
        <f t="shared" ca="1" si="153"/>
        <v/>
      </c>
      <c r="O707" s="461" t="str">
        <f t="shared" ca="1" si="153"/>
        <v/>
      </c>
      <c r="P707" s="474" t="str">
        <f t="shared" ca="1" si="153"/>
        <v/>
      </c>
      <c r="Q707" s="475" t="str">
        <f t="shared" ca="1" si="153"/>
        <v/>
      </c>
      <c r="R707" s="476">
        <f ca="1">IF(OR($BG$2=0,$AR707=""),,IF($AR707="本月合计",IF(ROW()=$BG$3,SUM($R$6:$R706),SUM(INDIRECT("$R$"&amp;OFFSET($AU$3,,MATCH(ROW(),$AU$3:$BF$3,)-2)+2&amp;":$R"&amp;ROW()-1))),IF($AR707="本年累计",SUMIF($AR$6:$AR707,"本月合计",$R$6:$R706),INDEX(凭证录入!L:L,$AR707))))</f>
        <v>0</v>
      </c>
      <c r="S707" s="459" t="str">
        <f t="shared" ca="1" si="154"/>
        <v/>
      </c>
      <c r="T707" s="460" t="str">
        <f t="shared" ca="1" si="154"/>
        <v/>
      </c>
      <c r="U707" s="460" t="str">
        <f t="shared" ca="1" si="154"/>
        <v/>
      </c>
      <c r="V707" s="460" t="str">
        <f t="shared" ca="1" si="154"/>
        <v/>
      </c>
      <c r="W707" s="460" t="str">
        <f t="shared" ca="1" si="154"/>
        <v/>
      </c>
      <c r="X707" s="460" t="str">
        <f t="shared" ca="1" si="154"/>
        <v/>
      </c>
      <c r="Y707" s="460" t="str">
        <f t="shared" ca="1" si="154"/>
        <v/>
      </c>
      <c r="Z707" s="460" t="str">
        <f t="shared" ca="1" si="154"/>
        <v/>
      </c>
      <c r="AA707" s="461" t="str">
        <f t="shared" ca="1" si="154"/>
        <v/>
      </c>
      <c r="AB707" s="474" t="str">
        <f t="shared" ca="1" si="154"/>
        <v/>
      </c>
      <c r="AC707" s="475" t="str">
        <f t="shared" ca="1" si="154"/>
        <v/>
      </c>
      <c r="AD707" s="477" t="str">
        <f t="shared" ca="1" si="144"/>
        <v/>
      </c>
      <c r="AE707" s="478">
        <f t="shared" ca="1" si="145"/>
        <v>0</v>
      </c>
      <c r="AF707" s="459" t="str">
        <f t="shared" ca="1" si="152"/>
        <v/>
      </c>
      <c r="AG707" s="460" t="str">
        <f t="shared" ca="1" si="152"/>
        <v/>
      </c>
      <c r="AH707" s="460" t="str">
        <f t="shared" ca="1" si="152"/>
        <v/>
      </c>
      <c r="AI707" s="460" t="str">
        <f t="shared" ca="1" si="152"/>
        <v/>
      </c>
      <c r="AJ707" s="460" t="str">
        <f t="shared" ca="1" si="152"/>
        <v/>
      </c>
      <c r="AK707" s="460" t="str">
        <f t="shared" ca="1" si="152"/>
        <v/>
      </c>
      <c r="AL707" s="460" t="str">
        <f t="shared" ca="1" si="152"/>
        <v/>
      </c>
      <c r="AM707" s="460" t="str">
        <f t="shared" ca="1" si="152"/>
        <v/>
      </c>
      <c r="AN707" s="461" t="str">
        <f t="shared" ca="1" si="152"/>
        <v/>
      </c>
      <c r="AO707" s="474" t="str">
        <f t="shared" ca="1" si="152"/>
        <v/>
      </c>
      <c r="AP707" s="475" t="str">
        <f t="shared" ca="1" si="152"/>
        <v/>
      </c>
      <c r="AQ707" s="479" t="str">
        <f t="array" aca="1" ref="AQ707" ca="1">IF(ROW()-5&lt;=COUNTIF(科目编号,$AR$2),SMALL(IF(科目编号=$AR$2,ROW(科目编号),""),ROW()-5),"")</f>
        <v/>
      </c>
      <c r="AR707" s="480" t="str">
        <f ca="1">IF($BG$2=0,"",IF(AR706="本月合计","本年累计",IF(OR(ROW()=$AU$3,ROW()=$AV$3,ROW()=$AW$3,ROW()=$AX$3,ROW()=$AY$3,ROW()=$AZ$3,ROW()=$BA$3,ROW()=$BB$3,ROW()=$BC$3,ROW()=$BD$3,ROW()=$BE$3,ROW()=$BF$3),"本月合计",IF(ROW()&lt;7,$AQ$6,OFFSET($AQ$6,COUNT($AR$6:AR706),0)))))</f>
        <v/>
      </c>
    </row>
    <row r="708" spans="1:44">
      <c r="A708" s="469" t="str">
        <f ca="1">IFERROR(INDEX(凭证录入!A:A,$AR708),"")</f>
        <v/>
      </c>
      <c r="B708" s="469" t="str">
        <f ca="1">IFERROR(INDEX(凭证录入!B:B,$AR708),"")</f>
        <v/>
      </c>
      <c r="C708" s="470" t="str">
        <f ca="1">IFERROR(INDEX(凭证录入!G:G,$AR708),"")</f>
        <v/>
      </c>
      <c r="D708" s="471" t="str">
        <f ca="1">IFERROR(INDEX(凭证录入!F:F,$AR708),"")</f>
        <v/>
      </c>
      <c r="E708" s="472" t="str">
        <f ca="1">IFERROR(INDEX(凭证录入!H:H,$AR708),$AR708)</f>
        <v/>
      </c>
      <c r="F708" s="473">
        <f ca="1">IF(OR($BG$2=0,$AR708=""),,IF($AR708="本月合计",IF(ROW()=$BG$3,SUM($F$6:$F707),SUM(INDIRECT("$F$"&amp;OFFSET($AU$3,,MATCH(ROW(),$AU$3:$BF$3,)-2)+2&amp;":$E"&amp;ROW()-1))),IF($AR708="本年累计",SUMIF($AR$6:$AR708,"本月合计",$F$6:$F707),INDEX(凭证录入!K:K,$AR708))))</f>
        <v>0</v>
      </c>
      <c r="G708" s="459" t="str">
        <f t="shared" ca="1" si="153"/>
        <v/>
      </c>
      <c r="H708" s="460" t="str">
        <f t="shared" ca="1" si="153"/>
        <v/>
      </c>
      <c r="I708" s="460" t="str">
        <f t="shared" ca="1" si="153"/>
        <v/>
      </c>
      <c r="J708" s="460" t="str">
        <f t="shared" ca="1" si="153"/>
        <v/>
      </c>
      <c r="K708" s="460" t="str">
        <f t="shared" ca="1" si="153"/>
        <v/>
      </c>
      <c r="L708" s="460" t="str">
        <f t="shared" ca="1" si="153"/>
        <v/>
      </c>
      <c r="M708" s="460" t="str">
        <f t="shared" ca="1" si="153"/>
        <v/>
      </c>
      <c r="N708" s="460" t="str">
        <f t="shared" ca="1" si="153"/>
        <v/>
      </c>
      <c r="O708" s="461" t="str">
        <f t="shared" ca="1" si="153"/>
        <v/>
      </c>
      <c r="P708" s="474" t="str">
        <f t="shared" ca="1" si="153"/>
        <v/>
      </c>
      <c r="Q708" s="475" t="str">
        <f t="shared" ca="1" si="153"/>
        <v/>
      </c>
      <c r="R708" s="476">
        <f ca="1">IF(OR($BG$2=0,$AR708=""),,IF($AR708="本月合计",IF(ROW()=$BG$3,SUM($R$6:$R707),SUM(INDIRECT("$R$"&amp;OFFSET($AU$3,,MATCH(ROW(),$AU$3:$BF$3,)-2)+2&amp;":$R"&amp;ROW()-1))),IF($AR708="本年累计",SUMIF($AR$6:$AR708,"本月合计",$R$6:$R707),INDEX(凭证录入!L:L,$AR708))))</f>
        <v>0</v>
      </c>
      <c r="S708" s="459" t="str">
        <f t="shared" ca="1" si="154"/>
        <v/>
      </c>
      <c r="T708" s="460" t="str">
        <f t="shared" ca="1" si="154"/>
        <v/>
      </c>
      <c r="U708" s="460" t="str">
        <f t="shared" ca="1" si="154"/>
        <v/>
      </c>
      <c r="V708" s="460" t="str">
        <f t="shared" ca="1" si="154"/>
        <v/>
      </c>
      <c r="W708" s="460" t="str">
        <f t="shared" ca="1" si="154"/>
        <v/>
      </c>
      <c r="X708" s="460" t="str">
        <f t="shared" ca="1" si="154"/>
        <v/>
      </c>
      <c r="Y708" s="460" t="str">
        <f t="shared" ca="1" si="154"/>
        <v/>
      </c>
      <c r="Z708" s="460" t="str">
        <f t="shared" ca="1" si="154"/>
        <v/>
      </c>
      <c r="AA708" s="461" t="str">
        <f t="shared" ca="1" si="154"/>
        <v/>
      </c>
      <c r="AB708" s="474" t="str">
        <f t="shared" ca="1" si="154"/>
        <v/>
      </c>
      <c r="AC708" s="475" t="str">
        <f t="shared" ca="1" si="154"/>
        <v/>
      </c>
      <c r="AD708" s="477" t="str">
        <f t="shared" ca="1" si="144"/>
        <v/>
      </c>
      <c r="AE708" s="478">
        <f t="shared" ca="1" si="145"/>
        <v>0</v>
      </c>
      <c r="AF708" s="459" t="str">
        <f t="shared" ca="1" si="152"/>
        <v/>
      </c>
      <c r="AG708" s="460" t="str">
        <f t="shared" ca="1" si="152"/>
        <v/>
      </c>
      <c r="AH708" s="460" t="str">
        <f t="shared" ca="1" si="152"/>
        <v/>
      </c>
      <c r="AI708" s="460" t="str">
        <f t="shared" ca="1" si="152"/>
        <v/>
      </c>
      <c r="AJ708" s="460" t="str">
        <f t="shared" ca="1" si="152"/>
        <v/>
      </c>
      <c r="AK708" s="460" t="str">
        <f t="shared" ca="1" si="152"/>
        <v/>
      </c>
      <c r="AL708" s="460" t="str">
        <f t="shared" ca="1" si="152"/>
        <v/>
      </c>
      <c r="AM708" s="460" t="str">
        <f t="shared" ca="1" si="152"/>
        <v/>
      </c>
      <c r="AN708" s="461" t="str">
        <f t="shared" ca="1" si="152"/>
        <v/>
      </c>
      <c r="AO708" s="474" t="str">
        <f t="shared" ca="1" si="152"/>
        <v/>
      </c>
      <c r="AP708" s="475" t="str">
        <f t="shared" ca="1" si="152"/>
        <v/>
      </c>
      <c r="AQ708" s="479" t="str">
        <f t="array" aca="1" ref="AQ708" ca="1">IF(ROW()-5&lt;=COUNTIF(科目编号,$AR$2),SMALL(IF(科目编号=$AR$2,ROW(科目编号),""),ROW()-5),"")</f>
        <v/>
      </c>
      <c r="AR708" s="480" t="str">
        <f ca="1">IF($BG$2=0,"",IF(AR707="本月合计","本年累计",IF(OR(ROW()=$AU$3,ROW()=$AV$3,ROW()=$AW$3,ROW()=$AX$3,ROW()=$AY$3,ROW()=$AZ$3,ROW()=$BA$3,ROW()=$BB$3,ROW()=$BC$3,ROW()=$BD$3,ROW()=$BE$3,ROW()=$BF$3),"本月合计",IF(ROW()&lt;7,$AQ$6,OFFSET($AQ$6,COUNT($AR$6:AR707),0)))))</f>
        <v/>
      </c>
    </row>
    <row r="709" spans="1:44">
      <c r="A709" s="469" t="str">
        <f ca="1">IFERROR(INDEX(凭证录入!A:A,$AR709),"")</f>
        <v/>
      </c>
      <c r="B709" s="469" t="str">
        <f ca="1">IFERROR(INDEX(凭证录入!B:B,$AR709),"")</f>
        <v/>
      </c>
      <c r="C709" s="470" t="str">
        <f ca="1">IFERROR(INDEX(凭证录入!G:G,$AR709),"")</f>
        <v/>
      </c>
      <c r="D709" s="471" t="str">
        <f ca="1">IFERROR(INDEX(凭证录入!F:F,$AR709),"")</f>
        <v/>
      </c>
      <c r="E709" s="472" t="str">
        <f ca="1">IFERROR(INDEX(凭证录入!H:H,$AR709),$AR709)</f>
        <v/>
      </c>
      <c r="F709" s="473">
        <f ca="1">IF(OR($BG$2=0,$AR709=""),,IF($AR709="本月合计",IF(ROW()=$BG$3,SUM($F$6:$F708),SUM(INDIRECT("$F$"&amp;OFFSET($AU$3,,MATCH(ROW(),$AU$3:$BF$3,)-2)+2&amp;":$E"&amp;ROW()-1))),IF($AR709="本年累计",SUMIF($AR$6:$AR709,"本月合计",$F$6:$F708),INDEX(凭证录入!K:K,$AR709))))</f>
        <v>0</v>
      </c>
      <c r="G709" s="459" t="str">
        <f t="shared" ca="1" si="153"/>
        <v/>
      </c>
      <c r="H709" s="460" t="str">
        <f t="shared" ca="1" si="153"/>
        <v/>
      </c>
      <c r="I709" s="460" t="str">
        <f t="shared" ca="1" si="153"/>
        <v/>
      </c>
      <c r="J709" s="460" t="str">
        <f t="shared" ca="1" si="153"/>
        <v/>
      </c>
      <c r="K709" s="460" t="str">
        <f t="shared" ca="1" si="153"/>
        <v/>
      </c>
      <c r="L709" s="460" t="str">
        <f t="shared" ca="1" si="153"/>
        <v/>
      </c>
      <c r="M709" s="460" t="str">
        <f t="shared" ca="1" si="153"/>
        <v/>
      </c>
      <c r="N709" s="460" t="str">
        <f t="shared" ca="1" si="153"/>
        <v/>
      </c>
      <c r="O709" s="461" t="str">
        <f t="shared" ca="1" si="153"/>
        <v/>
      </c>
      <c r="P709" s="474" t="str">
        <f t="shared" ca="1" si="153"/>
        <v/>
      </c>
      <c r="Q709" s="475" t="str">
        <f t="shared" ca="1" si="153"/>
        <v/>
      </c>
      <c r="R709" s="476">
        <f ca="1">IF(OR($BG$2=0,$AR709=""),,IF($AR709="本月合计",IF(ROW()=$BG$3,SUM($R$6:$R708),SUM(INDIRECT("$R$"&amp;OFFSET($AU$3,,MATCH(ROW(),$AU$3:$BF$3,)-2)+2&amp;":$R"&amp;ROW()-1))),IF($AR709="本年累计",SUMIF($AR$6:$AR709,"本月合计",$R$6:$R708),INDEX(凭证录入!L:L,$AR709))))</f>
        <v>0</v>
      </c>
      <c r="S709" s="459" t="str">
        <f t="shared" ca="1" si="154"/>
        <v/>
      </c>
      <c r="T709" s="460" t="str">
        <f t="shared" ca="1" si="154"/>
        <v/>
      </c>
      <c r="U709" s="460" t="str">
        <f t="shared" ca="1" si="154"/>
        <v/>
      </c>
      <c r="V709" s="460" t="str">
        <f t="shared" ca="1" si="154"/>
        <v/>
      </c>
      <c r="W709" s="460" t="str">
        <f t="shared" ca="1" si="154"/>
        <v/>
      </c>
      <c r="X709" s="460" t="str">
        <f t="shared" ca="1" si="154"/>
        <v/>
      </c>
      <c r="Y709" s="460" t="str">
        <f t="shared" ca="1" si="154"/>
        <v/>
      </c>
      <c r="Z709" s="460" t="str">
        <f t="shared" ca="1" si="154"/>
        <v/>
      </c>
      <c r="AA709" s="461" t="str">
        <f t="shared" ca="1" si="154"/>
        <v/>
      </c>
      <c r="AB709" s="474" t="str">
        <f t="shared" ca="1" si="154"/>
        <v/>
      </c>
      <c r="AC709" s="475" t="str">
        <f t="shared" ca="1" si="154"/>
        <v/>
      </c>
      <c r="AD709" s="477" t="str">
        <f t="shared" ca="1" si="144"/>
        <v/>
      </c>
      <c r="AE709" s="478">
        <f t="shared" ca="1" si="145"/>
        <v>0</v>
      </c>
      <c r="AF709" s="459" t="str">
        <f t="shared" ref="AF709:AP724" ca="1" si="155">LEFT(RIGHT(TEXT($AE709/1%," ￥0; ￥-0;"),43-COLUMN()))</f>
        <v/>
      </c>
      <c r="AG709" s="460" t="str">
        <f t="shared" ca="1" si="155"/>
        <v/>
      </c>
      <c r="AH709" s="460" t="str">
        <f t="shared" ca="1" si="155"/>
        <v/>
      </c>
      <c r="AI709" s="460" t="str">
        <f t="shared" ca="1" si="155"/>
        <v/>
      </c>
      <c r="AJ709" s="460" t="str">
        <f t="shared" ca="1" si="155"/>
        <v/>
      </c>
      <c r="AK709" s="460" t="str">
        <f t="shared" ca="1" si="155"/>
        <v/>
      </c>
      <c r="AL709" s="460" t="str">
        <f t="shared" ca="1" si="155"/>
        <v/>
      </c>
      <c r="AM709" s="460" t="str">
        <f t="shared" ca="1" si="155"/>
        <v/>
      </c>
      <c r="AN709" s="461" t="str">
        <f t="shared" ca="1" si="155"/>
        <v/>
      </c>
      <c r="AO709" s="474" t="str">
        <f t="shared" ca="1" si="155"/>
        <v/>
      </c>
      <c r="AP709" s="475" t="str">
        <f t="shared" ca="1" si="155"/>
        <v/>
      </c>
      <c r="AQ709" s="479" t="str">
        <f t="array" aca="1" ref="AQ709" ca="1">IF(ROW()-5&lt;=COUNTIF(科目编号,$AR$2),SMALL(IF(科目编号=$AR$2,ROW(科目编号),""),ROW()-5),"")</f>
        <v/>
      </c>
      <c r="AR709" s="480" t="str">
        <f ca="1">IF($BG$2=0,"",IF(AR708="本月合计","本年累计",IF(OR(ROW()=$AU$3,ROW()=$AV$3,ROW()=$AW$3,ROW()=$AX$3,ROW()=$AY$3,ROW()=$AZ$3,ROW()=$BA$3,ROW()=$BB$3,ROW()=$BC$3,ROW()=$BD$3,ROW()=$BE$3,ROW()=$BF$3),"本月合计",IF(ROW()&lt;7,$AQ$6,OFFSET($AQ$6,COUNT($AR$6:AR708),0)))))</f>
        <v/>
      </c>
    </row>
    <row r="710" spans="1:44">
      <c r="A710" s="469" t="str">
        <f ca="1">IFERROR(INDEX(凭证录入!A:A,$AR710),"")</f>
        <v/>
      </c>
      <c r="B710" s="469" t="str">
        <f ca="1">IFERROR(INDEX(凭证录入!B:B,$AR710),"")</f>
        <v/>
      </c>
      <c r="C710" s="470" t="str">
        <f ca="1">IFERROR(INDEX(凭证录入!G:G,$AR710),"")</f>
        <v/>
      </c>
      <c r="D710" s="471" t="str">
        <f ca="1">IFERROR(INDEX(凭证录入!F:F,$AR710),"")</f>
        <v/>
      </c>
      <c r="E710" s="472" t="str">
        <f ca="1">IFERROR(INDEX(凭证录入!H:H,$AR710),$AR710)</f>
        <v/>
      </c>
      <c r="F710" s="473">
        <f ca="1">IF(OR($BG$2=0,$AR710=""),,IF($AR710="本月合计",IF(ROW()=$BG$3,SUM($F$6:$F709),SUM(INDIRECT("$F$"&amp;OFFSET($AU$3,,MATCH(ROW(),$AU$3:$BF$3,)-2)+2&amp;":$E"&amp;ROW()-1))),IF($AR710="本年累计",SUMIF($AR$6:$AR710,"本月合计",$F$6:$F709),INDEX(凭证录入!K:K,$AR710))))</f>
        <v>0</v>
      </c>
      <c r="G710" s="459" t="str">
        <f t="shared" ref="G710:Q725" ca="1" si="156">LEFT(RIGHT(TEXT($F710/1%," ￥0; ￥-0;"),18-COLUMN()))</f>
        <v/>
      </c>
      <c r="H710" s="460" t="str">
        <f t="shared" ca="1" si="156"/>
        <v/>
      </c>
      <c r="I710" s="460" t="str">
        <f t="shared" ca="1" si="156"/>
        <v/>
      </c>
      <c r="J710" s="460" t="str">
        <f t="shared" ca="1" si="156"/>
        <v/>
      </c>
      <c r="K710" s="460" t="str">
        <f t="shared" ca="1" si="156"/>
        <v/>
      </c>
      <c r="L710" s="460" t="str">
        <f t="shared" ca="1" si="156"/>
        <v/>
      </c>
      <c r="M710" s="460" t="str">
        <f t="shared" ca="1" si="156"/>
        <v/>
      </c>
      <c r="N710" s="460" t="str">
        <f t="shared" ca="1" si="156"/>
        <v/>
      </c>
      <c r="O710" s="461" t="str">
        <f t="shared" ca="1" si="156"/>
        <v/>
      </c>
      <c r="P710" s="474" t="str">
        <f t="shared" ca="1" si="156"/>
        <v/>
      </c>
      <c r="Q710" s="475" t="str">
        <f t="shared" ca="1" si="156"/>
        <v/>
      </c>
      <c r="R710" s="476">
        <f ca="1">IF(OR($BG$2=0,$AR710=""),,IF($AR710="本月合计",IF(ROW()=$BG$3,SUM($R$6:$R709),SUM(INDIRECT("$R$"&amp;OFFSET($AU$3,,MATCH(ROW(),$AU$3:$BF$3,)-2)+2&amp;":$R"&amp;ROW()-1))),IF($AR710="本年累计",SUMIF($AR$6:$AR710,"本月合计",$R$6:$R709),INDEX(凭证录入!L:L,$AR710))))</f>
        <v>0</v>
      </c>
      <c r="S710" s="459" t="str">
        <f t="shared" ref="S710:AC725" ca="1" si="157">LEFT(RIGHT(TEXT($R710/1%," ￥0; ￥-0;"),30-COLUMN()))</f>
        <v/>
      </c>
      <c r="T710" s="460" t="str">
        <f t="shared" ca="1" si="157"/>
        <v/>
      </c>
      <c r="U710" s="460" t="str">
        <f t="shared" ca="1" si="157"/>
        <v/>
      </c>
      <c r="V710" s="460" t="str">
        <f t="shared" ca="1" si="157"/>
        <v/>
      </c>
      <c r="W710" s="460" t="str">
        <f t="shared" ca="1" si="157"/>
        <v/>
      </c>
      <c r="X710" s="460" t="str">
        <f t="shared" ca="1" si="157"/>
        <v/>
      </c>
      <c r="Y710" s="460" t="str">
        <f t="shared" ca="1" si="157"/>
        <v/>
      </c>
      <c r="Z710" s="460" t="str">
        <f t="shared" ca="1" si="157"/>
        <v/>
      </c>
      <c r="AA710" s="461" t="str">
        <f t="shared" ca="1" si="157"/>
        <v/>
      </c>
      <c r="AB710" s="474" t="str">
        <f t="shared" ca="1" si="157"/>
        <v/>
      </c>
      <c r="AC710" s="475" t="str">
        <f t="shared" ca="1" si="157"/>
        <v/>
      </c>
      <c r="AD710" s="477" t="str">
        <f t="shared" ref="AD710:AD773" ca="1" si="158">IF(OR($BG$2=0,$AR710="",$AR710="本月合计",$AR710="本年累计"),"",IF(OR(AND($AD709="",$AE709="",$AD707&lt;&gt;"借",$AD707&lt;&gt;"贷",($F710-$R710)&gt;=0),AND($AD709="",$AE709&lt;&gt;"",$AD707="借",($AE708+$F710-$R710)&gt;=0),AND($AD709="",$AE709&lt;&gt;"",$AD707="贷",(-$AE708+$F710-$R710)&gt;=0),AND($AD709="借",($AE709+$F710-$R710)&gt;=0),AND($AD709="贷",(-$AE709+$F710-$R710)&gt;=0),),"借","贷"))</f>
        <v/>
      </c>
      <c r="AE710" s="478">
        <f t="shared" ref="AE710:AE773" ca="1" si="159">IF(OR($BG$2=0,$AR710=""),,IF(OR($AR710="本月合计",$AR710="本年累计"),$AE709,IF(OR(AD709="借",AND(AD709="",AD708="",AD707="借")),ABS(AE709+F710-R710),ABS(-AE709+F710-R710))))</f>
        <v>0</v>
      </c>
      <c r="AF710" s="459" t="str">
        <f t="shared" ca="1" si="155"/>
        <v/>
      </c>
      <c r="AG710" s="460" t="str">
        <f t="shared" ca="1" si="155"/>
        <v/>
      </c>
      <c r="AH710" s="460" t="str">
        <f t="shared" ca="1" si="155"/>
        <v/>
      </c>
      <c r="AI710" s="460" t="str">
        <f t="shared" ca="1" si="155"/>
        <v/>
      </c>
      <c r="AJ710" s="460" t="str">
        <f t="shared" ca="1" si="155"/>
        <v/>
      </c>
      <c r="AK710" s="460" t="str">
        <f t="shared" ca="1" si="155"/>
        <v/>
      </c>
      <c r="AL710" s="460" t="str">
        <f t="shared" ca="1" si="155"/>
        <v/>
      </c>
      <c r="AM710" s="460" t="str">
        <f t="shared" ca="1" si="155"/>
        <v/>
      </c>
      <c r="AN710" s="461" t="str">
        <f t="shared" ca="1" si="155"/>
        <v/>
      </c>
      <c r="AO710" s="474" t="str">
        <f t="shared" ca="1" si="155"/>
        <v/>
      </c>
      <c r="AP710" s="475" t="str">
        <f t="shared" ca="1" si="155"/>
        <v/>
      </c>
      <c r="AQ710" s="479" t="str">
        <f t="array" aca="1" ref="AQ710" ca="1">IF(ROW()-5&lt;=COUNTIF(科目编号,$AR$2),SMALL(IF(科目编号=$AR$2,ROW(科目编号),""),ROW()-5),"")</f>
        <v/>
      </c>
      <c r="AR710" s="480" t="str">
        <f ca="1">IF($BG$2=0,"",IF(AR709="本月合计","本年累计",IF(OR(ROW()=$AU$3,ROW()=$AV$3,ROW()=$AW$3,ROW()=$AX$3,ROW()=$AY$3,ROW()=$AZ$3,ROW()=$BA$3,ROW()=$BB$3,ROW()=$BC$3,ROW()=$BD$3,ROW()=$BE$3,ROW()=$BF$3),"本月合计",IF(ROW()&lt;7,$AQ$6,OFFSET($AQ$6,COUNT($AR$6:AR709),0)))))</f>
        <v/>
      </c>
    </row>
    <row r="711" spans="1:44">
      <c r="A711" s="469" t="str">
        <f ca="1">IFERROR(INDEX(凭证录入!A:A,$AR711),"")</f>
        <v/>
      </c>
      <c r="B711" s="469" t="str">
        <f ca="1">IFERROR(INDEX(凭证录入!B:B,$AR711),"")</f>
        <v/>
      </c>
      <c r="C711" s="470" t="str">
        <f ca="1">IFERROR(INDEX(凭证录入!G:G,$AR711),"")</f>
        <v/>
      </c>
      <c r="D711" s="471" t="str">
        <f ca="1">IFERROR(INDEX(凭证录入!F:F,$AR711),"")</f>
        <v/>
      </c>
      <c r="E711" s="472" t="str">
        <f ca="1">IFERROR(INDEX(凭证录入!H:H,$AR711),$AR711)</f>
        <v/>
      </c>
      <c r="F711" s="473">
        <f ca="1">IF(OR($BG$2=0,$AR711=""),,IF($AR711="本月合计",IF(ROW()=$BG$3,SUM($F$6:$F710),SUM(INDIRECT("$F$"&amp;OFFSET($AU$3,,MATCH(ROW(),$AU$3:$BF$3,)-2)+2&amp;":$E"&amp;ROW()-1))),IF($AR711="本年累计",SUMIF($AR$6:$AR711,"本月合计",$F$6:$F710),INDEX(凭证录入!K:K,$AR711))))</f>
        <v>0</v>
      </c>
      <c r="G711" s="459" t="str">
        <f t="shared" ca="1" si="156"/>
        <v/>
      </c>
      <c r="H711" s="460" t="str">
        <f t="shared" ca="1" si="156"/>
        <v/>
      </c>
      <c r="I711" s="460" t="str">
        <f t="shared" ca="1" si="156"/>
        <v/>
      </c>
      <c r="J711" s="460" t="str">
        <f t="shared" ca="1" si="156"/>
        <v/>
      </c>
      <c r="K711" s="460" t="str">
        <f t="shared" ca="1" si="156"/>
        <v/>
      </c>
      <c r="L711" s="460" t="str">
        <f t="shared" ca="1" si="156"/>
        <v/>
      </c>
      <c r="M711" s="460" t="str">
        <f t="shared" ca="1" si="156"/>
        <v/>
      </c>
      <c r="N711" s="460" t="str">
        <f t="shared" ca="1" si="156"/>
        <v/>
      </c>
      <c r="O711" s="461" t="str">
        <f t="shared" ca="1" si="156"/>
        <v/>
      </c>
      <c r="P711" s="474" t="str">
        <f t="shared" ca="1" si="156"/>
        <v/>
      </c>
      <c r="Q711" s="475" t="str">
        <f t="shared" ca="1" si="156"/>
        <v/>
      </c>
      <c r="R711" s="476">
        <f ca="1">IF(OR($BG$2=0,$AR711=""),,IF($AR711="本月合计",IF(ROW()=$BG$3,SUM($R$6:$R710),SUM(INDIRECT("$R$"&amp;OFFSET($AU$3,,MATCH(ROW(),$AU$3:$BF$3,)-2)+2&amp;":$R"&amp;ROW()-1))),IF($AR711="本年累计",SUMIF($AR$6:$AR711,"本月合计",$R$6:$R710),INDEX(凭证录入!L:L,$AR711))))</f>
        <v>0</v>
      </c>
      <c r="S711" s="459" t="str">
        <f t="shared" ca="1" si="157"/>
        <v/>
      </c>
      <c r="T711" s="460" t="str">
        <f t="shared" ca="1" si="157"/>
        <v/>
      </c>
      <c r="U711" s="460" t="str">
        <f t="shared" ca="1" si="157"/>
        <v/>
      </c>
      <c r="V711" s="460" t="str">
        <f t="shared" ca="1" si="157"/>
        <v/>
      </c>
      <c r="W711" s="460" t="str">
        <f t="shared" ca="1" si="157"/>
        <v/>
      </c>
      <c r="X711" s="460" t="str">
        <f t="shared" ca="1" si="157"/>
        <v/>
      </c>
      <c r="Y711" s="460" t="str">
        <f t="shared" ca="1" si="157"/>
        <v/>
      </c>
      <c r="Z711" s="460" t="str">
        <f t="shared" ca="1" si="157"/>
        <v/>
      </c>
      <c r="AA711" s="461" t="str">
        <f t="shared" ca="1" si="157"/>
        <v/>
      </c>
      <c r="AB711" s="474" t="str">
        <f t="shared" ca="1" si="157"/>
        <v/>
      </c>
      <c r="AC711" s="475" t="str">
        <f t="shared" ca="1" si="157"/>
        <v/>
      </c>
      <c r="AD711" s="477" t="str">
        <f t="shared" ca="1" si="158"/>
        <v/>
      </c>
      <c r="AE711" s="478">
        <f t="shared" ca="1" si="159"/>
        <v>0</v>
      </c>
      <c r="AF711" s="459" t="str">
        <f t="shared" ca="1" si="155"/>
        <v/>
      </c>
      <c r="AG711" s="460" t="str">
        <f t="shared" ca="1" si="155"/>
        <v/>
      </c>
      <c r="AH711" s="460" t="str">
        <f t="shared" ca="1" si="155"/>
        <v/>
      </c>
      <c r="AI711" s="460" t="str">
        <f t="shared" ca="1" si="155"/>
        <v/>
      </c>
      <c r="AJ711" s="460" t="str">
        <f t="shared" ca="1" si="155"/>
        <v/>
      </c>
      <c r="AK711" s="460" t="str">
        <f t="shared" ca="1" si="155"/>
        <v/>
      </c>
      <c r="AL711" s="460" t="str">
        <f t="shared" ca="1" si="155"/>
        <v/>
      </c>
      <c r="AM711" s="460" t="str">
        <f t="shared" ca="1" si="155"/>
        <v/>
      </c>
      <c r="AN711" s="461" t="str">
        <f t="shared" ca="1" si="155"/>
        <v/>
      </c>
      <c r="AO711" s="474" t="str">
        <f t="shared" ca="1" si="155"/>
        <v/>
      </c>
      <c r="AP711" s="475" t="str">
        <f t="shared" ca="1" si="155"/>
        <v/>
      </c>
      <c r="AQ711" s="479" t="str">
        <f t="array" aca="1" ref="AQ711" ca="1">IF(ROW()-5&lt;=COUNTIF(科目编号,$AR$2),SMALL(IF(科目编号=$AR$2,ROW(科目编号),""),ROW()-5),"")</f>
        <v/>
      </c>
      <c r="AR711" s="480" t="str">
        <f ca="1">IF($BG$2=0,"",IF(AR710="本月合计","本年累计",IF(OR(ROW()=$AU$3,ROW()=$AV$3,ROW()=$AW$3,ROW()=$AX$3,ROW()=$AY$3,ROW()=$AZ$3,ROW()=$BA$3,ROW()=$BB$3,ROW()=$BC$3,ROW()=$BD$3,ROW()=$BE$3,ROW()=$BF$3),"本月合计",IF(ROW()&lt;7,$AQ$6,OFFSET($AQ$6,COUNT($AR$6:AR710),0)))))</f>
        <v/>
      </c>
    </row>
    <row r="712" spans="1:44">
      <c r="A712" s="469" t="str">
        <f ca="1">IFERROR(INDEX(凭证录入!A:A,$AR712),"")</f>
        <v/>
      </c>
      <c r="B712" s="469" t="str">
        <f ca="1">IFERROR(INDEX(凭证录入!B:B,$AR712),"")</f>
        <v/>
      </c>
      <c r="C712" s="470" t="str">
        <f ca="1">IFERROR(INDEX(凭证录入!G:G,$AR712),"")</f>
        <v/>
      </c>
      <c r="D712" s="471" t="str">
        <f ca="1">IFERROR(INDEX(凭证录入!F:F,$AR712),"")</f>
        <v/>
      </c>
      <c r="E712" s="472" t="str">
        <f ca="1">IFERROR(INDEX(凭证录入!H:H,$AR712),$AR712)</f>
        <v/>
      </c>
      <c r="F712" s="473">
        <f ca="1">IF(OR($BG$2=0,$AR712=""),,IF($AR712="本月合计",IF(ROW()=$BG$3,SUM($F$6:$F711),SUM(INDIRECT("$F$"&amp;OFFSET($AU$3,,MATCH(ROW(),$AU$3:$BF$3,)-2)+2&amp;":$E"&amp;ROW()-1))),IF($AR712="本年累计",SUMIF($AR$6:$AR712,"本月合计",$F$6:$F711),INDEX(凭证录入!K:K,$AR712))))</f>
        <v>0</v>
      </c>
      <c r="G712" s="459" t="str">
        <f t="shared" ca="1" si="156"/>
        <v/>
      </c>
      <c r="H712" s="460" t="str">
        <f t="shared" ca="1" si="156"/>
        <v/>
      </c>
      <c r="I712" s="460" t="str">
        <f t="shared" ca="1" si="156"/>
        <v/>
      </c>
      <c r="J712" s="460" t="str">
        <f t="shared" ca="1" si="156"/>
        <v/>
      </c>
      <c r="K712" s="460" t="str">
        <f t="shared" ca="1" si="156"/>
        <v/>
      </c>
      <c r="L712" s="460" t="str">
        <f t="shared" ca="1" si="156"/>
        <v/>
      </c>
      <c r="M712" s="460" t="str">
        <f t="shared" ca="1" si="156"/>
        <v/>
      </c>
      <c r="N712" s="460" t="str">
        <f t="shared" ca="1" si="156"/>
        <v/>
      </c>
      <c r="O712" s="461" t="str">
        <f t="shared" ca="1" si="156"/>
        <v/>
      </c>
      <c r="P712" s="474" t="str">
        <f t="shared" ca="1" si="156"/>
        <v/>
      </c>
      <c r="Q712" s="475" t="str">
        <f t="shared" ca="1" si="156"/>
        <v/>
      </c>
      <c r="R712" s="476">
        <f ca="1">IF(OR($BG$2=0,$AR712=""),,IF($AR712="本月合计",IF(ROW()=$BG$3,SUM($R$6:$R711),SUM(INDIRECT("$R$"&amp;OFFSET($AU$3,,MATCH(ROW(),$AU$3:$BF$3,)-2)+2&amp;":$R"&amp;ROW()-1))),IF($AR712="本年累计",SUMIF($AR$6:$AR712,"本月合计",$R$6:$R711),INDEX(凭证录入!L:L,$AR712))))</f>
        <v>0</v>
      </c>
      <c r="S712" s="459" t="str">
        <f t="shared" ca="1" si="157"/>
        <v/>
      </c>
      <c r="T712" s="460" t="str">
        <f t="shared" ca="1" si="157"/>
        <v/>
      </c>
      <c r="U712" s="460" t="str">
        <f t="shared" ca="1" si="157"/>
        <v/>
      </c>
      <c r="V712" s="460" t="str">
        <f t="shared" ca="1" si="157"/>
        <v/>
      </c>
      <c r="W712" s="460" t="str">
        <f t="shared" ca="1" si="157"/>
        <v/>
      </c>
      <c r="X712" s="460" t="str">
        <f t="shared" ca="1" si="157"/>
        <v/>
      </c>
      <c r="Y712" s="460" t="str">
        <f t="shared" ca="1" si="157"/>
        <v/>
      </c>
      <c r="Z712" s="460" t="str">
        <f t="shared" ca="1" si="157"/>
        <v/>
      </c>
      <c r="AA712" s="461" t="str">
        <f t="shared" ca="1" si="157"/>
        <v/>
      </c>
      <c r="AB712" s="474" t="str">
        <f t="shared" ca="1" si="157"/>
        <v/>
      </c>
      <c r="AC712" s="475" t="str">
        <f t="shared" ca="1" si="157"/>
        <v/>
      </c>
      <c r="AD712" s="477" t="str">
        <f t="shared" ca="1" si="158"/>
        <v/>
      </c>
      <c r="AE712" s="478">
        <f t="shared" ca="1" si="159"/>
        <v>0</v>
      </c>
      <c r="AF712" s="459" t="str">
        <f t="shared" ca="1" si="155"/>
        <v/>
      </c>
      <c r="AG712" s="460" t="str">
        <f t="shared" ca="1" si="155"/>
        <v/>
      </c>
      <c r="AH712" s="460" t="str">
        <f t="shared" ca="1" si="155"/>
        <v/>
      </c>
      <c r="AI712" s="460" t="str">
        <f t="shared" ca="1" si="155"/>
        <v/>
      </c>
      <c r="AJ712" s="460" t="str">
        <f t="shared" ca="1" si="155"/>
        <v/>
      </c>
      <c r="AK712" s="460" t="str">
        <f t="shared" ca="1" si="155"/>
        <v/>
      </c>
      <c r="AL712" s="460" t="str">
        <f t="shared" ca="1" si="155"/>
        <v/>
      </c>
      <c r="AM712" s="460" t="str">
        <f t="shared" ca="1" si="155"/>
        <v/>
      </c>
      <c r="AN712" s="461" t="str">
        <f t="shared" ca="1" si="155"/>
        <v/>
      </c>
      <c r="AO712" s="474" t="str">
        <f t="shared" ca="1" si="155"/>
        <v/>
      </c>
      <c r="AP712" s="475" t="str">
        <f t="shared" ca="1" si="155"/>
        <v/>
      </c>
      <c r="AQ712" s="479" t="str">
        <f t="array" aca="1" ref="AQ712" ca="1">IF(ROW()-5&lt;=COUNTIF(科目编号,$AR$2),SMALL(IF(科目编号=$AR$2,ROW(科目编号),""),ROW()-5),"")</f>
        <v/>
      </c>
      <c r="AR712" s="480" t="str">
        <f ca="1">IF($BG$2=0,"",IF(AR711="本月合计","本年累计",IF(OR(ROW()=$AU$3,ROW()=$AV$3,ROW()=$AW$3,ROW()=$AX$3,ROW()=$AY$3,ROW()=$AZ$3,ROW()=$BA$3,ROW()=$BB$3,ROW()=$BC$3,ROW()=$BD$3,ROW()=$BE$3,ROW()=$BF$3),"本月合计",IF(ROW()&lt;7,$AQ$6,OFFSET($AQ$6,COUNT($AR$6:AR711),0)))))</f>
        <v/>
      </c>
    </row>
    <row r="713" spans="1:44">
      <c r="A713" s="469" t="str">
        <f ca="1">IFERROR(INDEX(凭证录入!A:A,$AR713),"")</f>
        <v/>
      </c>
      <c r="B713" s="469" t="str">
        <f ca="1">IFERROR(INDEX(凭证录入!B:B,$AR713),"")</f>
        <v/>
      </c>
      <c r="C713" s="470" t="str">
        <f ca="1">IFERROR(INDEX(凭证录入!G:G,$AR713),"")</f>
        <v/>
      </c>
      <c r="D713" s="471" t="str">
        <f ca="1">IFERROR(INDEX(凭证录入!F:F,$AR713),"")</f>
        <v/>
      </c>
      <c r="E713" s="472" t="str">
        <f ca="1">IFERROR(INDEX(凭证录入!H:H,$AR713),$AR713)</f>
        <v/>
      </c>
      <c r="F713" s="473">
        <f ca="1">IF(OR($BG$2=0,$AR713=""),,IF($AR713="本月合计",IF(ROW()=$BG$3,SUM($F$6:$F712),SUM(INDIRECT("$F$"&amp;OFFSET($AU$3,,MATCH(ROW(),$AU$3:$BF$3,)-2)+2&amp;":$E"&amp;ROW()-1))),IF($AR713="本年累计",SUMIF($AR$6:$AR713,"本月合计",$F$6:$F712),INDEX(凭证录入!K:K,$AR713))))</f>
        <v>0</v>
      </c>
      <c r="G713" s="459" t="str">
        <f t="shared" ca="1" si="156"/>
        <v/>
      </c>
      <c r="H713" s="460" t="str">
        <f t="shared" ca="1" si="156"/>
        <v/>
      </c>
      <c r="I713" s="460" t="str">
        <f t="shared" ca="1" si="156"/>
        <v/>
      </c>
      <c r="J713" s="460" t="str">
        <f t="shared" ca="1" si="156"/>
        <v/>
      </c>
      <c r="K713" s="460" t="str">
        <f t="shared" ca="1" si="156"/>
        <v/>
      </c>
      <c r="L713" s="460" t="str">
        <f t="shared" ca="1" si="156"/>
        <v/>
      </c>
      <c r="M713" s="460" t="str">
        <f t="shared" ca="1" si="156"/>
        <v/>
      </c>
      <c r="N713" s="460" t="str">
        <f t="shared" ca="1" si="156"/>
        <v/>
      </c>
      <c r="O713" s="461" t="str">
        <f t="shared" ca="1" si="156"/>
        <v/>
      </c>
      <c r="P713" s="474" t="str">
        <f t="shared" ca="1" si="156"/>
        <v/>
      </c>
      <c r="Q713" s="475" t="str">
        <f t="shared" ca="1" si="156"/>
        <v/>
      </c>
      <c r="R713" s="476">
        <f ca="1">IF(OR($BG$2=0,$AR713=""),,IF($AR713="本月合计",IF(ROW()=$BG$3,SUM($R$6:$R712),SUM(INDIRECT("$R$"&amp;OFFSET($AU$3,,MATCH(ROW(),$AU$3:$BF$3,)-2)+2&amp;":$R"&amp;ROW()-1))),IF($AR713="本年累计",SUMIF($AR$6:$AR713,"本月合计",$R$6:$R712),INDEX(凭证录入!L:L,$AR713))))</f>
        <v>0</v>
      </c>
      <c r="S713" s="459" t="str">
        <f t="shared" ca="1" si="157"/>
        <v/>
      </c>
      <c r="T713" s="460" t="str">
        <f t="shared" ca="1" si="157"/>
        <v/>
      </c>
      <c r="U713" s="460" t="str">
        <f t="shared" ca="1" si="157"/>
        <v/>
      </c>
      <c r="V713" s="460" t="str">
        <f t="shared" ca="1" si="157"/>
        <v/>
      </c>
      <c r="W713" s="460" t="str">
        <f t="shared" ca="1" si="157"/>
        <v/>
      </c>
      <c r="X713" s="460" t="str">
        <f t="shared" ca="1" si="157"/>
        <v/>
      </c>
      <c r="Y713" s="460" t="str">
        <f t="shared" ca="1" si="157"/>
        <v/>
      </c>
      <c r="Z713" s="460" t="str">
        <f t="shared" ca="1" si="157"/>
        <v/>
      </c>
      <c r="AA713" s="461" t="str">
        <f t="shared" ca="1" si="157"/>
        <v/>
      </c>
      <c r="AB713" s="474" t="str">
        <f t="shared" ca="1" si="157"/>
        <v/>
      </c>
      <c r="AC713" s="475" t="str">
        <f t="shared" ca="1" si="157"/>
        <v/>
      </c>
      <c r="AD713" s="477" t="str">
        <f t="shared" ca="1" si="158"/>
        <v/>
      </c>
      <c r="AE713" s="478">
        <f t="shared" ca="1" si="159"/>
        <v>0</v>
      </c>
      <c r="AF713" s="459" t="str">
        <f t="shared" ca="1" si="155"/>
        <v/>
      </c>
      <c r="AG713" s="460" t="str">
        <f t="shared" ca="1" si="155"/>
        <v/>
      </c>
      <c r="AH713" s="460" t="str">
        <f t="shared" ca="1" si="155"/>
        <v/>
      </c>
      <c r="AI713" s="460" t="str">
        <f t="shared" ca="1" si="155"/>
        <v/>
      </c>
      <c r="AJ713" s="460" t="str">
        <f t="shared" ca="1" si="155"/>
        <v/>
      </c>
      <c r="AK713" s="460" t="str">
        <f t="shared" ca="1" si="155"/>
        <v/>
      </c>
      <c r="AL713" s="460" t="str">
        <f t="shared" ca="1" si="155"/>
        <v/>
      </c>
      <c r="AM713" s="460" t="str">
        <f t="shared" ca="1" si="155"/>
        <v/>
      </c>
      <c r="AN713" s="461" t="str">
        <f t="shared" ca="1" si="155"/>
        <v/>
      </c>
      <c r="AO713" s="474" t="str">
        <f t="shared" ca="1" si="155"/>
        <v/>
      </c>
      <c r="AP713" s="475" t="str">
        <f t="shared" ca="1" si="155"/>
        <v/>
      </c>
      <c r="AQ713" s="479" t="str">
        <f t="array" aca="1" ref="AQ713" ca="1">IF(ROW()-5&lt;=COUNTIF(科目编号,$AR$2),SMALL(IF(科目编号=$AR$2,ROW(科目编号),""),ROW()-5),"")</f>
        <v/>
      </c>
      <c r="AR713" s="480" t="str">
        <f ca="1">IF($BG$2=0,"",IF(AR712="本月合计","本年累计",IF(OR(ROW()=$AU$3,ROW()=$AV$3,ROW()=$AW$3,ROW()=$AX$3,ROW()=$AY$3,ROW()=$AZ$3,ROW()=$BA$3,ROW()=$BB$3,ROW()=$BC$3,ROW()=$BD$3,ROW()=$BE$3,ROW()=$BF$3),"本月合计",IF(ROW()&lt;7,$AQ$6,OFFSET($AQ$6,COUNT($AR$6:AR712),0)))))</f>
        <v/>
      </c>
    </row>
    <row r="714" spans="1:44">
      <c r="A714" s="469" t="str">
        <f ca="1">IFERROR(INDEX(凭证录入!A:A,$AR714),"")</f>
        <v/>
      </c>
      <c r="B714" s="469" t="str">
        <f ca="1">IFERROR(INDEX(凭证录入!B:B,$AR714),"")</f>
        <v/>
      </c>
      <c r="C714" s="470" t="str">
        <f ca="1">IFERROR(INDEX(凭证录入!G:G,$AR714),"")</f>
        <v/>
      </c>
      <c r="D714" s="471" t="str">
        <f ca="1">IFERROR(INDEX(凭证录入!F:F,$AR714),"")</f>
        <v/>
      </c>
      <c r="E714" s="472" t="str">
        <f ca="1">IFERROR(INDEX(凭证录入!H:H,$AR714),$AR714)</f>
        <v/>
      </c>
      <c r="F714" s="473">
        <f ca="1">IF(OR($BG$2=0,$AR714=""),,IF($AR714="本月合计",IF(ROW()=$BG$3,SUM($F$6:$F713),SUM(INDIRECT("$F$"&amp;OFFSET($AU$3,,MATCH(ROW(),$AU$3:$BF$3,)-2)+2&amp;":$E"&amp;ROW()-1))),IF($AR714="本年累计",SUMIF($AR$6:$AR714,"本月合计",$F$6:$F713),INDEX(凭证录入!K:K,$AR714))))</f>
        <v>0</v>
      </c>
      <c r="G714" s="459" t="str">
        <f t="shared" ca="1" si="156"/>
        <v/>
      </c>
      <c r="H714" s="460" t="str">
        <f t="shared" ca="1" si="156"/>
        <v/>
      </c>
      <c r="I714" s="460" t="str">
        <f t="shared" ca="1" si="156"/>
        <v/>
      </c>
      <c r="J714" s="460" t="str">
        <f t="shared" ca="1" si="156"/>
        <v/>
      </c>
      <c r="K714" s="460" t="str">
        <f t="shared" ca="1" si="156"/>
        <v/>
      </c>
      <c r="L714" s="460" t="str">
        <f t="shared" ca="1" si="156"/>
        <v/>
      </c>
      <c r="M714" s="460" t="str">
        <f t="shared" ca="1" si="156"/>
        <v/>
      </c>
      <c r="N714" s="460" t="str">
        <f t="shared" ca="1" si="156"/>
        <v/>
      </c>
      <c r="O714" s="461" t="str">
        <f t="shared" ca="1" si="156"/>
        <v/>
      </c>
      <c r="P714" s="474" t="str">
        <f t="shared" ca="1" si="156"/>
        <v/>
      </c>
      <c r="Q714" s="475" t="str">
        <f t="shared" ca="1" si="156"/>
        <v/>
      </c>
      <c r="R714" s="476">
        <f ca="1">IF(OR($BG$2=0,$AR714=""),,IF($AR714="本月合计",IF(ROW()=$BG$3,SUM($R$6:$R713),SUM(INDIRECT("$R$"&amp;OFFSET($AU$3,,MATCH(ROW(),$AU$3:$BF$3,)-2)+2&amp;":$R"&amp;ROW()-1))),IF($AR714="本年累计",SUMIF($AR$6:$AR714,"本月合计",$R$6:$R713),INDEX(凭证录入!L:L,$AR714))))</f>
        <v>0</v>
      </c>
      <c r="S714" s="459" t="str">
        <f t="shared" ca="1" si="157"/>
        <v/>
      </c>
      <c r="T714" s="460" t="str">
        <f t="shared" ca="1" si="157"/>
        <v/>
      </c>
      <c r="U714" s="460" t="str">
        <f t="shared" ca="1" si="157"/>
        <v/>
      </c>
      <c r="V714" s="460" t="str">
        <f t="shared" ca="1" si="157"/>
        <v/>
      </c>
      <c r="W714" s="460" t="str">
        <f t="shared" ca="1" si="157"/>
        <v/>
      </c>
      <c r="X714" s="460" t="str">
        <f t="shared" ca="1" si="157"/>
        <v/>
      </c>
      <c r="Y714" s="460" t="str">
        <f t="shared" ca="1" si="157"/>
        <v/>
      </c>
      <c r="Z714" s="460" t="str">
        <f t="shared" ca="1" si="157"/>
        <v/>
      </c>
      <c r="AA714" s="461" t="str">
        <f t="shared" ca="1" si="157"/>
        <v/>
      </c>
      <c r="AB714" s="474" t="str">
        <f t="shared" ca="1" si="157"/>
        <v/>
      </c>
      <c r="AC714" s="475" t="str">
        <f t="shared" ca="1" si="157"/>
        <v/>
      </c>
      <c r="AD714" s="477" t="str">
        <f t="shared" ca="1" si="158"/>
        <v/>
      </c>
      <c r="AE714" s="478">
        <f t="shared" ca="1" si="159"/>
        <v>0</v>
      </c>
      <c r="AF714" s="459" t="str">
        <f t="shared" ca="1" si="155"/>
        <v/>
      </c>
      <c r="AG714" s="460" t="str">
        <f t="shared" ca="1" si="155"/>
        <v/>
      </c>
      <c r="AH714" s="460" t="str">
        <f t="shared" ca="1" si="155"/>
        <v/>
      </c>
      <c r="AI714" s="460" t="str">
        <f t="shared" ca="1" si="155"/>
        <v/>
      </c>
      <c r="AJ714" s="460" t="str">
        <f t="shared" ca="1" si="155"/>
        <v/>
      </c>
      <c r="AK714" s="460" t="str">
        <f t="shared" ca="1" si="155"/>
        <v/>
      </c>
      <c r="AL714" s="460" t="str">
        <f t="shared" ca="1" si="155"/>
        <v/>
      </c>
      <c r="AM714" s="460" t="str">
        <f t="shared" ca="1" si="155"/>
        <v/>
      </c>
      <c r="AN714" s="461" t="str">
        <f t="shared" ca="1" si="155"/>
        <v/>
      </c>
      <c r="AO714" s="474" t="str">
        <f t="shared" ca="1" si="155"/>
        <v/>
      </c>
      <c r="AP714" s="475" t="str">
        <f t="shared" ca="1" si="155"/>
        <v/>
      </c>
      <c r="AQ714" s="479" t="str">
        <f t="array" aca="1" ref="AQ714" ca="1">IF(ROW()-5&lt;=COUNTIF(科目编号,$AR$2),SMALL(IF(科目编号=$AR$2,ROW(科目编号),""),ROW()-5),"")</f>
        <v/>
      </c>
      <c r="AR714" s="480" t="str">
        <f ca="1">IF($BG$2=0,"",IF(AR713="本月合计","本年累计",IF(OR(ROW()=$AU$3,ROW()=$AV$3,ROW()=$AW$3,ROW()=$AX$3,ROW()=$AY$3,ROW()=$AZ$3,ROW()=$BA$3,ROW()=$BB$3,ROW()=$BC$3,ROW()=$BD$3,ROW()=$BE$3,ROW()=$BF$3),"本月合计",IF(ROW()&lt;7,$AQ$6,OFFSET($AQ$6,COUNT($AR$6:AR713),0)))))</f>
        <v/>
      </c>
    </row>
    <row r="715" spans="1:44">
      <c r="A715" s="469" t="str">
        <f ca="1">IFERROR(INDEX(凭证录入!A:A,$AR715),"")</f>
        <v/>
      </c>
      <c r="B715" s="469" t="str">
        <f ca="1">IFERROR(INDEX(凭证录入!B:B,$AR715),"")</f>
        <v/>
      </c>
      <c r="C715" s="470" t="str">
        <f ca="1">IFERROR(INDEX(凭证录入!G:G,$AR715),"")</f>
        <v/>
      </c>
      <c r="D715" s="471" t="str">
        <f ca="1">IFERROR(INDEX(凭证录入!F:F,$AR715),"")</f>
        <v/>
      </c>
      <c r="E715" s="472" t="str">
        <f ca="1">IFERROR(INDEX(凭证录入!H:H,$AR715),$AR715)</f>
        <v/>
      </c>
      <c r="F715" s="473">
        <f ca="1">IF(OR($BG$2=0,$AR715=""),,IF($AR715="本月合计",IF(ROW()=$BG$3,SUM($F$6:$F714),SUM(INDIRECT("$F$"&amp;OFFSET($AU$3,,MATCH(ROW(),$AU$3:$BF$3,)-2)+2&amp;":$E"&amp;ROW()-1))),IF($AR715="本年累计",SUMIF($AR$6:$AR715,"本月合计",$F$6:$F714),INDEX(凭证录入!K:K,$AR715))))</f>
        <v>0</v>
      </c>
      <c r="G715" s="459" t="str">
        <f t="shared" ca="1" si="156"/>
        <v/>
      </c>
      <c r="H715" s="460" t="str">
        <f t="shared" ca="1" si="156"/>
        <v/>
      </c>
      <c r="I715" s="460" t="str">
        <f t="shared" ca="1" si="156"/>
        <v/>
      </c>
      <c r="J715" s="460" t="str">
        <f t="shared" ca="1" si="156"/>
        <v/>
      </c>
      <c r="K715" s="460" t="str">
        <f t="shared" ca="1" si="156"/>
        <v/>
      </c>
      <c r="L715" s="460" t="str">
        <f t="shared" ca="1" si="156"/>
        <v/>
      </c>
      <c r="M715" s="460" t="str">
        <f t="shared" ca="1" si="156"/>
        <v/>
      </c>
      <c r="N715" s="460" t="str">
        <f t="shared" ca="1" si="156"/>
        <v/>
      </c>
      <c r="O715" s="461" t="str">
        <f t="shared" ca="1" si="156"/>
        <v/>
      </c>
      <c r="P715" s="474" t="str">
        <f t="shared" ca="1" si="156"/>
        <v/>
      </c>
      <c r="Q715" s="475" t="str">
        <f t="shared" ca="1" si="156"/>
        <v/>
      </c>
      <c r="R715" s="476">
        <f ca="1">IF(OR($BG$2=0,$AR715=""),,IF($AR715="本月合计",IF(ROW()=$BG$3,SUM($R$6:$R714),SUM(INDIRECT("$R$"&amp;OFFSET($AU$3,,MATCH(ROW(),$AU$3:$BF$3,)-2)+2&amp;":$R"&amp;ROW()-1))),IF($AR715="本年累计",SUMIF($AR$6:$AR715,"本月合计",$R$6:$R714),INDEX(凭证录入!L:L,$AR715))))</f>
        <v>0</v>
      </c>
      <c r="S715" s="459" t="str">
        <f t="shared" ca="1" si="157"/>
        <v/>
      </c>
      <c r="T715" s="460" t="str">
        <f t="shared" ca="1" si="157"/>
        <v/>
      </c>
      <c r="U715" s="460" t="str">
        <f t="shared" ca="1" si="157"/>
        <v/>
      </c>
      <c r="V715" s="460" t="str">
        <f t="shared" ca="1" si="157"/>
        <v/>
      </c>
      <c r="W715" s="460" t="str">
        <f t="shared" ca="1" si="157"/>
        <v/>
      </c>
      <c r="X715" s="460" t="str">
        <f t="shared" ca="1" si="157"/>
        <v/>
      </c>
      <c r="Y715" s="460" t="str">
        <f t="shared" ca="1" si="157"/>
        <v/>
      </c>
      <c r="Z715" s="460" t="str">
        <f t="shared" ca="1" si="157"/>
        <v/>
      </c>
      <c r="AA715" s="461" t="str">
        <f t="shared" ca="1" si="157"/>
        <v/>
      </c>
      <c r="AB715" s="474" t="str">
        <f t="shared" ca="1" si="157"/>
        <v/>
      </c>
      <c r="AC715" s="475" t="str">
        <f t="shared" ca="1" si="157"/>
        <v/>
      </c>
      <c r="AD715" s="477" t="str">
        <f t="shared" ca="1" si="158"/>
        <v/>
      </c>
      <c r="AE715" s="478">
        <f t="shared" ca="1" si="159"/>
        <v>0</v>
      </c>
      <c r="AF715" s="459" t="str">
        <f t="shared" ca="1" si="155"/>
        <v/>
      </c>
      <c r="AG715" s="460" t="str">
        <f t="shared" ca="1" si="155"/>
        <v/>
      </c>
      <c r="AH715" s="460" t="str">
        <f t="shared" ca="1" si="155"/>
        <v/>
      </c>
      <c r="AI715" s="460" t="str">
        <f t="shared" ca="1" si="155"/>
        <v/>
      </c>
      <c r="AJ715" s="460" t="str">
        <f t="shared" ca="1" si="155"/>
        <v/>
      </c>
      <c r="AK715" s="460" t="str">
        <f t="shared" ca="1" si="155"/>
        <v/>
      </c>
      <c r="AL715" s="460" t="str">
        <f t="shared" ca="1" si="155"/>
        <v/>
      </c>
      <c r="AM715" s="460" t="str">
        <f t="shared" ca="1" si="155"/>
        <v/>
      </c>
      <c r="AN715" s="461" t="str">
        <f t="shared" ca="1" si="155"/>
        <v/>
      </c>
      <c r="AO715" s="474" t="str">
        <f t="shared" ca="1" si="155"/>
        <v/>
      </c>
      <c r="AP715" s="475" t="str">
        <f t="shared" ca="1" si="155"/>
        <v/>
      </c>
      <c r="AQ715" s="479" t="str">
        <f t="array" aca="1" ref="AQ715" ca="1">IF(ROW()-5&lt;=COUNTIF(科目编号,$AR$2),SMALL(IF(科目编号=$AR$2,ROW(科目编号),""),ROW()-5),"")</f>
        <v/>
      </c>
      <c r="AR715" s="480" t="str">
        <f ca="1">IF($BG$2=0,"",IF(AR714="本月合计","本年累计",IF(OR(ROW()=$AU$3,ROW()=$AV$3,ROW()=$AW$3,ROW()=$AX$3,ROW()=$AY$3,ROW()=$AZ$3,ROW()=$BA$3,ROW()=$BB$3,ROW()=$BC$3,ROW()=$BD$3,ROW()=$BE$3,ROW()=$BF$3),"本月合计",IF(ROW()&lt;7,$AQ$6,OFFSET($AQ$6,COUNT($AR$6:AR714),0)))))</f>
        <v/>
      </c>
    </row>
    <row r="716" spans="1:44">
      <c r="A716" s="469" t="str">
        <f ca="1">IFERROR(INDEX(凭证录入!A:A,$AR716),"")</f>
        <v/>
      </c>
      <c r="B716" s="469" t="str">
        <f ca="1">IFERROR(INDEX(凭证录入!B:B,$AR716),"")</f>
        <v/>
      </c>
      <c r="C716" s="470" t="str">
        <f ca="1">IFERROR(INDEX(凭证录入!G:G,$AR716),"")</f>
        <v/>
      </c>
      <c r="D716" s="471" t="str">
        <f ca="1">IFERROR(INDEX(凭证录入!F:F,$AR716),"")</f>
        <v/>
      </c>
      <c r="E716" s="472" t="str">
        <f ca="1">IFERROR(INDEX(凭证录入!H:H,$AR716),$AR716)</f>
        <v/>
      </c>
      <c r="F716" s="473">
        <f ca="1">IF(OR($BG$2=0,$AR716=""),,IF($AR716="本月合计",IF(ROW()=$BG$3,SUM($F$6:$F715),SUM(INDIRECT("$F$"&amp;OFFSET($AU$3,,MATCH(ROW(),$AU$3:$BF$3,)-2)+2&amp;":$E"&amp;ROW()-1))),IF($AR716="本年累计",SUMIF($AR$6:$AR716,"本月合计",$F$6:$F715),INDEX(凭证录入!K:K,$AR716))))</f>
        <v>0</v>
      </c>
      <c r="G716" s="459" t="str">
        <f t="shared" ca="1" si="156"/>
        <v/>
      </c>
      <c r="H716" s="460" t="str">
        <f t="shared" ca="1" si="156"/>
        <v/>
      </c>
      <c r="I716" s="460" t="str">
        <f t="shared" ca="1" si="156"/>
        <v/>
      </c>
      <c r="J716" s="460" t="str">
        <f t="shared" ca="1" si="156"/>
        <v/>
      </c>
      <c r="K716" s="460" t="str">
        <f t="shared" ca="1" si="156"/>
        <v/>
      </c>
      <c r="L716" s="460" t="str">
        <f t="shared" ca="1" si="156"/>
        <v/>
      </c>
      <c r="M716" s="460" t="str">
        <f t="shared" ca="1" si="156"/>
        <v/>
      </c>
      <c r="N716" s="460" t="str">
        <f t="shared" ca="1" si="156"/>
        <v/>
      </c>
      <c r="O716" s="461" t="str">
        <f t="shared" ca="1" si="156"/>
        <v/>
      </c>
      <c r="P716" s="474" t="str">
        <f t="shared" ca="1" si="156"/>
        <v/>
      </c>
      <c r="Q716" s="475" t="str">
        <f t="shared" ca="1" si="156"/>
        <v/>
      </c>
      <c r="R716" s="476">
        <f ca="1">IF(OR($BG$2=0,$AR716=""),,IF($AR716="本月合计",IF(ROW()=$BG$3,SUM($R$6:$R715),SUM(INDIRECT("$R$"&amp;OFFSET($AU$3,,MATCH(ROW(),$AU$3:$BF$3,)-2)+2&amp;":$R"&amp;ROW()-1))),IF($AR716="本年累计",SUMIF($AR$6:$AR716,"本月合计",$R$6:$R715),INDEX(凭证录入!L:L,$AR716))))</f>
        <v>0</v>
      </c>
      <c r="S716" s="459" t="str">
        <f t="shared" ca="1" si="157"/>
        <v/>
      </c>
      <c r="T716" s="460" t="str">
        <f t="shared" ca="1" si="157"/>
        <v/>
      </c>
      <c r="U716" s="460" t="str">
        <f t="shared" ca="1" si="157"/>
        <v/>
      </c>
      <c r="V716" s="460" t="str">
        <f t="shared" ca="1" si="157"/>
        <v/>
      </c>
      <c r="W716" s="460" t="str">
        <f t="shared" ca="1" si="157"/>
        <v/>
      </c>
      <c r="X716" s="460" t="str">
        <f t="shared" ca="1" si="157"/>
        <v/>
      </c>
      <c r="Y716" s="460" t="str">
        <f t="shared" ca="1" si="157"/>
        <v/>
      </c>
      <c r="Z716" s="460" t="str">
        <f t="shared" ca="1" si="157"/>
        <v/>
      </c>
      <c r="AA716" s="461" t="str">
        <f t="shared" ca="1" si="157"/>
        <v/>
      </c>
      <c r="AB716" s="474" t="str">
        <f t="shared" ca="1" si="157"/>
        <v/>
      </c>
      <c r="AC716" s="475" t="str">
        <f t="shared" ca="1" si="157"/>
        <v/>
      </c>
      <c r="AD716" s="477" t="str">
        <f t="shared" ca="1" si="158"/>
        <v/>
      </c>
      <c r="AE716" s="478">
        <f t="shared" ca="1" si="159"/>
        <v>0</v>
      </c>
      <c r="AF716" s="459" t="str">
        <f t="shared" ca="1" si="155"/>
        <v/>
      </c>
      <c r="AG716" s="460" t="str">
        <f t="shared" ca="1" si="155"/>
        <v/>
      </c>
      <c r="AH716" s="460" t="str">
        <f t="shared" ca="1" si="155"/>
        <v/>
      </c>
      <c r="AI716" s="460" t="str">
        <f t="shared" ca="1" si="155"/>
        <v/>
      </c>
      <c r="AJ716" s="460" t="str">
        <f t="shared" ca="1" si="155"/>
        <v/>
      </c>
      <c r="AK716" s="460" t="str">
        <f t="shared" ca="1" si="155"/>
        <v/>
      </c>
      <c r="AL716" s="460" t="str">
        <f t="shared" ca="1" si="155"/>
        <v/>
      </c>
      <c r="AM716" s="460" t="str">
        <f t="shared" ca="1" si="155"/>
        <v/>
      </c>
      <c r="AN716" s="461" t="str">
        <f t="shared" ca="1" si="155"/>
        <v/>
      </c>
      <c r="AO716" s="474" t="str">
        <f t="shared" ca="1" si="155"/>
        <v/>
      </c>
      <c r="AP716" s="475" t="str">
        <f t="shared" ca="1" si="155"/>
        <v/>
      </c>
      <c r="AQ716" s="479" t="str">
        <f t="array" aca="1" ref="AQ716" ca="1">IF(ROW()-5&lt;=COUNTIF(科目编号,$AR$2),SMALL(IF(科目编号=$AR$2,ROW(科目编号),""),ROW()-5),"")</f>
        <v/>
      </c>
      <c r="AR716" s="480" t="str">
        <f ca="1">IF($BG$2=0,"",IF(AR715="本月合计","本年累计",IF(OR(ROW()=$AU$3,ROW()=$AV$3,ROW()=$AW$3,ROW()=$AX$3,ROW()=$AY$3,ROW()=$AZ$3,ROW()=$BA$3,ROW()=$BB$3,ROW()=$BC$3,ROW()=$BD$3,ROW()=$BE$3,ROW()=$BF$3),"本月合计",IF(ROW()&lt;7,$AQ$6,OFFSET($AQ$6,COUNT($AR$6:AR715),0)))))</f>
        <v/>
      </c>
    </row>
    <row r="717" spans="1:44">
      <c r="A717" s="469" t="str">
        <f ca="1">IFERROR(INDEX(凭证录入!A:A,$AR717),"")</f>
        <v/>
      </c>
      <c r="B717" s="469" t="str">
        <f ca="1">IFERROR(INDEX(凭证录入!B:B,$AR717),"")</f>
        <v/>
      </c>
      <c r="C717" s="470" t="str">
        <f ca="1">IFERROR(INDEX(凭证录入!G:G,$AR717),"")</f>
        <v/>
      </c>
      <c r="D717" s="471" t="str">
        <f ca="1">IFERROR(INDEX(凭证录入!F:F,$AR717),"")</f>
        <v/>
      </c>
      <c r="E717" s="472" t="str">
        <f ca="1">IFERROR(INDEX(凭证录入!H:H,$AR717),$AR717)</f>
        <v/>
      </c>
      <c r="F717" s="473">
        <f ca="1">IF(OR($BG$2=0,$AR717=""),,IF($AR717="本月合计",IF(ROW()=$BG$3,SUM($F$6:$F716),SUM(INDIRECT("$F$"&amp;OFFSET($AU$3,,MATCH(ROW(),$AU$3:$BF$3,)-2)+2&amp;":$E"&amp;ROW()-1))),IF($AR717="本年累计",SUMIF($AR$6:$AR717,"本月合计",$F$6:$F716),INDEX(凭证录入!K:K,$AR717))))</f>
        <v>0</v>
      </c>
      <c r="G717" s="459" t="str">
        <f t="shared" ca="1" si="156"/>
        <v/>
      </c>
      <c r="H717" s="460" t="str">
        <f t="shared" ca="1" si="156"/>
        <v/>
      </c>
      <c r="I717" s="460" t="str">
        <f t="shared" ca="1" si="156"/>
        <v/>
      </c>
      <c r="J717" s="460" t="str">
        <f t="shared" ca="1" si="156"/>
        <v/>
      </c>
      <c r="K717" s="460" t="str">
        <f t="shared" ca="1" si="156"/>
        <v/>
      </c>
      <c r="L717" s="460" t="str">
        <f t="shared" ca="1" si="156"/>
        <v/>
      </c>
      <c r="M717" s="460" t="str">
        <f t="shared" ca="1" si="156"/>
        <v/>
      </c>
      <c r="N717" s="460" t="str">
        <f t="shared" ca="1" si="156"/>
        <v/>
      </c>
      <c r="O717" s="461" t="str">
        <f t="shared" ca="1" si="156"/>
        <v/>
      </c>
      <c r="P717" s="474" t="str">
        <f t="shared" ca="1" si="156"/>
        <v/>
      </c>
      <c r="Q717" s="475" t="str">
        <f t="shared" ca="1" si="156"/>
        <v/>
      </c>
      <c r="R717" s="476">
        <f ca="1">IF(OR($BG$2=0,$AR717=""),,IF($AR717="本月合计",IF(ROW()=$BG$3,SUM($R$6:$R716),SUM(INDIRECT("$R$"&amp;OFFSET($AU$3,,MATCH(ROW(),$AU$3:$BF$3,)-2)+2&amp;":$R"&amp;ROW()-1))),IF($AR717="本年累计",SUMIF($AR$6:$AR717,"本月合计",$R$6:$R716),INDEX(凭证录入!L:L,$AR717))))</f>
        <v>0</v>
      </c>
      <c r="S717" s="459" t="str">
        <f t="shared" ca="1" si="157"/>
        <v/>
      </c>
      <c r="T717" s="460" t="str">
        <f t="shared" ca="1" si="157"/>
        <v/>
      </c>
      <c r="U717" s="460" t="str">
        <f t="shared" ca="1" si="157"/>
        <v/>
      </c>
      <c r="V717" s="460" t="str">
        <f t="shared" ca="1" si="157"/>
        <v/>
      </c>
      <c r="W717" s="460" t="str">
        <f t="shared" ca="1" si="157"/>
        <v/>
      </c>
      <c r="X717" s="460" t="str">
        <f t="shared" ca="1" si="157"/>
        <v/>
      </c>
      <c r="Y717" s="460" t="str">
        <f t="shared" ca="1" si="157"/>
        <v/>
      </c>
      <c r="Z717" s="460" t="str">
        <f t="shared" ca="1" si="157"/>
        <v/>
      </c>
      <c r="AA717" s="461" t="str">
        <f t="shared" ca="1" si="157"/>
        <v/>
      </c>
      <c r="AB717" s="474" t="str">
        <f t="shared" ca="1" si="157"/>
        <v/>
      </c>
      <c r="AC717" s="475" t="str">
        <f t="shared" ca="1" si="157"/>
        <v/>
      </c>
      <c r="AD717" s="477" t="str">
        <f t="shared" ca="1" si="158"/>
        <v/>
      </c>
      <c r="AE717" s="478">
        <f t="shared" ca="1" si="159"/>
        <v>0</v>
      </c>
      <c r="AF717" s="459" t="str">
        <f t="shared" ca="1" si="155"/>
        <v/>
      </c>
      <c r="AG717" s="460" t="str">
        <f t="shared" ca="1" si="155"/>
        <v/>
      </c>
      <c r="AH717" s="460" t="str">
        <f t="shared" ca="1" si="155"/>
        <v/>
      </c>
      <c r="AI717" s="460" t="str">
        <f t="shared" ca="1" si="155"/>
        <v/>
      </c>
      <c r="AJ717" s="460" t="str">
        <f t="shared" ca="1" si="155"/>
        <v/>
      </c>
      <c r="AK717" s="460" t="str">
        <f t="shared" ca="1" si="155"/>
        <v/>
      </c>
      <c r="AL717" s="460" t="str">
        <f t="shared" ca="1" si="155"/>
        <v/>
      </c>
      <c r="AM717" s="460" t="str">
        <f t="shared" ca="1" si="155"/>
        <v/>
      </c>
      <c r="AN717" s="461" t="str">
        <f t="shared" ca="1" si="155"/>
        <v/>
      </c>
      <c r="AO717" s="474" t="str">
        <f t="shared" ca="1" si="155"/>
        <v/>
      </c>
      <c r="AP717" s="475" t="str">
        <f t="shared" ca="1" si="155"/>
        <v/>
      </c>
      <c r="AQ717" s="479" t="str">
        <f t="array" aca="1" ref="AQ717" ca="1">IF(ROW()-5&lt;=COUNTIF(科目编号,$AR$2),SMALL(IF(科目编号=$AR$2,ROW(科目编号),""),ROW()-5),"")</f>
        <v/>
      </c>
      <c r="AR717" s="480" t="str">
        <f ca="1">IF($BG$2=0,"",IF(AR716="本月合计","本年累计",IF(OR(ROW()=$AU$3,ROW()=$AV$3,ROW()=$AW$3,ROW()=$AX$3,ROW()=$AY$3,ROW()=$AZ$3,ROW()=$BA$3,ROW()=$BB$3,ROW()=$BC$3,ROW()=$BD$3,ROW()=$BE$3,ROW()=$BF$3),"本月合计",IF(ROW()&lt;7,$AQ$6,OFFSET($AQ$6,COUNT($AR$6:AR716),0)))))</f>
        <v/>
      </c>
    </row>
    <row r="718" spans="1:44">
      <c r="A718" s="469" t="str">
        <f ca="1">IFERROR(INDEX(凭证录入!A:A,$AR718),"")</f>
        <v/>
      </c>
      <c r="B718" s="469" t="str">
        <f ca="1">IFERROR(INDEX(凭证录入!B:B,$AR718),"")</f>
        <v/>
      </c>
      <c r="C718" s="470" t="str">
        <f ca="1">IFERROR(INDEX(凭证录入!G:G,$AR718),"")</f>
        <v/>
      </c>
      <c r="D718" s="471" t="str">
        <f ca="1">IFERROR(INDEX(凭证录入!F:F,$AR718),"")</f>
        <v/>
      </c>
      <c r="E718" s="472" t="str">
        <f ca="1">IFERROR(INDEX(凭证录入!H:H,$AR718),$AR718)</f>
        <v/>
      </c>
      <c r="F718" s="473">
        <f ca="1">IF(OR($BG$2=0,$AR718=""),,IF($AR718="本月合计",IF(ROW()=$BG$3,SUM($F$6:$F717),SUM(INDIRECT("$F$"&amp;OFFSET($AU$3,,MATCH(ROW(),$AU$3:$BF$3,)-2)+2&amp;":$E"&amp;ROW()-1))),IF($AR718="本年累计",SUMIF($AR$6:$AR718,"本月合计",$F$6:$F717),INDEX(凭证录入!K:K,$AR718))))</f>
        <v>0</v>
      </c>
      <c r="G718" s="459" t="str">
        <f t="shared" ca="1" si="156"/>
        <v/>
      </c>
      <c r="H718" s="460" t="str">
        <f t="shared" ca="1" si="156"/>
        <v/>
      </c>
      <c r="I718" s="460" t="str">
        <f t="shared" ca="1" si="156"/>
        <v/>
      </c>
      <c r="J718" s="460" t="str">
        <f t="shared" ca="1" si="156"/>
        <v/>
      </c>
      <c r="K718" s="460" t="str">
        <f t="shared" ca="1" si="156"/>
        <v/>
      </c>
      <c r="L718" s="460" t="str">
        <f t="shared" ca="1" si="156"/>
        <v/>
      </c>
      <c r="M718" s="460" t="str">
        <f t="shared" ca="1" si="156"/>
        <v/>
      </c>
      <c r="N718" s="460" t="str">
        <f t="shared" ca="1" si="156"/>
        <v/>
      </c>
      <c r="O718" s="461" t="str">
        <f t="shared" ca="1" si="156"/>
        <v/>
      </c>
      <c r="P718" s="474" t="str">
        <f t="shared" ca="1" si="156"/>
        <v/>
      </c>
      <c r="Q718" s="475" t="str">
        <f t="shared" ca="1" si="156"/>
        <v/>
      </c>
      <c r="R718" s="476">
        <f ca="1">IF(OR($BG$2=0,$AR718=""),,IF($AR718="本月合计",IF(ROW()=$BG$3,SUM($R$6:$R717),SUM(INDIRECT("$R$"&amp;OFFSET($AU$3,,MATCH(ROW(),$AU$3:$BF$3,)-2)+2&amp;":$R"&amp;ROW()-1))),IF($AR718="本年累计",SUMIF($AR$6:$AR718,"本月合计",$R$6:$R717),INDEX(凭证录入!L:L,$AR718))))</f>
        <v>0</v>
      </c>
      <c r="S718" s="459" t="str">
        <f t="shared" ca="1" si="157"/>
        <v/>
      </c>
      <c r="T718" s="460" t="str">
        <f t="shared" ca="1" si="157"/>
        <v/>
      </c>
      <c r="U718" s="460" t="str">
        <f t="shared" ca="1" si="157"/>
        <v/>
      </c>
      <c r="V718" s="460" t="str">
        <f t="shared" ca="1" si="157"/>
        <v/>
      </c>
      <c r="W718" s="460" t="str">
        <f t="shared" ca="1" si="157"/>
        <v/>
      </c>
      <c r="X718" s="460" t="str">
        <f t="shared" ca="1" si="157"/>
        <v/>
      </c>
      <c r="Y718" s="460" t="str">
        <f t="shared" ca="1" si="157"/>
        <v/>
      </c>
      <c r="Z718" s="460" t="str">
        <f t="shared" ca="1" si="157"/>
        <v/>
      </c>
      <c r="AA718" s="461" t="str">
        <f t="shared" ca="1" si="157"/>
        <v/>
      </c>
      <c r="AB718" s="474" t="str">
        <f t="shared" ca="1" si="157"/>
        <v/>
      </c>
      <c r="AC718" s="475" t="str">
        <f t="shared" ca="1" si="157"/>
        <v/>
      </c>
      <c r="AD718" s="477" t="str">
        <f t="shared" ca="1" si="158"/>
        <v/>
      </c>
      <c r="AE718" s="478">
        <f t="shared" ca="1" si="159"/>
        <v>0</v>
      </c>
      <c r="AF718" s="459" t="str">
        <f t="shared" ca="1" si="155"/>
        <v/>
      </c>
      <c r="AG718" s="460" t="str">
        <f t="shared" ca="1" si="155"/>
        <v/>
      </c>
      <c r="AH718" s="460" t="str">
        <f t="shared" ca="1" si="155"/>
        <v/>
      </c>
      <c r="AI718" s="460" t="str">
        <f t="shared" ca="1" si="155"/>
        <v/>
      </c>
      <c r="AJ718" s="460" t="str">
        <f t="shared" ca="1" si="155"/>
        <v/>
      </c>
      <c r="AK718" s="460" t="str">
        <f t="shared" ca="1" si="155"/>
        <v/>
      </c>
      <c r="AL718" s="460" t="str">
        <f t="shared" ca="1" si="155"/>
        <v/>
      </c>
      <c r="AM718" s="460" t="str">
        <f t="shared" ca="1" si="155"/>
        <v/>
      </c>
      <c r="AN718" s="461" t="str">
        <f t="shared" ca="1" si="155"/>
        <v/>
      </c>
      <c r="AO718" s="474" t="str">
        <f t="shared" ca="1" si="155"/>
        <v/>
      </c>
      <c r="AP718" s="475" t="str">
        <f t="shared" ca="1" si="155"/>
        <v/>
      </c>
      <c r="AQ718" s="479" t="str">
        <f t="array" aca="1" ref="AQ718" ca="1">IF(ROW()-5&lt;=COUNTIF(科目编号,$AR$2),SMALL(IF(科目编号=$AR$2,ROW(科目编号),""),ROW()-5),"")</f>
        <v/>
      </c>
      <c r="AR718" s="480" t="str">
        <f ca="1">IF($BG$2=0,"",IF(AR717="本月合计","本年累计",IF(OR(ROW()=$AU$3,ROW()=$AV$3,ROW()=$AW$3,ROW()=$AX$3,ROW()=$AY$3,ROW()=$AZ$3,ROW()=$BA$3,ROW()=$BB$3,ROW()=$BC$3,ROW()=$BD$3,ROW()=$BE$3,ROW()=$BF$3),"本月合计",IF(ROW()&lt;7,$AQ$6,OFFSET($AQ$6,COUNT($AR$6:AR717),0)))))</f>
        <v/>
      </c>
    </row>
    <row r="719" spans="1:44">
      <c r="A719" s="469" t="str">
        <f ca="1">IFERROR(INDEX(凭证录入!A:A,$AR719),"")</f>
        <v/>
      </c>
      <c r="B719" s="469" t="str">
        <f ca="1">IFERROR(INDEX(凭证录入!B:B,$AR719),"")</f>
        <v/>
      </c>
      <c r="C719" s="470" t="str">
        <f ca="1">IFERROR(INDEX(凭证录入!G:G,$AR719),"")</f>
        <v/>
      </c>
      <c r="D719" s="471" t="str">
        <f ca="1">IFERROR(INDEX(凭证录入!F:F,$AR719),"")</f>
        <v/>
      </c>
      <c r="E719" s="472" t="str">
        <f ca="1">IFERROR(INDEX(凭证录入!H:H,$AR719),$AR719)</f>
        <v/>
      </c>
      <c r="F719" s="473">
        <f ca="1">IF(OR($BG$2=0,$AR719=""),,IF($AR719="本月合计",IF(ROW()=$BG$3,SUM($F$6:$F718),SUM(INDIRECT("$F$"&amp;OFFSET($AU$3,,MATCH(ROW(),$AU$3:$BF$3,)-2)+2&amp;":$E"&amp;ROW()-1))),IF($AR719="本年累计",SUMIF($AR$6:$AR719,"本月合计",$F$6:$F718),INDEX(凭证录入!K:K,$AR719))))</f>
        <v>0</v>
      </c>
      <c r="G719" s="459" t="str">
        <f t="shared" ca="1" si="156"/>
        <v/>
      </c>
      <c r="H719" s="460" t="str">
        <f t="shared" ca="1" si="156"/>
        <v/>
      </c>
      <c r="I719" s="460" t="str">
        <f t="shared" ca="1" si="156"/>
        <v/>
      </c>
      <c r="J719" s="460" t="str">
        <f t="shared" ca="1" si="156"/>
        <v/>
      </c>
      <c r="K719" s="460" t="str">
        <f t="shared" ca="1" si="156"/>
        <v/>
      </c>
      <c r="L719" s="460" t="str">
        <f t="shared" ca="1" si="156"/>
        <v/>
      </c>
      <c r="M719" s="460" t="str">
        <f t="shared" ca="1" si="156"/>
        <v/>
      </c>
      <c r="N719" s="460" t="str">
        <f t="shared" ca="1" si="156"/>
        <v/>
      </c>
      <c r="O719" s="461" t="str">
        <f t="shared" ca="1" si="156"/>
        <v/>
      </c>
      <c r="P719" s="474" t="str">
        <f t="shared" ca="1" si="156"/>
        <v/>
      </c>
      <c r="Q719" s="475" t="str">
        <f t="shared" ca="1" si="156"/>
        <v/>
      </c>
      <c r="R719" s="476">
        <f ca="1">IF(OR($BG$2=0,$AR719=""),,IF($AR719="本月合计",IF(ROW()=$BG$3,SUM($R$6:$R718),SUM(INDIRECT("$R$"&amp;OFFSET($AU$3,,MATCH(ROW(),$AU$3:$BF$3,)-2)+2&amp;":$R"&amp;ROW()-1))),IF($AR719="本年累计",SUMIF($AR$6:$AR719,"本月合计",$R$6:$R718),INDEX(凭证录入!L:L,$AR719))))</f>
        <v>0</v>
      </c>
      <c r="S719" s="459" t="str">
        <f t="shared" ca="1" si="157"/>
        <v/>
      </c>
      <c r="T719" s="460" t="str">
        <f t="shared" ca="1" si="157"/>
        <v/>
      </c>
      <c r="U719" s="460" t="str">
        <f t="shared" ca="1" si="157"/>
        <v/>
      </c>
      <c r="V719" s="460" t="str">
        <f t="shared" ca="1" si="157"/>
        <v/>
      </c>
      <c r="W719" s="460" t="str">
        <f t="shared" ca="1" si="157"/>
        <v/>
      </c>
      <c r="X719" s="460" t="str">
        <f t="shared" ca="1" si="157"/>
        <v/>
      </c>
      <c r="Y719" s="460" t="str">
        <f t="shared" ca="1" si="157"/>
        <v/>
      </c>
      <c r="Z719" s="460" t="str">
        <f t="shared" ca="1" si="157"/>
        <v/>
      </c>
      <c r="AA719" s="461" t="str">
        <f t="shared" ca="1" si="157"/>
        <v/>
      </c>
      <c r="AB719" s="474" t="str">
        <f t="shared" ca="1" si="157"/>
        <v/>
      </c>
      <c r="AC719" s="475" t="str">
        <f t="shared" ca="1" si="157"/>
        <v/>
      </c>
      <c r="AD719" s="477" t="str">
        <f t="shared" ca="1" si="158"/>
        <v/>
      </c>
      <c r="AE719" s="478">
        <f t="shared" ca="1" si="159"/>
        <v>0</v>
      </c>
      <c r="AF719" s="459" t="str">
        <f t="shared" ca="1" si="155"/>
        <v/>
      </c>
      <c r="AG719" s="460" t="str">
        <f t="shared" ca="1" si="155"/>
        <v/>
      </c>
      <c r="AH719" s="460" t="str">
        <f t="shared" ca="1" si="155"/>
        <v/>
      </c>
      <c r="AI719" s="460" t="str">
        <f t="shared" ca="1" si="155"/>
        <v/>
      </c>
      <c r="AJ719" s="460" t="str">
        <f t="shared" ca="1" si="155"/>
        <v/>
      </c>
      <c r="AK719" s="460" t="str">
        <f t="shared" ca="1" si="155"/>
        <v/>
      </c>
      <c r="AL719" s="460" t="str">
        <f t="shared" ca="1" si="155"/>
        <v/>
      </c>
      <c r="AM719" s="460" t="str">
        <f t="shared" ca="1" si="155"/>
        <v/>
      </c>
      <c r="AN719" s="461" t="str">
        <f t="shared" ca="1" si="155"/>
        <v/>
      </c>
      <c r="AO719" s="474" t="str">
        <f t="shared" ca="1" si="155"/>
        <v/>
      </c>
      <c r="AP719" s="475" t="str">
        <f t="shared" ca="1" si="155"/>
        <v/>
      </c>
      <c r="AQ719" s="479" t="str">
        <f t="array" aca="1" ref="AQ719" ca="1">IF(ROW()-5&lt;=COUNTIF(科目编号,$AR$2),SMALL(IF(科目编号=$AR$2,ROW(科目编号),""),ROW()-5),"")</f>
        <v/>
      </c>
      <c r="AR719" s="480" t="str">
        <f ca="1">IF($BG$2=0,"",IF(AR718="本月合计","本年累计",IF(OR(ROW()=$AU$3,ROW()=$AV$3,ROW()=$AW$3,ROW()=$AX$3,ROW()=$AY$3,ROW()=$AZ$3,ROW()=$BA$3,ROW()=$BB$3,ROW()=$BC$3,ROW()=$BD$3,ROW()=$BE$3,ROW()=$BF$3),"本月合计",IF(ROW()&lt;7,$AQ$6,OFFSET($AQ$6,COUNT($AR$6:AR718),0)))))</f>
        <v/>
      </c>
    </row>
    <row r="720" spans="1:44">
      <c r="A720" s="469" t="str">
        <f ca="1">IFERROR(INDEX(凭证录入!A:A,$AR720),"")</f>
        <v/>
      </c>
      <c r="B720" s="469" t="str">
        <f ca="1">IFERROR(INDEX(凭证录入!B:B,$AR720),"")</f>
        <v/>
      </c>
      <c r="C720" s="470" t="str">
        <f ca="1">IFERROR(INDEX(凭证录入!G:G,$AR720),"")</f>
        <v/>
      </c>
      <c r="D720" s="471" t="str">
        <f ca="1">IFERROR(INDEX(凭证录入!F:F,$AR720),"")</f>
        <v/>
      </c>
      <c r="E720" s="472" t="str">
        <f ca="1">IFERROR(INDEX(凭证录入!H:H,$AR720),$AR720)</f>
        <v/>
      </c>
      <c r="F720" s="473">
        <f ca="1">IF(OR($BG$2=0,$AR720=""),,IF($AR720="本月合计",IF(ROW()=$BG$3,SUM($F$6:$F719),SUM(INDIRECT("$F$"&amp;OFFSET($AU$3,,MATCH(ROW(),$AU$3:$BF$3,)-2)+2&amp;":$E"&amp;ROW()-1))),IF($AR720="本年累计",SUMIF($AR$6:$AR720,"本月合计",$F$6:$F719),INDEX(凭证录入!K:K,$AR720))))</f>
        <v>0</v>
      </c>
      <c r="G720" s="459" t="str">
        <f t="shared" ca="1" si="156"/>
        <v/>
      </c>
      <c r="H720" s="460" t="str">
        <f t="shared" ca="1" si="156"/>
        <v/>
      </c>
      <c r="I720" s="460" t="str">
        <f t="shared" ca="1" si="156"/>
        <v/>
      </c>
      <c r="J720" s="460" t="str">
        <f t="shared" ca="1" si="156"/>
        <v/>
      </c>
      <c r="K720" s="460" t="str">
        <f t="shared" ca="1" si="156"/>
        <v/>
      </c>
      <c r="L720" s="460" t="str">
        <f t="shared" ca="1" si="156"/>
        <v/>
      </c>
      <c r="M720" s="460" t="str">
        <f t="shared" ca="1" si="156"/>
        <v/>
      </c>
      <c r="N720" s="460" t="str">
        <f t="shared" ca="1" si="156"/>
        <v/>
      </c>
      <c r="O720" s="461" t="str">
        <f t="shared" ca="1" si="156"/>
        <v/>
      </c>
      <c r="P720" s="474" t="str">
        <f t="shared" ca="1" si="156"/>
        <v/>
      </c>
      <c r="Q720" s="475" t="str">
        <f t="shared" ca="1" si="156"/>
        <v/>
      </c>
      <c r="R720" s="476">
        <f ca="1">IF(OR($BG$2=0,$AR720=""),,IF($AR720="本月合计",IF(ROW()=$BG$3,SUM($R$6:$R719),SUM(INDIRECT("$R$"&amp;OFFSET($AU$3,,MATCH(ROW(),$AU$3:$BF$3,)-2)+2&amp;":$R"&amp;ROW()-1))),IF($AR720="本年累计",SUMIF($AR$6:$AR720,"本月合计",$R$6:$R719),INDEX(凭证录入!L:L,$AR720))))</f>
        <v>0</v>
      </c>
      <c r="S720" s="459" t="str">
        <f t="shared" ca="1" si="157"/>
        <v/>
      </c>
      <c r="T720" s="460" t="str">
        <f t="shared" ca="1" si="157"/>
        <v/>
      </c>
      <c r="U720" s="460" t="str">
        <f t="shared" ca="1" si="157"/>
        <v/>
      </c>
      <c r="V720" s="460" t="str">
        <f t="shared" ca="1" si="157"/>
        <v/>
      </c>
      <c r="W720" s="460" t="str">
        <f t="shared" ca="1" si="157"/>
        <v/>
      </c>
      <c r="X720" s="460" t="str">
        <f t="shared" ca="1" si="157"/>
        <v/>
      </c>
      <c r="Y720" s="460" t="str">
        <f t="shared" ca="1" si="157"/>
        <v/>
      </c>
      <c r="Z720" s="460" t="str">
        <f t="shared" ca="1" si="157"/>
        <v/>
      </c>
      <c r="AA720" s="461" t="str">
        <f t="shared" ca="1" si="157"/>
        <v/>
      </c>
      <c r="AB720" s="474" t="str">
        <f t="shared" ca="1" si="157"/>
        <v/>
      </c>
      <c r="AC720" s="475" t="str">
        <f t="shared" ca="1" si="157"/>
        <v/>
      </c>
      <c r="AD720" s="477" t="str">
        <f t="shared" ca="1" si="158"/>
        <v/>
      </c>
      <c r="AE720" s="478">
        <f t="shared" ca="1" si="159"/>
        <v>0</v>
      </c>
      <c r="AF720" s="459" t="str">
        <f t="shared" ca="1" si="155"/>
        <v/>
      </c>
      <c r="AG720" s="460" t="str">
        <f t="shared" ca="1" si="155"/>
        <v/>
      </c>
      <c r="AH720" s="460" t="str">
        <f t="shared" ca="1" si="155"/>
        <v/>
      </c>
      <c r="AI720" s="460" t="str">
        <f t="shared" ca="1" si="155"/>
        <v/>
      </c>
      <c r="AJ720" s="460" t="str">
        <f t="shared" ca="1" si="155"/>
        <v/>
      </c>
      <c r="AK720" s="460" t="str">
        <f t="shared" ca="1" si="155"/>
        <v/>
      </c>
      <c r="AL720" s="460" t="str">
        <f t="shared" ca="1" si="155"/>
        <v/>
      </c>
      <c r="AM720" s="460" t="str">
        <f t="shared" ca="1" si="155"/>
        <v/>
      </c>
      <c r="AN720" s="461" t="str">
        <f t="shared" ca="1" si="155"/>
        <v/>
      </c>
      <c r="AO720" s="474" t="str">
        <f t="shared" ca="1" si="155"/>
        <v/>
      </c>
      <c r="AP720" s="475" t="str">
        <f t="shared" ca="1" si="155"/>
        <v/>
      </c>
      <c r="AQ720" s="479" t="str">
        <f t="array" aca="1" ref="AQ720" ca="1">IF(ROW()-5&lt;=COUNTIF(科目编号,$AR$2),SMALL(IF(科目编号=$AR$2,ROW(科目编号),""),ROW()-5),"")</f>
        <v/>
      </c>
      <c r="AR720" s="480" t="str">
        <f ca="1">IF($BG$2=0,"",IF(AR719="本月合计","本年累计",IF(OR(ROW()=$AU$3,ROW()=$AV$3,ROW()=$AW$3,ROW()=$AX$3,ROW()=$AY$3,ROW()=$AZ$3,ROW()=$BA$3,ROW()=$BB$3,ROW()=$BC$3,ROW()=$BD$3,ROW()=$BE$3,ROW()=$BF$3),"本月合计",IF(ROW()&lt;7,$AQ$6,OFFSET($AQ$6,COUNT($AR$6:AR719),0)))))</f>
        <v/>
      </c>
    </row>
    <row r="721" spans="1:44">
      <c r="A721" s="469" t="str">
        <f ca="1">IFERROR(INDEX(凭证录入!A:A,$AR721),"")</f>
        <v/>
      </c>
      <c r="B721" s="469" t="str">
        <f ca="1">IFERROR(INDEX(凭证录入!B:B,$AR721),"")</f>
        <v/>
      </c>
      <c r="C721" s="470" t="str">
        <f ca="1">IFERROR(INDEX(凭证录入!G:G,$AR721),"")</f>
        <v/>
      </c>
      <c r="D721" s="471" t="str">
        <f ca="1">IFERROR(INDEX(凭证录入!F:F,$AR721),"")</f>
        <v/>
      </c>
      <c r="E721" s="472" t="str">
        <f ca="1">IFERROR(INDEX(凭证录入!H:H,$AR721),$AR721)</f>
        <v/>
      </c>
      <c r="F721" s="473">
        <f ca="1">IF(OR($BG$2=0,$AR721=""),,IF($AR721="本月合计",IF(ROW()=$BG$3,SUM($F$6:$F720),SUM(INDIRECT("$F$"&amp;OFFSET($AU$3,,MATCH(ROW(),$AU$3:$BF$3,)-2)+2&amp;":$E"&amp;ROW()-1))),IF($AR721="本年累计",SUMIF($AR$6:$AR721,"本月合计",$F$6:$F720),INDEX(凭证录入!K:K,$AR721))))</f>
        <v>0</v>
      </c>
      <c r="G721" s="459" t="str">
        <f t="shared" ca="1" si="156"/>
        <v/>
      </c>
      <c r="H721" s="460" t="str">
        <f t="shared" ca="1" si="156"/>
        <v/>
      </c>
      <c r="I721" s="460" t="str">
        <f t="shared" ca="1" si="156"/>
        <v/>
      </c>
      <c r="J721" s="460" t="str">
        <f t="shared" ca="1" si="156"/>
        <v/>
      </c>
      <c r="K721" s="460" t="str">
        <f t="shared" ca="1" si="156"/>
        <v/>
      </c>
      <c r="L721" s="460" t="str">
        <f t="shared" ca="1" si="156"/>
        <v/>
      </c>
      <c r="M721" s="460" t="str">
        <f t="shared" ca="1" si="156"/>
        <v/>
      </c>
      <c r="N721" s="460" t="str">
        <f t="shared" ca="1" si="156"/>
        <v/>
      </c>
      <c r="O721" s="461" t="str">
        <f t="shared" ca="1" si="156"/>
        <v/>
      </c>
      <c r="P721" s="474" t="str">
        <f t="shared" ca="1" si="156"/>
        <v/>
      </c>
      <c r="Q721" s="475" t="str">
        <f t="shared" ca="1" si="156"/>
        <v/>
      </c>
      <c r="R721" s="476">
        <f ca="1">IF(OR($BG$2=0,$AR721=""),,IF($AR721="本月合计",IF(ROW()=$BG$3,SUM($R$6:$R720),SUM(INDIRECT("$R$"&amp;OFFSET($AU$3,,MATCH(ROW(),$AU$3:$BF$3,)-2)+2&amp;":$R"&amp;ROW()-1))),IF($AR721="本年累计",SUMIF($AR$6:$AR721,"本月合计",$R$6:$R720),INDEX(凭证录入!L:L,$AR721))))</f>
        <v>0</v>
      </c>
      <c r="S721" s="459" t="str">
        <f t="shared" ca="1" si="157"/>
        <v/>
      </c>
      <c r="T721" s="460" t="str">
        <f t="shared" ca="1" si="157"/>
        <v/>
      </c>
      <c r="U721" s="460" t="str">
        <f t="shared" ca="1" si="157"/>
        <v/>
      </c>
      <c r="V721" s="460" t="str">
        <f t="shared" ca="1" si="157"/>
        <v/>
      </c>
      <c r="W721" s="460" t="str">
        <f t="shared" ca="1" si="157"/>
        <v/>
      </c>
      <c r="X721" s="460" t="str">
        <f t="shared" ca="1" si="157"/>
        <v/>
      </c>
      <c r="Y721" s="460" t="str">
        <f t="shared" ca="1" si="157"/>
        <v/>
      </c>
      <c r="Z721" s="460" t="str">
        <f t="shared" ca="1" si="157"/>
        <v/>
      </c>
      <c r="AA721" s="461" t="str">
        <f t="shared" ca="1" si="157"/>
        <v/>
      </c>
      <c r="AB721" s="474" t="str">
        <f t="shared" ca="1" si="157"/>
        <v/>
      </c>
      <c r="AC721" s="475" t="str">
        <f t="shared" ca="1" si="157"/>
        <v/>
      </c>
      <c r="AD721" s="477" t="str">
        <f t="shared" ca="1" si="158"/>
        <v/>
      </c>
      <c r="AE721" s="478">
        <f t="shared" ca="1" si="159"/>
        <v>0</v>
      </c>
      <c r="AF721" s="459" t="str">
        <f t="shared" ca="1" si="155"/>
        <v/>
      </c>
      <c r="AG721" s="460" t="str">
        <f t="shared" ca="1" si="155"/>
        <v/>
      </c>
      <c r="AH721" s="460" t="str">
        <f t="shared" ca="1" si="155"/>
        <v/>
      </c>
      <c r="AI721" s="460" t="str">
        <f t="shared" ca="1" si="155"/>
        <v/>
      </c>
      <c r="AJ721" s="460" t="str">
        <f t="shared" ca="1" si="155"/>
        <v/>
      </c>
      <c r="AK721" s="460" t="str">
        <f t="shared" ca="1" si="155"/>
        <v/>
      </c>
      <c r="AL721" s="460" t="str">
        <f t="shared" ca="1" si="155"/>
        <v/>
      </c>
      <c r="AM721" s="460" t="str">
        <f t="shared" ca="1" si="155"/>
        <v/>
      </c>
      <c r="AN721" s="461" t="str">
        <f t="shared" ca="1" si="155"/>
        <v/>
      </c>
      <c r="AO721" s="474" t="str">
        <f t="shared" ca="1" si="155"/>
        <v/>
      </c>
      <c r="AP721" s="475" t="str">
        <f t="shared" ca="1" si="155"/>
        <v/>
      </c>
      <c r="AQ721" s="479" t="str">
        <f t="array" aca="1" ref="AQ721" ca="1">IF(ROW()-5&lt;=COUNTIF(科目编号,$AR$2),SMALL(IF(科目编号=$AR$2,ROW(科目编号),""),ROW()-5),"")</f>
        <v/>
      </c>
      <c r="AR721" s="480" t="str">
        <f ca="1">IF($BG$2=0,"",IF(AR720="本月合计","本年累计",IF(OR(ROW()=$AU$3,ROW()=$AV$3,ROW()=$AW$3,ROW()=$AX$3,ROW()=$AY$3,ROW()=$AZ$3,ROW()=$BA$3,ROW()=$BB$3,ROW()=$BC$3,ROW()=$BD$3,ROW()=$BE$3,ROW()=$BF$3),"本月合计",IF(ROW()&lt;7,$AQ$6,OFFSET($AQ$6,COUNT($AR$6:AR720),0)))))</f>
        <v/>
      </c>
    </row>
    <row r="722" spans="1:44">
      <c r="A722" s="469" t="str">
        <f ca="1">IFERROR(INDEX(凭证录入!A:A,$AR722),"")</f>
        <v/>
      </c>
      <c r="B722" s="469" t="str">
        <f ca="1">IFERROR(INDEX(凭证录入!B:B,$AR722),"")</f>
        <v/>
      </c>
      <c r="C722" s="470" t="str">
        <f ca="1">IFERROR(INDEX(凭证录入!G:G,$AR722),"")</f>
        <v/>
      </c>
      <c r="D722" s="471" t="str">
        <f ca="1">IFERROR(INDEX(凭证录入!F:F,$AR722),"")</f>
        <v/>
      </c>
      <c r="E722" s="472" t="str">
        <f ca="1">IFERROR(INDEX(凭证录入!H:H,$AR722),$AR722)</f>
        <v/>
      </c>
      <c r="F722" s="473">
        <f ca="1">IF(OR($BG$2=0,$AR722=""),,IF($AR722="本月合计",IF(ROW()=$BG$3,SUM($F$6:$F721),SUM(INDIRECT("$F$"&amp;OFFSET($AU$3,,MATCH(ROW(),$AU$3:$BF$3,)-2)+2&amp;":$E"&amp;ROW()-1))),IF($AR722="本年累计",SUMIF($AR$6:$AR722,"本月合计",$F$6:$F721),INDEX(凭证录入!K:K,$AR722))))</f>
        <v>0</v>
      </c>
      <c r="G722" s="459" t="str">
        <f t="shared" ca="1" si="156"/>
        <v/>
      </c>
      <c r="H722" s="460" t="str">
        <f t="shared" ca="1" si="156"/>
        <v/>
      </c>
      <c r="I722" s="460" t="str">
        <f t="shared" ca="1" si="156"/>
        <v/>
      </c>
      <c r="J722" s="460" t="str">
        <f t="shared" ca="1" si="156"/>
        <v/>
      </c>
      <c r="K722" s="460" t="str">
        <f t="shared" ca="1" si="156"/>
        <v/>
      </c>
      <c r="L722" s="460" t="str">
        <f t="shared" ca="1" si="156"/>
        <v/>
      </c>
      <c r="M722" s="460" t="str">
        <f t="shared" ca="1" si="156"/>
        <v/>
      </c>
      <c r="N722" s="460" t="str">
        <f t="shared" ca="1" si="156"/>
        <v/>
      </c>
      <c r="O722" s="461" t="str">
        <f t="shared" ca="1" si="156"/>
        <v/>
      </c>
      <c r="P722" s="474" t="str">
        <f t="shared" ca="1" si="156"/>
        <v/>
      </c>
      <c r="Q722" s="475" t="str">
        <f t="shared" ca="1" si="156"/>
        <v/>
      </c>
      <c r="R722" s="476">
        <f ca="1">IF(OR($BG$2=0,$AR722=""),,IF($AR722="本月合计",IF(ROW()=$BG$3,SUM($R$6:$R721),SUM(INDIRECT("$R$"&amp;OFFSET($AU$3,,MATCH(ROW(),$AU$3:$BF$3,)-2)+2&amp;":$R"&amp;ROW()-1))),IF($AR722="本年累计",SUMIF($AR$6:$AR722,"本月合计",$R$6:$R721),INDEX(凭证录入!L:L,$AR722))))</f>
        <v>0</v>
      </c>
      <c r="S722" s="459" t="str">
        <f t="shared" ca="1" si="157"/>
        <v/>
      </c>
      <c r="T722" s="460" t="str">
        <f t="shared" ca="1" si="157"/>
        <v/>
      </c>
      <c r="U722" s="460" t="str">
        <f t="shared" ca="1" si="157"/>
        <v/>
      </c>
      <c r="V722" s="460" t="str">
        <f t="shared" ca="1" si="157"/>
        <v/>
      </c>
      <c r="W722" s="460" t="str">
        <f t="shared" ca="1" si="157"/>
        <v/>
      </c>
      <c r="X722" s="460" t="str">
        <f t="shared" ca="1" si="157"/>
        <v/>
      </c>
      <c r="Y722" s="460" t="str">
        <f t="shared" ca="1" si="157"/>
        <v/>
      </c>
      <c r="Z722" s="460" t="str">
        <f t="shared" ca="1" si="157"/>
        <v/>
      </c>
      <c r="AA722" s="461" t="str">
        <f t="shared" ca="1" si="157"/>
        <v/>
      </c>
      <c r="AB722" s="474" t="str">
        <f t="shared" ca="1" si="157"/>
        <v/>
      </c>
      <c r="AC722" s="475" t="str">
        <f t="shared" ca="1" si="157"/>
        <v/>
      </c>
      <c r="AD722" s="477" t="str">
        <f t="shared" ca="1" si="158"/>
        <v/>
      </c>
      <c r="AE722" s="478">
        <f t="shared" ca="1" si="159"/>
        <v>0</v>
      </c>
      <c r="AF722" s="459" t="str">
        <f t="shared" ca="1" si="155"/>
        <v/>
      </c>
      <c r="AG722" s="460" t="str">
        <f t="shared" ca="1" si="155"/>
        <v/>
      </c>
      <c r="AH722" s="460" t="str">
        <f t="shared" ca="1" si="155"/>
        <v/>
      </c>
      <c r="AI722" s="460" t="str">
        <f t="shared" ca="1" si="155"/>
        <v/>
      </c>
      <c r="AJ722" s="460" t="str">
        <f t="shared" ca="1" si="155"/>
        <v/>
      </c>
      <c r="AK722" s="460" t="str">
        <f t="shared" ca="1" si="155"/>
        <v/>
      </c>
      <c r="AL722" s="460" t="str">
        <f t="shared" ca="1" si="155"/>
        <v/>
      </c>
      <c r="AM722" s="460" t="str">
        <f t="shared" ca="1" si="155"/>
        <v/>
      </c>
      <c r="AN722" s="461" t="str">
        <f t="shared" ca="1" si="155"/>
        <v/>
      </c>
      <c r="AO722" s="474" t="str">
        <f t="shared" ca="1" si="155"/>
        <v/>
      </c>
      <c r="AP722" s="475" t="str">
        <f t="shared" ca="1" si="155"/>
        <v/>
      </c>
      <c r="AQ722" s="479" t="str">
        <f t="array" aca="1" ref="AQ722" ca="1">IF(ROW()-5&lt;=COUNTIF(科目编号,$AR$2),SMALL(IF(科目编号=$AR$2,ROW(科目编号),""),ROW()-5),"")</f>
        <v/>
      </c>
      <c r="AR722" s="480" t="str">
        <f ca="1">IF($BG$2=0,"",IF(AR721="本月合计","本年累计",IF(OR(ROW()=$AU$3,ROW()=$AV$3,ROW()=$AW$3,ROW()=$AX$3,ROW()=$AY$3,ROW()=$AZ$3,ROW()=$BA$3,ROW()=$BB$3,ROW()=$BC$3,ROW()=$BD$3,ROW()=$BE$3,ROW()=$BF$3),"本月合计",IF(ROW()&lt;7,$AQ$6,OFFSET($AQ$6,COUNT($AR$6:AR721),0)))))</f>
        <v/>
      </c>
    </row>
    <row r="723" spans="1:44">
      <c r="A723" s="469" t="str">
        <f ca="1">IFERROR(INDEX(凭证录入!A:A,$AR723),"")</f>
        <v/>
      </c>
      <c r="B723" s="469" t="str">
        <f ca="1">IFERROR(INDEX(凭证录入!B:B,$AR723),"")</f>
        <v/>
      </c>
      <c r="C723" s="470" t="str">
        <f ca="1">IFERROR(INDEX(凭证录入!G:G,$AR723),"")</f>
        <v/>
      </c>
      <c r="D723" s="471" t="str">
        <f ca="1">IFERROR(INDEX(凭证录入!F:F,$AR723),"")</f>
        <v/>
      </c>
      <c r="E723" s="472" t="str">
        <f ca="1">IFERROR(INDEX(凭证录入!H:H,$AR723),$AR723)</f>
        <v/>
      </c>
      <c r="F723" s="473">
        <f ca="1">IF(OR($BG$2=0,$AR723=""),,IF($AR723="本月合计",IF(ROW()=$BG$3,SUM($F$6:$F722),SUM(INDIRECT("$F$"&amp;OFFSET($AU$3,,MATCH(ROW(),$AU$3:$BF$3,)-2)+2&amp;":$E"&amp;ROW()-1))),IF($AR723="本年累计",SUMIF($AR$6:$AR723,"本月合计",$F$6:$F722),INDEX(凭证录入!K:K,$AR723))))</f>
        <v>0</v>
      </c>
      <c r="G723" s="459" t="str">
        <f t="shared" ca="1" si="156"/>
        <v/>
      </c>
      <c r="H723" s="460" t="str">
        <f t="shared" ca="1" si="156"/>
        <v/>
      </c>
      <c r="I723" s="460" t="str">
        <f t="shared" ca="1" si="156"/>
        <v/>
      </c>
      <c r="J723" s="460" t="str">
        <f t="shared" ca="1" si="156"/>
        <v/>
      </c>
      <c r="K723" s="460" t="str">
        <f t="shared" ca="1" si="156"/>
        <v/>
      </c>
      <c r="L723" s="460" t="str">
        <f t="shared" ca="1" si="156"/>
        <v/>
      </c>
      <c r="M723" s="460" t="str">
        <f t="shared" ca="1" si="156"/>
        <v/>
      </c>
      <c r="N723" s="460" t="str">
        <f t="shared" ca="1" si="156"/>
        <v/>
      </c>
      <c r="O723" s="461" t="str">
        <f t="shared" ca="1" si="156"/>
        <v/>
      </c>
      <c r="P723" s="474" t="str">
        <f t="shared" ca="1" si="156"/>
        <v/>
      </c>
      <c r="Q723" s="475" t="str">
        <f t="shared" ca="1" si="156"/>
        <v/>
      </c>
      <c r="R723" s="476">
        <f ca="1">IF(OR($BG$2=0,$AR723=""),,IF($AR723="本月合计",IF(ROW()=$BG$3,SUM($R$6:$R722),SUM(INDIRECT("$R$"&amp;OFFSET($AU$3,,MATCH(ROW(),$AU$3:$BF$3,)-2)+2&amp;":$R"&amp;ROW()-1))),IF($AR723="本年累计",SUMIF($AR$6:$AR723,"本月合计",$R$6:$R722),INDEX(凭证录入!L:L,$AR723))))</f>
        <v>0</v>
      </c>
      <c r="S723" s="459" t="str">
        <f t="shared" ca="1" si="157"/>
        <v/>
      </c>
      <c r="T723" s="460" t="str">
        <f t="shared" ca="1" si="157"/>
        <v/>
      </c>
      <c r="U723" s="460" t="str">
        <f t="shared" ca="1" si="157"/>
        <v/>
      </c>
      <c r="V723" s="460" t="str">
        <f t="shared" ca="1" si="157"/>
        <v/>
      </c>
      <c r="W723" s="460" t="str">
        <f t="shared" ca="1" si="157"/>
        <v/>
      </c>
      <c r="X723" s="460" t="str">
        <f t="shared" ca="1" si="157"/>
        <v/>
      </c>
      <c r="Y723" s="460" t="str">
        <f t="shared" ca="1" si="157"/>
        <v/>
      </c>
      <c r="Z723" s="460" t="str">
        <f t="shared" ca="1" si="157"/>
        <v/>
      </c>
      <c r="AA723" s="461" t="str">
        <f t="shared" ca="1" si="157"/>
        <v/>
      </c>
      <c r="AB723" s="474" t="str">
        <f t="shared" ca="1" si="157"/>
        <v/>
      </c>
      <c r="AC723" s="475" t="str">
        <f t="shared" ca="1" si="157"/>
        <v/>
      </c>
      <c r="AD723" s="477" t="str">
        <f t="shared" ca="1" si="158"/>
        <v/>
      </c>
      <c r="AE723" s="478">
        <f t="shared" ca="1" si="159"/>
        <v>0</v>
      </c>
      <c r="AF723" s="459" t="str">
        <f t="shared" ca="1" si="155"/>
        <v/>
      </c>
      <c r="AG723" s="460" t="str">
        <f t="shared" ca="1" si="155"/>
        <v/>
      </c>
      <c r="AH723" s="460" t="str">
        <f t="shared" ca="1" si="155"/>
        <v/>
      </c>
      <c r="AI723" s="460" t="str">
        <f t="shared" ca="1" si="155"/>
        <v/>
      </c>
      <c r="AJ723" s="460" t="str">
        <f t="shared" ca="1" si="155"/>
        <v/>
      </c>
      <c r="AK723" s="460" t="str">
        <f t="shared" ca="1" si="155"/>
        <v/>
      </c>
      <c r="AL723" s="460" t="str">
        <f t="shared" ca="1" si="155"/>
        <v/>
      </c>
      <c r="AM723" s="460" t="str">
        <f t="shared" ca="1" si="155"/>
        <v/>
      </c>
      <c r="AN723" s="461" t="str">
        <f t="shared" ca="1" si="155"/>
        <v/>
      </c>
      <c r="AO723" s="474" t="str">
        <f t="shared" ca="1" si="155"/>
        <v/>
      </c>
      <c r="AP723" s="475" t="str">
        <f t="shared" ca="1" si="155"/>
        <v/>
      </c>
      <c r="AQ723" s="479" t="str">
        <f t="array" aca="1" ref="AQ723" ca="1">IF(ROW()-5&lt;=COUNTIF(科目编号,$AR$2),SMALL(IF(科目编号=$AR$2,ROW(科目编号),""),ROW()-5),"")</f>
        <v/>
      </c>
      <c r="AR723" s="480" t="str">
        <f ca="1">IF($BG$2=0,"",IF(AR722="本月合计","本年累计",IF(OR(ROW()=$AU$3,ROW()=$AV$3,ROW()=$AW$3,ROW()=$AX$3,ROW()=$AY$3,ROW()=$AZ$3,ROW()=$BA$3,ROW()=$BB$3,ROW()=$BC$3,ROW()=$BD$3,ROW()=$BE$3,ROW()=$BF$3),"本月合计",IF(ROW()&lt;7,$AQ$6,OFFSET($AQ$6,COUNT($AR$6:AR722),0)))))</f>
        <v/>
      </c>
    </row>
    <row r="724" spans="1:44">
      <c r="A724" s="469" t="str">
        <f ca="1">IFERROR(INDEX(凭证录入!A:A,$AR724),"")</f>
        <v/>
      </c>
      <c r="B724" s="469" t="str">
        <f ca="1">IFERROR(INDEX(凭证录入!B:B,$AR724),"")</f>
        <v/>
      </c>
      <c r="C724" s="470" t="str">
        <f ca="1">IFERROR(INDEX(凭证录入!G:G,$AR724),"")</f>
        <v/>
      </c>
      <c r="D724" s="471" t="str">
        <f ca="1">IFERROR(INDEX(凭证录入!F:F,$AR724),"")</f>
        <v/>
      </c>
      <c r="E724" s="472" t="str">
        <f ca="1">IFERROR(INDEX(凭证录入!H:H,$AR724),$AR724)</f>
        <v/>
      </c>
      <c r="F724" s="473">
        <f ca="1">IF(OR($BG$2=0,$AR724=""),,IF($AR724="本月合计",IF(ROW()=$BG$3,SUM($F$6:$F723),SUM(INDIRECT("$F$"&amp;OFFSET($AU$3,,MATCH(ROW(),$AU$3:$BF$3,)-2)+2&amp;":$E"&amp;ROW()-1))),IF($AR724="本年累计",SUMIF($AR$6:$AR724,"本月合计",$F$6:$F723),INDEX(凭证录入!K:K,$AR724))))</f>
        <v>0</v>
      </c>
      <c r="G724" s="459" t="str">
        <f t="shared" ca="1" si="156"/>
        <v/>
      </c>
      <c r="H724" s="460" t="str">
        <f t="shared" ca="1" si="156"/>
        <v/>
      </c>
      <c r="I724" s="460" t="str">
        <f t="shared" ca="1" si="156"/>
        <v/>
      </c>
      <c r="J724" s="460" t="str">
        <f t="shared" ca="1" si="156"/>
        <v/>
      </c>
      <c r="K724" s="460" t="str">
        <f t="shared" ca="1" si="156"/>
        <v/>
      </c>
      <c r="L724" s="460" t="str">
        <f t="shared" ca="1" si="156"/>
        <v/>
      </c>
      <c r="M724" s="460" t="str">
        <f t="shared" ca="1" si="156"/>
        <v/>
      </c>
      <c r="N724" s="460" t="str">
        <f t="shared" ca="1" si="156"/>
        <v/>
      </c>
      <c r="O724" s="461" t="str">
        <f t="shared" ca="1" si="156"/>
        <v/>
      </c>
      <c r="P724" s="474" t="str">
        <f t="shared" ca="1" si="156"/>
        <v/>
      </c>
      <c r="Q724" s="475" t="str">
        <f t="shared" ca="1" si="156"/>
        <v/>
      </c>
      <c r="R724" s="476">
        <f ca="1">IF(OR($BG$2=0,$AR724=""),,IF($AR724="本月合计",IF(ROW()=$BG$3,SUM($R$6:$R723),SUM(INDIRECT("$R$"&amp;OFFSET($AU$3,,MATCH(ROW(),$AU$3:$BF$3,)-2)+2&amp;":$R"&amp;ROW()-1))),IF($AR724="本年累计",SUMIF($AR$6:$AR724,"本月合计",$R$6:$R723),INDEX(凭证录入!L:L,$AR724))))</f>
        <v>0</v>
      </c>
      <c r="S724" s="459" t="str">
        <f t="shared" ca="1" si="157"/>
        <v/>
      </c>
      <c r="T724" s="460" t="str">
        <f t="shared" ca="1" si="157"/>
        <v/>
      </c>
      <c r="U724" s="460" t="str">
        <f t="shared" ca="1" si="157"/>
        <v/>
      </c>
      <c r="V724" s="460" t="str">
        <f t="shared" ca="1" si="157"/>
        <v/>
      </c>
      <c r="W724" s="460" t="str">
        <f t="shared" ca="1" si="157"/>
        <v/>
      </c>
      <c r="X724" s="460" t="str">
        <f t="shared" ca="1" si="157"/>
        <v/>
      </c>
      <c r="Y724" s="460" t="str">
        <f t="shared" ca="1" si="157"/>
        <v/>
      </c>
      <c r="Z724" s="460" t="str">
        <f t="shared" ca="1" si="157"/>
        <v/>
      </c>
      <c r="AA724" s="461" t="str">
        <f t="shared" ca="1" si="157"/>
        <v/>
      </c>
      <c r="AB724" s="474" t="str">
        <f t="shared" ca="1" si="157"/>
        <v/>
      </c>
      <c r="AC724" s="475" t="str">
        <f t="shared" ca="1" si="157"/>
        <v/>
      </c>
      <c r="AD724" s="477" t="str">
        <f t="shared" ca="1" si="158"/>
        <v/>
      </c>
      <c r="AE724" s="478">
        <f t="shared" ca="1" si="159"/>
        <v>0</v>
      </c>
      <c r="AF724" s="459" t="str">
        <f t="shared" ca="1" si="155"/>
        <v/>
      </c>
      <c r="AG724" s="460" t="str">
        <f t="shared" ca="1" si="155"/>
        <v/>
      </c>
      <c r="AH724" s="460" t="str">
        <f t="shared" ca="1" si="155"/>
        <v/>
      </c>
      <c r="AI724" s="460" t="str">
        <f t="shared" ca="1" si="155"/>
        <v/>
      </c>
      <c r="AJ724" s="460" t="str">
        <f t="shared" ca="1" si="155"/>
        <v/>
      </c>
      <c r="AK724" s="460" t="str">
        <f t="shared" ca="1" si="155"/>
        <v/>
      </c>
      <c r="AL724" s="460" t="str">
        <f t="shared" ca="1" si="155"/>
        <v/>
      </c>
      <c r="AM724" s="460" t="str">
        <f t="shared" ca="1" si="155"/>
        <v/>
      </c>
      <c r="AN724" s="461" t="str">
        <f t="shared" ca="1" si="155"/>
        <v/>
      </c>
      <c r="AO724" s="474" t="str">
        <f t="shared" ca="1" si="155"/>
        <v/>
      </c>
      <c r="AP724" s="475" t="str">
        <f t="shared" ca="1" si="155"/>
        <v/>
      </c>
      <c r="AQ724" s="479" t="str">
        <f t="array" aca="1" ref="AQ724" ca="1">IF(ROW()-5&lt;=COUNTIF(科目编号,$AR$2),SMALL(IF(科目编号=$AR$2,ROW(科目编号),""),ROW()-5),"")</f>
        <v/>
      </c>
      <c r="AR724" s="480" t="str">
        <f ca="1">IF($BG$2=0,"",IF(AR723="本月合计","本年累计",IF(OR(ROW()=$AU$3,ROW()=$AV$3,ROW()=$AW$3,ROW()=$AX$3,ROW()=$AY$3,ROW()=$AZ$3,ROW()=$BA$3,ROW()=$BB$3,ROW()=$BC$3,ROW()=$BD$3,ROW()=$BE$3,ROW()=$BF$3),"本月合计",IF(ROW()&lt;7,$AQ$6,OFFSET($AQ$6,COUNT($AR$6:AR723),0)))))</f>
        <v/>
      </c>
    </row>
    <row r="725" spans="1:44">
      <c r="A725" s="469" t="str">
        <f ca="1">IFERROR(INDEX(凭证录入!A:A,$AR725),"")</f>
        <v/>
      </c>
      <c r="B725" s="469" t="str">
        <f ca="1">IFERROR(INDEX(凭证录入!B:B,$AR725),"")</f>
        <v/>
      </c>
      <c r="C725" s="470" t="str">
        <f ca="1">IFERROR(INDEX(凭证录入!G:G,$AR725),"")</f>
        <v/>
      </c>
      <c r="D725" s="471" t="str">
        <f ca="1">IFERROR(INDEX(凭证录入!F:F,$AR725),"")</f>
        <v/>
      </c>
      <c r="E725" s="472" t="str">
        <f ca="1">IFERROR(INDEX(凭证录入!H:H,$AR725),$AR725)</f>
        <v/>
      </c>
      <c r="F725" s="473">
        <f ca="1">IF(OR($BG$2=0,$AR725=""),,IF($AR725="本月合计",IF(ROW()=$BG$3,SUM($F$6:$F724),SUM(INDIRECT("$F$"&amp;OFFSET($AU$3,,MATCH(ROW(),$AU$3:$BF$3,)-2)+2&amp;":$E"&amp;ROW()-1))),IF($AR725="本年累计",SUMIF($AR$6:$AR725,"本月合计",$F$6:$F724),INDEX(凭证录入!K:K,$AR725))))</f>
        <v>0</v>
      </c>
      <c r="G725" s="459" t="str">
        <f t="shared" ca="1" si="156"/>
        <v/>
      </c>
      <c r="H725" s="460" t="str">
        <f t="shared" ca="1" si="156"/>
        <v/>
      </c>
      <c r="I725" s="460" t="str">
        <f t="shared" ca="1" si="156"/>
        <v/>
      </c>
      <c r="J725" s="460" t="str">
        <f t="shared" ca="1" si="156"/>
        <v/>
      </c>
      <c r="K725" s="460" t="str">
        <f t="shared" ca="1" si="156"/>
        <v/>
      </c>
      <c r="L725" s="460" t="str">
        <f t="shared" ca="1" si="156"/>
        <v/>
      </c>
      <c r="M725" s="460" t="str">
        <f t="shared" ca="1" si="156"/>
        <v/>
      </c>
      <c r="N725" s="460" t="str">
        <f t="shared" ca="1" si="156"/>
        <v/>
      </c>
      <c r="O725" s="461" t="str">
        <f t="shared" ca="1" si="156"/>
        <v/>
      </c>
      <c r="P725" s="474" t="str">
        <f t="shared" ca="1" si="156"/>
        <v/>
      </c>
      <c r="Q725" s="475" t="str">
        <f t="shared" ca="1" si="156"/>
        <v/>
      </c>
      <c r="R725" s="476">
        <f ca="1">IF(OR($BG$2=0,$AR725=""),,IF($AR725="本月合计",IF(ROW()=$BG$3,SUM($R$6:$R724),SUM(INDIRECT("$R$"&amp;OFFSET($AU$3,,MATCH(ROW(),$AU$3:$BF$3,)-2)+2&amp;":$R"&amp;ROW()-1))),IF($AR725="本年累计",SUMIF($AR$6:$AR725,"本月合计",$R$6:$R724),INDEX(凭证录入!L:L,$AR725))))</f>
        <v>0</v>
      </c>
      <c r="S725" s="459" t="str">
        <f t="shared" ca="1" si="157"/>
        <v/>
      </c>
      <c r="T725" s="460" t="str">
        <f t="shared" ca="1" si="157"/>
        <v/>
      </c>
      <c r="U725" s="460" t="str">
        <f t="shared" ca="1" si="157"/>
        <v/>
      </c>
      <c r="V725" s="460" t="str">
        <f t="shared" ca="1" si="157"/>
        <v/>
      </c>
      <c r="W725" s="460" t="str">
        <f t="shared" ca="1" si="157"/>
        <v/>
      </c>
      <c r="X725" s="460" t="str">
        <f t="shared" ca="1" si="157"/>
        <v/>
      </c>
      <c r="Y725" s="460" t="str">
        <f t="shared" ca="1" si="157"/>
        <v/>
      </c>
      <c r="Z725" s="460" t="str">
        <f t="shared" ca="1" si="157"/>
        <v/>
      </c>
      <c r="AA725" s="461" t="str">
        <f t="shared" ca="1" si="157"/>
        <v/>
      </c>
      <c r="AB725" s="474" t="str">
        <f t="shared" ca="1" si="157"/>
        <v/>
      </c>
      <c r="AC725" s="475" t="str">
        <f t="shared" ca="1" si="157"/>
        <v/>
      </c>
      <c r="AD725" s="477" t="str">
        <f t="shared" ca="1" si="158"/>
        <v/>
      </c>
      <c r="AE725" s="478">
        <f t="shared" ca="1" si="159"/>
        <v>0</v>
      </c>
      <c r="AF725" s="459" t="str">
        <f t="shared" ref="AF725:AP740" ca="1" si="160">LEFT(RIGHT(TEXT($AE725/1%," ￥0; ￥-0;"),43-COLUMN()))</f>
        <v/>
      </c>
      <c r="AG725" s="460" t="str">
        <f t="shared" ca="1" si="160"/>
        <v/>
      </c>
      <c r="AH725" s="460" t="str">
        <f t="shared" ca="1" si="160"/>
        <v/>
      </c>
      <c r="AI725" s="460" t="str">
        <f t="shared" ca="1" si="160"/>
        <v/>
      </c>
      <c r="AJ725" s="460" t="str">
        <f t="shared" ca="1" si="160"/>
        <v/>
      </c>
      <c r="AK725" s="460" t="str">
        <f t="shared" ca="1" si="160"/>
        <v/>
      </c>
      <c r="AL725" s="460" t="str">
        <f t="shared" ca="1" si="160"/>
        <v/>
      </c>
      <c r="AM725" s="460" t="str">
        <f t="shared" ca="1" si="160"/>
        <v/>
      </c>
      <c r="AN725" s="461" t="str">
        <f t="shared" ca="1" si="160"/>
        <v/>
      </c>
      <c r="AO725" s="474" t="str">
        <f t="shared" ca="1" si="160"/>
        <v/>
      </c>
      <c r="AP725" s="475" t="str">
        <f t="shared" ca="1" si="160"/>
        <v/>
      </c>
      <c r="AQ725" s="479" t="str">
        <f t="array" aca="1" ref="AQ725" ca="1">IF(ROW()-5&lt;=COUNTIF(科目编号,$AR$2),SMALL(IF(科目编号=$AR$2,ROW(科目编号),""),ROW()-5),"")</f>
        <v/>
      </c>
      <c r="AR725" s="480" t="str">
        <f ca="1">IF($BG$2=0,"",IF(AR724="本月合计","本年累计",IF(OR(ROW()=$AU$3,ROW()=$AV$3,ROW()=$AW$3,ROW()=$AX$3,ROW()=$AY$3,ROW()=$AZ$3,ROW()=$BA$3,ROW()=$BB$3,ROW()=$BC$3,ROW()=$BD$3,ROW()=$BE$3,ROW()=$BF$3),"本月合计",IF(ROW()&lt;7,$AQ$6,OFFSET($AQ$6,COUNT($AR$6:AR724),0)))))</f>
        <v/>
      </c>
    </row>
    <row r="726" spans="1:44">
      <c r="A726" s="469" t="str">
        <f ca="1">IFERROR(INDEX(凭证录入!A:A,$AR726),"")</f>
        <v/>
      </c>
      <c r="B726" s="469" t="str">
        <f ca="1">IFERROR(INDEX(凭证录入!B:B,$AR726),"")</f>
        <v/>
      </c>
      <c r="C726" s="470" t="str">
        <f ca="1">IFERROR(INDEX(凭证录入!G:G,$AR726),"")</f>
        <v/>
      </c>
      <c r="D726" s="471" t="str">
        <f ca="1">IFERROR(INDEX(凭证录入!F:F,$AR726),"")</f>
        <v/>
      </c>
      <c r="E726" s="472" t="str">
        <f ca="1">IFERROR(INDEX(凭证录入!H:H,$AR726),$AR726)</f>
        <v/>
      </c>
      <c r="F726" s="473">
        <f ca="1">IF(OR($BG$2=0,$AR726=""),,IF($AR726="本月合计",IF(ROW()=$BG$3,SUM($F$6:$F725),SUM(INDIRECT("$F$"&amp;OFFSET($AU$3,,MATCH(ROW(),$AU$3:$BF$3,)-2)+2&amp;":$E"&amp;ROW()-1))),IF($AR726="本年累计",SUMIF($AR$6:$AR726,"本月合计",$F$6:$F725),INDEX(凭证录入!K:K,$AR726))))</f>
        <v>0</v>
      </c>
      <c r="G726" s="459" t="str">
        <f t="shared" ref="G726:Q741" ca="1" si="161">LEFT(RIGHT(TEXT($F726/1%," ￥0; ￥-0;"),18-COLUMN()))</f>
        <v/>
      </c>
      <c r="H726" s="460" t="str">
        <f t="shared" ca="1" si="161"/>
        <v/>
      </c>
      <c r="I726" s="460" t="str">
        <f t="shared" ca="1" si="161"/>
        <v/>
      </c>
      <c r="J726" s="460" t="str">
        <f t="shared" ca="1" si="161"/>
        <v/>
      </c>
      <c r="K726" s="460" t="str">
        <f t="shared" ca="1" si="161"/>
        <v/>
      </c>
      <c r="L726" s="460" t="str">
        <f t="shared" ca="1" si="161"/>
        <v/>
      </c>
      <c r="M726" s="460" t="str">
        <f t="shared" ca="1" si="161"/>
        <v/>
      </c>
      <c r="N726" s="460" t="str">
        <f t="shared" ca="1" si="161"/>
        <v/>
      </c>
      <c r="O726" s="461" t="str">
        <f t="shared" ca="1" si="161"/>
        <v/>
      </c>
      <c r="P726" s="474" t="str">
        <f t="shared" ca="1" si="161"/>
        <v/>
      </c>
      <c r="Q726" s="475" t="str">
        <f t="shared" ca="1" si="161"/>
        <v/>
      </c>
      <c r="R726" s="476">
        <f ca="1">IF(OR($BG$2=0,$AR726=""),,IF($AR726="本月合计",IF(ROW()=$BG$3,SUM($R$6:$R725),SUM(INDIRECT("$R$"&amp;OFFSET($AU$3,,MATCH(ROW(),$AU$3:$BF$3,)-2)+2&amp;":$R"&amp;ROW()-1))),IF($AR726="本年累计",SUMIF($AR$6:$AR726,"本月合计",$R$6:$R725),INDEX(凭证录入!L:L,$AR726))))</f>
        <v>0</v>
      </c>
      <c r="S726" s="459" t="str">
        <f t="shared" ref="S726:AC741" ca="1" si="162">LEFT(RIGHT(TEXT($R726/1%," ￥0; ￥-0;"),30-COLUMN()))</f>
        <v/>
      </c>
      <c r="T726" s="460" t="str">
        <f t="shared" ca="1" si="162"/>
        <v/>
      </c>
      <c r="U726" s="460" t="str">
        <f t="shared" ca="1" si="162"/>
        <v/>
      </c>
      <c r="V726" s="460" t="str">
        <f t="shared" ca="1" si="162"/>
        <v/>
      </c>
      <c r="W726" s="460" t="str">
        <f t="shared" ca="1" si="162"/>
        <v/>
      </c>
      <c r="X726" s="460" t="str">
        <f t="shared" ca="1" si="162"/>
        <v/>
      </c>
      <c r="Y726" s="460" t="str">
        <f t="shared" ca="1" si="162"/>
        <v/>
      </c>
      <c r="Z726" s="460" t="str">
        <f t="shared" ca="1" si="162"/>
        <v/>
      </c>
      <c r="AA726" s="461" t="str">
        <f t="shared" ca="1" si="162"/>
        <v/>
      </c>
      <c r="AB726" s="474" t="str">
        <f t="shared" ca="1" si="162"/>
        <v/>
      </c>
      <c r="AC726" s="475" t="str">
        <f t="shared" ca="1" si="162"/>
        <v/>
      </c>
      <c r="AD726" s="477" t="str">
        <f t="shared" ca="1" si="158"/>
        <v/>
      </c>
      <c r="AE726" s="478">
        <f t="shared" ca="1" si="159"/>
        <v>0</v>
      </c>
      <c r="AF726" s="459" t="str">
        <f t="shared" ca="1" si="160"/>
        <v/>
      </c>
      <c r="AG726" s="460" t="str">
        <f t="shared" ca="1" si="160"/>
        <v/>
      </c>
      <c r="AH726" s="460" t="str">
        <f t="shared" ca="1" si="160"/>
        <v/>
      </c>
      <c r="AI726" s="460" t="str">
        <f t="shared" ca="1" si="160"/>
        <v/>
      </c>
      <c r="AJ726" s="460" t="str">
        <f t="shared" ca="1" si="160"/>
        <v/>
      </c>
      <c r="AK726" s="460" t="str">
        <f t="shared" ca="1" si="160"/>
        <v/>
      </c>
      <c r="AL726" s="460" t="str">
        <f t="shared" ca="1" si="160"/>
        <v/>
      </c>
      <c r="AM726" s="460" t="str">
        <f t="shared" ca="1" si="160"/>
        <v/>
      </c>
      <c r="AN726" s="461" t="str">
        <f t="shared" ca="1" si="160"/>
        <v/>
      </c>
      <c r="AO726" s="474" t="str">
        <f t="shared" ca="1" si="160"/>
        <v/>
      </c>
      <c r="AP726" s="475" t="str">
        <f t="shared" ca="1" si="160"/>
        <v/>
      </c>
      <c r="AQ726" s="479" t="str">
        <f t="array" aca="1" ref="AQ726" ca="1">IF(ROW()-5&lt;=COUNTIF(科目编号,$AR$2),SMALL(IF(科目编号=$AR$2,ROW(科目编号),""),ROW()-5),"")</f>
        <v/>
      </c>
      <c r="AR726" s="480" t="str">
        <f ca="1">IF($BG$2=0,"",IF(AR725="本月合计","本年累计",IF(OR(ROW()=$AU$3,ROW()=$AV$3,ROW()=$AW$3,ROW()=$AX$3,ROW()=$AY$3,ROW()=$AZ$3,ROW()=$BA$3,ROW()=$BB$3,ROW()=$BC$3,ROW()=$BD$3,ROW()=$BE$3,ROW()=$BF$3),"本月合计",IF(ROW()&lt;7,$AQ$6,OFFSET($AQ$6,COUNT($AR$6:AR725),0)))))</f>
        <v/>
      </c>
    </row>
    <row r="727" spans="1:44">
      <c r="A727" s="469" t="str">
        <f ca="1">IFERROR(INDEX(凭证录入!A:A,$AR727),"")</f>
        <v/>
      </c>
      <c r="B727" s="469" t="str">
        <f ca="1">IFERROR(INDEX(凭证录入!B:B,$AR727),"")</f>
        <v/>
      </c>
      <c r="C727" s="470" t="str">
        <f ca="1">IFERROR(INDEX(凭证录入!G:G,$AR727),"")</f>
        <v/>
      </c>
      <c r="D727" s="471" t="str">
        <f ca="1">IFERROR(INDEX(凭证录入!F:F,$AR727),"")</f>
        <v/>
      </c>
      <c r="E727" s="472" t="str">
        <f ca="1">IFERROR(INDEX(凭证录入!H:H,$AR727),$AR727)</f>
        <v/>
      </c>
      <c r="F727" s="473">
        <f ca="1">IF(OR($BG$2=0,$AR727=""),,IF($AR727="本月合计",IF(ROW()=$BG$3,SUM($F$6:$F726),SUM(INDIRECT("$F$"&amp;OFFSET($AU$3,,MATCH(ROW(),$AU$3:$BF$3,)-2)+2&amp;":$E"&amp;ROW()-1))),IF($AR727="本年累计",SUMIF($AR$6:$AR727,"本月合计",$F$6:$F726),INDEX(凭证录入!K:K,$AR727))))</f>
        <v>0</v>
      </c>
      <c r="G727" s="459" t="str">
        <f t="shared" ca="1" si="161"/>
        <v/>
      </c>
      <c r="H727" s="460" t="str">
        <f t="shared" ca="1" si="161"/>
        <v/>
      </c>
      <c r="I727" s="460" t="str">
        <f t="shared" ca="1" si="161"/>
        <v/>
      </c>
      <c r="J727" s="460" t="str">
        <f t="shared" ca="1" si="161"/>
        <v/>
      </c>
      <c r="K727" s="460" t="str">
        <f t="shared" ca="1" si="161"/>
        <v/>
      </c>
      <c r="L727" s="460" t="str">
        <f t="shared" ca="1" si="161"/>
        <v/>
      </c>
      <c r="M727" s="460" t="str">
        <f t="shared" ca="1" si="161"/>
        <v/>
      </c>
      <c r="N727" s="460" t="str">
        <f t="shared" ca="1" si="161"/>
        <v/>
      </c>
      <c r="O727" s="461" t="str">
        <f t="shared" ca="1" si="161"/>
        <v/>
      </c>
      <c r="P727" s="474" t="str">
        <f t="shared" ca="1" si="161"/>
        <v/>
      </c>
      <c r="Q727" s="475" t="str">
        <f t="shared" ca="1" si="161"/>
        <v/>
      </c>
      <c r="R727" s="476">
        <f ca="1">IF(OR($BG$2=0,$AR727=""),,IF($AR727="本月合计",IF(ROW()=$BG$3,SUM($R$6:$R726),SUM(INDIRECT("$R$"&amp;OFFSET($AU$3,,MATCH(ROW(),$AU$3:$BF$3,)-2)+2&amp;":$R"&amp;ROW()-1))),IF($AR727="本年累计",SUMIF($AR$6:$AR727,"本月合计",$R$6:$R726),INDEX(凭证录入!L:L,$AR727))))</f>
        <v>0</v>
      </c>
      <c r="S727" s="459" t="str">
        <f t="shared" ca="1" si="162"/>
        <v/>
      </c>
      <c r="T727" s="460" t="str">
        <f t="shared" ca="1" si="162"/>
        <v/>
      </c>
      <c r="U727" s="460" t="str">
        <f t="shared" ca="1" si="162"/>
        <v/>
      </c>
      <c r="V727" s="460" t="str">
        <f t="shared" ca="1" si="162"/>
        <v/>
      </c>
      <c r="W727" s="460" t="str">
        <f t="shared" ca="1" si="162"/>
        <v/>
      </c>
      <c r="X727" s="460" t="str">
        <f t="shared" ca="1" si="162"/>
        <v/>
      </c>
      <c r="Y727" s="460" t="str">
        <f t="shared" ca="1" si="162"/>
        <v/>
      </c>
      <c r="Z727" s="460" t="str">
        <f t="shared" ca="1" si="162"/>
        <v/>
      </c>
      <c r="AA727" s="461" t="str">
        <f t="shared" ca="1" si="162"/>
        <v/>
      </c>
      <c r="AB727" s="474" t="str">
        <f t="shared" ca="1" si="162"/>
        <v/>
      </c>
      <c r="AC727" s="475" t="str">
        <f t="shared" ca="1" si="162"/>
        <v/>
      </c>
      <c r="AD727" s="477" t="str">
        <f t="shared" ca="1" si="158"/>
        <v/>
      </c>
      <c r="AE727" s="478">
        <f t="shared" ca="1" si="159"/>
        <v>0</v>
      </c>
      <c r="AF727" s="459" t="str">
        <f t="shared" ca="1" si="160"/>
        <v/>
      </c>
      <c r="AG727" s="460" t="str">
        <f t="shared" ca="1" si="160"/>
        <v/>
      </c>
      <c r="AH727" s="460" t="str">
        <f t="shared" ca="1" si="160"/>
        <v/>
      </c>
      <c r="AI727" s="460" t="str">
        <f t="shared" ca="1" si="160"/>
        <v/>
      </c>
      <c r="AJ727" s="460" t="str">
        <f t="shared" ca="1" si="160"/>
        <v/>
      </c>
      <c r="AK727" s="460" t="str">
        <f t="shared" ca="1" si="160"/>
        <v/>
      </c>
      <c r="AL727" s="460" t="str">
        <f t="shared" ca="1" si="160"/>
        <v/>
      </c>
      <c r="AM727" s="460" t="str">
        <f t="shared" ca="1" si="160"/>
        <v/>
      </c>
      <c r="AN727" s="461" t="str">
        <f t="shared" ca="1" si="160"/>
        <v/>
      </c>
      <c r="AO727" s="474" t="str">
        <f t="shared" ca="1" si="160"/>
        <v/>
      </c>
      <c r="AP727" s="475" t="str">
        <f t="shared" ca="1" si="160"/>
        <v/>
      </c>
      <c r="AQ727" s="479" t="str">
        <f t="array" aca="1" ref="AQ727" ca="1">IF(ROW()-5&lt;=COUNTIF(科目编号,$AR$2),SMALL(IF(科目编号=$AR$2,ROW(科目编号),""),ROW()-5),"")</f>
        <v/>
      </c>
      <c r="AR727" s="480" t="str">
        <f ca="1">IF($BG$2=0,"",IF(AR726="本月合计","本年累计",IF(OR(ROW()=$AU$3,ROW()=$AV$3,ROW()=$AW$3,ROW()=$AX$3,ROW()=$AY$3,ROW()=$AZ$3,ROW()=$BA$3,ROW()=$BB$3,ROW()=$BC$3,ROW()=$BD$3,ROW()=$BE$3,ROW()=$BF$3),"本月合计",IF(ROW()&lt;7,$AQ$6,OFFSET($AQ$6,COUNT($AR$6:AR726),0)))))</f>
        <v/>
      </c>
    </row>
    <row r="728" spans="1:44">
      <c r="A728" s="469" t="str">
        <f ca="1">IFERROR(INDEX(凭证录入!A:A,$AR728),"")</f>
        <v/>
      </c>
      <c r="B728" s="469" t="str">
        <f ca="1">IFERROR(INDEX(凭证录入!B:B,$AR728),"")</f>
        <v/>
      </c>
      <c r="C728" s="470" t="str">
        <f ca="1">IFERROR(INDEX(凭证录入!G:G,$AR728),"")</f>
        <v/>
      </c>
      <c r="D728" s="471" t="str">
        <f ca="1">IFERROR(INDEX(凭证录入!F:F,$AR728),"")</f>
        <v/>
      </c>
      <c r="E728" s="472" t="str">
        <f ca="1">IFERROR(INDEX(凭证录入!H:H,$AR728),$AR728)</f>
        <v/>
      </c>
      <c r="F728" s="473">
        <f ca="1">IF(OR($BG$2=0,$AR728=""),,IF($AR728="本月合计",IF(ROW()=$BG$3,SUM($F$6:$F727),SUM(INDIRECT("$F$"&amp;OFFSET($AU$3,,MATCH(ROW(),$AU$3:$BF$3,)-2)+2&amp;":$E"&amp;ROW()-1))),IF($AR728="本年累计",SUMIF($AR$6:$AR728,"本月合计",$F$6:$F727),INDEX(凭证录入!K:K,$AR728))))</f>
        <v>0</v>
      </c>
      <c r="G728" s="459" t="str">
        <f t="shared" ca="1" si="161"/>
        <v/>
      </c>
      <c r="H728" s="460" t="str">
        <f t="shared" ca="1" si="161"/>
        <v/>
      </c>
      <c r="I728" s="460" t="str">
        <f t="shared" ca="1" si="161"/>
        <v/>
      </c>
      <c r="J728" s="460" t="str">
        <f t="shared" ca="1" si="161"/>
        <v/>
      </c>
      <c r="K728" s="460" t="str">
        <f t="shared" ca="1" si="161"/>
        <v/>
      </c>
      <c r="L728" s="460" t="str">
        <f t="shared" ca="1" si="161"/>
        <v/>
      </c>
      <c r="M728" s="460" t="str">
        <f t="shared" ca="1" si="161"/>
        <v/>
      </c>
      <c r="N728" s="460" t="str">
        <f t="shared" ca="1" si="161"/>
        <v/>
      </c>
      <c r="O728" s="461" t="str">
        <f t="shared" ca="1" si="161"/>
        <v/>
      </c>
      <c r="P728" s="474" t="str">
        <f t="shared" ca="1" si="161"/>
        <v/>
      </c>
      <c r="Q728" s="475" t="str">
        <f t="shared" ca="1" si="161"/>
        <v/>
      </c>
      <c r="R728" s="476">
        <f ca="1">IF(OR($BG$2=0,$AR728=""),,IF($AR728="本月合计",IF(ROW()=$BG$3,SUM($R$6:$R727),SUM(INDIRECT("$R$"&amp;OFFSET($AU$3,,MATCH(ROW(),$AU$3:$BF$3,)-2)+2&amp;":$R"&amp;ROW()-1))),IF($AR728="本年累计",SUMIF($AR$6:$AR728,"本月合计",$R$6:$R727),INDEX(凭证录入!L:L,$AR728))))</f>
        <v>0</v>
      </c>
      <c r="S728" s="459" t="str">
        <f t="shared" ca="1" si="162"/>
        <v/>
      </c>
      <c r="T728" s="460" t="str">
        <f t="shared" ca="1" si="162"/>
        <v/>
      </c>
      <c r="U728" s="460" t="str">
        <f t="shared" ca="1" si="162"/>
        <v/>
      </c>
      <c r="V728" s="460" t="str">
        <f t="shared" ca="1" si="162"/>
        <v/>
      </c>
      <c r="W728" s="460" t="str">
        <f t="shared" ca="1" si="162"/>
        <v/>
      </c>
      <c r="X728" s="460" t="str">
        <f t="shared" ca="1" si="162"/>
        <v/>
      </c>
      <c r="Y728" s="460" t="str">
        <f t="shared" ca="1" si="162"/>
        <v/>
      </c>
      <c r="Z728" s="460" t="str">
        <f t="shared" ca="1" si="162"/>
        <v/>
      </c>
      <c r="AA728" s="461" t="str">
        <f t="shared" ca="1" si="162"/>
        <v/>
      </c>
      <c r="AB728" s="474" t="str">
        <f t="shared" ca="1" si="162"/>
        <v/>
      </c>
      <c r="AC728" s="475" t="str">
        <f t="shared" ca="1" si="162"/>
        <v/>
      </c>
      <c r="AD728" s="477" t="str">
        <f t="shared" ca="1" si="158"/>
        <v/>
      </c>
      <c r="AE728" s="478">
        <f t="shared" ca="1" si="159"/>
        <v>0</v>
      </c>
      <c r="AF728" s="459" t="str">
        <f t="shared" ca="1" si="160"/>
        <v/>
      </c>
      <c r="AG728" s="460" t="str">
        <f t="shared" ca="1" si="160"/>
        <v/>
      </c>
      <c r="AH728" s="460" t="str">
        <f t="shared" ca="1" si="160"/>
        <v/>
      </c>
      <c r="AI728" s="460" t="str">
        <f t="shared" ca="1" si="160"/>
        <v/>
      </c>
      <c r="AJ728" s="460" t="str">
        <f t="shared" ca="1" si="160"/>
        <v/>
      </c>
      <c r="AK728" s="460" t="str">
        <f t="shared" ca="1" si="160"/>
        <v/>
      </c>
      <c r="AL728" s="460" t="str">
        <f t="shared" ca="1" si="160"/>
        <v/>
      </c>
      <c r="AM728" s="460" t="str">
        <f t="shared" ca="1" si="160"/>
        <v/>
      </c>
      <c r="AN728" s="461" t="str">
        <f t="shared" ca="1" si="160"/>
        <v/>
      </c>
      <c r="AO728" s="474" t="str">
        <f t="shared" ca="1" si="160"/>
        <v/>
      </c>
      <c r="AP728" s="475" t="str">
        <f t="shared" ca="1" si="160"/>
        <v/>
      </c>
      <c r="AQ728" s="479" t="str">
        <f t="array" aca="1" ref="AQ728" ca="1">IF(ROW()-5&lt;=COUNTIF(科目编号,$AR$2),SMALL(IF(科目编号=$AR$2,ROW(科目编号),""),ROW()-5),"")</f>
        <v/>
      </c>
      <c r="AR728" s="480" t="str">
        <f ca="1">IF($BG$2=0,"",IF(AR727="本月合计","本年累计",IF(OR(ROW()=$AU$3,ROW()=$AV$3,ROW()=$AW$3,ROW()=$AX$3,ROW()=$AY$3,ROW()=$AZ$3,ROW()=$BA$3,ROW()=$BB$3,ROW()=$BC$3,ROW()=$BD$3,ROW()=$BE$3,ROW()=$BF$3),"本月合计",IF(ROW()&lt;7,$AQ$6,OFFSET($AQ$6,COUNT($AR$6:AR727),0)))))</f>
        <v/>
      </c>
    </row>
    <row r="729" spans="1:44">
      <c r="A729" s="469" t="str">
        <f ca="1">IFERROR(INDEX(凭证录入!A:A,$AR729),"")</f>
        <v/>
      </c>
      <c r="B729" s="469" t="str">
        <f ca="1">IFERROR(INDEX(凭证录入!B:B,$AR729),"")</f>
        <v/>
      </c>
      <c r="C729" s="470" t="str">
        <f ca="1">IFERROR(INDEX(凭证录入!G:G,$AR729),"")</f>
        <v/>
      </c>
      <c r="D729" s="471" t="str">
        <f ca="1">IFERROR(INDEX(凭证录入!F:F,$AR729),"")</f>
        <v/>
      </c>
      <c r="E729" s="472" t="str">
        <f ca="1">IFERROR(INDEX(凭证录入!H:H,$AR729),$AR729)</f>
        <v/>
      </c>
      <c r="F729" s="473">
        <f ca="1">IF(OR($BG$2=0,$AR729=""),,IF($AR729="本月合计",IF(ROW()=$BG$3,SUM($F$6:$F728),SUM(INDIRECT("$F$"&amp;OFFSET($AU$3,,MATCH(ROW(),$AU$3:$BF$3,)-2)+2&amp;":$E"&amp;ROW()-1))),IF($AR729="本年累计",SUMIF($AR$6:$AR729,"本月合计",$F$6:$F728),INDEX(凭证录入!K:K,$AR729))))</f>
        <v>0</v>
      </c>
      <c r="G729" s="459" t="str">
        <f t="shared" ca="1" si="161"/>
        <v/>
      </c>
      <c r="H729" s="460" t="str">
        <f t="shared" ca="1" si="161"/>
        <v/>
      </c>
      <c r="I729" s="460" t="str">
        <f t="shared" ca="1" si="161"/>
        <v/>
      </c>
      <c r="J729" s="460" t="str">
        <f t="shared" ca="1" si="161"/>
        <v/>
      </c>
      <c r="K729" s="460" t="str">
        <f t="shared" ca="1" si="161"/>
        <v/>
      </c>
      <c r="L729" s="460" t="str">
        <f t="shared" ca="1" si="161"/>
        <v/>
      </c>
      <c r="M729" s="460" t="str">
        <f t="shared" ca="1" si="161"/>
        <v/>
      </c>
      <c r="N729" s="460" t="str">
        <f t="shared" ca="1" si="161"/>
        <v/>
      </c>
      <c r="O729" s="461" t="str">
        <f t="shared" ca="1" si="161"/>
        <v/>
      </c>
      <c r="P729" s="474" t="str">
        <f t="shared" ca="1" si="161"/>
        <v/>
      </c>
      <c r="Q729" s="475" t="str">
        <f t="shared" ca="1" si="161"/>
        <v/>
      </c>
      <c r="R729" s="476">
        <f ca="1">IF(OR($BG$2=0,$AR729=""),,IF($AR729="本月合计",IF(ROW()=$BG$3,SUM($R$6:$R728),SUM(INDIRECT("$R$"&amp;OFFSET($AU$3,,MATCH(ROW(),$AU$3:$BF$3,)-2)+2&amp;":$R"&amp;ROW()-1))),IF($AR729="本年累计",SUMIF($AR$6:$AR729,"本月合计",$R$6:$R728),INDEX(凭证录入!L:L,$AR729))))</f>
        <v>0</v>
      </c>
      <c r="S729" s="459" t="str">
        <f t="shared" ca="1" si="162"/>
        <v/>
      </c>
      <c r="T729" s="460" t="str">
        <f t="shared" ca="1" si="162"/>
        <v/>
      </c>
      <c r="U729" s="460" t="str">
        <f t="shared" ca="1" si="162"/>
        <v/>
      </c>
      <c r="V729" s="460" t="str">
        <f t="shared" ca="1" si="162"/>
        <v/>
      </c>
      <c r="W729" s="460" t="str">
        <f t="shared" ca="1" si="162"/>
        <v/>
      </c>
      <c r="X729" s="460" t="str">
        <f t="shared" ca="1" si="162"/>
        <v/>
      </c>
      <c r="Y729" s="460" t="str">
        <f t="shared" ca="1" si="162"/>
        <v/>
      </c>
      <c r="Z729" s="460" t="str">
        <f t="shared" ca="1" si="162"/>
        <v/>
      </c>
      <c r="AA729" s="461" t="str">
        <f t="shared" ca="1" si="162"/>
        <v/>
      </c>
      <c r="AB729" s="474" t="str">
        <f t="shared" ca="1" si="162"/>
        <v/>
      </c>
      <c r="AC729" s="475" t="str">
        <f t="shared" ca="1" si="162"/>
        <v/>
      </c>
      <c r="AD729" s="477" t="str">
        <f t="shared" ca="1" si="158"/>
        <v/>
      </c>
      <c r="AE729" s="478">
        <f t="shared" ca="1" si="159"/>
        <v>0</v>
      </c>
      <c r="AF729" s="459" t="str">
        <f t="shared" ca="1" si="160"/>
        <v/>
      </c>
      <c r="AG729" s="460" t="str">
        <f t="shared" ca="1" si="160"/>
        <v/>
      </c>
      <c r="AH729" s="460" t="str">
        <f t="shared" ca="1" si="160"/>
        <v/>
      </c>
      <c r="AI729" s="460" t="str">
        <f t="shared" ca="1" si="160"/>
        <v/>
      </c>
      <c r="AJ729" s="460" t="str">
        <f t="shared" ca="1" si="160"/>
        <v/>
      </c>
      <c r="AK729" s="460" t="str">
        <f t="shared" ca="1" si="160"/>
        <v/>
      </c>
      <c r="AL729" s="460" t="str">
        <f t="shared" ca="1" si="160"/>
        <v/>
      </c>
      <c r="AM729" s="460" t="str">
        <f t="shared" ca="1" si="160"/>
        <v/>
      </c>
      <c r="AN729" s="461" t="str">
        <f t="shared" ca="1" si="160"/>
        <v/>
      </c>
      <c r="AO729" s="474" t="str">
        <f t="shared" ca="1" si="160"/>
        <v/>
      </c>
      <c r="AP729" s="475" t="str">
        <f t="shared" ca="1" si="160"/>
        <v/>
      </c>
      <c r="AQ729" s="479" t="str">
        <f t="array" aca="1" ref="AQ729" ca="1">IF(ROW()-5&lt;=COUNTIF(科目编号,$AR$2),SMALL(IF(科目编号=$AR$2,ROW(科目编号),""),ROW()-5),"")</f>
        <v/>
      </c>
      <c r="AR729" s="480" t="str">
        <f ca="1">IF($BG$2=0,"",IF(AR728="本月合计","本年累计",IF(OR(ROW()=$AU$3,ROW()=$AV$3,ROW()=$AW$3,ROW()=$AX$3,ROW()=$AY$3,ROW()=$AZ$3,ROW()=$BA$3,ROW()=$BB$3,ROW()=$BC$3,ROW()=$BD$3,ROW()=$BE$3,ROW()=$BF$3),"本月合计",IF(ROW()&lt;7,$AQ$6,OFFSET($AQ$6,COUNT($AR$6:AR728),0)))))</f>
        <v/>
      </c>
    </row>
    <row r="730" spans="1:44">
      <c r="A730" s="469" t="str">
        <f ca="1">IFERROR(INDEX(凭证录入!A:A,$AR730),"")</f>
        <v/>
      </c>
      <c r="B730" s="469" t="str">
        <f ca="1">IFERROR(INDEX(凭证录入!B:B,$AR730),"")</f>
        <v/>
      </c>
      <c r="C730" s="470" t="str">
        <f ca="1">IFERROR(INDEX(凭证录入!G:G,$AR730),"")</f>
        <v/>
      </c>
      <c r="D730" s="471" t="str">
        <f ca="1">IFERROR(INDEX(凭证录入!F:F,$AR730),"")</f>
        <v/>
      </c>
      <c r="E730" s="472" t="str">
        <f ca="1">IFERROR(INDEX(凭证录入!H:H,$AR730),$AR730)</f>
        <v/>
      </c>
      <c r="F730" s="473">
        <f ca="1">IF(OR($BG$2=0,$AR730=""),,IF($AR730="本月合计",IF(ROW()=$BG$3,SUM($F$6:$F729),SUM(INDIRECT("$F$"&amp;OFFSET($AU$3,,MATCH(ROW(),$AU$3:$BF$3,)-2)+2&amp;":$E"&amp;ROW()-1))),IF($AR730="本年累计",SUMIF($AR$6:$AR730,"本月合计",$F$6:$F729),INDEX(凭证录入!K:K,$AR730))))</f>
        <v>0</v>
      </c>
      <c r="G730" s="459" t="str">
        <f t="shared" ca="1" si="161"/>
        <v/>
      </c>
      <c r="H730" s="460" t="str">
        <f t="shared" ca="1" si="161"/>
        <v/>
      </c>
      <c r="I730" s="460" t="str">
        <f t="shared" ca="1" si="161"/>
        <v/>
      </c>
      <c r="J730" s="460" t="str">
        <f t="shared" ca="1" si="161"/>
        <v/>
      </c>
      <c r="K730" s="460" t="str">
        <f t="shared" ca="1" si="161"/>
        <v/>
      </c>
      <c r="L730" s="460" t="str">
        <f t="shared" ca="1" si="161"/>
        <v/>
      </c>
      <c r="M730" s="460" t="str">
        <f t="shared" ca="1" si="161"/>
        <v/>
      </c>
      <c r="N730" s="460" t="str">
        <f t="shared" ca="1" si="161"/>
        <v/>
      </c>
      <c r="O730" s="461" t="str">
        <f t="shared" ca="1" si="161"/>
        <v/>
      </c>
      <c r="P730" s="474" t="str">
        <f t="shared" ca="1" si="161"/>
        <v/>
      </c>
      <c r="Q730" s="475" t="str">
        <f t="shared" ca="1" si="161"/>
        <v/>
      </c>
      <c r="R730" s="476">
        <f ca="1">IF(OR($BG$2=0,$AR730=""),,IF($AR730="本月合计",IF(ROW()=$BG$3,SUM($R$6:$R729),SUM(INDIRECT("$R$"&amp;OFFSET($AU$3,,MATCH(ROW(),$AU$3:$BF$3,)-2)+2&amp;":$R"&amp;ROW()-1))),IF($AR730="本年累计",SUMIF($AR$6:$AR730,"本月合计",$R$6:$R729),INDEX(凭证录入!L:L,$AR730))))</f>
        <v>0</v>
      </c>
      <c r="S730" s="459" t="str">
        <f t="shared" ca="1" si="162"/>
        <v/>
      </c>
      <c r="T730" s="460" t="str">
        <f t="shared" ca="1" si="162"/>
        <v/>
      </c>
      <c r="U730" s="460" t="str">
        <f t="shared" ca="1" si="162"/>
        <v/>
      </c>
      <c r="V730" s="460" t="str">
        <f t="shared" ca="1" si="162"/>
        <v/>
      </c>
      <c r="W730" s="460" t="str">
        <f t="shared" ca="1" si="162"/>
        <v/>
      </c>
      <c r="X730" s="460" t="str">
        <f t="shared" ca="1" si="162"/>
        <v/>
      </c>
      <c r="Y730" s="460" t="str">
        <f t="shared" ca="1" si="162"/>
        <v/>
      </c>
      <c r="Z730" s="460" t="str">
        <f t="shared" ca="1" si="162"/>
        <v/>
      </c>
      <c r="AA730" s="461" t="str">
        <f t="shared" ca="1" si="162"/>
        <v/>
      </c>
      <c r="AB730" s="474" t="str">
        <f t="shared" ca="1" si="162"/>
        <v/>
      </c>
      <c r="AC730" s="475" t="str">
        <f t="shared" ca="1" si="162"/>
        <v/>
      </c>
      <c r="AD730" s="477" t="str">
        <f t="shared" ca="1" si="158"/>
        <v/>
      </c>
      <c r="AE730" s="478">
        <f t="shared" ca="1" si="159"/>
        <v>0</v>
      </c>
      <c r="AF730" s="459" t="str">
        <f t="shared" ca="1" si="160"/>
        <v/>
      </c>
      <c r="AG730" s="460" t="str">
        <f t="shared" ca="1" si="160"/>
        <v/>
      </c>
      <c r="AH730" s="460" t="str">
        <f t="shared" ca="1" si="160"/>
        <v/>
      </c>
      <c r="AI730" s="460" t="str">
        <f t="shared" ca="1" si="160"/>
        <v/>
      </c>
      <c r="AJ730" s="460" t="str">
        <f t="shared" ca="1" si="160"/>
        <v/>
      </c>
      <c r="AK730" s="460" t="str">
        <f t="shared" ca="1" si="160"/>
        <v/>
      </c>
      <c r="AL730" s="460" t="str">
        <f t="shared" ca="1" si="160"/>
        <v/>
      </c>
      <c r="AM730" s="460" t="str">
        <f t="shared" ca="1" si="160"/>
        <v/>
      </c>
      <c r="AN730" s="461" t="str">
        <f t="shared" ca="1" si="160"/>
        <v/>
      </c>
      <c r="AO730" s="474" t="str">
        <f t="shared" ca="1" si="160"/>
        <v/>
      </c>
      <c r="AP730" s="475" t="str">
        <f t="shared" ca="1" si="160"/>
        <v/>
      </c>
      <c r="AQ730" s="479" t="str">
        <f t="array" aca="1" ref="AQ730" ca="1">IF(ROW()-5&lt;=COUNTIF(科目编号,$AR$2),SMALL(IF(科目编号=$AR$2,ROW(科目编号),""),ROW()-5),"")</f>
        <v/>
      </c>
      <c r="AR730" s="480" t="str">
        <f ca="1">IF($BG$2=0,"",IF(AR729="本月合计","本年累计",IF(OR(ROW()=$AU$3,ROW()=$AV$3,ROW()=$AW$3,ROW()=$AX$3,ROW()=$AY$3,ROW()=$AZ$3,ROW()=$BA$3,ROW()=$BB$3,ROW()=$BC$3,ROW()=$BD$3,ROW()=$BE$3,ROW()=$BF$3),"本月合计",IF(ROW()&lt;7,$AQ$6,OFFSET($AQ$6,COUNT($AR$6:AR729),0)))))</f>
        <v/>
      </c>
    </row>
    <row r="731" spans="1:44">
      <c r="A731" s="469" t="str">
        <f ca="1">IFERROR(INDEX(凭证录入!A:A,$AR731),"")</f>
        <v/>
      </c>
      <c r="B731" s="469" t="str">
        <f ca="1">IFERROR(INDEX(凭证录入!B:B,$AR731),"")</f>
        <v/>
      </c>
      <c r="C731" s="470" t="str">
        <f ca="1">IFERROR(INDEX(凭证录入!G:G,$AR731),"")</f>
        <v/>
      </c>
      <c r="D731" s="471" t="str">
        <f ca="1">IFERROR(INDEX(凭证录入!F:F,$AR731),"")</f>
        <v/>
      </c>
      <c r="E731" s="472" t="str">
        <f ca="1">IFERROR(INDEX(凭证录入!H:H,$AR731),$AR731)</f>
        <v/>
      </c>
      <c r="F731" s="473">
        <f ca="1">IF(OR($BG$2=0,$AR731=""),,IF($AR731="本月合计",IF(ROW()=$BG$3,SUM($F$6:$F730),SUM(INDIRECT("$F$"&amp;OFFSET($AU$3,,MATCH(ROW(),$AU$3:$BF$3,)-2)+2&amp;":$E"&amp;ROW()-1))),IF($AR731="本年累计",SUMIF($AR$6:$AR731,"本月合计",$F$6:$F730),INDEX(凭证录入!K:K,$AR731))))</f>
        <v>0</v>
      </c>
      <c r="G731" s="459" t="str">
        <f t="shared" ca="1" si="161"/>
        <v/>
      </c>
      <c r="H731" s="460" t="str">
        <f t="shared" ca="1" si="161"/>
        <v/>
      </c>
      <c r="I731" s="460" t="str">
        <f t="shared" ca="1" si="161"/>
        <v/>
      </c>
      <c r="J731" s="460" t="str">
        <f t="shared" ca="1" si="161"/>
        <v/>
      </c>
      <c r="K731" s="460" t="str">
        <f t="shared" ca="1" si="161"/>
        <v/>
      </c>
      <c r="L731" s="460" t="str">
        <f t="shared" ca="1" si="161"/>
        <v/>
      </c>
      <c r="M731" s="460" t="str">
        <f t="shared" ca="1" si="161"/>
        <v/>
      </c>
      <c r="N731" s="460" t="str">
        <f t="shared" ca="1" si="161"/>
        <v/>
      </c>
      <c r="O731" s="461" t="str">
        <f t="shared" ca="1" si="161"/>
        <v/>
      </c>
      <c r="P731" s="474" t="str">
        <f t="shared" ca="1" si="161"/>
        <v/>
      </c>
      <c r="Q731" s="475" t="str">
        <f t="shared" ca="1" si="161"/>
        <v/>
      </c>
      <c r="R731" s="476">
        <f ca="1">IF(OR($BG$2=0,$AR731=""),,IF($AR731="本月合计",IF(ROW()=$BG$3,SUM($R$6:$R730),SUM(INDIRECT("$R$"&amp;OFFSET($AU$3,,MATCH(ROW(),$AU$3:$BF$3,)-2)+2&amp;":$R"&amp;ROW()-1))),IF($AR731="本年累计",SUMIF($AR$6:$AR731,"本月合计",$R$6:$R730),INDEX(凭证录入!L:L,$AR731))))</f>
        <v>0</v>
      </c>
      <c r="S731" s="459" t="str">
        <f t="shared" ca="1" si="162"/>
        <v/>
      </c>
      <c r="T731" s="460" t="str">
        <f t="shared" ca="1" si="162"/>
        <v/>
      </c>
      <c r="U731" s="460" t="str">
        <f t="shared" ca="1" si="162"/>
        <v/>
      </c>
      <c r="V731" s="460" t="str">
        <f t="shared" ca="1" si="162"/>
        <v/>
      </c>
      <c r="W731" s="460" t="str">
        <f t="shared" ca="1" si="162"/>
        <v/>
      </c>
      <c r="X731" s="460" t="str">
        <f t="shared" ca="1" si="162"/>
        <v/>
      </c>
      <c r="Y731" s="460" t="str">
        <f t="shared" ca="1" si="162"/>
        <v/>
      </c>
      <c r="Z731" s="460" t="str">
        <f t="shared" ca="1" si="162"/>
        <v/>
      </c>
      <c r="AA731" s="461" t="str">
        <f t="shared" ca="1" si="162"/>
        <v/>
      </c>
      <c r="AB731" s="474" t="str">
        <f t="shared" ca="1" si="162"/>
        <v/>
      </c>
      <c r="AC731" s="475" t="str">
        <f t="shared" ca="1" si="162"/>
        <v/>
      </c>
      <c r="AD731" s="477" t="str">
        <f t="shared" ca="1" si="158"/>
        <v/>
      </c>
      <c r="AE731" s="478">
        <f t="shared" ca="1" si="159"/>
        <v>0</v>
      </c>
      <c r="AF731" s="459" t="str">
        <f t="shared" ca="1" si="160"/>
        <v/>
      </c>
      <c r="AG731" s="460" t="str">
        <f t="shared" ca="1" si="160"/>
        <v/>
      </c>
      <c r="AH731" s="460" t="str">
        <f t="shared" ca="1" si="160"/>
        <v/>
      </c>
      <c r="AI731" s="460" t="str">
        <f t="shared" ca="1" si="160"/>
        <v/>
      </c>
      <c r="AJ731" s="460" t="str">
        <f t="shared" ca="1" si="160"/>
        <v/>
      </c>
      <c r="AK731" s="460" t="str">
        <f t="shared" ca="1" si="160"/>
        <v/>
      </c>
      <c r="AL731" s="460" t="str">
        <f t="shared" ca="1" si="160"/>
        <v/>
      </c>
      <c r="AM731" s="460" t="str">
        <f t="shared" ca="1" si="160"/>
        <v/>
      </c>
      <c r="AN731" s="461" t="str">
        <f t="shared" ca="1" si="160"/>
        <v/>
      </c>
      <c r="AO731" s="474" t="str">
        <f t="shared" ca="1" si="160"/>
        <v/>
      </c>
      <c r="AP731" s="475" t="str">
        <f t="shared" ca="1" si="160"/>
        <v/>
      </c>
      <c r="AQ731" s="479" t="str">
        <f t="array" aca="1" ref="AQ731" ca="1">IF(ROW()-5&lt;=COUNTIF(科目编号,$AR$2),SMALL(IF(科目编号=$AR$2,ROW(科目编号),""),ROW()-5),"")</f>
        <v/>
      </c>
      <c r="AR731" s="480" t="str">
        <f ca="1">IF($BG$2=0,"",IF(AR730="本月合计","本年累计",IF(OR(ROW()=$AU$3,ROW()=$AV$3,ROW()=$AW$3,ROW()=$AX$3,ROW()=$AY$3,ROW()=$AZ$3,ROW()=$BA$3,ROW()=$BB$3,ROW()=$BC$3,ROW()=$BD$3,ROW()=$BE$3,ROW()=$BF$3),"本月合计",IF(ROW()&lt;7,$AQ$6,OFFSET($AQ$6,COUNT($AR$6:AR730),0)))))</f>
        <v/>
      </c>
    </row>
    <row r="732" spans="1:44">
      <c r="A732" s="469" t="str">
        <f ca="1">IFERROR(INDEX(凭证录入!A:A,$AR732),"")</f>
        <v/>
      </c>
      <c r="B732" s="469" t="str">
        <f ca="1">IFERROR(INDEX(凭证录入!B:B,$AR732),"")</f>
        <v/>
      </c>
      <c r="C732" s="470" t="str">
        <f ca="1">IFERROR(INDEX(凭证录入!G:G,$AR732),"")</f>
        <v/>
      </c>
      <c r="D732" s="471" t="str">
        <f ca="1">IFERROR(INDEX(凭证录入!F:F,$AR732),"")</f>
        <v/>
      </c>
      <c r="E732" s="472" t="str">
        <f ca="1">IFERROR(INDEX(凭证录入!H:H,$AR732),$AR732)</f>
        <v/>
      </c>
      <c r="F732" s="473">
        <f ca="1">IF(OR($BG$2=0,$AR732=""),,IF($AR732="本月合计",IF(ROW()=$BG$3,SUM($F$6:$F731),SUM(INDIRECT("$F$"&amp;OFFSET($AU$3,,MATCH(ROW(),$AU$3:$BF$3,)-2)+2&amp;":$E"&amp;ROW()-1))),IF($AR732="本年累计",SUMIF($AR$6:$AR732,"本月合计",$F$6:$F731),INDEX(凭证录入!K:K,$AR732))))</f>
        <v>0</v>
      </c>
      <c r="G732" s="459" t="str">
        <f t="shared" ca="1" si="161"/>
        <v/>
      </c>
      <c r="H732" s="460" t="str">
        <f t="shared" ca="1" si="161"/>
        <v/>
      </c>
      <c r="I732" s="460" t="str">
        <f t="shared" ca="1" si="161"/>
        <v/>
      </c>
      <c r="J732" s="460" t="str">
        <f t="shared" ca="1" si="161"/>
        <v/>
      </c>
      <c r="K732" s="460" t="str">
        <f t="shared" ca="1" si="161"/>
        <v/>
      </c>
      <c r="L732" s="460" t="str">
        <f t="shared" ca="1" si="161"/>
        <v/>
      </c>
      <c r="M732" s="460" t="str">
        <f t="shared" ca="1" si="161"/>
        <v/>
      </c>
      <c r="N732" s="460" t="str">
        <f t="shared" ca="1" si="161"/>
        <v/>
      </c>
      <c r="O732" s="461" t="str">
        <f t="shared" ca="1" si="161"/>
        <v/>
      </c>
      <c r="P732" s="474" t="str">
        <f t="shared" ca="1" si="161"/>
        <v/>
      </c>
      <c r="Q732" s="475" t="str">
        <f t="shared" ca="1" si="161"/>
        <v/>
      </c>
      <c r="R732" s="476">
        <f ca="1">IF(OR($BG$2=0,$AR732=""),,IF($AR732="本月合计",IF(ROW()=$BG$3,SUM($R$6:$R731),SUM(INDIRECT("$R$"&amp;OFFSET($AU$3,,MATCH(ROW(),$AU$3:$BF$3,)-2)+2&amp;":$R"&amp;ROW()-1))),IF($AR732="本年累计",SUMIF($AR$6:$AR732,"本月合计",$R$6:$R731),INDEX(凭证录入!L:L,$AR732))))</f>
        <v>0</v>
      </c>
      <c r="S732" s="459" t="str">
        <f t="shared" ca="1" si="162"/>
        <v/>
      </c>
      <c r="T732" s="460" t="str">
        <f t="shared" ca="1" si="162"/>
        <v/>
      </c>
      <c r="U732" s="460" t="str">
        <f t="shared" ca="1" si="162"/>
        <v/>
      </c>
      <c r="V732" s="460" t="str">
        <f t="shared" ca="1" si="162"/>
        <v/>
      </c>
      <c r="W732" s="460" t="str">
        <f t="shared" ca="1" si="162"/>
        <v/>
      </c>
      <c r="X732" s="460" t="str">
        <f t="shared" ca="1" si="162"/>
        <v/>
      </c>
      <c r="Y732" s="460" t="str">
        <f t="shared" ca="1" si="162"/>
        <v/>
      </c>
      <c r="Z732" s="460" t="str">
        <f t="shared" ca="1" si="162"/>
        <v/>
      </c>
      <c r="AA732" s="461" t="str">
        <f t="shared" ca="1" si="162"/>
        <v/>
      </c>
      <c r="AB732" s="474" t="str">
        <f t="shared" ca="1" si="162"/>
        <v/>
      </c>
      <c r="AC732" s="475" t="str">
        <f t="shared" ca="1" si="162"/>
        <v/>
      </c>
      <c r="AD732" s="477" t="str">
        <f t="shared" ca="1" si="158"/>
        <v/>
      </c>
      <c r="AE732" s="478">
        <f t="shared" ca="1" si="159"/>
        <v>0</v>
      </c>
      <c r="AF732" s="459" t="str">
        <f t="shared" ca="1" si="160"/>
        <v/>
      </c>
      <c r="AG732" s="460" t="str">
        <f t="shared" ca="1" si="160"/>
        <v/>
      </c>
      <c r="AH732" s="460" t="str">
        <f t="shared" ca="1" si="160"/>
        <v/>
      </c>
      <c r="AI732" s="460" t="str">
        <f t="shared" ca="1" si="160"/>
        <v/>
      </c>
      <c r="AJ732" s="460" t="str">
        <f t="shared" ca="1" si="160"/>
        <v/>
      </c>
      <c r="AK732" s="460" t="str">
        <f t="shared" ca="1" si="160"/>
        <v/>
      </c>
      <c r="AL732" s="460" t="str">
        <f t="shared" ca="1" si="160"/>
        <v/>
      </c>
      <c r="AM732" s="460" t="str">
        <f t="shared" ca="1" si="160"/>
        <v/>
      </c>
      <c r="AN732" s="461" t="str">
        <f t="shared" ca="1" si="160"/>
        <v/>
      </c>
      <c r="AO732" s="474" t="str">
        <f t="shared" ca="1" si="160"/>
        <v/>
      </c>
      <c r="AP732" s="475" t="str">
        <f t="shared" ca="1" si="160"/>
        <v/>
      </c>
      <c r="AQ732" s="479" t="str">
        <f t="array" aca="1" ref="AQ732" ca="1">IF(ROW()-5&lt;=COUNTIF(科目编号,$AR$2),SMALL(IF(科目编号=$AR$2,ROW(科目编号),""),ROW()-5),"")</f>
        <v/>
      </c>
      <c r="AR732" s="480" t="str">
        <f ca="1">IF($BG$2=0,"",IF(AR731="本月合计","本年累计",IF(OR(ROW()=$AU$3,ROW()=$AV$3,ROW()=$AW$3,ROW()=$AX$3,ROW()=$AY$3,ROW()=$AZ$3,ROW()=$BA$3,ROW()=$BB$3,ROW()=$BC$3,ROW()=$BD$3,ROW()=$BE$3,ROW()=$BF$3),"本月合计",IF(ROW()&lt;7,$AQ$6,OFFSET($AQ$6,COUNT($AR$6:AR731),0)))))</f>
        <v/>
      </c>
    </row>
    <row r="733" spans="1:44">
      <c r="A733" s="469" t="str">
        <f ca="1">IFERROR(INDEX(凭证录入!A:A,$AR733),"")</f>
        <v/>
      </c>
      <c r="B733" s="469" t="str">
        <f ca="1">IFERROR(INDEX(凭证录入!B:B,$AR733),"")</f>
        <v/>
      </c>
      <c r="C733" s="470" t="str">
        <f ca="1">IFERROR(INDEX(凭证录入!G:G,$AR733),"")</f>
        <v/>
      </c>
      <c r="D733" s="471" t="str">
        <f ca="1">IFERROR(INDEX(凭证录入!F:F,$AR733),"")</f>
        <v/>
      </c>
      <c r="E733" s="472" t="str">
        <f ca="1">IFERROR(INDEX(凭证录入!H:H,$AR733),$AR733)</f>
        <v/>
      </c>
      <c r="F733" s="473">
        <f ca="1">IF(OR($BG$2=0,$AR733=""),,IF($AR733="本月合计",IF(ROW()=$BG$3,SUM($F$6:$F732),SUM(INDIRECT("$F$"&amp;OFFSET($AU$3,,MATCH(ROW(),$AU$3:$BF$3,)-2)+2&amp;":$E"&amp;ROW()-1))),IF($AR733="本年累计",SUMIF($AR$6:$AR733,"本月合计",$F$6:$F732),INDEX(凭证录入!K:K,$AR733))))</f>
        <v>0</v>
      </c>
      <c r="G733" s="459" t="str">
        <f t="shared" ca="1" si="161"/>
        <v/>
      </c>
      <c r="H733" s="460" t="str">
        <f t="shared" ca="1" si="161"/>
        <v/>
      </c>
      <c r="I733" s="460" t="str">
        <f t="shared" ca="1" si="161"/>
        <v/>
      </c>
      <c r="J733" s="460" t="str">
        <f t="shared" ca="1" si="161"/>
        <v/>
      </c>
      <c r="K733" s="460" t="str">
        <f t="shared" ca="1" si="161"/>
        <v/>
      </c>
      <c r="L733" s="460" t="str">
        <f t="shared" ca="1" si="161"/>
        <v/>
      </c>
      <c r="M733" s="460" t="str">
        <f t="shared" ca="1" si="161"/>
        <v/>
      </c>
      <c r="N733" s="460" t="str">
        <f t="shared" ca="1" si="161"/>
        <v/>
      </c>
      <c r="O733" s="461" t="str">
        <f t="shared" ca="1" si="161"/>
        <v/>
      </c>
      <c r="P733" s="474" t="str">
        <f t="shared" ca="1" si="161"/>
        <v/>
      </c>
      <c r="Q733" s="475" t="str">
        <f t="shared" ca="1" si="161"/>
        <v/>
      </c>
      <c r="R733" s="476">
        <f ca="1">IF(OR($BG$2=0,$AR733=""),,IF($AR733="本月合计",IF(ROW()=$BG$3,SUM($R$6:$R732),SUM(INDIRECT("$R$"&amp;OFFSET($AU$3,,MATCH(ROW(),$AU$3:$BF$3,)-2)+2&amp;":$R"&amp;ROW()-1))),IF($AR733="本年累计",SUMIF($AR$6:$AR733,"本月合计",$R$6:$R732),INDEX(凭证录入!L:L,$AR733))))</f>
        <v>0</v>
      </c>
      <c r="S733" s="459" t="str">
        <f t="shared" ca="1" si="162"/>
        <v/>
      </c>
      <c r="T733" s="460" t="str">
        <f t="shared" ca="1" si="162"/>
        <v/>
      </c>
      <c r="U733" s="460" t="str">
        <f t="shared" ca="1" si="162"/>
        <v/>
      </c>
      <c r="V733" s="460" t="str">
        <f t="shared" ca="1" si="162"/>
        <v/>
      </c>
      <c r="W733" s="460" t="str">
        <f t="shared" ca="1" si="162"/>
        <v/>
      </c>
      <c r="X733" s="460" t="str">
        <f t="shared" ca="1" si="162"/>
        <v/>
      </c>
      <c r="Y733" s="460" t="str">
        <f t="shared" ca="1" si="162"/>
        <v/>
      </c>
      <c r="Z733" s="460" t="str">
        <f t="shared" ca="1" si="162"/>
        <v/>
      </c>
      <c r="AA733" s="461" t="str">
        <f t="shared" ca="1" si="162"/>
        <v/>
      </c>
      <c r="AB733" s="474" t="str">
        <f t="shared" ca="1" si="162"/>
        <v/>
      </c>
      <c r="AC733" s="475" t="str">
        <f t="shared" ca="1" si="162"/>
        <v/>
      </c>
      <c r="AD733" s="477" t="str">
        <f t="shared" ca="1" si="158"/>
        <v/>
      </c>
      <c r="AE733" s="478">
        <f t="shared" ca="1" si="159"/>
        <v>0</v>
      </c>
      <c r="AF733" s="459" t="str">
        <f t="shared" ca="1" si="160"/>
        <v/>
      </c>
      <c r="AG733" s="460" t="str">
        <f t="shared" ca="1" si="160"/>
        <v/>
      </c>
      <c r="AH733" s="460" t="str">
        <f t="shared" ca="1" si="160"/>
        <v/>
      </c>
      <c r="AI733" s="460" t="str">
        <f t="shared" ca="1" si="160"/>
        <v/>
      </c>
      <c r="AJ733" s="460" t="str">
        <f t="shared" ca="1" si="160"/>
        <v/>
      </c>
      <c r="AK733" s="460" t="str">
        <f t="shared" ca="1" si="160"/>
        <v/>
      </c>
      <c r="AL733" s="460" t="str">
        <f t="shared" ca="1" si="160"/>
        <v/>
      </c>
      <c r="AM733" s="460" t="str">
        <f t="shared" ca="1" si="160"/>
        <v/>
      </c>
      <c r="AN733" s="461" t="str">
        <f t="shared" ca="1" si="160"/>
        <v/>
      </c>
      <c r="AO733" s="474" t="str">
        <f t="shared" ca="1" si="160"/>
        <v/>
      </c>
      <c r="AP733" s="475" t="str">
        <f t="shared" ca="1" si="160"/>
        <v/>
      </c>
      <c r="AQ733" s="479" t="str">
        <f t="array" aca="1" ref="AQ733" ca="1">IF(ROW()-5&lt;=COUNTIF(科目编号,$AR$2),SMALL(IF(科目编号=$AR$2,ROW(科目编号),""),ROW()-5),"")</f>
        <v/>
      </c>
      <c r="AR733" s="480" t="str">
        <f ca="1">IF($BG$2=0,"",IF(AR732="本月合计","本年累计",IF(OR(ROW()=$AU$3,ROW()=$AV$3,ROW()=$AW$3,ROW()=$AX$3,ROW()=$AY$3,ROW()=$AZ$3,ROW()=$BA$3,ROW()=$BB$3,ROW()=$BC$3,ROW()=$BD$3,ROW()=$BE$3,ROW()=$BF$3),"本月合计",IF(ROW()&lt;7,$AQ$6,OFFSET($AQ$6,COUNT($AR$6:AR732),0)))))</f>
        <v/>
      </c>
    </row>
    <row r="734" spans="1:44">
      <c r="A734" s="469" t="str">
        <f ca="1">IFERROR(INDEX(凭证录入!A:A,$AR734),"")</f>
        <v/>
      </c>
      <c r="B734" s="469" t="str">
        <f ca="1">IFERROR(INDEX(凭证录入!B:B,$AR734),"")</f>
        <v/>
      </c>
      <c r="C734" s="470" t="str">
        <f ca="1">IFERROR(INDEX(凭证录入!G:G,$AR734),"")</f>
        <v/>
      </c>
      <c r="D734" s="471" t="str">
        <f ca="1">IFERROR(INDEX(凭证录入!F:F,$AR734),"")</f>
        <v/>
      </c>
      <c r="E734" s="472" t="str">
        <f ca="1">IFERROR(INDEX(凭证录入!H:H,$AR734),$AR734)</f>
        <v/>
      </c>
      <c r="F734" s="473">
        <f ca="1">IF(OR($BG$2=0,$AR734=""),,IF($AR734="本月合计",IF(ROW()=$BG$3,SUM($F$6:$F733),SUM(INDIRECT("$F$"&amp;OFFSET($AU$3,,MATCH(ROW(),$AU$3:$BF$3,)-2)+2&amp;":$E"&amp;ROW()-1))),IF($AR734="本年累计",SUMIF($AR$6:$AR734,"本月合计",$F$6:$F733),INDEX(凭证录入!K:K,$AR734))))</f>
        <v>0</v>
      </c>
      <c r="G734" s="459" t="str">
        <f t="shared" ca="1" si="161"/>
        <v/>
      </c>
      <c r="H734" s="460" t="str">
        <f t="shared" ca="1" si="161"/>
        <v/>
      </c>
      <c r="I734" s="460" t="str">
        <f t="shared" ca="1" si="161"/>
        <v/>
      </c>
      <c r="J734" s="460" t="str">
        <f t="shared" ca="1" si="161"/>
        <v/>
      </c>
      <c r="K734" s="460" t="str">
        <f t="shared" ca="1" si="161"/>
        <v/>
      </c>
      <c r="L734" s="460" t="str">
        <f t="shared" ca="1" si="161"/>
        <v/>
      </c>
      <c r="M734" s="460" t="str">
        <f t="shared" ca="1" si="161"/>
        <v/>
      </c>
      <c r="N734" s="460" t="str">
        <f t="shared" ca="1" si="161"/>
        <v/>
      </c>
      <c r="O734" s="461" t="str">
        <f t="shared" ca="1" si="161"/>
        <v/>
      </c>
      <c r="P734" s="474" t="str">
        <f t="shared" ca="1" si="161"/>
        <v/>
      </c>
      <c r="Q734" s="475" t="str">
        <f t="shared" ca="1" si="161"/>
        <v/>
      </c>
      <c r="R734" s="476">
        <f ca="1">IF(OR($BG$2=0,$AR734=""),,IF($AR734="本月合计",IF(ROW()=$BG$3,SUM($R$6:$R733),SUM(INDIRECT("$R$"&amp;OFFSET($AU$3,,MATCH(ROW(),$AU$3:$BF$3,)-2)+2&amp;":$R"&amp;ROW()-1))),IF($AR734="本年累计",SUMIF($AR$6:$AR734,"本月合计",$R$6:$R733),INDEX(凭证录入!L:L,$AR734))))</f>
        <v>0</v>
      </c>
      <c r="S734" s="459" t="str">
        <f t="shared" ca="1" si="162"/>
        <v/>
      </c>
      <c r="T734" s="460" t="str">
        <f t="shared" ca="1" si="162"/>
        <v/>
      </c>
      <c r="U734" s="460" t="str">
        <f t="shared" ca="1" si="162"/>
        <v/>
      </c>
      <c r="V734" s="460" t="str">
        <f t="shared" ca="1" si="162"/>
        <v/>
      </c>
      <c r="W734" s="460" t="str">
        <f t="shared" ca="1" si="162"/>
        <v/>
      </c>
      <c r="X734" s="460" t="str">
        <f t="shared" ca="1" si="162"/>
        <v/>
      </c>
      <c r="Y734" s="460" t="str">
        <f t="shared" ca="1" si="162"/>
        <v/>
      </c>
      <c r="Z734" s="460" t="str">
        <f t="shared" ca="1" si="162"/>
        <v/>
      </c>
      <c r="AA734" s="461" t="str">
        <f t="shared" ca="1" si="162"/>
        <v/>
      </c>
      <c r="AB734" s="474" t="str">
        <f t="shared" ca="1" si="162"/>
        <v/>
      </c>
      <c r="AC734" s="475" t="str">
        <f t="shared" ca="1" si="162"/>
        <v/>
      </c>
      <c r="AD734" s="477" t="str">
        <f t="shared" ca="1" si="158"/>
        <v/>
      </c>
      <c r="AE734" s="478">
        <f t="shared" ca="1" si="159"/>
        <v>0</v>
      </c>
      <c r="AF734" s="459" t="str">
        <f t="shared" ca="1" si="160"/>
        <v/>
      </c>
      <c r="AG734" s="460" t="str">
        <f t="shared" ca="1" si="160"/>
        <v/>
      </c>
      <c r="AH734" s="460" t="str">
        <f t="shared" ca="1" si="160"/>
        <v/>
      </c>
      <c r="AI734" s="460" t="str">
        <f t="shared" ca="1" si="160"/>
        <v/>
      </c>
      <c r="AJ734" s="460" t="str">
        <f t="shared" ca="1" si="160"/>
        <v/>
      </c>
      <c r="AK734" s="460" t="str">
        <f t="shared" ca="1" si="160"/>
        <v/>
      </c>
      <c r="AL734" s="460" t="str">
        <f t="shared" ca="1" si="160"/>
        <v/>
      </c>
      <c r="AM734" s="460" t="str">
        <f t="shared" ca="1" si="160"/>
        <v/>
      </c>
      <c r="AN734" s="461" t="str">
        <f t="shared" ca="1" si="160"/>
        <v/>
      </c>
      <c r="AO734" s="474" t="str">
        <f t="shared" ca="1" si="160"/>
        <v/>
      </c>
      <c r="AP734" s="475" t="str">
        <f t="shared" ca="1" si="160"/>
        <v/>
      </c>
      <c r="AQ734" s="479" t="str">
        <f t="array" aca="1" ref="AQ734" ca="1">IF(ROW()-5&lt;=COUNTIF(科目编号,$AR$2),SMALL(IF(科目编号=$AR$2,ROW(科目编号),""),ROW()-5),"")</f>
        <v/>
      </c>
      <c r="AR734" s="480" t="str">
        <f ca="1">IF($BG$2=0,"",IF(AR733="本月合计","本年累计",IF(OR(ROW()=$AU$3,ROW()=$AV$3,ROW()=$AW$3,ROW()=$AX$3,ROW()=$AY$3,ROW()=$AZ$3,ROW()=$BA$3,ROW()=$BB$3,ROW()=$BC$3,ROW()=$BD$3,ROW()=$BE$3,ROW()=$BF$3),"本月合计",IF(ROW()&lt;7,$AQ$6,OFFSET($AQ$6,COUNT($AR$6:AR733),0)))))</f>
        <v/>
      </c>
    </row>
    <row r="735" spans="1:44">
      <c r="A735" s="469" t="str">
        <f ca="1">IFERROR(INDEX(凭证录入!A:A,$AR735),"")</f>
        <v/>
      </c>
      <c r="B735" s="469" t="str">
        <f ca="1">IFERROR(INDEX(凭证录入!B:B,$AR735),"")</f>
        <v/>
      </c>
      <c r="C735" s="470" t="str">
        <f ca="1">IFERROR(INDEX(凭证录入!G:G,$AR735),"")</f>
        <v/>
      </c>
      <c r="D735" s="471" t="str">
        <f ca="1">IFERROR(INDEX(凭证录入!F:F,$AR735),"")</f>
        <v/>
      </c>
      <c r="E735" s="472" t="str">
        <f ca="1">IFERROR(INDEX(凭证录入!H:H,$AR735),$AR735)</f>
        <v/>
      </c>
      <c r="F735" s="473">
        <f ca="1">IF(OR($BG$2=0,$AR735=""),,IF($AR735="本月合计",IF(ROW()=$BG$3,SUM($F$6:$F734),SUM(INDIRECT("$F$"&amp;OFFSET($AU$3,,MATCH(ROW(),$AU$3:$BF$3,)-2)+2&amp;":$E"&amp;ROW()-1))),IF($AR735="本年累计",SUMIF($AR$6:$AR735,"本月合计",$F$6:$F734),INDEX(凭证录入!K:K,$AR735))))</f>
        <v>0</v>
      </c>
      <c r="G735" s="459" t="str">
        <f t="shared" ca="1" si="161"/>
        <v/>
      </c>
      <c r="H735" s="460" t="str">
        <f t="shared" ca="1" si="161"/>
        <v/>
      </c>
      <c r="I735" s="460" t="str">
        <f t="shared" ca="1" si="161"/>
        <v/>
      </c>
      <c r="J735" s="460" t="str">
        <f t="shared" ca="1" si="161"/>
        <v/>
      </c>
      <c r="K735" s="460" t="str">
        <f t="shared" ca="1" si="161"/>
        <v/>
      </c>
      <c r="L735" s="460" t="str">
        <f t="shared" ca="1" si="161"/>
        <v/>
      </c>
      <c r="M735" s="460" t="str">
        <f t="shared" ca="1" si="161"/>
        <v/>
      </c>
      <c r="N735" s="460" t="str">
        <f t="shared" ca="1" si="161"/>
        <v/>
      </c>
      <c r="O735" s="461" t="str">
        <f t="shared" ca="1" si="161"/>
        <v/>
      </c>
      <c r="P735" s="474" t="str">
        <f t="shared" ca="1" si="161"/>
        <v/>
      </c>
      <c r="Q735" s="475" t="str">
        <f t="shared" ca="1" si="161"/>
        <v/>
      </c>
      <c r="R735" s="476">
        <f ca="1">IF(OR($BG$2=0,$AR735=""),,IF($AR735="本月合计",IF(ROW()=$BG$3,SUM($R$6:$R734),SUM(INDIRECT("$R$"&amp;OFFSET($AU$3,,MATCH(ROW(),$AU$3:$BF$3,)-2)+2&amp;":$R"&amp;ROW()-1))),IF($AR735="本年累计",SUMIF($AR$6:$AR735,"本月合计",$R$6:$R734),INDEX(凭证录入!L:L,$AR735))))</f>
        <v>0</v>
      </c>
      <c r="S735" s="459" t="str">
        <f t="shared" ca="1" si="162"/>
        <v/>
      </c>
      <c r="T735" s="460" t="str">
        <f t="shared" ca="1" si="162"/>
        <v/>
      </c>
      <c r="U735" s="460" t="str">
        <f t="shared" ca="1" si="162"/>
        <v/>
      </c>
      <c r="V735" s="460" t="str">
        <f t="shared" ca="1" si="162"/>
        <v/>
      </c>
      <c r="W735" s="460" t="str">
        <f t="shared" ca="1" si="162"/>
        <v/>
      </c>
      <c r="X735" s="460" t="str">
        <f t="shared" ca="1" si="162"/>
        <v/>
      </c>
      <c r="Y735" s="460" t="str">
        <f t="shared" ca="1" si="162"/>
        <v/>
      </c>
      <c r="Z735" s="460" t="str">
        <f t="shared" ca="1" si="162"/>
        <v/>
      </c>
      <c r="AA735" s="461" t="str">
        <f t="shared" ca="1" si="162"/>
        <v/>
      </c>
      <c r="AB735" s="474" t="str">
        <f t="shared" ca="1" si="162"/>
        <v/>
      </c>
      <c r="AC735" s="475" t="str">
        <f t="shared" ca="1" si="162"/>
        <v/>
      </c>
      <c r="AD735" s="477" t="str">
        <f t="shared" ca="1" si="158"/>
        <v/>
      </c>
      <c r="AE735" s="478">
        <f t="shared" ca="1" si="159"/>
        <v>0</v>
      </c>
      <c r="AF735" s="459" t="str">
        <f t="shared" ca="1" si="160"/>
        <v/>
      </c>
      <c r="AG735" s="460" t="str">
        <f t="shared" ca="1" si="160"/>
        <v/>
      </c>
      <c r="AH735" s="460" t="str">
        <f t="shared" ca="1" si="160"/>
        <v/>
      </c>
      <c r="AI735" s="460" t="str">
        <f t="shared" ca="1" si="160"/>
        <v/>
      </c>
      <c r="AJ735" s="460" t="str">
        <f t="shared" ca="1" si="160"/>
        <v/>
      </c>
      <c r="AK735" s="460" t="str">
        <f t="shared" ca="1" si="160"/>
        <v/>
      </c>
      <c r="AL735" s="460" t="str">
        <f t="shared" ca="1" si="160"/>
        <v/>
      </c>
      <c r="AM735" s="460" t="str">
        <f t="shared" ca="1" si="160"/>
        <v/>
      </c>
      <c r="AN735" s="461" t="str">
        <f t="shared" ca="1" si="160"/>
        <v/>
      </c>
      <c r="AO735" s="474" t="str">
        <f t="shared" ca="1" si="160"/>
        <v/>
      </c>
      <c r="AP735" s="475" t="str">
        <f t="shared" ca="1" si="160"/>
        <v/>
      </c>
      <c r="AQ735" s="479" t="str">
        <f t="array" aca="1" ref="AQ735" ca="1">IF(ROW()-5&lt;=COUNTIF(科目编号,$AR$2),SMALL(IF(科目编号=$AR$2,ROW(科目编号),""),ROW()-5),"")</f>
        <v/>
      </c>
      <c r="AR735" s="480" t="str">
        <f ca="1">IF($BG$2=0,"",IF(AR734="本月合计","本年累计",IF(OR(ROW()=$AU$3,ROW()=$AV$3,ROW()=$AW$3,ROW()=$AX$3,ROW()=$AY$3,ROW()=$AZ$3,ROW()=$BA$3,ROW()=$BB$3,ROW()=$BC$3,ROW()=$BD$3,ROW()=$BE$3,ROW()=$BF$3),"本月合计",IF(ROW()&lt;7,$AQ$6,OFFSET($AQ$6,COUNT($AR$6:AR734),0)))))</f>
        <v/>
      </c>
    </row>
    <row r="736" spans="1:44">
      <c r="A736" s="469" t="str">
        <f ca="1">IFERROR(INDEX(凭证录入!A:A,$AR736),"")</f>
        <v/>
      </c>
      <c r="B736" s="469" t="str">
        <f ca="1">IFERROR(INDEX(凭证录入!B:B,$AR736),"")</f>
        <v/>
      </c>
      <c r="C736" s="470" t="str">
        <f ca="1">IFERROR(INDEX(凭证录入!G:G,$AR736),"")</f>
        <v/>
      </c>
      <c r="D736" s="471" t="str">
        <f ca="1">IFERROR(INDEX(凭证录入!F:F,$AR736),"")</f>
        <v/>
      </c>
      <c r="E736" s="472" t="str">
        <f ca="1">IFERROR(INDEX(凭证录入!H:H,$AR736),$AR736)</f>
        <v/>
      </c>
      <c r="F736" s="473">
        <f ca="1">IF(OR($BG$2=0,$AR736=""),,IF($AR736="本月合计",IF(ROW()=$BG$3,SUM($F$6:$F735),SUM(INDIRECT("$F$"&amp;OFFSET($AU$3,,MATCH(ROW(),$AU$3:$BF$3,)-2)+2&amp;":$E"&amp;ROW()-1))),IF($AR736="本年累计",SUMIF($AR$6:$AR736,"本月合计",$F$6:$F735),INDEX(凭证录入!K:K,$AR736))))</f>
        <v>0</v>
      </c>
      <c r="G736" s="459" t="str">
        <f t="shared" ca="1" si="161"/>
        <v/>
      </c>
      <c r="H736" s="460" t="str">
        <f t="shared" ca="1" si="161"/>
        <v/>
      </c>
      <c r="I736" s="460" t="str">
        <f t="shared" ca="1" si="161"/>
        <v/>
      </c>
      <c r="J736" s="460" t="str">
        <f t="shared" ca="1" si="161"/>
        <v/>
      </c>
      <c r="K736" s="460" t="str">
        <f t="shared" ca="1" si="161"/>
        <v/>
      </c>
      <c r="L736" s="460" t="str">
        <f t="shared" ca="1" si="161"/>
        <v/>
      </c>
      <c r="M736" s="460" t="str">
        <f t="shared" ca="1" si="161"/>
        <v/>
      </c>
      <c r="N736" s="460" t="str">
        <f t="shared" ca="1" si="161"/>
        <v/>
      </c>
      <c r="O736" s="461" t="str">
        <f t="shared" ca="1" si="161"/>
        <v/>
      </c>
      <c r="P736" s="474" t="str">
        <f t="shared" ca="1" si="161"/>
        <v/>
      </c>
      <c r="Q736" s="475" t="str">
        <f t="shared" ca="1" si="161"/>
        <v/>
      </c>
      <c r="R736" s="476">
        <f ca="1">IF(OR($BG$2=0,$AR736=""),,IF($AR736="本月合计",IF(ROW()=$BG$3,SUM($R$6:$R735),SUM(INDIRECT("$R$"&amp;OFFSET($AU$3,,MATCH(ROW(),$AU$3:$BF$3,)-2)+2&amp;":$R"&amp;ROW()-1))),IF($AR736="本年累计",SUMIF($AR$6:$AR736,"本月合计",$R$6:$R735),INDEX(凭证录入!L:L,$AR736))))</f>
        <v>0</v>
      </c>
      <c r="S736" s="459" t="str">
        <f t="shared" ca="1" si="162"/>
        <v/>
      </c>
      <c r="T736" s="460" t="str">
        <f t="shared" ca="1" si="162"/>
        <v/>
      </c>
      <c r="U736" s="460" t="str">
        <f t="shared" ca="1" si="162"/>
        <v/>
      </c>
      <c r="V736" s="460" t="str">
        <f t="shared" ca="1" si="162"/>
        <v/>
      </c>
      <c r="W736" s="460" t="str">
        <f t="shared" ca="1" si="162"/>
        <v/>
      </c>
      <c r="X736" s="460" t="str">
        <f t="shared" ca="1" si="162"/>
        <v/>
      </c>
      <c r="Y736" s="460" t="str">
        <f t="shared" ca="1" si="162"/>
        <v/>
      </c>
      <c r="Z736" s="460" t="str">
        <f t="shared" ca="1" si="162"/>
        <v/>
      </c>
      <c r="AA736" s="461" t="str">
        <f t="shared" ca="1" si="162"/>
        <v/>
      </c>
      <c r="AB736" s="474" t="str">
        <f t="shared" ca="1" si="162"/>
        <v/>
      </c>
      <c r="AC736" s="475" t="str">
        <f t="shared" ca="1" si="162"/>
        <v/>
      </c>
      <c r="AD736" s="477" t="str">
        <f t="shared" ca="1" si="158"/>
        <v/>
      </c>
      <c r="AE736" s="478">
        <f t="shared" ca="1" si="159"/>
        <v>0</v>
      </c>
      <c r="AF736" s="459" t="str">
        <f t="shared" ca="1" si="160"/>
        <v/>
      </c>
      <c r="AG736" s="460" t="str">
        <f t="shared" ca="1" si="160"/>
        <v/>
      </c>
      <c r="AH736" s="460" t="str">
        <f t="shared" ca="1" si="160"/>
        <v/>
      </c>
      <c r="AI736" s="460" t="str">
        <f t="shared" ca="1" si="160"/>
        <v/>
      </c>
      <c r="AJ736" s="460" t="str">
        <f t="shared" ca="1" si="160"/>
        <v/>
      </c>
      <c r="AK736" s="460" t="str">
        <f t="shared" ca="1" si="160"/>
        <v/>
      </c>
      <c r="AL736" s="460" t="str">
        <f t="shared" ca="1" si="160"/>
        <v/>
      </c>
      <c r="AM736" s="460" t="str">
        <f t="shared" ca="1" si="160"/>
        <v/>
      </c>
      <c r="AN736" s="461" t="str">
        <f t="shared" ca="1" si="160"/>
        <v/>
      </c>
      <c r="AO736" s="474" t="str">
        <f t="shared" ca="1" si="160"/>
        <v/>
      </c>
      <c r="AP736" s="475" t="str">
        <f t="shared" ca="1" si="160"/>
        <v/>
      </c>
      <c r="AQ736" s="479" t="str">
        <f t="array" aca="1" ref="AQ736" ca="1">IF(ROW()-5&lt;=COUNTIF(科目编号,$AR$2),SMALL(IF(科目编号=$AR$2,ROW(科目编号),""),ROW()-5),"")</f>
        <v/>
      </c>
      <c r="AR736" s="480" t="str">
        <f ca="1">IF($BG$2=0,"",IF(AR735="本月合计","本年累计",IF(OR(ROW()=$AU$3,ROW()=$AV$3,ROW()=$AW$3,ROW()=$AX$3,ROW()=$AY$3,ROW()=$AZ$3,ROW()=$BA$3,ROW()=$BB$3,ROW()=$BC$3,ROW()=$BD$3,ROW()=$BE$3,ROW()=$BF$3),"本月合计",IF(ROW()&lt;7,$AQ$6,OFFSET($AQ$6,COUNT($AR$6:AR735),0)))))</f>
        <v/>
      </c>
    </row>
    <row r="737" spans="1:44">
      <c r="A737" s="469" t="str">
        <f ca="1">IFERROR(INDEX(凭证录入!A:A,$AR737),"")</f>
        <v/>
      </c>
      <c r="B737" s="469" t="str">
        <f ca="1">IFERROR(INDEX(凭证录入!B:B,$AR737),"")</f>
        <v/>
      </c>
      <c r="C737" s="470" t="str">
        <f ca="1">IFERROR(INDEX(凭证录入!G:G,$AR737),"")</f>
        <v/>
      </c>
      <c r="D737" s="471" t="str">
        <f ca="1">IFERROR(INDEX(凭证录入!F:F,$AR737),"")</f>
        <v/>
      </c>
      <c r="E737" s="472" t="str">
        <f ca="1">IFERROR(INDEX(凭证录入!H:H,$AR737),$AR737)</f>
        <v/>
      </c>
      <c r="F737" s="473">
        <f ca="1">IF(OR($BG$2=0,$AR737=""),,IF($AR737="本月合计",IF(ROW()=$BG$3,SUM($F$6:$F736),SUM(INDIRECT("$F$"&amp;OFFSET($AU$3,,MATCH(ROW(),$AU$3:$BF$3,)-2)+2&amp;":$E"&amp;ROW()-1))),IF($AR737="本年累计",SUMIF($AR$6:$AR737,"本月合计",$F$6:$F736),INDEX(凭证录入!K:K,$AR737))))</f>
        <v>0</v>
      </c>
      <c r="G737" s="459" t="str">
        <f t="shared" ca="1" si="161"/>
        <v/>
      </c>
      <c r="H737" s="460" t="str">
        <f t="shared" ca="1" si="161"/>
        <v/>
      </c>
      <c r="I737" s="460" t="str">
        <f t="shared" ca="1" si="161"/>
        <v/>
      </c>
      <c r="J737" s="460" t="str">
        <f t="shared" ca="1" si="161"/>
        <v/>
      </c>
      <c r="K737" s="460" t="str">
        <f t="shared" ca="1" si="161"/>
        <v/>
      </c>
      <c r="L737" s="460" t="str">
        <f t="shared" ca="1" si="161"/>
        <v/>
      </c>
      <c r="M737" s="460" t="str">
        <f t="shared" ca="1" si="161"/>
        <v/>
      </c>
      <c r="N737" s="460" t="str">
        <f t="shared" ca="1" si="161"/>
        <v/>
      </c>
      <c r="O737" s="461" t="str">
        <f t="shared" ca="1" si="161"/>
        <v/>
      </c>
      <c r="P737" s="474" t="str">
        <f t="shared" ca="1" si="161"/>
        <v/>
      </c>
      <c r="Q737" s="475" t="str">
        <f t="shared" ca="1" si="161"/>
        <v/>
      </c>
      <c r="R737" s="476">
        <f ca="1">IF(OR($BG$2=0,$AR737=""),,IF($AR737="本月合计",IF(ROW()=$BG$3,SUM($R$6:$R736),SUM(INDIRECT("$R$"&amp;OFFSET($AU$3,,MATCH(ROW(),$AU$3:$BF$3,)-2)+2&amp;":$R"&amp;ROW()-1))),IF($AR737="本年累计",SUMIF($AR$6:$AR737,"本月合计",$R$6:$R736),INDEX(凭证录入!L:L,$AR737))))</f>
        <v>0</v>
      </c>
      <c r="S737" s="459" t="str">
        <f t="shared" ca="1" si="162"/>
        <v/>
      </c>
      <c r="T737" s="460" t="str">
        <f t="shared" ca="1" si="162"/>
        <v/>
      </c>
      <c r="U737" s="460" t="str">
        <f t="shared" ca="1" si="162"/>
        <v/>
      </c>
      <c r="V737" s="460" t="str">
        <f t="shared" ca="1" si="162"/>
        <v/>
      </c>
      <c r="W737" s="460" t="str">
        <f t="shared" ca="1" si="162"/>
        <v/>
      </c>
      <c r="X737" s="460" t="str">
        <f t="shared" ca="1" si="162"/>
        <v/>
      </c>
      <c r="Y737" s="460" t="str">
        <f t="shared" ca="1" si="162"/>
        <v/>
      </c>
      <c r="Z737" s="460" t="str">
        <f t="shared" ca="1" si="162"/>
        <v/>
      </c>
      <c r="AA737" s="461" t="str">
        <f t="shared" ca="1" si="162"/>
        <v/>
      </c>
      <c r="AB737" s="474" t="str">
        <f t="shared" ca="1" si="162"/>
        <v/>
      </c>
      <c r="AC737" s="475" t="str">
        <f t="shared" ca="1" si="162"/>
        <v/>
      </c>
      <c r="AD737" s="477" t="str">
        <f t="shared" ca="1" si="158"/>
        <v/>
      </c>
      <c r="AE737" s="478">
        <f t="shared" ca="1" si="159"/>
        <v>0</v>
      </c>
      <c r="AF737" s="459" t="str">
        <f t="shared" ca="1" si="160"/>
        <v/>
      </c>
      <c r="AG737" s="460" t="str">
        <f t="shared" ca="1" si="160"/>
        <v/>
      </c>
      <c r="AH737" s="460" t="str">
        <f t="shared" ca="1" si="160"/>
        <v/>
      </c>
      <c r="AI737" s="460" t="str">
        <f t="shared" ca="1" si="160"/>
        <v/>
      </c>
      <c r="AJ737" s="460" t="str">
        <f t="shared" ca="1" si="160"/>
        <v/>
      </c>
      <c r="AK737" s="460" t="str">
        <f t="shared" ca="1" si="160"/>
        <v/>
      </c>
      <c r="AL737" s="460" t="str">
        <f t="shared" ca="1" si="160"/>
        <v/>
      </c>
      <c r="AM737" s="460" t="str">
        <f t="shared" ca="1" si="160"/>
        <v/>
      </c>
      <c r="AN737" s="461" t="str">
        <f t="shared" ca="1" si="160"/>
        <v/>
      </c>
      <c r="AO737" s="474" t="str">
        <f t="shared" ca="1" si="160"/>
        <v/>
      </c>
      <c r="AP737" s="475" t="str">
        <f t="shared" ca="1" si="160"/>
        <v/>
      </c>
      <c r="AQ737" s="479" t="str">
        <f t="array" aca="1" ref="AQ737" ca="1">IF(ROW()-5&lt;=COUNTIF(科目编号,$AR$2),SMALL(IF(科目编号=$AR$2,ROW(科目编号),""),ROW()-5),"")</f>
        <v/>
      </c>
      <c r="AR737" s="480" t="str">
        <f ca="1">IF($BG$2=0,"",IF(AR736="本月合计","本年累计",IF(OR(ROW()=$AU$3,ROW()=$AV$3,ROW()=$AW$3,ROW()=$AX$3,ROW()=$AY$3,ROW()=$AZ$3,ROW()=$BA$3,ROW()=$BB$3,ROW()=$BC$3,ROW()=$BD$3,ROW()=$BE$3,ROW()=$BF$3),"本月合计",IF(ROW()&lt;7,$AQ$6,OFFSET($AQ$6,COUNT($AR$6:AR736),0)))))</f>
        <v/>
      </c>
    </row>
    <row r="738" spans="1:44">
      <c r="A738" s="469" t="str">
        <f ca="1">IFERROR(INDEX(凭证录入!A:A,$AR738),"")</f>
        <v/>
      </c>
      <c r="B738" s="469" t="str">
        <f ca="1">IFERROR(INDEX(凭证录入!B:B,$AR738),"")</f>
        <v/>
      </c>
      <c r="C738" s="470" t="str">
        <f ca="1">IFERROR(INDEX(凭证录入!G:G,$AR738),"")</f>
        <v/>
      </c>
      <c r="D738" s="471" t="str">
        <f ca="1">IFERROR(INDEX(凭证录入!F:F,$AR738),"")</f>
        <v/>
      </c>
      <c r="E738" s="472" t="str">
        <f ca="1">IFERROR(INDEX(凭证录入!H:H,$AR738),$AR738)</f>
        <v/>
      </c>
      <c r="F738" s="473">
        <f ca="1">IF(OR($BG$2=0,$AR738=""),,IF($AR738="本月合计",IF(ROW()=$BG$3,SUM($F$6:$F737),SUM(INDIRECT("$F$"&amp;OFFSET($AU$3,,MATCH(ROW(),$AU$3:$BF$3,)-2)+2&amp;":$E"&amp;ROW()-1))),IF($AR738="本年累计",SUMIF($AR$6:$AR738,"本月合计",$F$6:$F737),INDEX(凭证录入!K:K,$AR738))))</f>
        <v>0</v>
      </c>
      <c r="G738" s="459" t="str">
        <f t="shared" ca="1" si="161"/>
        <v/>
      </c>
      <c r="H738" s="460" t="str">
        <f t="shared" ca="1" si="161"/>
        <v/>
      </c>
      <c r="I738" s="460" t="str">
        <f t="shared" ca="1" si="161"/>
        <v/>
      </c>
      <c r="J738" s="460" t="str">
        <f t="shared" ca="1" si="161"/>
        <v/>
      </c>
      <c r="K738" s="460" t="str">
        <f t="shared" ca="1" si="161"/>
        <v/>
      </c>
      <c r="L738" s="460" t="str">
        <f t="shared" ca="1" si="161"/>
        <v/>
      </c>
      <c r="M738" s="460" t="str">
        <f t="shared" ca="1" si="161"/>
        <v/>
      </c>
      <c r="N738" s="460" t="str">
        <f t="shared" ca="1" si="161"/>
        <v/>
      </c>
      <c r="O738" s="461" t="str">
        <f t="shared" ca="1" si="161"/>
        <v/>
      </c>
      <c r="P738" s="474" t="str">
        <f t="shared" ca="1" si="161"/>
        <v/>
      </c>
      <c r="Q738" s="475" t="str">
        <f t="shared" ca="1" si="161"/>
        <v/>
      </c>
      <c r="R738" s="476">
        <f ca="1">IF(OR($BG$2=0,$AR738=""),,IF($AR738="本月合计",IF(ROW()=$BG$3,SUM($R$6:$R737),SUM(INDIRECT("$R$"&amp;OFFSET($AU$3,,MATCH(ROW(),$AU$3:$BF$3,)-2)+2&amp;":$R"&amp;ROW()-1))),IF($AR738="本年累计",SUMIF($AR$6:$AR738,"本月合计",$R$6:$R737),INDEX(凭证录入!L:L,$AR738))))</f>
        <v>0</v>
      </c>
      <c r="S738" s="459" t="str">
        <f t="shared" ca="1" si="162"/>
        <v/>
      </c>
      <c r="T738" s="460" t="str">
        <f t="shared" ca="1" si="162"/>
        <v/>
      </c>
      <c r="U738" s="460" t="str">
        <f t="shared" ca="1" si="162"/>
        <v/>
      </c>
      <c r="V738" s="460" t="str">
        <f t="shared" ca="1" si="162"/>
        <v/>
      </c>
      <c r="W738" s="460" t="str">
        <f t="shared" ca="1" si="162"/>
        <v/>
      </c>
      <c r="X738" s="460" t="str">
        <f t="shared" ca="1" si="162"/>
        <v/>
      </c>
      <c r="Y738" s="460" t="str">
        <f t="shared" ca="1" si="162"/>
        <v/>
      </c>
      <c r="Z738" s="460" t="str">
        <f t="shared" ca="1" si="162"/>
        <v/>
      </c>
      <c r="AA738" s="461" t="str">
        <f t="shared" ca="1" si="162"/>
        <v/>
      </c>
      <c r="AB738" s="474" t="str">
        <f t="shared" ca="1" si="162"/>
        <v/>
      </c>
      <c r="AC738" s="475" t="str">
        <f t="shared" ca="1" si="162"/>
        <v/>
      </c>
      <c r="AD738" s="477" t="str">
        <f t="shared" ca="1" si="158"/>
        <v/>
      </c>
      <c r="AE738" s="478">
        <f t="shared" ca="1" si="159"/>
        <v>0</v>
      </c>
      <c r="AF738" s="459" t="str">
        <f t="shared" ca="1" si="160"/>
        <v/>
      </c>
      <c r="AG738" s="460" t="str">
        <f t="shared" ca="1" si="160"/>
        <v/>
      </c>
      <c r="AH738" s="460" t="str">
        <f t="shared" ca="1" si="160"/>
        <v/>
      </c>
      <c r="AI738" s="460" t="str">
        <f t="shared" ca="1" si="160"/>
        <v/>
      </c>
      <c r="AJ738" s="460" t="str">
        <f t="shared" ca="1" si="160"/>
        <v/>
      </c>
      <c r="AK738" s="460" t="str">
        <f t="shared" ca="1" si="160"/>
        <v/>
      </c>
      <c r="AL738" s="460" t="str">
        <f t="shared" ca="1" si="160"/>
        <v/>
      </c>
      <c r="AM738" s="460" t="str">
        <f t="shared" ca="1" si="160"/>
        <v/>
      </c>
      <c r="AN738" s="461" t="str">
        <f t="shared" ca="1" si="160"/>
        <v/>
      </c>
      <c r="AO738" s="474" t="str">
        <f t="shared" ca="1" si="160"/>
        <v/>
      </c>
      <c r="AP738" s="475" t="str">
        <f t="shared" ca="1" si="160"/>
        <v/>
      </c>
      <c r="AQ738" s="479" t="str">
        <f t="array" aca="1" ref="AQ738" ca="1">IF(ROW()-5&lt;=COUNTIF(科目编号,$AR$2),SMALL(IF(科目编号=$AR$2,ROW(科目编号),""),ROW()-5),"")</f>
        <v/>
      </c>
      <c r="AR738" s="480" t="str">
        <f ca="1">IF($BG$2=0,"",IF(AR737="本月合计","本年累计",IF(OR(ROW()=$AU$3,ROW()=$AV$3,ROW()=$AW$3,ROW()=$AX$3,ROW()=$AY$3,ROW()=$AZ$3,ROW()=$BA$3,ROW()=$BB$3,ROW()=$BC$3,ROW()=$BD$3,ROW()=$BE$3,ROW()=$BF$3),"本月合计",IF(ROW()&lt;7,$AQ$6,OFFSET($AQ$6,COUNT($AR$6:AR737),0)))))</f>
        <v/>
      </c>
    </row>
    <row r="739" spans="1:44">
      <c r="A739" s="469" t="str">
        <f ca="1">IFERROR(INDEX(凭证录入!A:A,$AR739),"")</f>
        <v/>
      </c>
      <c r="B739" s="469" t="str">
        <f ca="1">IFERROR(INDEX(凭证录入!B:B,$AR739),"")</f>
        <v/>
      </c>
      <c r="C739" s="470" t="str">
        <f ca="1">IFERROR(INDEX(凭证录入!G:G,$AR739),"")</f>
        <v/>
      </c>
      <c r="D739" s="471" t="str">
        <f ca="1">IFERROR(INDEX(凭证录入!F:F,$AR739),"")</f>
        <v/>
      </c>
      <c r="E739" s="472" t="str">
        <f ca="1">IFERROR(INDEX(凭证录入!H:H,$AR739),$AR739)</f>
        <v/>
      </c>
      <c r="F739" s="473">
        <f ca="1">IF(OR($BG$2=0,$AR739=""),,IF($AR739="本月合计",IF(ROW()=$BG$3,SUM($F$6:$F738),SUM(INDIRECT("$F$"&amp;OFFSET($AU$3,,MATCH(ROW(),$AU$3:$BF$3,)-2)+2&amp;":$E"&amp;ROW()-1))),IF($AR739="本年累计",SUMIF($AR$6:$AR739,"本月合计",$F$6:$F738),INDEX(凭证录入!K:K,$AR739))))</f>
        <v>0</v>
      </c>
      <c r="G739" s="459" t="str">
        <f t="shared" ca="1" si="161"/>
        <v/>
      </c>
      <c r="H739" s="460" t="str">
        <f t="shared" ca="1" si="161"/>
        <v/>
      </c>
      <c r="I739" s="460" t="str">
        <f t="shared" ca="1" si="161"/>
        <v/>
      </c>
      <c r="J739" s="460" t="str">
        <f t="shared" ca="1" si="161"/>
        <v/>
      </c>
      <c r="K739" s="460" t="str">
        <f t="shared" ca="1" si="161"/>
        <v/>
      </c>
      <c r="L739" s="460" t="str">
        <f t="shared" ca="1" si="161"/>
        <v/>
      </c>
      <c r="M739" s="460" t="str">
        <f t="shared" ca="1" si="161"/>
        <v/>
      </c>
      <c r="N739" s="460" t="str">
        <f t="shared" ca="1" si="161"/>
        <v/>
      </c>
      <c r="O739" s="461" t="str">
        <f t="shared" ca="1" si="161"/>
        <v/>
      </c>
      <c r="P739" s="474" t="str">
        <f t="shared" ca="1" si="161"/>
        <v/>
      </c>
      <c r="Q739" s="475" t="str">
        <f t="shared" ca="1" si="161"/>
        <v/>
      </c>
      <c r="R739" s="476">
        <f ca="1">IF(OR($BG$2=0,$AR739=""),,IF($AR739="本月合计",IF(ROW()=$BG$3,SUM($R$6:$R738),SUM(INDIRECT("$R$"&amp;OFFSET($AU$3,,MATCH(ROW(),$AU$3:$BF$3,)-2)+2&amp;":$R"&amp;ROW()-1))),IF($AR739="本年累计",SUMIF($AR$6:$AR739,"本月合计",$R$6:$R738),INDEX(凭证录入!L:L,$AR739))))</f>
        <v>0</v>
      </c>
      <c r="S739" s="459" t="str">
        <f t="shared" ca="1" si="162"/>
        <v/>
      </c>
      <c r="T739" s="460" t="str">
        <f t="shared" ca="1" si="162"/>
        <v/>
      </c>
      <c r="U739" s="460" t="str">
        <f t="shared" ca="1" si="162"/>
        <v/>
      </c>
      <c r="V739" s="460" t="str">
        <f t="shared" ca="1" si="162"/>
        <v/>
      </c>
      <c r="W739" s="460" t="str">
        <f t="shared" ca="1" si="162"/>
        <v/>
      </c>
      <c r="X739" s="460" t="str">
        <f t="shared" ca="1" si="162"/>
        <v/>
      </c>
      <c r="Y739" s="460" t="str">
        <f t="shared" ca="1" si="162"/>
        <v/>
      </c>
      <c r="Z739" s="460" t="str">
        <f t="shared" ca="1" si="162"/>
        <v/>
      </c>
      <c r="AA739" s="461" t="str">
        <f t="shared" ca="1" si="162"/>
        <v/>
      </c>
      <c r="AB739" s="474" t="str">
        <f t="shared" ca="1" si="162"/>
        <v/>
      </c>
      <c r="AC739" s="475" t="str">
        <f t="shared" ca="1" si="162"/>
        <v/>
      </c>
      <c r="AD739" s="477" t="str">
        <f t="shared" ca="1" si="158"/>
        <v/>
      </c>
      <c r="AE739" s="478">
        <f t="shared" ca="1" si="159"/>
        <v>0</v>
      </c>
      <c r="AF739" s="459" t="str">
        <f t="shared" ca="1" si="160"/>
        <v/>
      </c>
      <c r="AG739" s="460" t="str">
        <f t="shared" ca="1" si="160"/>
        <v/>
      </c>
      <c r="AH739" s="460" t="str">
        <f t="shared" ca="1" si="160"/>
        <v/>
      </c>
      <c r="AI739" s="460" t="str">
        <f t="shared" ca="1" si="160"/>
        <v/>
      </c>
      <c r="AJ739" s="460" t="str">
        <f t="shared" ca="1" si="160"/>
        <v/>
      </c>
      <c r="AK739" s="460" t="str">
        <f t="shared" ca="1" si="160"/>
        <v/>
      </c>
      <c r="AL739" s="460" t="str">
        <f t="shared" ca="1" si="160"/>
        <v/>
      </c>
      <c r="AM739" s="460" t="str">
        <f t="shared" ca="1" si="160"/>
        <v/>
      </c>
      <c r="AN739" s="461" t="str">
        <f t="shared" ca="1" si="160"/>
        <v/>
      </c>
      <c r="AO739" s="474" t="str">
        <f t="shared" ca="1" si="160"/>
        <v/>
      </c>
      <c r="AP739" s="475" t="str">
        <f t="shared" ca="1" si="160"/>
        <v/>
      </c>
      <c r="AQ739" s="479" t="str">
        <f t="array" aca="1" ref="AQ739" ca="1">IF(ROW()-5&lt;=COUNTIF(科目编号,$AR$2),SMALL(IF(科目编号=$AR$2,ROW(科目编号),""),ROW()-5),"")</f>
        <v/>
      </c>
      <c r="AR739" s="480" t="str">
        <f ca="1">IF($BG$2=0,"",IF(AR738="本月合计","本年累计",IF(OR(ROW()=$AU$3,ROW()=$AV$3,ROW()=$AW$3,ROW()=$AX$3,ROW()=$AY$3,ROW()=$AZ$3,ROW()=$BA$3,ROW()=$BB$3,ROW()=$BC$3,ROW()=$BD$3,ROW()=$BE$3,ROW()=$BF$3),"本月合计",IF(ROW()&lt;7,$AQ$6,OFFSET($AQ$6,COUNT($AR$6:AR738),0)))))</f>
        <v/>
      </c>
    </row>
    <row r="740" spans="1:44">
      <c r="A740" s="469" t="str">
        <f ca="1">IFERROR(INDEX(凭证录入!A:A,$AR740),"")</f>
        <v/>
      </c>
      <c r="B740" s="469" t="str">
        <f ca="1">IFERROR(INDEX(凭证录入!B:B,$AR740),"")</f>
        <v/>
      </c>
      <c r="C740" s="470" t="str">
        <f ca="1">IFERROR(INDEX(凭证录入!G:G,$AR740),"")</f>
        <v/>
      </c>
      <c r="D740" s="471" t="str">
        <f ca="1">IFERROR(INDEX(凭证录入!F:F,$AR740),"")</f>
        <v/>
      </c>
      <c r="E740" s="472" t="str">
        <f ca="1">IFERROR(INDEX(凭证录入!H:H,$AR740),$AR740)</f>
        <v/>
      </c>
      <c r="F740" s="473">
        <f ca="1">IF(OR($BG$2=0,$AR740=""),,IF($AR740="本月合计",IF(ROW()=$BG$3,SUM($F$6:$F739),SUM(INDIRECT("$F$"&amp;OFFSET($AU$3,,MATCH(ROW(),$AU$3:$BF$3,)-2)+2&amp;":$E"&amp;ROW()-1))),IF($AR740="本年累计",SUMIF($AR$6:$AR740,"本月合计",$F$6:$F739),INDEX(凭证录入!K:K,$AR740))))</f>
        <v>0</v>
      </c>
      <c r="G740" s="459" t="str">
        <f t="shared" ca="1" si="161"/>
        <v/>
      </c>
      <c r="H740" s="460" t="str">
        <f t="shared" ca="1" si="161"/>
        <v/>
      </c>
      <c r="I740" s="460" t="str">
        <f t="shared" ca="1" si="161"/>
        <v/>
      </c>
      <c r="J740" s="460" t="str">
        <f t="shared" ca="1" si="161"/>
        <v/>
      </c>
      <c r="K740" s="460" t="str">
        <f t="shared" ca="1" si="161"/>
        <v/>
      </c>
      <c r="L740" s="460" t="str">
        <f t="shared" ca="1" si="161"/>
        <v/>
      </c>
      <c r="M740" s="460" t="str">
        <f t="shared" ca="1" si="161"/>
        <v/>
      </c>
      <c r="N740" s="460" t="str">
        <f t="shared" ca="1" si="161"/>
        <v/>
      </c>
      <c r="O740" s="461" t="str">
        <f t="shared" ca="1" si="161"/>
        <v/>
      </c>
      <c r="P740" s="474" t="str">
        <f t="shared" ca="1" si="161"/>
        <v/>
      </c>
      <c r="Q740" s="475" t="str">
        <f t="shared" ca="1" si="161"/>
        <v/>
      </c>
      <c r="R740" s="476">
        <f ca="1">IF(OR($BG$2=0,$AR740=""),,IF($AR740="本月合计",IF(ROW()=$BG$3,SUM($R$6:$R739),SUM(INDIRECT("$R$"&amp;OFFSET($AU$3,,MATCH(ROW(),$AU$3:$BF$3,)-2)+2&amp;":$R"&amp;ROW()-1))),IF($AR740="本年累计",SUMIF($AR$6:$AR740,"本月合计",$R$6:$R739),INDEX(凭证录入!L:L,$AR740))))</f>
        <v>0</v>
      </c>
      <c r="S740" s="459" t="str">
        <f t="shared" ca="1" si="162"/>
        <v/>
      </c>
      <c r="T740" s="460" t="str">
        <f t="shared" ca="1" si="162"/>
        <v/>
      </c>
      <c r="U740" s="460" t="str">
        <f t="shared" ca="1" si="162"/>
        <v/>
      </c>
      <c r="V740" s="460" t="str">
        <f t="shared" ca="1" si="162"/>
        <v/>
      </c>
      <c r="W740" s="460" t="str">
        <f t="shared" ca="1" si="162"/>
        <v/>
      </c>
      <c r="X740" s="460" t="str">
        <f t="shared" ca="1" si="162"/>
        <v/>
      </c>
      <c r="Y740" s="460" t="str">
        <f t="shared" ca="1" si="162"/>
        <v/>
      </c>
      <c r="Z740" s="460" t="str">
        <f t="shared" ca="1" si="162"/>
        <v/>
      </c>
      <c r="AA740" s="461" t="str">
        <f t="shared" ca="1" si="162"/>
        <v/>
      </c>
      <c r="AB740" s="474" t="str">
        <f t="shared" ca="1" si="162"/>
        <v/>
      </c>
      <c r="AC740" s="475" t="str">
        <f t="shared" ca="1" si="162"/>
        <v/>
      </c>
      <c r="AD740" s="477" t="str">
        <f t="shared" ca="1" si="158"/>
        <v/>
      </c>
      <c r="AE740" s="478">
        <f t="shared" ca="1" si="159"/>
        <v>0</v>
      </c>
      <c r="AF740" s="459" t="str">
        <f t="shared" ca="1" si="160"/>
        <v/>
      </c>
      <c r="AG740" s="460" t="str">
        <f t="shared" ca="1" si="160"/>
        <v/>
      </c>
      <c r="AH740" s="460" t="str">
        <f t="shared" ca="1" si="160"/>
        <v/>
      </c>
      <c r="AI740" s="460" t="str">
        <f t="shared" ca="1" si="160"/>
        <v/>
      </c>
      <c r="AJ740" s="460" t="str">
        <f t="shared" ca="1" si="160"/>
        <v/>
      </c>
      <c r="AK740" s="460" t="str">
        <f t="shared" ca="1" si="160"/>
        <v/>
      </c>
      <c r="AL740" s="460" t="str">
        <f t="shared" ca="1" si="160"/>
        <v/>
      </c>
      <c r="AM740" s="460" t="str">
        <f t="shared" ca="1" si="160"/>
        <v/>
      </c>
      <c r="AN740" s="461" t="str">
        <f t="shared" ca="1" si="160"/>
        <v/>
      </c>
      <c r="AO740" s="474" t="str">
        <f t="shared" ca="1" si="160"/>
        <v/>
      </c>
      <c r="AP740" s="475" t="str">
        <f t="shared" ca="1" si="160"/>
        <v/>
      </c>
      <c r="AQ740" s="479" t="str">
        <f t="array" aca="1" ref="AQ740" ca="1">IF(ROW()-5&lt;=COUNTIF(科目编号,$AR$2),SMALL(IF(科目编号=$AR$2,ROW(科目编号),""),ROW()-5),"")</f>
        <v/>
      </c>
      <c r="AR740" s="480" t="str">
        <f ca="1">IF($BG$2=0,"",IF(AR739="本月合计","本年累计",IF(OR(ROW()=$AU$3,ROW()=$AV$3,ROW()=$AW$3,ROW()=$AX$3,ROW()=$AY$3,ROW()=$AZ$3,ROW()=$BA$3,ROW()=$BB$3,ROW()=$BC$3,ROW()=$BD$3,ROW()=$BE$3,ROW()=$BF$3),"本月合计",IF(ROW()&lt;7,$AQ$6,OFFSET($AQ$6,COUNT($AR$6:AR739),0)))))</f>
        <v/>
      </c>
    </row>
    <row r="741" spans="1:44">
      <c r="A741" s="469" t="str">
        <f ca="1">IFERROR(INDEX(凭证录入!A:A,$AR741),"")</f>
        <v/>
      </c>
      <c r="B741" s="469" t="str">
        <f ca="1">IFERROR(INDEX(凭证录入!B:B,$AR741),"")</f>
        <v/>
      </c>
      <c r="C741" s="470" t="str">
        <f ca="1">IFERROR(INDEX(凭证录入!G:G,$AR741),"")</f>
        <v/>
      </c>
      <c r="D741" s="471" t="str">
        <f ca="1">IFERROR(INDEX(凭证录入!F:F,$AR741),"")</f>
        <v/>
      </c>
      <c r="E741" s="472" t="str">
        <f ca="1">IFERROR(INDEX(凭证录入!H:H,$AR741),$AR741)</f>
        <v/>
      </c>
      <c r="F741" s="473">
        <f ca="1">IF(OR($BG$2=0,$AR741=""),,IF($AR741="本月合计",IF(ROW()=$BG$3,SUM($F$6:$F740),SUM(INDIRECT("$F$"&amp;OFFSET($AU$3,,MATCH(ROW(),$AU$3:$BF$3,)-2)+2&amp;":$E"&amp;ROW()-1))),IF($AR741="本年累计",SUMIF($AR$6:$AR741,"本月合计",$F$6:$F740),INDEX(凭证录入!K:K,$AR741))))</f>
        <v>0</v>
      </c>
      <c r="G741" s="459" t="str">
        <f t="shared" ca="1" si="161"/>
        <v/>
      </c>
      <c r="H741" s="460" t="str">
        <f t="shared" ca="1" si="161"/>
        <v/>
      </c>
      <c r="I741" s="460" t="str">
        <f t="shared" ca="1" si="161"/>
        <v/>
      </c>
      <c r="J741" s="460" t="str">
        <f t="shared" ca="1" si="161"/>
        <v/>
      </c>
      <c r="K741" s="460" t="str">
        <f t="shared" ca="1" si="161"/>
        <v/>
      </c>
      <c r="L741" s="460" t="str">
        <f t="shared" ca="1" si="161"/>
        <v/>
      </c>
      <c r="M741" s="460" t="str">
        <f t="shared" ca="1" si="161"/>
        <v/>
      </c>
      <c r="N741" s="460" t="str">
        <f t="shared" ca="1" si="161"/>
        <v/>
      </c>
      <c r="O741" s="461" t="str">
        <f t="shared" ca="1" si="161"/>
        <v/>
      </c>
      <c r="P741" s="474" t="str">
        <f t="shared" ca="1" si="161"/>
        <v/>
      </c>
      <c r="Q741" s="475" t="str">
        <f t="shared" ca="1" si="161"/>
        <v/>
      </c>
      <c r="R741" s="476">
        <f ca="1">IF(OR($BG$2=0,$AR741=""),,IF($AR741="本月合计",IF(ROW()=$BG$3,SUM($R$6:$R740),SUM(INDIRECT("$R$"&amp;OFFSET($AU$3,,MATCH(ROW(),$AU$3:$BF$3,)-2)+2&amp;":$R"&amp;ROW()-1))),IF($AR741="本年累计",SUMIF($AR$6:$AR741,"本月合计",$R$6:$R740),INDEX(凭证录入!L:L,$AR741))))</f>
        <v>0</v>
      </c>
      <c r="S741" s="459" t="str">
        <f t="shared" ca="1" si="162"/>
        <v/>
      </c>
      <c r="T741" s="460" t="str">
        <f t="shared" ca="1" si="162"/>
        <v/>
      </c>
      <c r="U741" s="460" t="str">
        <f t="shared" ca="1" si="162"/>
        <v/>
      </c>
      <c r="V741" s="460" t="str">
        <f t="shared" ca="1" si="162"/>
        <v/>
      </c>
      <c r="W741" s="460" t="str">
        <f t="shared" ca="1" si="162"/>
        <v/>
      </c>
      <c r="X741" s="460" t="str">
        <f t="shared" ca="1" si="162"/>
        <v/>
      </c>
      <c r="Y741" s="460" t="str">
        <f t="shared" ca="1" si="162"/>
        <v/>
      </c>
      <c r="Z741" s="460" t="str">
        <f t="shared" ca="1" si="162"/>
        <v/>
      </c>
      <c r="AA741" s="461" t="str">
        <f t="shared" ca="1" si="162"/>
        <v/>
      </c>
      <c r="AB741" s="474" t="str">
        <f t="shared" ca="1" si="162"/>
        <v/>
      </c>
      <c r="AC741" s="475" t="str">
        <f t="shared" ca="1" si="162"/>
        <v/>
      </c>
      <c r="AD741" s="477" t="str">
        <f t="shared" ca="1" si="158"/>
        <v/>
      </c>
      <c r="AE741" s="478">
        <f t="shared" ca="1" si="159"/>
        <v>0</v>
      </c>
      <c r="AF741" s="459" t="str">
        <f t="shared" ref="AF741:AP756" ca="1" si="163">LEFT(RIGHT(TEXT($AE741/1%," ￥0; ￥-0;"),43-COLUMN()))</f>
        <v/>
      </c>
      <c r="AG741" s="460" t="str">
        <f t="shared" ca="1" si="163"/>
        <v/>
      </c>
      <c r="AH741" s="460" t="str">
        <f t="shared" ca="1" si="163"/>
        <v/>
      </c>
      <c r="AI741" s="460" t="str">
        <f t="shared" ca="1" si="163"/>
        <v/>
      </c>
      <c r="AJ741" s="460" t="str">
        <f t="shared" ca="1" si="163"/>
        <v/>
      </c>
      <c r="AK741" s="460" t="str">
        <f t="shared" ca="1" si="163"/>
        <v/>
      </c>
      <c r="AL741" s="460" t="str">
        <f t="shared" ca="1" si="163"/>
        <v/>
      </c>
      <c r="AM741" s="460" t="str">
        <f t="shared" ca="1" si="163"/>
        <v/>
      </c>
      <c r="AN741" s="461" t="str">
        <f t="shared" ca="1" si="163"/>
        <v/>
      </c>
      <c r="AO741" s="474" t="str">
        <f t="shared" ca="1" si="163"/>
        <v/>
      </c>
      <c r="AP741" s="475" t="str">
        <f t="shared" ca="1" si="163"/>
        <v/>
      </c>
      <c r="AQ741" s="479" t="str">
        <f t="array" aca="1" ref="AQ741" ca="1">IF(ROW()-5&lt;=COUNTIF(科目编号,$AR$2),SMALL(IF(科目编号=$AR$2,ROW(科目编号),""),ROW()-5),"")</f>
        <v/>
      </c>
      <c r="AR741" s="480" t="str">
        <f ca="1">IF($BG$2=0,"",IF(AR740="本月合计","本年累计",IF(OR(ROW()=$AU$3,ROW()=$AV$3,ROW()=$AW$3,ROW()=$AX$3,ROW()=$AY$3,ROW()=$AZ$3,ROW()=$BA$3,ROW()=$BB$3,ROW()=$BC$3,ROW()=$BD$3,ROW()=$BE$3,ROW()=$BF$3),"本月合计",IF(ROW()&lt;7,$AQ$6,OFFSET($AQ$6,COUNT($AR$6:AR740),0)))))</f>
        <v/>
      </c>
    </row>
    <row r="742" spans="1:44">
      <c r="A742" s="469" t="str">
        <f ca="1">IFERROR(INDEX(凭证录入!A:A,$AR742),"")</f>
        <v/>
      </c>
      <c r="B742" s="469" t="str">
        <f ca="1">IFERROR(INDEX(凭证录入!B:B,$AR742),"")</f>
        <v/>
      </c>
      <c r="C742" s="470" t="str">
        <f ca="1">IFERROR(INDEX(凭证录入!G:G,$AR742),"")</f>
        <v/>
      </c>
      <c r="D742" s="471" t="str">
        <f ca="1">IFERROR(INDEX(凭证录入!F:F,$AR742),"")</f>
        <v/>
      </c>
      <c r="E742" s="472" t="str">
        <f ca="1">IFERROR(INDEX(凭证录入!H:H,$AR742),$AR742)</f>
        <v/>
      </c>
      <c r="F742" s="473">
        <f ca="1">IF(OR($BG$2=0,$AR742=""),,IF($AR742="本月合计",IF(ROW()=$BG$3,SUM($F$6:$F741),SUM(INDIRECT("$F$"&amp;OFFSET($AU$3,,MATCH(ROW(),$AU$3:$BF$3,)-2)+2&amp;":$E"&amp;ROW()-1))),IF($AR742="本年累计",SUMIF($AR$6:$AR742,"本月合计",$F$6:$F741),INDEX(凭证录入!K:K,$AR742))))</f>
        <v>0</v>
      </c>
      <c r="G742" s="459" t="str">
        <f t="shared" ref="G742:Q757" ca="1" si="164">LEFT(RIGHT(TEXT($F742/1%," ￥0; ￥-0;"),18-COLUMN()))</f>
        <v/>
      </c>
      <c r="H742" s="460" t="str">
        <f t="shared" ca="1" si="164"/>
        <v/>
      </c>
      <c r="I742" s="460" t="str">
        <f t="shared" ca="1" si="164"/>
        <v/>
      </c>
      <c r="J742" s="460" t="str">
        <f t="shared" ca="1" si="164"/>
        <v/>
      </c>
      <c r="K742" s="460" t="str">
        <f t="shared" ca="1" si="164"/>
        <v/>
      </c>
      <c r="L742" s="460" t="str">
        <f t="shared" ca="1" si="164"/>
        <v/>
      </c>
      <c r="M742" s="460" t="str">
        <f t="shared" ca="1" si="164"/>
        <v/>
      </c>
      <c r="N742" s="460" t="str">
        <f t="shared" ca="1" si="164"/>
        <v/>
      </c>
      <c r="O742" s="461" t="str">
        <f t="shared" ca="1" si="164"/>
        <v/>
      </c>
      <c r="P742" s="474" t="str">
        <f t="shared" ca="1" si="164"/>
        <v/>
      </c>
      <c r="Q742" s="475" t="str">
        <f t="shared" ca="1" si="164"/>
        <v/>
      </c>
      <c r="R742" s="476">
        <f ca="1">IF(OR($BG$2=0,$AR742=""),,IF($AR742="本月合计",IF(ROW()=$BG$3,SUM($R$6:$R741),SUM(INDIRECT("$R$"&amp;OFFSET($AU$3,,MATCH(ROW(),$AU$3:$BF$3,)-2)+2&amp;":$R"&amp;ROW()-1))),IF($AR742="本年累计",SUMIF($AR$6:$AR742,"本月合计",$R$6:$R741),INDEX(凭证录入!L:L,$AR742))))</f>
        <v>0</v>
      </c>
      <c r="S742" s="459" t="str">
        <f t="shared" ref="S742:AC757" ca="1" si="165">LEFT(RIGHT(TEXT($R742/1%," ￥0; ￥-0;"),30-COLUMN()))</f>
        <v/>
      </c>
      <c r="T742" s="460" t="str">
        <f t="shared" ca="1" si="165"/>
        <v/>
      </c>
      <c r="U742" s="460" t="str">
        <f t="shared" ca="1" si="165"/>
        <v/>
      </c>
      <c r="V742" s="460" t="str">
        <f t="shared" ca="1" si="165"/>
        <v/>
      </c>
      <c r="W742" s="460" t="str">
        <f t="shared" ca="1" si="165"/>
        <v/>
      </c>
      <c r="X742" s="460" t="str">
        <f t="shared" ca="1" si="165"/>
        <v/>
      </c>
      <c r="Y742" s="460" t="str">
        <f t="shared" ca="1" si="165"/>
        <v/>
      </c>
      <c r="Z742" s="460" t="str">
        <f t="shared" ca="1" si="165"/>
        <v/>
      </c>
      <c r="AA742" s="461" t="str">
        <f t="shared" ca="1" si="165"/>
        <v/>
      </c>
      <c r="AB742" s="474" t="str">
        <f t="shared" ca="1" si="165"/>
        <v/>
      </c>
      <c r="AC742" s="475" t="str">
        <f t="shared" ca="1" si="165"/>
        <v/>
      </c>
      <c r="AD742" s="477" t="str">
        <f t="shared" ca="1" si="158"/>
        <v/>
      </c>
      <c r="AE742" s="478">
        <f t="shared" ca="1" si="159"/>
        <v>0</v>
      </c>
      <c r="AF742" s="459" t="str">
        <f t="shared" ca="1" si="163"/>
        <v/>
      </c>
      <c r="AG742" s="460" t="str">
        <f t="shared" ca="1" si="163"/>
        <v/>
      </c>
      <c r="AH742" s="460" t="str">
        <f t="shared" ca="1" si="163"/>
        <v/>
      </c>
      <c r="AI742" s="460" t="str">
        <f t="shared" ca="1" si="163"/>
        <v/>
      </c>
      <c r="AJ742" s="460" t="str">
        <f t="shared" ca="1" si="163"/>
        <v/>
      </c>
      <c r="AK742" s="460" t="str">
        <f t="shared" ca="1" si="163"/>
        <v/>
      </c>
      <c r="AL742" s="460" t="str">
        <f t="shared" ca="1" si="163"/>
        <v/>
      </c>
      <c r="AM742" s="460" t="str">
        <f t="shared" ca="1" si="163"/>
        <v/>
      </c>
      <c r="AN742" s="461" t="str">
        <f t="shared" ca="1" si="163"/>
        <v/>
      </c>
      <c r="AO742" s="474" t="str">
        <f t="shared" ca="1" si="163"/>
        <v/>
      </c>
      <c r="AP742" s="475" t="str">
        <f t="shared" ca="1" si="163"/>
        <v/>
      </c>
      <c r="AQ742" s="479" t="str">
        <f t="array" aca="1" ref="AQ742" ca="1">IF(ROW()-5&lt;=COUNTIF(科目编号,$AR$2),SMALL(IF(科目编号=$AR$2,ROW(科目编号),""),ROW()-5),"")</f>
        <v/>
      </c>
      <c r="AR742" s="480" t="str">
        <f ca="1">IF($BG$2=0,"",IF(AR741="本月合计","本年累计",IF(OR(ROW()=$AU$3,ROW()=$AV$3,ROW()=$AW$3,ROW()=$AX$3,ROW()=$AY$3,ROW()=$AZ$3,ROW()=$BA$3,ROW()=$BB$3,ROW()=$BC$3,ROW()=$BD$3,ROW()=$BE$3,ROW()=$BF$3),"本月合计",IF(ROW()&lt;7,$AQ$6,OFFSET($AQ$6,COUNT($AR$6:AR741),0)))))</f>
        <v/>
      </c>
    </row>
    <row r="743" spans="1:44">
      <c r="A743" s="469" t="str">
        <f ca="1">IFERROR(INDEX(凭证录入!A:A,$AR743),"")</f>
        <v/>
      </c>
      <c r="B743" s="469" t="str">
        <f ca="1">IFERROR(INDEX(凭证录入!B:B,$AR743),"")</f>
        <v/>
      </c>
      <c r="C743" s="470" t="str">
        <f ca="1">IFERROR(INDEX(凭证录入!G:G,$AR743),"")</f>
        <v/>
      </c>
      <c r="D743" s="471" t="str">
        <f ca="1">IFERROR(INDEX(凭证录入!F:F,$AR743),"")</f>
        <v/>
      </c>
      <c r="E743" s="472" t="str">
        <f ca="1">IFERROR(INDEX(凭证录入!H:H,$AR743),$AR743)</f>
        <v/>
      </c>
      <c r="F743" s="473">
        <f ca="1">IF(OR($BG$2=0,$AR743=""),,IF($AR743="本月合计",IF(ROW()=$BG$3,SUM($F$6:$F742),SUM(INDIRECT("$F$"&amp;OFFSET($AU$3,,MATCH(ROW(),$AU$3:$BF$3,)-2)+2&amp;":$E"&amp;ROW()-1))),IF($AR743="本年累计",SUMIF($AR$6:$AR743,"本月合计",$F$6:$F742),INDEX(凭证录入!K:K,$AR743))))</f>
        <v>0</v>
      </c>
      <c r="G743" s="459" t="str">
        <f t="shared" ca="1" si="164"/>
        <v/>
      </c>
      <c r="H743" s="460" t="str">
        <f t="shared" ca="1" si="164"/>
        <v/>
      </c>
      <c r="I743" s="460" t="str">
        <f t="shared" ca="1" si="164"/>
        <v/>
      </c>
      <c r="J743" s="460" t="str">
        <f t="shared" ca="1" si="164"/>
        <v/>
      </c>
      <c r="K743" s="460" t="str">
        <f t="shared" ca="1" si="164"/>
        <v/>
      </c>
      <c r="L743" s="460" t="str">
        <f t="shared" ca="1" si="164"/>
        <v/>
      </c>
      <c r="M743" s="460" t="str">
        <f t="shared" ca="1" si="164"/>
        <v/>
      </c>
      <c r="N743" s="460" t="str">
        <f t="shared" ca="1" si="164"/>
        <v/>
      </c>
      <c r="O743" s="461" t="str">
        <f t="shared" ca="1" si="164"/>
        <v/>
      </c>
      <c r="P743" s="474" t="str">
        <f t="shared" ca="1" si="164"/>
        <v/>
      </c>
      <c r="Q743" s="475" t="str">
        <f t="shared" ca="1" si="164"/>
        <v/>
      </c>
      <c r="R743" s="476">
        <f ca="1">IF(OR($BG$2=0,$AR743=""),,IF($AR743="本月合计",IF(ROW()=$BG$3,SUM($R$6:$R742),SUM(INDIRECT("$R$"&amp;OFFSET($AU$3,,MATCH(ROW(),$AU$3:$BF$3,)-2)+2&amp;":$R"&amp;ROW()-1))),IF($AR743="本年累计",SUMIF($AR$6:$AR743,"本月合计",$R$6:$R742),INDEX(凭证录入!L:L,$AR743))))</f>
        <v>0</v>
      </c>
      <c r="S743" s="459" t="str">
        <f t="shared" ca="1" si="165"/>
        <v/>
      </c>
      <c r="T743" s="460" t="str">
        <f t="shared" ca="1" si="165"/>
        <v/>
      </c>
      <c r="U743" s="460" t="str">
        <f t="shared" ca="1" si="165"/>
        <v/>
      </c>
      <c r="V743" s="460" t="str">
        <f t="shared" ca="1" si="165"/>
        <v/>
      </c>
      <c r="W743" s="460" t="str">
        <f t="shared" ca="1" si="165"/>
        <v/>
      </c>
      <c r="X743" s="460" t="str">
        <f t="shared" ca="1" si="165"/>
        <v/>
      </c>
      <c r="Y743" s="460" t="str">
        <f t="shared" ca="1" si="165"/>
        <v/>
      </c>
      <c r="Z743" s="460" t="str">
        <f t="shared" ca="1" si="165"/>
        <v/>
      </c>
      <c r="AA743" s="461" t="str">
        <f t="shared" ca="1" si="165"/>
        <v/>
      </c>
      <c r="AB743" s="474" t="str">
        <f t="shared" ca="1" si="165"/>
        <v/>
      </c>
      <c r="AC743" s="475" t="str">
        <f t="shared" ca="1" si="165"/>
        <v/>
      </c>
      <c r="AD743" s="477" t="str">
        <f t="shared" ca="1" si="158"/>
        <v/>
      </c>
      <c r="AE743" s="478">
        <f t="shared" ca="1" si="159"/>
        <v>0</v>
      </c>
      <c r="AF743" s="459" t="str">
        <f t="shared" ca="1" si="163"/>
        <v/>
      </c>
      <c r="AG743" s="460" t="str">
        <f t="shared" ca="1" si="163"/>
        <v/>
      </c>
      <c r="AH743" s="460" t="str">
        <f t="shared" ca="1" si="163"/>
        <v/>
      </c>
      <c r="AI743" s="460" t="str">
        <f t="shared" ca="1" si="163"/>
        <v/>
      </c>
      <c r="AJ743" s="460" t="str">
        <f t="shared" ca="1" si="163"/>
        <v/>
      </c>
      <c r="AK743" s="460" t="str">
        <f t="shared" ca="1" si="163"/>
        <v/>
      </c>
      <c r="AL743" s="460" t="str">
        <f t="shared" ca="1" si="163"/>
        <v/>
      </c>
      <c r="AM743" s="460" t="str">
        <f t="shared" ca="1" si="163"/>
        <v/>
      </c>
      <c r="AN743" s="461" t="str">
        <f t="shared" ca="1" si="163"/>
        <v/>
      </c>
      <c r="AO743" s="474" t="str">
        <f t="shared" ca="1" si="163"/>
        <v/>
      </c>
      <c r="AP743" s="475" t="str">
        <f t="shared" ca="1" si="163"/>
        <v/>
      </c>
      <c r="AQ743" s="479" t="str">
        <f t="array" aca="1" ref="AQ743" ca="1">IF(ROW()-5&lt;=COUNTIF(科目编号,$AR$2),SMALL(IF(科目编号=$AR$2,ROW(科目编号),""),ROW()-5),"")</f>
        <v/>
      </c>
      <c r="AR743" s="480" t="str">
        <f ca="1">IF($BG$2=0,"",IF(AR742="本月合计","本年累计",IF(OR(ROW()=$AU$3,ROW()=$AV$3,ROW()=$AW$3,ROW()=$AX$3,ROW()=$AY$3,ROW()=$AZ$3,ROW()=$BA$3,ROW()=$BB$3,ROW()=$BC$3,ROW()=$BD$3,ROW()=$BE$3,ROW()=$BF$3),"本月合计",IF(ROW()&lt;7,$AQ$6,OFFSET($AQ$6,COUNT($AR$6:AR742),0)))))</f>
        <v/>
      </c>
    </row>
    <row r="744" spans="1:44">
      <c r="A744" s="469" t="str">
        <f ca="1">IFERROR(INDEX(凭证录入!A:A,$AR744),"")</f>
        <v/>
      </c>
      <c r="B744" s="469" t="str">
        <f ca="1">IFERROR(INDEX(凭证录入!B:B,$AR744),"")</f>
        <v/>
      </c>
      <c r="C744" s="470" t="str">
        <f ca="1">IFERROR(INDEX(凭证录入!G:G,$AR744),"")</f>
        <v/>
      </c>
      <c r="D744" s="471" t="str">
        <f ca="1">IFERROR(INDEX(凭证录入!F:F,$AR744),"")</f>
        <v/>
      </c>
      <c r="E744" s="472" t="str">
        <f ca="1">IFERROR(INDEX(凭证录入!H:H,$AR744),$AR744)</f>
        <v/>
      </c>
      <c r="F744" s="473">
        <f ca="1">IF(OR($BG$2=0,$AR744=""),,IF($AR744="本月合计",IF(ROW()=$BG$3,SUM($F$6:$F743),SUM(INDIRECT("$F$"&amp;OFFSET($AU$3,,MATCH(ROW(),$AU$3:$BF$3,)-2)+2&amp;":$E"&amp;ROW()-1))),IF($AR744="本年累计",SUMIF($AR$6:$AR744,"本月合计",$F$6:$F743),INDEX(凭证录入!K:K,$AR744))))</f>
        <v>0</v>
      </c>
      <c r="G744" s="459" t="str">
        <f t="shared" ca="1" si="164"/>
        <v/>
      </c>
      <c r="H744" s="460" t="str">
        <f t="shared" ca="1" si="164"/>
        <v/>
      </c>
      <c r="I744" s="460" t="str">
        <f t="shared" ca="1" si="164"/>
        <v/>
      </c>
      <c r="J744" s="460" t="str">
        <f t="shared" ca="1" si="164"/>
        <v/>
      </c>
      <c r="K744" s="460" t="str">
        <f t="shared" ca="1" si="164"/>
        <v/>
      </c>
      <c r="L744" s="460" t="str">
        <f t="shared" ca="1" si="164"/>
        <v/>
      </c>
      <c r="M744" s="460" t="str">
        <f t="shared" ca="1" si="164"/>
        <v/>
      </c>
      <c r="N744" s="460" t="str">
        <f t="shared" ca="1" si="164"/>
        <v/>
      </c>
      <c r="O744" s="461" t="str">
        <f t="shared" ca="1" si="164"/>
        <v/>
      </c>
      <c r="P744" s="474" t="str">
        <f t="shared" ca="1" si="164"/>
        <v/>
      </c>
      <c r="Q744" s="475" t="str">
        <f t="shared" ca="1" si="164"/>
        <v/>
      </c>
      <c r="R744" s="476">
        <f ca="1">IF(OR($BG$2=0,$AR744=""),,IF($AR744="本月合计",IF(ROW()=$BG$3,SUM($R$6:$R743),SUM(INDIRECT("$R$"&amp;OFFSET($AU$3,,MATCH(ROW(),$AU$3:$BF$3,)-2)+2&amp;":$R"&amp;ROW()-1))),IF($AR744="本年累计",SUMIF($AR$6:$AR744,"本月合计",$R$6:$R743),INDEX(凭证录入!L:L,$AR744))))</f>
        <v>0</v>
      </c>
      <c r="S744" s="459" t="str">
        <f t="shared" ca="1" si="165"/>
        <v/>
      </c>
      <c r="T744" s="460" t="str">
        <f t="shared" ca="1" si="165"/>
        <v/>
      </c>
      <c r="U744" s="460" t="str">
        <f t="shared" ca="1" si="165"/>
        <v/>
      </c>
      <c r="V744" s="460" t="str">
        <f t="shared" ca="1" si="165"/>
        <v/>
      </c>
      <c r="W744" s="460" t="str">
        <f t="shared" ca="1" si="165"/>
        <v/>
      </c>
      <c r="X744" s="460" t="str">
        <f t="shared" ca="1" si="165"/>
        <v/>
      </c>
      <c r="Y744" s="460" t="str">
        <f t="shared" ca="1" si="165"/>
        <v/>
      </c>
      <c r="Z744" s="460" t="str">
        <f t="shared" ca="1" si="165"/>
        <v/>
      </c>
      <c r="AA744" s="461" t="str">
        <f t="shared" ca="1" si="165"/>
        <v/>
      </c>
      <c r="AB744" s="474" t="str">
        <f t="shared" ca="1" si="165"/>
        <v/>
      </c>
      <c r="AC744" s="475" t="str">
        <f t="shared" ca="1" si="165"/>
        <v/>
      </c>
      <c r="AD744" s="477" t="str">
        <f t="shared" ca="1" si="158"/>
        <v/>
      </c>
      <c r="AE744" s="478">
        <f t="shared" ca="1" si="159"/>
        <v>0</v>
      </c>
      <c r="AF744" s="459" t="str">
        <f t="shared" ca="1" si="163"/>
        <v/>
      </c>
      <c r="AG744" s="460" t="str">
        <f t="shared" ca="1" si="163"/>
        <v/>
      </c>
      <c r="AH744" s="460" t="str">
        <f t="shared" ca="1" si="163"/>
        <v/>
      </c>
      <c r="AI744" s="460" t="str">
        <f t="shared" ca="1" si="163"/>
        <v/>
      </c>
      <c r="AJ744" s="460" t="str">
        <f t="shared" ca="1" si="163"/>
        <v/>
      </c>
      <c r="AK744" s="460" t="str">
        <f t="shared" ca="1" si="163"/>
        <v/>
      </c>
      <c r="AL744" s="460" t="str">
        <f t="shared" ca="1" si="163"/>
        <v/>
      </c>
      <c r="AM744" s="460" t="str">
        <f t="shared" ca="1" si="163"/>
        <v/>
      </c>
      <c r="AN744" s="461" t="str">
        <f t="shared" ca="1" si="163"/>
        <v/>
      </c>
      <c r="AO744" s="474" t="str">
        <f t="shared" ca="1" si="163"/>
        <v/>
      </c>
      <c r="AP744" s="475" t="str">
        <f t="shared" ca="1" si="163"/>
        <v/>
      </c>
      <c r="AQ744" s="479" t="str">
        <f t="array" aca="1" ref="AQ744" ca="1">IF(ROW()-5&lt;=COUNTIF(科目编号,$AR$2),SMALL(IF(科目编号=$AR$2,ROW(科目编号),""),ROW()-5),"")</f>
        <v/>
      </c>
      <c r="AR744" s="480" t="str">
        <f ca="1">IF($BG$2=0,"",IF(AR743="本月合计","本年累计",IF(OR(ROW()=$AU$3,ROW()=$AV$3,ROW()=$AW$3,ROW()=$AX$3,ROW()=$AY$3,ROW()=$AZ$3,ROW()=$BA$3,ROW()=$BB$3,ROW()=$BC$3,ROW()=$BD$3,ROW()=$BE$3,ROW()=$BF$3),"本月合计",IF(ROW()&lt;7,$AQ$6,OFFSET($AQ$6,COUNT($AR$6:AR743),0)))))</f>
        <v/>
      </c>
    </row>
    <row r="745" spans="1:44">
      <c r="A745" s="469" t="str">
        <f ca="1">IFERROR(INDEX(凭证录入!A:A,$AR745),"")</f>
        <v/>
      </c>
      <c r="B745" s="469" t="str">
        <f ca="1">IFERROR(INDEX(凭证录入!B:B,$AR745),"")</f>
        <v/>
      </c>
      <c r="C745" s="470" t="str">
        <f ca="1">IFERROR(INDEX(凭证录入!G:G,$AR745),"")</f>
        <v/>
      </c>
      <c r="D745" s="471" t="str">
        <f ca="1">IFERROR(INDEX(凭证录入!F:F,$AR745),"")</f>
        <v/>
      </c>
      <c r="E745" s="472" t="str">
        <f ca="1">IFERROR(INDEX(凭证录入!H:H,$AR745),$AR745)</f>
        <v/>
      </c>
      <c r="F745" s="473">
        <f ca="1">IF(OR($BG$2=0,$AR745=""),,IF($AR745="本月合计",IF(ROW()=$BG$3,SUM($F$6:$F744),SUM(INDIRECT("$F$"&amp;OFFSET($AU$3,,MATCH(ROW(),$AU$3:$BF$3,)-2)+2&amp;":$E"&amp;ROW()-1))),IF($AR745="本年累计",SUMIF($AR$6:$AR745,"本月合计",$F$6:$F744),INDEX(凭证录入!K:K,$AR745))))</f>
        <v>0</v>
      </c>
      <c r="G745" s="459" t="str">
        <f t="shared" ca="1" si="164"/>
        <v/>
      </c>
      <c r="H745" s="460" t="str">
        <f t="shared" ca="1" si="164"/>
        <v/>
      </c>
      <c r="I745" s="460" t="str">
        <f t="shared" ca="1" si="164"/>
        <v/>
      </c>
      <c r="J745" s="460" t="str">
        <f t="shared" ca="1" si="164"/>
        <v/>
      </c>
      <c r="K745" s="460" t="str">
        <f t="shared" ca="1" si="164"/>
        <v/>
      </c>
      <c r="L745" s="460" t="str">
        <f t="shared" ca="1" si="164"/>
        <v/>
      </c>
      <c r="M745" s="460" t="str">
        <f t="shared" ca="1" si="164"/>
        <v/>
      </c>
      <c r="N745" s="460" t="str">
        <f t="shared" ca="1" si="164"/>
        <v/>
      </c>
      <c r="O745" s="461" t="str">
        <f t="shared" ca="1" si="164"/>
        <v/>
      </c>
      <c r="P745" s="474" t="str">
        <f t="shared" ca="1" si="164"/>
        <v/>
      </c>
      <c r="Q745" s="475" t="str">
        <f t="shared" ca="1" si="164"/>
        <v/>
      </c>
      <c r="R745" s="476">
        <f ca="1">IF(OR($BG$2=0,$AR745=""),,IF($AR745="本月合计",IF(ROW()=$BG$3,SUM($R$6:$R744),SUM(INDIRECT("$R$"&amp;OFFSET($AU$3,,MATCH(ROW(),$AU$3:$BF$3,)-2)+2&amp;":$R"&amp;ROW()-1))),IF($AR745="本年累计",SUMIF($AR$6:$AR745,"本月合计",$R$6:$R744),INDEX(凭证录入!L:L,$AR745))))</f>
        <v>0</v>
      </c>
      <c r="S745" s="459" t="str">
        <f t="shared" ca="1" si="165"/>
        <v/>
      </c>
      <c r="T745" s="460" t="str">
        <f t="shared" ca="1" si="165"/>
        <v/>
      </c>
      <c r="U745" s="460" t="str">
        <f t="shared" ca="1" si="165"/>
        <v/>
      </c>
      <c r="V745" s="460" t="str">
        <f t="shared" ca="1" si="165"/>
        <v/>
      </c>
      <c r="W745" s="460" t="str">
        <f t="shared" ca="1" si="165"/>
        <v/>
      </c>
      <c r="X745" s="460" t="str">
        <f t="shared" ca="1" si="165"/>
        <v/>
      </c>
      <c r="Y745" s="460" t="str">
        <f t="shared" ca="1" si="165"/>
        <v/>
      </c>
      <c r="Z745" s="460" t="str">
        <f t="shared" ca="1" si="165"/>
        <v/>
      </c>
      <c r="AA745" s="461" t="str">
        <f t="shared" ca="1" si="165"/>
        <v/>
      </c>
      <c r="AB745" s="474" t="str">
        <f t="shared" ca="1" si="165"/>
        <v/>
      </c>
      <c r="AC745" s="475" t="str">
        <f t="shared" ca="1" si="165"/>
        <v/>
      </c>
      <c r="AD745" s="477" t="str">
        <f t="shared" ca="1" si="158"/>
        <v/>
      </c>
      <c r="AE745" s="478">
        <f t="shared" ca="1" si="159"/>
        <v>0</v>
      </c>
      <c r="AF745" s="459" t="str">
        <f t="shared" ca="1" si="163"/>
        <v/>
      </c>
      <c r="AG745" s="460" t="str">
        <f t="shared" ca="1" si="163"/>
        <v/>
      </c>
      <c r="AH745" s="460" t="str">
        <f t="shared" ca="1" si="163"/>
        <v/>
      </c>
      <c r="AI745" s="460" t="str">
        <f t="shared" ca="1" si="163"/>
        <v/>
      </c>
      <c r="AJ745" s="460" t="str">
        <f t="shared" ca="1" si="163"/>
        <v/>
      </c>
      <c r="AK745" s="460" t="str">
        <f t="shared" ca="1" si="163"/>
        <v/>
      </c>
      <c r="AL745" s="460" t="str">
        <f t="shared" ca="1" si="163"/>
        <v/>
      </c>
      <c r="AM745" s="460" t="str">
        <f t="shared" ca="1" si="163"/>
        <v/>
      </c>
      <c r="AN745" s="461" t="str">
        <f t="shared" ca="1" si="163"/>
        <v/>
      </c>
      <c r="AO745" s="474" t="str">
        <f t="shared" ca="1" si="163"/>
        <v/>
      </c>
      <c r="AP745" s="475" t="str">
        <f t="shared" ca="1" si="163"/>
        <v/>
      </c>
      <c r="AQ745" s="479" t="str">
        <f t="array" aca="1" ref="AQ745" ca="1">IF(ROW()-5&lt;=COUNTIF(科目编号,$AR$2),SMALL(IF(科目编号=$AR$2,ROW(科目编号),""),ROW()-5),"")</f>
        <v/>
      </c>
      <c r="AR745" s="480" t="str">
        <f ca="1">IF($BG$2=0,"",IF(AR744="本月合计","本年累计",IF(OR(ROW()=$AU$3,ROW()=$AV$3,ROW()=$AW$3,ROW()=$AX$3,ROW()=$AY$3,ROW()=$AZ$3,ROW()=$BA$3,ROW()=$BB$3,ROW()=$BC$3,ROW()=$BD$3,ROW()=$BE$3,ROW()=$BF$3),"本月合计",IF(ROW()&lt;7,$AQ$6,OFFSET($AQ$6,COUNT($AR$6:AR744),0)))))</f>
        <v/>
      </c>
    </row>
    <row r="746" spans="1:44">
      <c r="A746" s="469" t="str">
        <f ca="1">IFERROR(INDEX(凭证录入!A:A,$AR746),"")</f>
        <v/>
      </c>
      <c r="B746" s="469" t="str">
        <f ca="1">IFERROR(INDEX(凭证录入!B:B,$AR746),"")</f>
        <v/>
      </c>
      <c r="C746" s="470" t="str">
        <f ca="1">IFERROR(INDEX(凭证录入!G:G,$AR746),"")</f>
        <v/>
      </c>
      <c r="D746" s="471" t="str">
        <f ca="1">IFERROR(INDEX(凭证录入!F:F,$AR746),"")</f>
        <v/>
      </c>
      <c r="E746" s="472" t="str">
        <f ca="1">IFERROR(INDEX(凭证录入!H:H,$AR746),$AR746)</f>
        <v/>
      </c>
      <c r="F746" s="473">
        <f ca="1">IF(OR($BG$2=0,$AR746=""),,IF($AR746="本月合计",IF(ROW()=$BG$3,SUM($F$6:$F745),SUM(INDIRECT("$F$"&amp;OFFSET($AU$3,,MATCH(ROW(),$AU$3:$BF$3,)-2)+2&amp;":$E"&amp;ROW()-1))),IF($AR746="本年累计",SUMIF($AR$6:$AR746,"本月合计",$F$6:$F745),INDEX(凭证录入!K:K,$AR746))))</f>
        <v>0</v>
      </c>
      <c r="G746" s="459" t="str">
        <f t="shared" ca="1" si="164"/>
        <v/>
      </c>
      <c r="H746" s="460" t="str">
        <f t="shared" ca="1" si="164"/>
        <v/>
      </c>
      <c r="I746" s="460" t="str">
        <f t="shared" ca="1" si="164"/>
        <v/>
      </c>
      <c r="J746" s="460" t="str">
        <f t="shared" ca="1" si="164"/>
        <v/>
      </c>
      <c r="K746" s="460" t="str">
        <f t="shared" ca="1" si="164"/>
        <v/>
      </c>
      <c r="L746" s="460" t="str">
        <f t="shared" ca="1" si="164"/>
        <v/>
      </c>
      <c r="M746" s="460" t="str">
        <f t="shared" ca="1" si="164"/>
        <v/>
      </c>
      <c r="N746" s="460" t="str">
        <f t="shared" ca="1" si="164"/>
        <v/>
      </c>
      <c r="O746" s="461" t="str">
        <f t="shared" ca="1" si="164"/>
        <v/>
      </c>
      <c r="P746" s="474" t="str">
        <f t="shared" ca="1" si="164"/>
        <v/>
      </c>
      <c r="Q746" s="475" t="str">
        <f t="shared" ca="1" si="164"/>
        <v/>
      </c>
      <c r="R746" s="476">
        <f ca="1">IF(OR($BG$2=0,$AR746=""),,IF($AR746="本月合计",IF(ROW()=$BG$3,SUM($R$6:$R745),SUM(INDIRECT("$R$"&amp;OFFSET($AU$3,,MATCH(ROW(),$AU$3:$BF$3,)-2)+2&amp;":$R"&amp;ROW()-1))),IF($AR746="本年累计",SUMIF($AR$6:$AR746,"本月合计",$R$6:$R745),INDEX(凭证录入!L:L,$AR746))))</f>
        <v>0</v>
      </c>
      <c r="S746" s="459" t="str">
        <f t="shared" ca="1" si="165"/>
        <v/>
      </c>
      <c r="T746" s="460" t="str">
        <f t="shared" ca="1" si="165"/>
        <v/>
      </c>
      <c r="U746" s="460" t="str">
        <f t="shared" ca="1" si="165"/>
        <v/>
      </c>
      <c r="V746" s="460" t="str">
        <f t="shared" ca="1" si="165"/>
        <v/>
      </c>
      <c r="W746" s="460" t="str">
        <f t="shared" ca="1" si="165"/>
        <v/>
      </c>
      <c r="X746" s="460" t="str">
        <f t="shared" ca="1" si="165"/>
        <v/>
      </c>
      <c r="Y746" s="460" t="str">
        <f t="shared" ca="1" si="165"/>
        <v/>
      </c>
      <c r="Z746" s="460" t="str">
        <f t="shared" ca="1" si="165"/>
        <v/>
      </c>
      <c r="AA746" s="461" t="str">
        <f t="shared" ca="1" si="165"/>
        <v/>
      </c>
      <c r="AB746" s="474" t="str">
        <f t="shared" ca="1" si="165"/>
        <v/>
      </c>
      <c r="AC746" s="475" t="str">
        <f t="shared" ca="1" si="165"/>
        <v/>
      </c>
      <c r="AD746" s="477" t="str">
        <f t="shared" ca="1" si="158"/>
        <v/>
      </c>
      <c r="AE746" s="478">
        <f t="shared" ca="1" si="159"/>
        <v>0</v>
      </c>
      <c r="AF746" s="459" t="str">
        <f t="shared" ca="1" si="163"/>
        <v/>
      </c>
      <c r="AG746" s="460" t="str">
        <f t="shared" ca="1" si="163"/>
        <v/>
      </c>
      <c r="AH746" s="460" t="str">
        <f t="shared" ca="1" si="163"/>
        <v/>
      </c>
      <c r="AI746" s="460" t="str">
        <f t="shared" ca="1" si="163"/>
        <v/>
      </c>
      <c r="AJ746" s="460" t="str">
        <f t="shared" ca="1" si="163"/>
        <v/>
      </c>
      <c r="AK746" s="460" t="str">
        <f t="shared" ca="1" si="163"/>
        <v/>
      </c>
      <c r="AL746" s="460" t="str">
        <f t="shared" ca="1" si="163"/>
        <v/>
      </c>
      <c r="AM746" s="460" t="str">
        <f t="shared" ca="1" si="163"/>
        <v/>
      </c>
      <c r="AN746" s="461" t="str">
        <f t="shared" ca="1" si="163"/>
        <v/>
      </c>
      <c r="AO746" s="474" t="str">
        <f t="shared" ca="1" si="163"/>
        <v/>
      </c>
      <c r="AP746" s="475" t="str">
        <f t="shared" ca="1" si="163"/>
        <v/>
      </c>
      <c r="AQ746" s="479" t="str">
        <f t="array" aca="1" ref="AQ746" ca="1">IF(ROW()-5&lt;=COUNTIF(科目编号,$AR$2),SMALL(IF(科目编号=$AR$2,ROW(科目编号),""),ROW()-5),"")</f>
        <v/>
      </c>
      <c r="AR746" s="480" t="str">
        <f ca="1">IF($BG$2=0,"",IF(AR745="本月合计","本年累计",IF(OR(ROW()=$AU$3,ROW()=$AV$3,ROW()=$AW$3,ROW()=$AX$3,ROW()=$AY$3,ROW()=$AZ$3,ROW()=$BA$3,ROW()=$BB$3,ROW()=$BC$3,ROW()=$BD$3,ROW()=$BE$3,ROW()=$BF$3),"本月合计",IF(ROW()&lt;7,$AQ$6,OFFSET($AQ$6,COUNT($AR$6:AR745),0)))))</f>
        <v/>
      </c>
    </row>
    <row r="747" spans="1:44">
      <c r="A747" s="469" t="str">
        <f ca="1">IFERROR(INDEX(凭证录入!A:A,$AR747),"")</f>
        <v/>
      </c>
      <c r="B747" s="469" t="str">
        <f ca="1">IFERROR(INDEX(凭证录入!B:B,$AR747),"")</f>
        <v/>
      </c>
      <c r="C747" s="470" t="str">
        <f ca="1">IFERROR(INDEX(凭证录入!G:G,$AR747),"")</f>
        <v/>
      </c>
      <c r="D747" s="471" t="str">
        <f ca="1">IFERROR(INDEX(凭证录入!F:F,$AR747),"")</f>
        <v/>
      </c>
      <c r="E747" s="472" t="str">
        <f ca="1">IFERROR(INDEX(凭证录入!H:H,$AR747),$AR747)</f>
        <v/>
      </c>
      <c r="F747" s="473">
        <f ca="1">IF(OR($BG$2=0,$AR747=""),,IF($AR747="本月合计",IF(ROW()=$BG$3,SUM($F$6:$F746),SUM(INDIRECT("$F$"&amp;OFFSET($AU$3,,MATCH(ROW(),$AU$3:$BF$3,)-2)+2&amp;":$E"&amp;ROW()-1))),IF($AR747="本年累计",SUMIF($AR$6:$AR747,"本月合计",$F$6:$F746),INDEX(凭证录入!K:K,$AR747))))</f>
        <v>0</v>
      </c>
      <c r="G747" s="459" t="str">
        <f t="shared" ca="1" si="164"/>
        <v/>
      </c>
      <c r="H747" s="460" t="str">
        <f t="shared" ca="1" si="164"/>
        <v/>
      </c>
      <c r="I747" s="460" t="str">
        <f t="shared" ca="1" si="164"/>
        <v/>
      </c>
      <c r="J747" s="460" t="str">
        <f t="shared" ca="1" si="164"/>
        <v/>
      </c>
      <c r="K747" s="460" t="str">
        <f t="shared" ca="1" si="164"/>
        <v/>
      </c>
      <c r="L747" s="460" t="str">
        <f t="shared" ca="1" si="164"/>
        <v/>
      </c>
      <c r="M747" s="460" t="str">
        <f t="shared" ca="1" si="164"/>
        <v/>
      </c>
      <c r="N747" s="460" t="str">
        <f t="shared" ca="1" si="164"/>
        <v/>
      </c>
      <c r="O747" s="461" t="str">
        <f t="shared" ca="1" si="164"/>
        <v/>
      </c>
      <c r="P747" s="474" t="str">
        <f t="shared" ca="1" si="164"/>
        <v/>
      </c>
      <c r="Q747" s="475" t="str">
        <f t="shared" ca="1" si="164"/>
        <v/>
      </c>
      <c r="R747" s="476">
        <f ca="1">IF(OR($BG$2=0,$AR747=""),,IF($AR747="本月合计",IF(ROW()=$BG$3,SUM($R$6:$R746),SUM(INDIRECT("$R$"&amp;OFFSET($AU$3,,MATCH(ROW(),$AU$3:$BF$3,)-2)+2&amp;":$R"&amp;ROW()-1))),IF($AR747="本年累计",SUMIF($AR$6:$AR747,"本月合计",$R$6:$R746),INDEX(凭证录入!L:L,$AR747))))</f>
        <v>0</v>
      </c>
      <c r="S747" s="459" t="str">
        <f t="shared" ca="1" si="165"/>
        <v/>
      </c>
      <c r="T747" s="460" t="str">
        <f t="shared" ca="1" si="165"/>
        <v/>
      </c>
      <c r="U747" s="460" t="str">
        <f t="shared" ca="1" si="165"/>
        <v/>
      </c>
      <c r="V747" s="460" t="str">
        <f t="shared" ca="1" si="165"/>
        <v/>
      </c>
      <c r="W747" s="460" t="str">
        <f t="shared" ca="1" si="165"/>
        <v/>
      </c>
      <c r="X747" s="460" t="str">
        <f t="shared" ca="1" si="165"/>
        <v/>
      </c>
      <c r="Y747" s="460" t="str">
        <f t="shared" ca="1" si="165"/>
        <v/>
      </c>
      <c r="Z747" s="460" t="str">
        <f t="shared" ca="1" si="165"/>
        <v/>
      </c>
      <c r="AA747" s="461" t="str">
        <f t="shared" ca="1" si="165"/>
        <v/>
      </c>
      <c r="AB747" s="474" t="str">
        <f t="shared" ca="1" si="165"/>
        <v/>
      </c>
      <c r="AC747" s="475" t="str">
        <f t="shared" ca="1" si="165"/>
        <v/>
      </c>
      <c r="AD747" s="477" t="str">
        <f t="shared" ca="1" si="158"/>
        <v/>
      </c>
      <c r="AE747" s="478">
        <f t="shared" ca="1" si="159"/>
        <v>0</v>
      </c>
      <c r="AF747" s="459" t="str">
        <f t="shared" ca="1" si="163"/>
        <v/>
      </c>
      <c r="AG747" s="460" t="str">
        <f t="shared" ca="1" si="163"/>
        <v/>
      </c>
      <c r="AH747" s="460" t="str">
        <f t="shared" ca="1" si="163"/>
        <v/>
      </c>
      <c r="AI747" s="460" t="str">
        <f t="shared" ca="1" si="163"/>
        <v/>
      </c>
      <c r="AJ747" s="460" t="str">
        <f t="shared" ca="1" si="163"/>
        <v/>
      </c>
      <c r="AK747" s="460" t="str">
        <f t="shared" ca="1" si="163"/>
        <v/>
      </c>
      <c r="AL747" s="460" t="str">
        <f t="shared" ca="1" si="163"/>
        <v/>
      </c>
      <c r="AM747" s="460" t="str">
        <f t="shared" ca="1" si="163"/>
        <v/>
      </c>
      <c r="AN747" s="461" t="str">
        <f t="shared" ca="1" si="163"/>
        <v/>
      </c>
      <c r="AO747" s="474" t="str">
        <f t="shared" ca="1" si="163"/>
        <v/>
      </c>
      <c r="AP747" s="475" t="str">
        <f t="shared" ca="1" si="163"/>
        <v/>
      </c>
      <c r="AQ747" s="479" t="str">
        <f t="array" aca="1" ref="AQ747" ca="1">IF(ROW()-5&lt;=COUNTIF(科目编号,$AR$2),SMALL(IF(科目编号=$AR$2,ROW(科目编号),""),ROW()-5),"")</f>
        <v/>
      </c>
      <c r="AR747" s="480" t="str">
        <f ca="1">IF($BG$2=0,"",IF(AR746="本月合计","本年累计",IF(OR(ROW()=$AU$3,ROW()=$AV$3,ROW()=$AW$3,ROW()=$AX$3,ROW()=$AY$3,ROW()=$AZ$3,ROW()=$BA$3,ROW()=$BB$3,ROW()=$BC$3,ROW()=$BD$3,ROW()=$BE$3,ROW()=$BF$3),"本月合计",IF(ROW()&lt;7,$AQ$6,OFFSET($AQ$6,COUNT($AR$6:AR746),0)))))</f>
        <v/>
      </c>
    </row>
    <row r="748" spans="1:44">
      <c r="A748" s="469" t="str">
        <f ca="1">IFERROR(INDEX(凭证录入!A:A,$AR748),"")</f>
        <v/>
      </c>
      <c r="B748" s="469" t="str">
        <f ca="1">IFERROR(INDEX(凭证录入!B:B,$AR748),"")</f>
        <v/>
      </c>
      <c r="C748" s="470" t="str">
        <f ca="1">IFERROR(INDEX(凭证录入!G:G,$AR748),"")</f>
        <v/>
      </c>
      <c r="D748" s="471" t="str">
        <f ca="1">IFERROR(INDEX(凭证录入!F:F,$AR748),"")</f>
        <v/>
      </c>
      <c r="E748" s="472" t="str">
        <f ca="1">IFERROR(INDEX(凭证录入!H:H,$AR748),$AR748)</f>
        <v/>
      </c>
      <c r="F748" s="473">
        <f ca="1">IF(OR($BG$2=0,$AR748=""),,IF($AR748="本月合计",IF(ROW()=$BG$3,SUM($F$6:$F747),SUM(INDIRECT("$F$"&amp;OFFSET($AU$3,,MATCH(ROW(),$AU$3:$BF$3,)-2)+2&amp;":$E"&amp;ROW()-1))),IF($AR748="本年累计",SUMIF($AR$6:$AR748,"本月合计",$F$6:$F747),INDEX(凭证录入!K:K,$AR748))))</f>
        <v>0</v>
      </c>
      <c r="G748" s="459" t="str">
        <f t="shared" ca="1" si="164"/>
        <v/>
      </c>
      <c r="H748" s="460" t="str">
        <f t="shared" ca="1" si="164"/>
        <v/>
      </c>
      <c r="I748" s="460" t="str">
        <f t="shared" ca="1" si="164"/>
        <v/>
      </c>
      <c r="J748" s="460" t="str">
        <f t="shared" ca="1" si="164"/>
        <v/>
      </c>
      <c r="K748" s="460" t="str">
        <f t="shared" ca="1" si="164"/>
        <v/>
      </c>
      <c r="L748" s="460" t="str">
        <f t="shared" ca="1" si="164"/>
        <v/>
      </c>
      <c r="M748" s="460" t="str">
        <f t="shared" ca="1" si="164"/>
        <v/>
      </c>
      <c r="N748" s="460" t="str">
        <f t="shared" ca="1" si="164"/>
        <v/>
      </c>
      <c r="O748" s="461" t="str">
        <f t="shared" ca="1" si="164"/>
        <v/>
      </c>
      <c r="P748" s="474" t="str">
        <f t="shared" ca="1" si="164"/>
        <v/>
      </c>
      <c r="Q748" s="475" t="str">
        <f t="shared" ca="1" si="164"/>
        <v/>
      </c>
      <c r="R748" s="476">
        <f ca="1">IF(OR($BG$2=0,$AR748=""),,IF($AR748="本月合计",IF(ROW()=$BG$3,SUM($R$6:$R747),SUM(INDIRECT("$R$"&amp;OFFSET($AU$3,,MATCH(ROW(),$AU$3:$BF$3,)-2)+2&amp;":$R"&amp;ROW()-1))),IF($AR748="本年累计",SUMIF($AR$6:$AR748,"本月合计",$R$6:$R747),INDEX(凭证录入!L:L,$AR748))))</f>
        <v>0</v>
      </c>
      <c r="S748" s="459" t="str">
        <f t="shared" ca="1" si="165"/>
        <v/>
      </c>
      <c r="T748" s="460" t="str">
        <f t="shared" ca="1" si="165"/>
        <v/>
      </c>
      <c r="U748" s="460" t="str">
        <f t="shared" ca="1" si="165"/>
        <v/>
      </c>
      <c r="V748" s="460" t="str">
        <f t="shared" ca="1" si="165"/>
        <v/>
      </c>
      <c r="W748" s="460" t="str">
        <f t="shared" ca="1" si="165"/>
        <v/>
      </c>
      <c r="X748" s="460" t="str">
        <f t="shared" ca="1" si="165"/>
        <v/>
      </c>
      <c r="Y748" s="460" t="str">
        <f t="shared" ca="1" si="165"/>
        <v/>
      </c>
      <c r="Z748" s="460" t="str">
        <f t="shared" ca="1" si="165"/>
        <v/>
      </c>
      <c r="AA748" s="461" t="str">
        <f t="shared" ca="1" si="165"/>
        <v/>
      </c>
      <c r="AB748" s="474" t="str">
        <f t="shared" ca="1" si="165"/>
        <v/>
      </c>
      <c r="AC748" s="475" t="str">
        <f t="shared" ca="1" si="165"/>
        <v/>
      </c>
      <c r="AD748" s="477" t="str">
        <f t="shared" ca="1" si="158"/>
        <v/>
      </c>
      <c r="AE748" s="478">
        <f t="shared" ca="1" si="159"/>
        <v>0</v>
      </c>
      <c r="AF748" s="459" t="str">
        <f t="shared" ca="1" si="163"/>
        <v/>
      </c>
      <c r="AG748" s="460" t="str">
        <f t="shared" ca="1" si="163"/>
        <v/>
      </c>
      <c r="AH748" s="460" t="str">
        <f t="shared" ca="1" si="163"/>
        <v/>
      </c>
      <c r="AI748" s="460" t="str">
        <f t="shared" ca="1" si="163"/>
        <v/>
      </c>
      <c r="AJ748" s="460" t="str">
        <f t="shared" ca="1" si="163"/>
        <v/>
      </c>
      <c r="AK748" s="460" t="str">
        <f t="shared" ca="1" si="163"/>
        <v/>
      </c>
      <c r="AL748" s="460" t="str">
        <f t="shared" ca="1" si="163"/>
        <v/>
      </c>
      <c r="AM748" s="460" t="str">
        <f t="shared" ca="1" si="163"/>
        <v/>
      </c>
      <c r="AN748" s="461" t="str">
        <f t="shared" ca="1" si="163"/>
        <v/>
      </c>
      <c r="AO748" s="474" t="str">
        <f t="shared" ca="1" si="163"/>
        <v/>
      </c>
      <c r="AP748" s="475" t="str">
        <f t="shared" ca="1" si="163"/>
        <v/>
      </c>
      <c r="AQ748" s="479" t="str">
        <f t="array" aca="1" ref="AQ748" ca="1">IF(ROW()-5&lt;=COUNTIF(科目编号,$AR$2),SMALL(IF(科目编号=$AR$2,ROW(科目编号),""),ROW()-5),"")</f>
        <v/>
      </c>
      <c r="AR748" s="480" t="str">
        <f ca="1">IF($BG$2=0,"",IF(AR747="本月合计","本年累计",IF(OR(ROW()=$AU$3,ROW()=$AV$3,ROW()=$AW$3,ROW()=$AX$3,ROW()=$AY$3,ROW()=$AZ$3,ROW()=$BA$3,ROW()=$BB$3,ROW()=$BC$3,ROW()=$BD$3,ROW()=$BE$3,ROW()=$BF$3),"本月合计",IF(ROW()&lt;7,$AQ$6,OFFSET($AQ$6,COUNT($AR$6:AR747),0)))))</f>
        <v/>
      </c>
    </row>
    <row r="749" spans="1:44">
      <c r="A749" s="469" t="str">
        <f ca="1">IFERROR(INDEX(凭证录入!A:A,$AR749),"")</f>
        <v/>
      </c>
      <c r="B749" s="469" t="str">
        <f ca="1">IFERROR(INDEX(凭证录入!B:B,$AR749),"")</f>
        <v/>
      </c>
      <c r="C749" s="470" t="str">
        <f ca="1">IFERROR(INDEX(凭证录入!G:G,$AR749),"")</f>
        <v/>
      </c>
      <c r="D749" s="471" t="str">
        <f ca="1">IFERROR(INDEX(凭证录入!F:F,$AR749),"")</f>
        <v/>
      </c>
      <c r="E749" s="472" t="str">
        <f ca="1">IFERROR(INDEX(凭证录入!H:H,$AR749),$AR749)</f>
        <v/>
      </c>
      <c r="F749" s="473">
        <f ca="1">IF(OR($BG$2=0,$AR749=""),,IF($AR749="本月合计",IF(ROW()=$BG$3,SUM($F$6:$F748),SUM(INDIRECT("$F$"&amp;OFFSET($AU$3,,MATCH(ROW(),$AU$3:$BF$3,)-2)+2&amp;":$E"&amp;ROW()-1))),IF($AR749="本年累计",SUMIF($AR$6:$AR749,"本月合计",$F$6:$F748),INDEX(凭证录入!K:K,$AR749))))</f>
        <v>0</v>
      </c>
      <c r="G749" s="459" t="str">
        <f t="shared" ca="1" si="164"/>
        <v/>
      </c>
      <c r="H749" s="460" t="str">
        <f t="shared" ca="1" si="164"/>
        <v/>
      </c>
      <c r="I749" s="460" t="str">
        <f t="shared" ca="1" si="164"/>
        <v/>
      </c>
      <c r="J749" s="460" t="str">
        <f t="shared" ca="1" si="164"/>
        <v/>
      </c>
      <c r="K749" s="460" t="str">
        <f t="shared" ca="1" si="164"/>
        <v/>
      </c>
      <c r="L749" s="460" t="str">
        <f t="shared" ca="1" si="164"/>
        <v/>
      </c>
      <c r="M749" s="460" t="str">
        <f t="shared" ca="1" si="164"/>
        <v/>
      </c>
      <c r="N749" s="460" t="str">
        <f t="shared" ca="1" si="164"/>
        <v/>
      </c>
      <c r="O749" s="461" t="str">
        <f t="shared" ca="1" si="164"/>
        <v/>
      </c>
      <c r="P749" s="474" t="str">
        <f t="shared" ca="1" si="164"/>
        <v/>
      </c>
      <c r="Q749" s="475" t="str">
        <f t="shared" ca="1" si="164"/>
        <v/>
      </c>
      <c r="R749" s="476">
        <f ca="1">IF(OR($BG$2=0,$AR749=""),,IF($AR749="本月合计",IF(ROW()=$BG$3,SUM($R$6:$R748),SUM(INDIRECT("$R$"&amp;OFFSET($AU$3,,MATCH(ROW(),$AU$3:$BF$3,)-2)+2&amp;":$R"&amp;ROW()-1))),IF($AR749="本年累计",SUMIF($AR$6:$AR749,"本月合计",$R$6:$R748),INDEX(凭证录入!L:L,$AR749))))</f>
        <v>0</v>
      </c>
      <c r="S749" s="459" t="str">
        <f t="shared" ca="1" si="165"/>
        <v/>
      </c>
      <c r="T749" s="460" t="str">
        <f t="shared" ca="1" si="165"/>
        <v/>
      </c>
      <c r="U749" s="460" t="str">
        <f t="shared" ca="1" si="165"/>
        <v/>
      </c>
      <c r="V749" s="460" t="str">
        <f t="shared" ca="1" si="165"/>
        <v/>
      </c>
      <c r="W749" s="460" t="str">
        <f t="shared" ca="1" si="165"/>
        <v/>
      </c>
      <c r="X749" s="460" t="str">
        <f t="shared" ca="1" si="165"/>
        <v/>
      </c>
      <c r="Y749" s="460" t="str">
        <f t="shared" ca="1" si="165"/>
        <v/>
      </c>
      <c r="Z749" s="460" t="str">
        <f t="shared" ca="1" si="165"/>
        <v/>
      </c>
      <c r="AA749" s="461" t="str">
        <f t="shared" ca="1" si="165"/>
        <v/>
      </c>
      <c r="AB749" s="474" t="str">
        <f t="shared" ca="1" si="165"/>
        <v/>
      </c>
      <c r="AC749" s="475" t="str">
        <f t="shared" ca="1" si="165"/>
        <v/>
      </c>
      <c r="AD749" s="477" t="str">
        <f t="shared" ca="1" si="158"/>
        <v/>
      </c>
      <c r="AE749" s="478">
        <f t="shared" ca="1" si="159"/>
        <v>0</v>
      </c>
      <c r="AF749" s="459" t="str">
        <f t="shared" ca="1" si="163"/>
        <v/>
      </c>
      <c r="AG749" s="460" t="str">
        <f t="shared" ca="1" si="163"/>
        <v/>
      </c>
      <c r="AH749" s="460" t="str">
        <f t="shared" ca="1" si="163"/>
        <v/>
      </c>
      <c r="AI749" s="460" t="str">
        <f t="shared" ca="1" si="163"/>
        <v/>
      </c>
      <c r="AJ749" s="460" t="str">
        <f t="shared" ca="1" si="163"/>
        <v/>
      </c>
      <c r="AK749" s="460" t="str">
        <f t="shared" ca="1" si="163"/>
        <v/>
      </c>
      <c r="AL749" s="460" t="str">
        <f t="shared" ca="1" si="163"/>
        <v/>
      </c>
      <c r="AM749" s="460" t="str">
        <f t="shared" ca="1" si="163"/>
        <v/>
      </c>
      <c r="AN749" s="461" t="str">
        <f t="shared" ca="1" si="163"/>
        <v/>
      </c>
      <c r="AO749" s="474" t="str">
        <f t="shared" ca="1" si="163"/>
        <v/>
      </c>
      <c r="AP749" s="475" t="str">
        <f t="shared" ca="1" si="163"/>
        <v/>
      </c>
      <c r="AQ749" s="479" t="str">
        <f t="array" aca="1" ref="AQ749" ca="1">IF(ROW()-5&lt;=COUNTIF(科目编号,$AR$2),SMALL(IF(科目编号=$AR$2,ROW(科目编号),""),ROW()-5),"")</f>
        <v/>
      </c>
      <c r="AR749" s="480" t="str">
        <f ca="1">IF($BG$2=0,"",IF(AR748="本月合计","本年累计",IF(OR(ROW()=$AU$3,ROW()=$AV$3,ROW()=$AW$3,ROW()=$AX$3,ROW()=$AY$3,ROW()=$AZ$3,ROW()=$BA$3,ROW()=$BB$3,ROW()=$BC$3,ROW()=$BD$3,ROW()=$BE$3,ROW()=$BF$3),"本月合计",IF(ROW()&lt;7,$AQ$6,OFFSET($AQ$6,COUNT($AR$6:AR748),0)))))</f>
        <v/>
      </c>
    </row>
    <row r="750" spans="1:44">
      <c r="A750" s="469" t="str">
        <f ca="1">IFERROR(INDEX(凭证录入!A:A,$AR750),"")</f>
        <v/>
      </c>
      <c r="B750" s="469" t="str">
        <f ca="1">IFERROR(INDEX(凭证录入!B:B,$AR750),"")</f>
        <v/>
      </c>
      <c r="C750" s="470" t="str">
        <f ca="1">IFERROR(INDEX(凭证录入!G:G,$AR750),"")</f>
        <v/>
      </c>
      <c r="D750" s="471" t="str">
        <f ca="1">IFERROR(INDEX(凭证录入!F:F,$AR750),"")</f>
        <v/>
      </c>
      <c r="E750" s="472" t="str">
        <f ca="1">IFERROR(INDEX(凭证录入!H:H,$AR750),$AR750)</f>
        <v/>
      </c>
      <c r="F750" s="473">
        <f ca="1">IF(OR($BG$2=0,$AR750=""),,IF($AR750="本月合计",IF(ROW()=$BG$3,SUM($F$6:$F749),SUM(INDIRECT("$F$"&amp;OFFSET($AU$3,,MATCH(ROW(),$AU$3:$BF$3,)-2)+2&amp;":$E"&amp;ROW()-1))),IF($AR750="本年累计",SUMIF($AR$6:$AR750,"本月合计",$F$6:$F749),INDEX(凭证录入!K:K,$AR750))))</f>
        <v>0</v>
      </c>
      <c r="G750" s="459" t="str">
        <f t="shared" ca="1" si="164"/>
        <v/>
      </c>
      <c r="H750" s="460" t="str">
        <f t="shared" ca="1" si="164"/>
        <v/>
      </c>
      <c r="I750" s="460" t="str">
        <f t="shared" ca="1" si="164"/>
        <v/>
      </c>
      <c r="J750" s="460" t="str">
        <f t="shared" ca="1" si="164"/>
        <v/>
      </c>
      <c r="K750" s="460" t="str">
        <f t="shared" ca="1" si="164"/>
        <v/>
      </c>
      <c r="L750" s="460" t="str">
        <f t="shared" ca="1" si="164"/>
        <v/>
      </c>
      <c r="M750" s="460" t="str">
        <f t="shared" ca="1" si="164"/>
        <v/>
      </c>
      <c r="N750" s="460" t="str">
        <f t="shared" ca="1" si="164"/>
        <v/>
      </c>
      <c r="O750" s="461" t="str">
        <f t="shared" ca="1" si="164"/>
        <v/>
      </c>
      <c r="P750" s="474" t="str">
        <f t="shared" ca="1" si="164"/>
        <v/>
      </c>
      <c r="Q750" s="475" t="str">
        <f t="shared" ca="1" si="164"/>
        <v/>
      </c>
      <c r="R750" s="476">
        <f ca="1">IF(OR($BG$2=0,$AR750=""),,IF($AR750="本月合计",IF(ROW()=$BG$3,SUM($R$6:$R749),SUM(INDIRECT("$R$"&amp;OFFSET($AU$3,,MATCH(ROW(),$AU$3:$BF$3,)-2)+2&amp;":$R"&amp;ROW()-1))),IF($AR750="本年累计",SUMIF($AR$6:$AR750,"本月合计",$R$6:$R749),INDEX(凭证录入!L:L,$AR750))))</f>
        <v>0</v>
      </c>
      <c r="S750" s="459" t="str">
        <f t="shared" ca="1" si="165"/>
        <v/>
      </c>
      <c r="T750" s="460" t="str">
        <f t="shared" ca="1" si="165"/>
        <v/>
      </c>
      <c r="U750" s="460" t="str">
        <f t="shared" ca="1" si="165"/>
        <v/>
      </c>
      <c r="V750" s="460" t="str">
        <f t="shared" ca="1" si="165"/>
        <v/>
      </c>
      <c r="W750" s="460" t="str">
        <f t="shared" ca="1" si="165"/>
        <v/>
      </c>
      <c r="X750" s="460" t="str">
        <f t="shared" ca="1" si="165"/>
        <v/>
      </c>
      <c r="Y750" s="460" t="str">
        <f t="shared" ca="1" si="165"/>
        <v/>
      </c>
      <c r="Z750" s="460" t="str">
        <f t="shared" ca="1" si="165"/>
        <v/>
      </c>
      <c r="AA750" s="461" t="str">
        <f t="shared" ca="1" si="165"/>
        <v/>
      </c>
      <c r="AB750" s="474" t="str">
        <f t="shared" ca="1" si="165"/>
        <v/>
      </c>
      <c r="AC750" s="475" t="str">
        <f t="shared" ca="1" si="165"/>
        <v/>
      </c>
      <c r="AD750" s="477" t="str">
        <f t="shared" ca="1" si="158"/>
        <v/>
      </c>
      <c r="AE750" s="478">
        <f t="shared" ca="1" si="159"/>
        <v>0</v>
      </c>
      <c r="AF750" s="459" t="str">
        <f t="shared" ca="1" si="163"/>
        <v/>
      </c>
      <c r="AG750" s="460" t="str">
        <f t="shared" ca="1" si="163"/>
        <v/>
      </c>
      <c r="AH750" s="460" t="str">
        <f t="shared" ca="1" si="163"/>
        <v/>
      </c>
      <c r="AI750" s="460" t="str">
        <f t="shared" ca="1" si="163"/>
        <v/>
      </c>
      <c r="AJ750" s="460" t="str">
        <f t="shared" ca="1" si="163"/>
        <v/>
      </c>
      <c r="AK750" s="460" t="str">
        <f t="shared" ca="1" si="163"/>
        <v/>
      </c>
      <c r="AL750" s="460" t="str">
        <f t="shared" ca="1" si="163"/>
        <v/>
      </c>
      <c r="AM750" s="460" t="str">
        <f t="shared" ca="1" si="163"/>
        <v/>
      </c>
      <c r="AN750" s="461" t="str">
        <f t="shared" ca="1" si="163"/>
        <v/>
      </c>
      <c r="AO750" s="474" t="str">
        <f t="shared" ca="1" si="163"/>
        <v/>
      </c>
      <c r="AP750" s="475" t="str">
        <f t="shared" ca="1" si="163"/>
        <v/>
      </c>
      <c r="AQ750" s="479" t="str">
        <f t="array" aca="1" ref="AQ750" ca="1">IF(ROW()-5&lt;=COUNTIF(科目编号,$AR$2),SMALL(IF(科目编号=$AR$2,ROW(科目编号),""),ROW()-5),"")</f>
        <v/>
      </c>
      <c r="AR750" s="480" t="str">
        <f ca="1">IF($BG$2=0,"",IF(AR749="本月合计","本年累计",IF(OR(ROW()=$AU$3,ROW()=$AV$3,ROW()=$AW$3,ROW()=$AX$3,ROW()=$AY$3,ROW()=$AZ$3,ROW()=$BA$3,ROW()=$BB$3,ROW()=$BC$3,ROW()=$BD$3,ROW()=$BE$3,ROW()=$BF$3),"本月合计",IF(ROW()&lt;7,$AQ$6,OFFSET($AQ$6,COUNT($AR$6:AR749),0)))))</f>
        <v/>
      </c>
    </row>
    <row r="751" spans="1:44">
      <c r="A751" s="469" t="str">
        <f ca="1">IFERROR(INDEX(凭证录入!A:A,$AR751),"")</f>
        <v/>
      </c>
      <c r="B751" s="469" t="str">
        <f ca="1">IFERROR(INDEX(凭证录入!B:B,$AR751),"")</f>
        <v/>
      </c>
      <c r="C751" s="470" t="str">
        <f ca="1">IFERROR(INDEX(凭证录入!G:G,$AR751),"")</f>
        <v/>
      </c>
      <c r="D751" s="471" t="str">
        <f ca="1">IFERROR(INDEX(凭证录入!F:F,$AR751),"")</f>
        <v/>
      </c>
      <c r="E751" s="472" t="str">
        <f ca="1">IFERROR(INDEX(凭证录入!H:H,$AR751),$AR751)</f>
        <v/>
      </c>
      <c r="F751" s="473">
        <f ca="1">IF(OR($BG$2=0,$AR751=""),,IF($AR751="本月合计",IF(ROW()=$BG$3,SUM($F$6:$F750),SUM(INDIRECT("$F$"&amp;OFFSET($AU$3,,MATCH(ROW(),$AU$3:$BF$3,)-2)+2&amp;":$E"&amp;ROW()-1))),IF($AR751="本年累计",SUMIF($AR$6:$AR751,"本月合计",$F$6:$F750),INDEX(凭证录入!K:K,$AR751))))</f>
        <v>0</v>
      </c>
      <c r="G751" s="459" t="str">
        <f t="shared" ca="1" si="164"/>
        <v/>
      </c>
      <c r="H751" s="460" t="str">
        <f t="shared" ca="1" si="164"/>
        <v/>
      </c>
      <c r="I751" s="460" t="str">
        <f t="shared" ca="1" si="164"/>
        <v/>
      </c>
      <c r="J751" s="460" t="str">
        <f t="shared" ca="1" si="164"/>
        <v/>
      </c>
      <c r="K751" s="460" t="str">
        <f t="shared" ca="1" si="164"/>
        <v/>
      </c>
      <c r="L751" s="460" t="str">
        <f t="shared" ca="1" si="164"/>
        <v/>
      </c>
      <c r="M751" s="460" t="str">
        <f t="shared" ca="1" si="164"/>
        <v/>
      </c>
      <c r="N751" s="460" t="str">
        <f t="shared" ca="1" si="164"/>
        <v/>
      </c>
      <c r="O751" s="461" t="str">
        <f t="shared" ca="1" si="164"/>
        <v/>
      </c>
      <c r="P751" s="474" t="str">
        <f t="shared" ca="1" si="164"/>
        <v/>
      </c>
      <c r="Q751" s="475" t="str">
        <f t="shared" ca="1" si="164"/>
        <v/>
      </c>
      <c r="R751" s="476">
        <f ca="1">IF(OR($BG$2=0,$AR751=""),,IF($AR751="本月合计",IF(ROW()=$BG$3,SUM($R$6:$R750),SUM(INDIRECT("$R$"&amp;OFFSET($AU$3,,MATCH(ROW(),$AU$3:$BF$3,)-2)+2&amp;":$R"&amp;ROW()-1))),IF($AR751="本年累计",SUMIF($AR$6:$AR751,"本月合计",$R$6:$R750),INDEX(凭证录入!L:L,$AR751))))</f>
        <v>0</v>
      </c>
      <c r="S751" s="459" t="str">
        <f t="shared" ca="1" si="165"/>
        <v/>
      </c>
      <c r="T751" s="460" t="str">
        <f t="shared" ca="1" si="165"/>
        <v/>
      </c>
      <c r="U751" s="460" t="str">
        <f t="shared" ca="1" si="165"/>
        <v/>
      </c>
      <c r="V751" s="460" t="str">
        <f t="shared" ca="1" si="165"/>
        <v/>
      </c>
      <c r="W751" s="460" t="str">
        <f t="shared" ca="1" si="165"/>
        <v/>
      </c>
      <c r="X751" s="460" t="str">
        <f t="shared" ca="1" si="165"/>
        <v/>
      </c>
      <c r="Y751" s="460" t="str">
        <f t="shared" ca="1" si="165"/>
        <v/>
      </c>
      <c r="Z751" s="460" t="str">
        <f t="shared" ca="1" si="165"/>
        <v/>
      </c>
      <c r="AA751" s="461" t="str">
        <f t="shared" ca="1" si="165"/>
        <v/>
      </c>
      <c r="AB751" s="474" t="str">
        <f t="shared" ca="1" si="165"/>
        <v/>
      </c>
      <c r="AC751" s="475" t="str">
        <f t="shared" ca="1" si="165"/>
        <v/>
      </c>
      <c r="AD751" s="477" t="str">
        <f t="shared" ca="1" si="158"/>
        <v/>
      </c>
      <c r="AE751" s="478">
        <f t="shared" ca="1" si="159"/>
        <v>0</v>
      </c>
      <c r="AF751" s="459" t="str">
        <f t="shared" ca="1" si="163"/>
        <v/>
      </c>
      <c r="AG751" s="460" t="str">
        <f t="shared" ca="1" si="163"/>
        <v/>
      </c>
      <c r="AH751" s="460" t="str">
        <f t="shared" ca="1" si="163"/>
        <v/>
      </c>
      <c r="AI751" s="460" t="str">
        <f t="shared" ca="1" si="163"/>
        <v/>
      </c>
      <c r="AJ751" s="460" t="str">
        <f t="shared" ca="1" si="163"/>
        <v/>
      </c>
      <c r="AK751" s="460" t="str">
        <f t="shared" ca="1" si="163"/>
        <v/>
      </c>
      <c r="AL751" s="460" t="str">
        <f t="shared" ca="1" si="163"/>
        <v/>
      </c>
      <c r="AM751" s="460" t="str">
        <f t="shared" ca="1" si="163"/>
        <v/>
      </c>
      <c r="AN751" s="461" t="str">
        <f t="shared" ca="1" si="163"/>
        <v/>
      </c>
      <c r="AO751" s="474" t="str">
        <f t="shared" ca="1" si="163"/>
        <v/>
      </c>
      <c r="AP751" s="475" t="str">
        <f t="shared" ca="1" si="163"/>
        <v/>
      </c>
      <c r="AQ751" s="479" t="str">
        <f t="array" aca="1" ref="AQ751" ca="1">IF(ROW()-5&lt;=COUNTIF(科目编号,$AR$2),SMALL(IF(科目编号=$AR$2,ROW(科目编号),""),ROW()-5),"")</f>
        <v/>
      </c>
      <c r="AR751" s="480" t="str">
        <f ca="1">IF($BG$2=0,"",IF(AR750="本月合计","本年累计",IF(OR(ROW()=$AU$3,ROW()=$AV$3,ROW()=$AW$3,ROW()=$AX$3,ROW()=$AY$3,ROW()=$AZ$3,ROW()=$BA$3,ROW()=$BB$3,ROW()=$BC$3,ROW()=$BD$3,ROW()=$BE$3,ROW()=$BF$3),"本月合计",IF(ROW()&lt;7,$AQ$6,OFFSET($AQ$6,COUNT($AR$6:AR750),0)))))</f>
        <v/>
      </c>
    </row>
    <row r="752" spans="1:44">
      <c r="A752" s="469" t="str">
        <f ca="1">IFERROR(INDEX(凭证录入!A:A,$AR752),"")</f>
        <v/>
      </c>
      <c r="B752" s="469" t="str">
        <f ca="1">IFERROR(INDEX(凭证录入!B:B,$AR752),"")</f>
        <v/>
      </c>
      <c r="C752" s="470" t="str">
        <f ca="1">IFERROR(INDEX(凭证录入!G:G,$AR752),"")</f>
        <v/>
      </c>
      <c r="D752" s="471" t="str">
        <f ca="1">IFERROR(INDEX(凭证录入!F:F,$AR752),"")</f>
        <v/>
      </c>
      <c r="E752" s="472" t="str">
        <f ca="1">IFERROR(INDEX(凭证录入!H:H,$AR752),$AR752)</f>
        <v/>
      </c>
      <c r="F752" s="473">
        <f ca="1">IF(OR($BG$2=0,$AR752=""),,IF($AR752="本月合计",IF(ROW()=$BG$3,SUM($F$6:$F751),SUM(INDIRECT("$F$"&amp;OFFSET($AU$3,,MATCH(ROW(),$AU$3:$BF$3,)-2)+2&amp;":$E"&amp;ROW()-1))),IF($AR752="本年累计",SUMIF($AR$6:$AR752,"本月合计",$F$6:$F751),INDEX(凭证录入!K:K,$AR752))))</f>
        <v>0</v>
      </c>
      <c r="G752" s="459" t="str">
        <f t="shared" ca="1" si="164"/>
        <v/>
      </c>
      <c r="H752" s="460" t="str">
        <f t="shared" ca="1" si="164"/>
        <v/>
      </c>
      <c r="I752" s="460" t="str">
        <f t="shared" ca="1" si="164"/>
        <v/>
      </c>
      <c r="J752" s="460" t="str">
        <f t="shared" ca="1" si="164"/>
        <v/>
      </c>
      <c r="K752" s="460" t="str">
        <f t="shared" ca="1" si="164"/>
        <v/>
      </c>
      <c r="L752" s="460" t="str">
        <f t="shared" ca="1" si="164"/>
        <v/>
      </c>
      <c r="M752" s="460" t="str">
        <f t="shared" ca="1" si="164"/>
        <v/>
      </c>
      <c r="N752" s="460" t="str">
        <f t="shared" ca="1" si="164"/>
        <v/>
      </c>
      <c r="O752" s="461" t="str">
        <f t="shared" ca="1" si="164"/>
        <v/>
      </c>
      <c r="P752" s="474" t="str">
        <f t="shared" ca="1" si="164"/>
        <v/>
      </c>
      <c r="Q752" s="475" t="str">
        <f t="shared" ca="1" si="164"/>
        <v/>
      </c>
      <c r="R752" s="476">
        <f ca="1">IF(OR($BG$2=0,$AR752=""),,IF($AR752="本月合计",IF(ROW()=$BG$3,SUM($R$6:$R751),SUM(INDIRECT("$R$"&amp;OFFSET($AU$3,,MATCH(ROW(),$AU$3:$BF$3,)-2)+2&amp;":$R"&amp;ROW()-1))),IF($AR752="本年累计",SUMIF($AR$6:$AR752,"本月合计",$R$6:$R751),INDEX(凭证录入!L:L,$AR752))))</f>
        <v>0</v>
      </c>
      <c r="S752" s="459" t="str">
        <f t="shared" ca="1" si="165"/>
        <v/>
      </c>
      <c r="T752" s="460" t="str">
        <f t="shared" ca="1" si="165"/>
        <v/>
      </c>
      <c r="U752" s="460" t="str">
        <f t="shared" ca="1" si="165"/>
        <v/>
      </c>
      <c r="V752" s="460" t="str">
        <f t="shared" ca="1" si="165"/>
        <v/>
      </c>
      <c r="W752" s="460" t="str">
        <f t="shared" ca="1" si="165"/>
        <v/>
      </c>
      <c r="X752" s="460" t="str">
        <f t="shared" ca="1" si="165"/>
        <v/>
      </c>
      <c r="Y752" s="460" t="str">
        <f t="shared" ca="1" si="165"/>
        <v/>
      </c>
      <c r="Z752" s="460" t="str">
        <f t="shared" ca="1" si="165"/>
        <v/>
      </c>
      <c r="AA752" s="461" t="str">
        <f t="shared" ca="1" si="165"/>
        <v/>
      </c>
      <c r="AB752" s="474" t="str">
        <f t="shared" ca="1" si="165"/>
        <v/>
      </c>
      <c r="AC752" s="475" t="str">
        <f t="shared" ca="1" si="165"/>
        <v/>
      </c>
      <c r="AD752" s="477" t="str">
        <f t="shared" ca="1" si="158"/>
        <v/>
      </c>
      <c r="AE752" s="478">
        <f t="shared" ca="1" si="159"/>
        <v>0</v>
      </c>
      <c r="AF752" s="459" t="str">
        <f t="shared" ca="1" si="163"/>
        <v/>
      </c>
      <c r="AG752" s="460" t="str">
        <f t="shared" ca="1" si="163"/>
        <v/>
      </c>
      <c r="AH752" s="460" t="str">
        <f t="shared" ca="1" si="163"/>
        <v/>
      </c>
      <c r="AI752" s="460" t="str">
        <f t="shared" ca="1" si="163"/>
        <v/>
      </c>
      <c r="AJ752" s="460" t="str">
        <f t="shared" ca="1" si="163"/>
        <v/>
      </c>
      <c r="AK752" s="460" t="str">
        <f t="shared" ca="1" si="163"/>
        <v/>
      </c>
      <c r="AL752" s="460" t="str">
        <f t="shared" ca="1" si="163"/>
        <v/>
      </c>
      <c r="AM752" s="460" t="str">
        <f t="shared" ca="1" si="163"/>
        <v/>
      </c>
      <c r="AN752" s="461" t="str">
        <f t="shared" ca="1" si="163"/>
        <v/>
      </c>
      <c r="AO752" s="474" t="str">
        <f t="shared" ca="1" si="163"/>
        <v/>
      </c>
      <c r="AP752" s="475" t="str">
        <f t="shared" ca="1" si="163"/>
        <v/>
      </c>
      <c r="AQ752" s="479" t="str">
        <f t="array" aca="1" ref="AQ752" ca="1">IF(ROW()-5&lt;=COUNTIF(科目编号,$AR$2),SMALL(IF(科目编号=$AR$2,ROW(科目编号),""),ROW()-5),"")</f>
        <v/>
      </c>
      <c r="AR752" s="480" t="str">
        <f ca="1">IF($BG$2=0,"",IF(AR751="本月合计","本年累计",IF(OR(ROW()=$AU$3,ROW()=$AV$3,ROW()=$AW$3,ROW()=$AX$3,ROW()=$AY$3,ROW()=$AZ$3,ROW()=$BA$3,ROW()=$BB$3,ROW()=$BC$3,ROW()=$BD$3,ROW()=$BE$3,ROW()=$BF$3),"本月合计",IF(ROW()&lt;7,$AQ$6,OFFSET($AQ$6,COUNT($AR$6:AR751),0)))))</f>
        <v/>
      </c>
    </row>
    <row r="753" spans="1:44">
      <c r="A753" s="469" t="str">
        <f ca="1">IFERROR(INDEX(凭证录入!A:A,$AR753),"")</f>
        <v/>
      </c>
      <c r="B753" s="469" t="str">
        <f ca="1">IFERROR(INDEX(凭证录入!B:B,$AR753),"")</f>
        <v/>
      </c>
      <c r="C753" s="470" t="str">
        <f ca="1">IFERROR(INDEX(凭证录入!G:G,$AR753),"")</f>
        <v/>
      </c>
      <c r="D753" s="471" t="str">
        <f ca="1">IFERROR(INDEX(凭证录入!F:F,$AR753),"")</f>
        <v/>
      </c>
      <c r="E753" s="472" t="str">
        <f ca="1">IFERROR(INDEX(凭证录入!H:H,$AR753),$AR753)</f>
        <v/>
      </c>
      <c r="F753" s="473">
        <f ca="1">IF(OR($BG$2=0,$AR753=""),,IF($AR753="本月合计",IF(ROW()=$BG$3,SUM($F$6:$F752),SUM(INDIRECT("$F$"&amp;OFFSET($AU$3,,MATCH(ROW(),$AU$3:$BF$3,)-2)+2&amp;":$E"&amp;ROW()-1))),IF($AR753="本年累计",SUMIF($AR$6:$AR753,"本月合计",$F$6:$F752),INDEX(凭证录入!K:K,$AR753))))</f>
        <v>0</v>
      </c>
      <c r="G753" s="459" t="str">
        <f t="shared" ca="1" si="164"/>
        <v/>
      </c>
      <c r="H753" s="460" t="str">
        <f t="shared" ca="1" si="164"/>
        <v/>
      </c>
      <c r="I753" s="460" t="str">
        <f t="shared" ca="1" si="164"/>
        <v/>
      </c>
      <c r="J753" s="460" t="str">
        <f t="shared" ca="1" si="164"/>
        <v/>
      </c>
      <c r="K753" s="460" t="str">
        <f t="shared" ca="1" si="164"/>
        <v/>
      </c>
      <c r="L753" s="460" t="str">
        <f t="shared" ca="1" si="164"/>
        <v/>
      </c>
      <c r="M753" s="460" t="str">
        <f t="shared" ca="1" si="164"/>
        <v/>
      </c>
      <c r="N753" s="460" t="str">
        <f t="shared" ca="1" si="164"/>
        <v/>
      </c>
      <c r="O753" s="461" t="str">
        <f t="shared" ca="1" si="164"/>
        <v/>
      </c>
      <c r="P753" s="474" t="str">
        <f t="shared" ca="1" si="164"/>
        <v/>
      </c>
      <c r="Q753" s="475" t="str">
        <f t="shared" ca="1" si="164"/>
        <v/>
      </c>
      <c r="R753" s="476">
        <f ca="1">IF(OR($BG$2=0,$AR753=""),,IF($AR753="本月合计",IF(ROW()=$BG$3,SUM($R$6:$R752),SUM(INDIRECT("$R$"&amp;OFFSET($AU$3,,MATCH(ROW(),$AU$3:$BF$3,)-2)+2&amp;":$R"&amp;ROW()-1))),IF($AR753="本年累计",SUMIF($AR$6:$AR753,"本月合计",$R$6:$R752),INDEX(凭证录入!L:L,$AR753))))</f>
        <v>0</v>
      </c>
      <c r="S753" s="459" t="str">
        <f t="shared" ca="1" si="165"/>
        <v/>
      </c>
      <c r="T753" s="460" t="str">
        <f t="shared" ca="1" si="165"/>
        <v/>
      </c>
      <c r="U753" s="460" t="str">
        <f t="shared" ca="1" si="165"/>
        <v/>
      </c>
      <c r="V753" s="460" t="str">
        <f t="shared" ca="1" si="165"/>
        <v/>
      </c>
      <c r="W753" s="460" t="str">
        <f t="shared" ca="1" si="165"/>
        <v/>
      </c>
      <c r="X753" s="460" t="str">
        <f t="shared" ca="1" si="165"/>
        <v/>
      </c>
      <c r="Y753" s="460" t="str">
        <f t="shared" ca="1" si="165"/>
        <v/>
      </c>
      <c r="Z753" s="460" t="str">
        <f t="shared" ca="1" si="165"/>
        <v/>
      </c>
      <c r="AA753" s="461" t="str">
        <f t="shared" ca="1" si="165"/>
        <v/>
      </c>
      <c r="AB753" s="474" t="str">
        <f t="shared" ca="1" si="165"/>
        <v/>
      </c>
      <c r="AC753" s="475" t="str">
        <f t="shared" ca="1" si="165"/>
        <v/>
      </c>
      <c r="AD753" s="477" t="str">
        <f t="shared" ca="1" si="158"/>
        <v/>
      </c>
      <c r="AE753" s="478">
        <f t="shared" ca="1" si="159"/>
        <v>0</v>
      </c>
      <c r="AF753" s="459" t="str">
        <f t="shared" ca="1" si="163"/>
        <v/>
      </c>
      <c r="AG753" s="460" t="str">
        <f t="shared" ca="1" si="163"/>
        <v/>
      </c>
      <c r="AH753" s="460" t="str">
        <f t="shared" ca="1" si="163"/>
        <v/>
      </c>
      <c r="AI753" s="460" t="str">
        <f t="shared" ca="1" si="163"/>
        <v/>
      </c>
      <c r="AJ753" s="460" t="str">
        <f t="shared" ca="1" si="163"/>
        <v/>
      </c>
      <c r="AK753" s="460" t="str">
        <f t="shared" ca="1" si="163"/>
        <v/>
      </c>
      <c r="AL753" s="460" t="str">
        <f t="shared" ca="1" si="163"/>
        <v/>
      </c>
      <c r="AM753" s="460" t="str">
        <f t="shared" ca="1" si="163"/>
        <v/>
      </c>
      <c r="AN753" s="461" t="str">
        <f t="shared" ca="1" si="163"/>
        <v/>
      </c>
      <c r="AO753" s="474" t="str">
        <f t="shared" ca="1" si="163"/>
        <v/>
      </c>
      <c r="AP753" s="475" t="str">
        <f t="shared" ca="1" si="163"/>
        <v/>
      </c>
      <c r="AQ753" s="479" t="str">
        <f t="array" aca="1" ref="AQ753" ca="1">IF(ROW()-5&lt;=COUNTIF(科目编号,$AR$2),SMALL(IF(科目编号=$AR$2,ROW(科目编号),""),ROW()-5),"")</f>
        <v/>
      </c>
      <c r="AR753" s="480" t="str">
        <f ca="1">IF($BG$2=0,"",IF(AR752="本月合计","本年累计",IF(OR(ROW()=$AU$3,ROW()=$AV$3,ROW()=$AW$3,ROW()=$AX$3,ROW()=$AY$3,ROW()=$AZ$3,ROW()=$BA$3,ROW()=$BB$3,ROW()=$BC$3,ROW()=$BD$3,ROW()=$BE$3,ROW()=$BF$3),"本月合计",IF(ROW()&lt;7,$AQ$6,OFFSET($AQ$6,COUNT($AR$6:AR752),0)))))</f>
        <v/>
      </c>
    </row>
    <row r="754" spans="1:44">
      <c r="A754" s="469" t="str">
        <f ca="1">IFERROR(INDEX(凭证录入!A:A,$AR754),"")</f>
        <v/>
      </c>
      <c r="B754" s="469" t="str">
        <f ca="1">IFERROR(INDEX(凭证录入!B:B,$AR754),"")</f>
        <v/>
      </c>
      <c r="C754" s="470" t="str">
        <f ca="1">IFERROR(INDEX(凭证录入!G:G,$AR754),"")</f>
        <v/>
      </c>
      <c r="D754" s="471" t="str">
        <f ca="1">IFERROR(INDEX(凭证录入!F:F,$AR754),"")</f>
        <v/>
      </c>
      <c r="E754" s="472" t="str">
        <f ca="1">IFERROR(INDEX(凭证录入!H:H,$AR754),$AR754)</f>
        <v/>
      </c>
      <c r="F754" s="473">
        <f ca="1">IF(OR($BG$2=0,$AR754=""),,IF($AR754="本月合计",IF(ROW()=$BG$3,SUM($F$6:$F753),SUM(INDIRECT("$F$"&amp;OFFSET($AU$3,,MATCH(ROW(),$AU$3:$BF$3,)-2)+2&amp;":$E"&amp;ROW()-1))),IF($AR754="本年累计",SUMIF($AR$6:$AR754,"本月合计",$F$6:$F753),INDEX(凭证录入!K:K,$AR754))))</f>
        <v>0</v>
      </c>
      <c r="G754" s="459" t="str">
        <f t="shared" ca="1" si="164"/>
        <v/>
      </c>
      <c r="H754" s="460" t="str">
        <f t="shared" ca="1" si="164"/>
        <v/>
      </c>
      <c r="I754" s="460" t="str">
        <f t="shared" ca="1" si="164"/>
        <v/>
      </c>
      <c r="J754" s="460" t="str">
        <f t="shared" ca="1" si="164"/>
        <v/>
      </c>
      <c r="K754" s="460" t="str">
        <f t="shared" ca="1" si="164"/>
        <v/>
      </c>
      <c r="L754" s="460" t="str">
        <f t="shared" ca="1" si="164"/>
        <v/>
      </c>
      <c r="M754" s="460" t="str">
        <f t="shared" ca="1" si="164"/>
        <v/>
      </c>
      <c r="N754" s="460" t="str">
        <f t="shared" ca="1" si="164"/>
        <v/>
      </c>
      <c r="O754" s="461" t="str">
        <f t="shared" ca="1" si="164"/>
        <v/>
      </c>
      <c r="P754" s="474" t="str">
        <f t="shared" ca="1" si="164"/>
        <v/>
      </c>
      <c r="Q754" s="475" t="str">
        <f t="shared" ca="1" si="164"/>
        <v/>
      </c>
      <c r="R754" s="476">
        <f ca="1">IF(OR($BG$2=0,$AR754=""),,IF($AR754="本月合计",IF(ROW()=$BG$3,SUM($R$6:$R753),SUM(INDIRECT("$R$"&amp;OFFSET($AU$3,,MATCH(ROW(),$AU$3:$BF$3,)-2)+2&amp;":$R"&amp;ROW()-1))),IF($AR754="本年累计",SUMIF($AR$6:$AR754,"本月合计",$R$6:$R753),INDEX(凭证录入!L:L,$AR754))))</f>
        <v>0</v>
      </c>
      <c r="S754" s="459" t="str">
        <f t="shared" ca="1" si="165"/>
        <v/>
      </c>
      <c r="T754" s="460" t="str">
        <f t="shared" ca="1" si="165"/>
        <v/>
      </c>
      <c r="U754" s="460" t="str">
        <f t="shared" ca="1" si="165"/>
        <v/>
      </c>
      <c r="V754" s="460" t="str">
        <f t="shared" ca="1" si="165"/>
        <v/>
      </c>
      <c r="W754" s="460" t="str">
        <f t="shared" ca="1" si="165"/>
        <v/>
      </c>
      <c r="X754" s="460" t="str">
        <f t="shared" ca="1" si="165"/>
        <v/>
      </c>
      <c r="Y754" s="460" t="str">
        <f t="shared" ca="1" si="165"/>
        <v/>
      </c>
      <c r="Z754" s="460" t="str">
        <f t="shared" ca="1" si="165"/>
        <v/>
      </c>
      <c r="AA754" s="461" t="str">
        <f t="shared" ca="1" si="165"/>
        <v/>
      </c>
      <c r="AB754" s="474" t="str">
        <f t="shared" ca="1" si="165"/>
        <v/>
      </c>
      <c r="AC754" s="475" t="str">
        <f t="shared" ca="1" si="165"/>
        <v/>
      </c>
      <c r="AD754" s="477" t="str">
        <f t="shared" ca="1" si="158"/>
        <v/>
      </c>
      <c r="AE754" s="478">
        <f t="shared" ca="1" si="159"/>
        <v>0</v>
      </c>
      <c r="AF754" s="459" t="str">
        <f t="shared" ca="1" si="163"/>
        <v/>
      </c>
      <c r="AG754" s="460" t="str">
        <f t="shared" ca="1" si="163"/>
        <v/>
      </c>
      <c r="AH754" s="460" t="str">
        <f t="shared" ca="1" si="163"/>
        <v/>
      </c>
      <c r="AI754" s="460" t="str">
        <f t="shared" ca="1" si="163"/>
        <v/>
      </c>
      <c r="AJ754" s="460" t="str">
        <f t="shared" ca="1" si="163"/>
        <v/>
      </c>
      <c r="AK754" s="460" t="str">
        <f t="shared" ca="1" si="163"/>
        <v/>
      </c>
      <c r="AL754" s="460" t="str">
        <f t="shared" ca="1" si="163"/>
        <v/>
      </c>
      <c r="AM754" s="460" t="str">
        <f t="shared" ca="1" si="163"/>
        <v/>
      </c>
      <c r="AN754" s="461" t="str">
        <f t="shared" ca="1" si="163"/>
        <v/>
      </c>
      <c r="AO754" s="474" t="str">
        <f t="shared" ca="1" si="163"/>
        <v/>
      </c>
      <c r="AP754" s="475" t="str">
        <f t="shared" ca="1" si="163"/>
        <v/>
      </c>
      <c r="AQ754" s="479" t="str">
        <f t="array" aca="1" ref="AQ754" ca="1">IF(ROW()-5&lt;=COUNTIF(科目编号,$AR$2),SMALL(IF(科目编号=$AR$2,ROW(科目编号),""),ROW()-5),"")</f>
        <v/>
      </c>
      <c r="AR754" s="480" t="str">
        <f ca="1">IF($BG$2=0,"",IF(AR753="本月合计","本年累计",IF(OR(ROW()=$AU$3,ROW()=$AV$3,ROW()=$AW$3,ROW()=$AX$3,ROW()=$AY$3,ROW()=$AZ$3,ROW()=$BA$3,ROW()=$BB$3,ROW()=$BC$3,ROW()=$BD$3,ROW()=$BE$3,ROW()=$BF$3),"本月合计",IF(ROW()&lt;7,$AQ$6,OFFSET($AQ$6,COUNT($AR$6:AR753),0)))))</f>
        <v/>
      </c>
    </row>
    <row r="755" spans="1:44">
      <c r="A755" s="469" t="str">
        <f ca="1">IFERROR(INDEX(凭证录入!A:A,$AR755),"")</f>
        <v/>
      </c>
      <c r="B755" s="469" t="str">
        <f ca="1">IFERROR(INDEX(凭证录入!B:B,$AR755),"")</f>
        <v/>
      </c>
      <c r="C755" s="470" t="str">
        <f ca="1">IFERROR(INDEX(凭证录入!G:G,$AR755),"")</f>
        <v/>
      </c>
      <c r="D755" s="471" t="str">
        <f ca="1">IFERROR(INDEX(凭证录入!F:F,$AR755),"")</f>
        <v/>
      </c>
      <c r="E755" s="472" t="str">
        <f ca="1">IFERROR(INDEX(凭证录入!H:H,$AR755),$AR755)</f>
        <v/>
      </c>
      <c r="F755" s="473">
        <f ca="1">IF(OR($BG$2=0,$AR755=""),,IF($AR755="本月合计",IF(ROW()=$BG$3,SUM($F$6:$F754),SUM(INDIRECT("$F$"&amp;OFFSET($AU$3,,MATCH(ROW(),$AU$3:$BF$3,)-2)+2&amp;":$E"&amp;ROW()-1))),IF($AR755="本年累计",SUMIF($AR$6:$AR755,"本月合计",$F$6:$F754),INDEX(凭证录入!K:K,$AR755))))</f>
        <v>0</v>
      </c>
      <c r="G755" s="459" t="str">
        <f t="shared" ca="1" si="164"/>
        <v/>
      </c>
      <c r="H755" s="460" t="str">
        <f t="shared" ca="1" si="164"/>
        <v/>
      </c>
      <c r="I755" s="460" t="str">
        <f t="shared" ca="1" si="164"/>
        <v/>
      </c>
      <c r="J755" s="460" t="str">
        <f t="shared" ca="1" si="164"/>
        <v/>
      </c>
      <c r="K755" s="460" t="str">
        <f t="shared" ca="1" si="164"/>
        <v/>
      </c>
      <c r="L755" s="460" t="str">
        <f t="shared" ca="1" si="164"/>
        <v/>
      </c>
      <c r="M755" s="460" t="str">
        <f t="shared" ca="1" si="164"/>
        <v/>
      </c>
      <c r="N755" s="460" t="str">
        <f t="shared" ca="1" si="164"/>
        <v/>
      </c>
      <c r="O755" s="461" t="str">
        <f t="shared" ca="1" si="164"/>
        <v/>
      </c>
      <c r="P755" s="474" t="str">
        <f t="shared" ca="1" si="164"/>
        <v/>
      </c>
      <c r="Q755" s="475" t="str">
        <f t="shared" ca="1" si="164"/>
        <v/>
      </c>
      <c r="R755" s="476">
        <f ca="1">IF(OR($BG$2=0,$AR755=""),,IF($AR755="本月合计",IF(ROW()=$BG$3,SUM($R$6:$R754),SUM(INDIRECT("$R$"&amp;OFFSET($AU$3,,MATCH(ROW(),$AU$3:$BF$3,)-2)+2&amp;":$R"&amp;ROW()-1))),IF($AR755="本年累计",SUMIF($AR$6:$AR755,"本月合计",$R$6:$R754),INDEX(凭证录入!L:L,$AR755))))</f>
        <v>0</v>
      </c>
      <c r="S755" s="459" t="str">
        <f t="shared" ca="1" si="165"/>
        <v/>
      </c>
      <c r="T755" s="460" t="str">
        <f t="shared" ca="1" si="165"/>
        <v/>
      </c>
      <c r="U755" s="460" t="str">
        <f t="shared" ca="1" si="165"/>
        <v/>
      </c>
      <c r="V755" s="460" t="str">
        <f t="shared" ca="1" si="165"/>
        <v/>
      </c>
      <c r="W755" s="460" t="str">
        <f t="shared" ca="1" si="165"/>
        <v/>
      </c>
      <c r="X755" s="460" t="str">
        <f t="shared" ca="1" si="165"/>
        <v/>
      </c>
      <c r="Y755" s="460" t="str">
        <f t="shared" ca="1" si="165"/>
        <v/>
      </c>
      <c r="Z755" s="460" t="str">
        <f t="shared" ca="1" si="165"/>
        <v/>
      </c>
      <c r="AA755" s="461" t="str">
        <f t="shared" ca="1" si="165"/>
        <v/>
      </c>
      <c r="AB755" s="474" t="str">
        <f t="shared" ca="1" si="165"/>
        <v/>
      </c>
      <c r="AC755" s="475" t="str">
        <f t="shared" ca="1" si="165"/>
        <v/>
      </c>
      <c r="AD755" s="477" t="str">
        <f t="shared" ca="1" si="158"/>
        <v/>
      </c>
      <c r="AE755" s="478">
        <f t="shared" ca="1" si="159"/>
        <v>0</v>
      </c>
      <c r="AF755" s="459" t="str">
        <f t="shared" ca="1" si="163"/>
        <v/>
      </c>
      <c r="AG755" s="460" t="str">
        <f t="shared" ca="1" si="163"/>
        <v/>
      </c>
      <c r="AH755" s="460" t="str">
        <f t="shared" ca="1" si="163"/>
        <v/>
      </c>
      <c r="AI755" s="460" t="str">
        <f t="shared" ca="1" si="163"/>
        <v/>
      </c>
      <c r="AJ755" s="460" t="str">
        <f t="shared" ca="1" si="163"/>
        <v/>
      </c>
      <c r="AK755" s="460" t="str">
        <f t="shared" ca="1" si="163"/>
        <v/>
      </c>
      <c r="AL755" s="460" t="str">
        <f t="shared" ca="1" si="163"/>
        <v/>
      </c>
      <c r="AM755" s="460" t="str">
        <f t="shared" ca="1" si="163"/>
        <v/>
      </c>
      <c r="AN755" s="461" t="str">
        <f t="shared" ca="1" si="163"/>
        <v/>
      </c>
      <c r="AO755" s="474" t="str">
        <f t="shared" ca="1" si="163"/>
        <v/>
      </c>
      <c r="AP755" s="475" t="str">
        <f t="shared" ca="1" si="163"/>
        <v/>
      </c>
      <c r="AQ755" s="479" t="str">
        <f t="array" aca="1" ref="AQ755" ca="1">IF(ROW()-5&lt;=COUNTIF(科目编号,$AR$2),SMALL(IF(科目编号=$AR$2,ROW(科目编号),""),ROW()-5),"")</f>
        <v/>
      </c>
      <c r="AR755" s="480" t="str">
        <f ca="1">IF($BG$2=0,"",IF(AR754="本月合计","本年累计",IF(OR(ROW()=$AU$3,ROW()=$AV$3,ROW()=$AW$3,ROW()=$AX$3,ROW()=$AY$3,ROW()=$AZ$3,ROW()=$BA$3,ROW()=$BB$3,ROW()=$BC$3,ROW()=$BD$3,ROW()=$BE$3,ROW()=$BF$3),"本月合计",IF(ROW()&lt;7,$AQ$6,OFFSET($AQ$6,COUNT($AR$6:AR754),0)))))</f>
        <v/>
      </c>
    </row>
    <row r="756" spans="1:44">
      <c r="A756" s="469" t="str">
        <f ca="1">IFERROR(INDEX(凭证录入!A:A,$AR756),"")</f>
        <v/>
      </c>
      <c r="B756" s="469" t="str">
        <f ca="1">IFERROR(INDEX(凭证录入!B:B,$AR756),"")</f>
        <v/>
      </c>
      <c r="C756" s="470" t="str">
        <f ca="1">IFERROR(INDEX(凭证录入!G:G,$AR756),"")</f>
        <v/>
      </c>
      <c r="D756" s="471" t="str">
        <f ca="1">IFERROR(INDEX(凭证录入!F:F,$AR756),"")</f>
        <v/>
      </c>
      <c r="E756" s="472" t="str">
        <f ca="1">IFERROR(INDEX(凭证录入!H:H,$AR756),$AR756)</f>
        <v/>
      </c>
      <c r="F756" s="473">
        <f ca="1">IF(OR($BG$2=0,$AR756=""),,IF($AR756="本月合计",IF(ROW()=$BG$3,SUM($F$6:$F755),SUM(INDIRECT("$F$"&amp;OFFSET($AU$3,,MATCH(ROW(),$AU$3:$BF$3,)-2)+2&amp;":$E"&amp;ROW()-1))),IF($AR756="本年累计",SUMIF($AR$6:$AR756,"本月合计",$F$6:$F755),INDEX(凭证录入!K:K,$AR756))))</f>
        <v>0</v>
      </c>
      <c r="G756" s="459" t="str">
        <f t="shared" ca="1" si="164"/>
        <v/>
      </c>
      <c r="H756" s="460" t="str">
        <f t="shared" ca="1" si="164"/>
        <v/>
      </c>
      <c r="I756" s="460" t="str">
        <f t="shared" ca="1" si="164"/>
        <v/>
      </c>
      <c r="J756" s="460" t="str">
        <f t="shared" ca="1" si="164"/>
        <v/>
      </c>
      <c r="K756" s="460" t="str">
        <f t="shared" ca="1" si="164"/>
        <v/>
      </c>
      <c r="L756" s="460" t="str">
        <f t="shared" ca="1" si="164"/>
        <v/>
      </c>
      <c r="M756" s="460" t="str">
        <f t="shared" ca="1" si="164"/>
        <v/>
      </c>
      <c r="N756" s="460" t="str">
        <f t="shared" ca="1" si="164"/>
        <v/>
      </c>
      <c r="O756" s="461" t="str">
        <f t="shared" ca="1" si="164"/>
        <v/>
      </c>
      <c r="P756" s="474" t="str">
        <f t="shared" ca="1" si="164"/>
        <v/>
      </c>
      <c r="Q756" s="475" t="str">
        <f t="shared" ca="1" si="164"/>
        <v/>
      </c>
      <c r="R756" s="476">
        <f ca="1">IF(OR($BG$2=0,$AR756=""),,IF($AR756="本月合计",IF(ROW()=$BG$3,SUM($R$6:$R755),SUM(INDIRECT("$R$"&amp;OFFSET($AU$3,,MATCH(ROW(),$AU$3:$BF$3,)-2)+2&amp;":$R"&amp;ROW()-1))),IF($AR756="本年累计",SUMIF($AR$6:$AR756,"本月合计",$R$6:$R755),INDEX(凭证录入!L:L,$AR756))))</f>
        <v>0</v>
      </c>
      <c r="S756" s="459" t="str">
        <f t="shared" ca="1" si="165"/>
        <v/>
      </c>
      <c r="T756" s="460" t="str">
        <f t="shared" ca="1" si="165"/>
        <v/>
      </c>
      <c r="U756" s="460" t="str">
        <f t="shared" ca="1" si="165"/>
        <v/>
      </c>
      <c r="V756" s="460" t="str">
        <f t="shared" ca="1" si="165"/>
        <v/>
      </c>
      <c r="W756" s="460" t="str">
        <f t="shared" ca="1" si="165"/>
        <v/>
      </c>
      <c r="X756" s="460" t="str">
        <f t="shared" ca="1" si="165"/>
        <v/>
      </c>
      <c r="Y756" s="460" t="str">
        <f t="shared" ca="1" si="165"/>
        <v/>
      </c>
      <c r="Z756" s="460" t="str">
        <f t="shared" ca="1" si="165"/>
        <v/>
      </c>
      <c r="AA756" s="461" t="str">
        <f t="shared" ca="1" si="165"/>
        <v/>
      </c>
      <c r="AB756" s="474" t="str">
        <f t="shared" ca="1" si="165"/>
        <v/>
      </c>
      <c r="AC756" s="475" t="str">
        <f t="shared" ca="1" si="165"/>
        <v/>
      </c>
      <c r="AD756" s="477" t="str">
        <f t="shared" ca="1" si="158"/>
        <v/>
      </c>
      <c r="AE756" s="478">
        <f t="shared" ca="1" si="159"/>
        <v>0</v>
      </c>
      <c r="AF756" s="459" t="str">
        <f t="shared" ca="1" si="163"/>
        <v/>
      </c>
      <c r="AG756" s="460" t="str">
        <f t="shared" ca="1" si="163"/>
        <v/>
      </c>
      <c r="AH756" s="460" t="str">
        <f t="shared" ca="1" si="163"/>
        <v/>
      </c>
      <c r="AI756" s="460" t="str">
        <f t="shared" ca="1" si="163"/>
        <v/>
      </c>
      <c r="AJ756" s="460" t="str">
        <f t="shared" ca="1" si="163"/>
        <v/>
      </c>
      <c r="AK756" s="460" t="str">
        <f t="shared" ca="1" si="163"/>
        <v/>
      </c>
      <c r="AL756" s="460" t="str">
        <f t="shared" ca="1" si="163"/>
        <v/>
      </c>
      <c r="AM756" s="460" t="str">
        <f t="shared" ca="1" si="163"/>
        <v/>
      </c>
      <c r="AN756" s="461" t="str">
        <f t="shared" ca="1" si="163"/>
        <v/>
      </c>
      <c r="AO756" s="474" t="str">
        <f t="shared" ca="1" si="163"/>
        <v/>
      </c>
      <c r="AP756" s="475" t="str">
        <f t="shared" ca="1" si="163"/>
        <v/>
      </c>
      <c r="AQ756" s="479" t="str">
        <f t="array" aca="1" ref="AQ756" ca="1">IF(ROW()-5&lt;=COUNTIF(科目编号,$AR$2),SMALL(IF(科目编号=$AR$2,ROW(科目编号),""),ROW()-5),"")</f>
        <v/>
      </c>
      <c r="AR756" s="480" t="str">
        <f ca="1">IF($BG$2=0,"",IF(AR755="本月合计","本年累计",IF(OR(ROW()=$AU$3,ROW()=$AV$3,ROW()=$AW$3,ROW()=$AX$3,ROW()=$AY$3,ROW()=$AZ$3,ROW()=$BA$3,ROW()=$BB$3,ROW()=$BC$3,ROW()=$BD$3,ROW()=$BE$3,ROW()=$BF$3),"本月合计",IF(ROW()&lt;7,$AQ$6,OFFSET($AQ$6,COUNT($AR$6:AR755),0)))))</f>
        <v/>
      </c>
    </row>
    <row r="757" spans="1:44">
      <c r="A757" s="469" t="str">
        <f ca="1">IFERROR(INDEX(凭证录入!A:A,$AR757),"")</f>
        <v/>
      </c>
      <c r="B757" s="469" t="str">
        <f ca="1">IFERROR(INDEX(凭证录入!B:B,$AR757),"")</f>
        <v/>
      </c>
      <c r="C757" s="470" t="str">
        <f ca="1">IFERROR(INDEX(凭证录入!G:G,$AR757),"")</f>
        <v/>
      </c>
      <c r="D757" s="471" t="str">
        <f ca="1">IFERROR(INDEX(凭证录入!F:F,$AR757),"")</f>
        <v/>
      </c>
      <c r="E757" s="472" t="str">
        <f ca="1">IFERROR(INDEX(凭证录入!H:H,$AR757),$AR757)</f>
        <v/>
      </c>
      <c r="F757" s="473">
        <f ca="1">IF(OR($BG$2=0,$AR757=""),,IF($AR757="本月合计",IF(ROW()=$BG$3,SUM($F$6:$F756),SUM(INDIRECT("$F$"&amp;OFFSET($AU$3,,MATCH(ROW(),$AU$3:$BF$3,)-2)+2&amp;":$E"&amp;ROW()-1))),IF($AR757="本年累计",SUMIF($AR$6:$AR757,"本月合计",$F$6:$F756),INDEX(凭证录入!K:K,$AR757))))</f>
        <v>0</v>
      </c>
      <c r="G757" s="459" t="str">
        <f t="shared" ca="1" si="164"/>
        <v/>
      </c>
      <c r="H757" s="460" t="str">
        <f t="shared" ca="1" si="164"/>
        <v/>
      </c>
      <c r="I757" s="460" t="str">
        <f t="shared" ca="1" si="164"/>
        <v/>
      </c>
      <c r="J757" s="460" t="str">
        <f t="shared" ca="1" si="164"/>
        <v/>
      </c>
      <c r="K757" s="460" t="str">
        <f t="shared" ca="1" si="164"/>
        <v/>
      </c>
      <c r="L757" s="460" t="str">
        <f t="shared" ca="1" si="164"/>
        <v/>
      </c>
      <c r="M757" s="460" t="str">
        <f t="shared" ca="1" si="164"/>
        <v/>
      </c>
      <c r="N757" s="460" t="str">
        <f t="shared" ca="1" si="164"/>
        <v/>
      </c>
      <c r="O757" s="461" t="str">
        <f t="shared" ca="1" si="164"/>
        <v/>
      </c>
      <c r="P757" s="474" t="str">
        <f t="shared" ca="1" si="164"/>
        <v/>
      </c>
      <c r="Q757" s="475" t="str">
        <f t="shared" ca="1" si="164"/>
        <v/>
      </c>
      <c r="R757" s="476">
        <f ca="1">IF(OR($BG$2=0,$AR757=""),,IF($AR757="本月合计",IF(ROW()=$BG$3,SUM($R$6:$R756),SUM(INDIRECT("$R$"&amp;OFFSET($AU$3,,MATCH(ROW(),$AU$3:$BF$3,)-2)+2&amp;":$R"&amp;ROW()-1))),IF($AR757="本年累计",SUMIF($AR$6:$AR757,"本月合计",$R$6:$R756),INDEX(凭证录入!L:L,$AR757))))</f>
        <v>0</v>
      </c>
      <c r="S757" s="459" t="str">
        <f t="shared" ca="1" si="165"/>
        <v/>
      </c>
      <c r="T757" s="460" t="str">
        <f t="shared" ca="1" si="165"/>
        <v/>
      </c>
      <c r="U757" s="460" t="str">
        <f t="shared" ca="1" si="165"/>
        <v/>
      </c>
      <c r="V757" s="460" t="str">
        <f t="shared" ca="1" si="165"/>
        <v/>
      </c>
      <c r="W757" s="460" t="str">
        <f t="shared" ca="1" si="165"/>
        <v/>
      </c>
      <c r="X757" s="460" t="str">
        <f t="shared" ca="1" si="165"/>
        <v/>
      </c>
      <c r="Y757" s="460" t="str">
        <f t="shared" ca="1" si="165"/>
        <v/>
      </c>
      <c r="Z757" s="460" t="str">
        <f t="shared" ca="1" si="165"/>
        <v/>
      </c>
      <c r="AA757" s="461" t="str">
        <f t="shared" ca="1" si="165"/>
        <v/>
      </c>
      <c r="AB757" s="474" t="str">
        <f t="shared" ca="1" si="165"/>
        <v/>
      </c>
      <c r="AC757" s="475" t="str">
        <f t="shared" ca="1" si="165"/>
        <v/>
      </c>
      <c r="AD757" s="477" t="str">
        <f t="shared" ca="1" si="158"/>
        <v/>
      </c>
      <c r="AE757" s="478">
        <f t="shared" ca="1" si="159"/>
        <v>0</v>
      </c>
      <c r="AF757" s="459" t="str">
        <f t="shared" ref="AF757:AP772" ca="1" si="166">LEFT(RIGHT(TEXT($AE757/1%," ￥0; ￥-0;"),43-COLUMN()))</f>
        <v/>
      </c>
      <c r="AG757" s="460" t="str">
        <f t="shared" ca="1" si="166"/>
        <v/>
      </c>
      <c r="AH757" s="460" t="str">
        <f t="shared" ca="1" si="166"/>
        <v/>
      </c>
      <c r="AI757" s="460" t="str">
        <f t="shared" ca="1" si="166"/>
        <v/>
      </c>
      <c r="AJ757" s="460" t="str">
        <f t="shared" ca="1" si="166"/>
        <v/>
      </c>
      <c r="AK757" s="460" t="str">
        <f t="shared" ca="1" si="166"/>
        <v/>
      </c>
      <c r="AL757" s="460" t="str">
        <f t="shared" ca="1" si="166"/>
        <v/>
      </c>
      <c r="AM757" s="460" t="str">
        <f t="shared" ca="1" si="166"/>
        <v/>
      </c>
      <c r="AN757" s="461" t="str">
        <f t="shared" ca="1" si="166"/>
        <v/>
      </c>
      <c r="AO757" s="474" t="str">
        <f t="shared" ca="1" si="166"/>
        <v/>
      </c>
      <c r="AP757" s="475" t="str">
        <f t="shared" ca="1" si="166"/>
        <v/>
      </c>
      <c r="AQ757" s="479" t="str">
        <f t="array" aca="1" ref="AQ757" ca="1">IF(ROW()-5&lt;=COUNTIF(科目编号,$AR$2),SMALL(IF(科目编号=$AR$2,ROW(科目编号),""),ROW()-5),"")</f>
        <v/>
      </c>
      <c r="AR757" s="480" t="str">
        <f ca="1">IF($BG$2=0,"",IF(AR756="本月合计","本年累计",IF(OR(ROW()=$AU$3,ROW()=$AV$3,ROW()=$AW$3,ROW()=$AX$3,ROW()=$AY$3,ROW()=$AZ$3,ROW()=$BA$3,ROW()=$BB$3,ROW()=$BC$3,ROW()=$BD$3,ROW()=$BE$3,ROW()=$BF$3),"本月合计",IF(ROW()&lt;7,$AQ$6,OFFSET($AQ$6,COUNT($AR$6:AR756),0)))))</f>
        <v/>
      </c>
    </row>
    <row r="758" spans="1:44">
      <c r="A758" s="469" t="str">
        <f ca="1">IFERROR(INDEX(凭证录入!A:A,$AR758),"")</f>
        <v/>
      </c>
      <c r="B758" s="469" t="str">
        <f ca="1">IFERROR(INDEX(凭证录入!B:B,$AR758),"")</f>
        <v/>
      </c>
      <c r="C758" s="470" t="str">
        <f ca="1">IFERROR(INDEX(凭证录入!G:G,$AR758),"")</f>
        <v/>
      </c>
      <c r="D758" s="471" t="str">
        <f ca="1">IFERROR(INDEX(凭证录入!F:F,$AR758),"")</f>
        <v/>
      </c>
      <c r="E758" s="472" t="str">
        <f ca="1">IFERROR(INDEX(凭证录入!H:H,$AR758),$AR758)</f>
        <v/>
      </c>
      <c r="F758" s="473">
        <f ca="1">IF(OR($BG$2=0,$AR758=""),,IF($AR758="本月合计",IF(ROW()=$BG$3,SUM($F$6:$F757),SUM(INDIRECT("$F$"&amp;OFFSET($AU$3,,MATCH(ROW(),$AU$3:$BF$3,)-2)+2&amp;":$E"&amp;ROW()-1))),IF($AR758="本年累计",SUMIF($AR$6:$AR758,"本月合计",$F$6:$F757),INDEX(凭证录入!K:K,$AR758))))</f>
        <v>0</v>
      </c>
      <c r="G758" s="459" t="str">
        <f t="shared" ref="G758:Q773" ca="1" si="167">LEFT(RIGHT(TEXT($F758/1%," ￥0; ￥-0;"),18-COLUMN()))</f>
        <v/>
      </c>
      <c r="H758" s="460" t="str">
        <f t="shared" ca="1" si="167"/>
        <v/>
      </c>
      <c r="I758" s="460" t="str">
        <f t="shared" ca="1" si="167"/>
        <v/>
      </c>
      <c r="J758" s="460" t="str">
        <f t="shared" ca="1" si="167"/>
        <v/>
      </c>
      <c r="K758" s="460" t="str">
        <f t="shared" ca="1" si="167"/>
        <v/>
      </c>
      <c r="L758" s="460" t="str">
        <f t="shared" ca="1" si="167"/>
        <v/>
      </c>
      <c r="M758" s="460" t="str">
        <f t="shared" ca="1" si="167"/>
        <v/>
      </c>
      <c r="N758" s="460" t="str">
        <f t="shared" ca="1" si="167"/>
        <v/>
      </c>
      <c r="O758" s="461" t="str">
        <f t="shared" ca="1" si="167"/>
        <v/>
      </c>
      <c r="P758" s="474" t="str">
        <f t="shared" ca="1" si="167"/>
        <v/>
      </c>
      <c r="Q758" s="475" t="str">
        <f t="shared" ca="1" si="167"/>
        <v/>
      </c>
      <c r="R758" s="476">
        <f ca="1">IF(OR($BG$2=0,$AR758=""),,IF($AR758="本月合计",IF(ROW()=$BG$3,SUM($R$6:$R757),SUM(INDIRECT("$R$"&amp;OFFSET($AU$3,,MATCH(ROW(),$AU$3:$BF$3,)-2)+2&amp;":$R"&amp;ROW()-1))),IF($AR758="本年累计",SUMIF($AR$6:$AR758,"本月合计",$R$6:$R757),INDEX(凭证录入!L:L,$AR758))))</f>
        <v>0</v>
      </c>
      <c r="S758" s="459" t="str">
        <f t="shared" ref="S758:AC773" ca="1" si="168">LEFT(RIGHT(TEXT($R758/1%," ￥0; ￥-0;"),30-COLUMN()))</f>
        <v/>
      </c>
      <c r="T758" s="460" t="str">
        <f t="shared" ca="1" si="168"/>
        <v/>
      </c>
      <c r="U758" s="460" t="str">
        <f t="shared" ca="1" si="168"/>
        <v/>
      </c>
      <c r="V758" s="460" t="str">
        <f t="shared" ca="1" si="168"/>
        <v/>
      </c>
      <c r="W758" s="460" t="str">
        <f t="shared" ca="1" si="168"/>
        <v/>
      </c>
      <c r="X758" s="460" t="str">
        <f t="shared" ca="1" si="168"/>
        <v/>
      </c>
      <c r="Y758" s="460" t="str">
        <f t="shared" ca="1" si="168"/>
        <v/>
      </c>
      <c r="Z758" s="460" t="str">
        <f t="shared" ca="1" si="168"/>
        <v/>
      </c>
      <c r="AA758" s="461" t="str">
        <f t="shared" ca="1" si="168"/>
        <v/>
      </c>
      <c r="AB758" s="474" t="str">
        <f t="shared" ca="1" si="168"/>
        <v/>
      </c>
      <c r="AC758" s="475" t="str">
        <f t="shared" ca="1" si="168"/>
        <v/>
      </c>
      <c r="AD758" s="477" t="str">
        <f t="shared" ca="1" si="158"/>
        <v/>
      </c>
      <c r="AE758" s="478">
        <f t="shared" ca="1" si="159"/>
        <v>0</v>
      </c>
      <c r="AF758" s="459" t="str">
        <f t="shared" ca="1" si="166"/>
        <v/>
      </c>
      <c r="AG758" s="460" t="str">
        <f t="shared" ca="1" si="166"/>
        <v/>
      </c>
      <c r="AH758" s="460" t="str">
        <f t="shared" ca="1" si="166"/>
        <v/>
      </c>
      <c r="AI758" s="460" t="str">
        <f t="shared" ca="1" si="166"/>
        <v/>
      </c>
      <c r="AJ758" s="460" t="str">
        <f t="shared" ca="1" si="166"/>
        <v/>
      </c>
      <c r="AK758" s="460" t="str">
        <f t="shared" ca="1" si="166"/>
        <v/>
      </c>
      <c r="AL758" s="460" t="str">
        <f t="shared" ca="1" si="166"/>
        <v/>
      </c>
      <c r="AM758" s="460" t="str">
        <f t="shared" ca="1" si="166"/>
        <v/>
      </c>
      <c r="AN758" s="461" t="str">
        <f t="shared" ca="1" si="166"/>
        <v/>
      </c>
      <c r="AO758" s="474" t="str">
        <f t="shared" ca="1" si="166"/>
        <v/>
      </c>
      <c r="AP758" s="475" t="str">
        <f t="shared" ca="1" si="166"/>
        <v/>
      </c>
      <c r="AQ758" s="479" t="str">
        <f t="array" aca="1" ref="AQ758" ca="1">IF(ROW()-5&lt;=COUNTIF(科目编号,$AR$2),SMALL(IF(科目编号=$AR$2,ROW(科目编号),""),ROW()-5),"")</f>
        <v/>
      </c>
      <c r="AR758" s="480" t="str">
        <f ca="1">IF($BG$2=0,"",IF(AR757="本月合计","本年累计",IF(OR(ROW()=$AU$3,ROW()=$AV$3,ROW()=$AW$3,ROW()=$AX$3,ROW()=$AY$3,ROW()=$AZ$3,ROW()=$BA$3,ROW()=$BB$3,ROW()=$BC$3,ROW()=$BD$3,ROW()=$BE$3,ROW()=$BF$3),"本月合计",IF(ROW()&lt;7,$AQ$6,OFFSET($AQ$6,COUNT($AR$6:AR757),0)))))</f>
        <v/>
      </c>
    </row>
    <row r="759" spans="1:44">
      <c r="A759" s="469" t="str">
        <f ca="1">IFERROR(INDEX(凭证录入!A:A,$AR759),"")</f>
        <v/>
      </c>
      <c r="B759" s="469" t="str">
        <f ca="1">IFERROR(INDEX(凭证录入!B:B,$AR759),"")</f>
        <v/>
      </c>
      <c r="C759" s="470" t="str">
        <f ca="1">IFERROR(INDEX(凭证录入!G:G,$AR759),"")</f>
        <v/>
      </c>
      <c r="D759" s="471" t="str">
        <f ca="1">IFERROR(INDEX(凭证录入!F:F,$AR759),"")</f>
        <v/>
      </c>
      <c r="E759" s="472" t="str">
        <f ca="1">IFERROR(INDEX(凭证录入!H:H,$AR759),$AR759)</f>
        <v/>
      </c>
      <c r="F759" s="473">
        <f ca="1">IF(OR($BG$2=0,$AR759=""),,IF($AR759="本月合计",IF(ROW()=$BG$3,SUM($F$6:$F758),SUM(INDIRECT("$F$"&amp;OFFSET($AU$3,,MATCH(ROW(),$AU$3:$BF$3,)-2)+2&amp;":$E"&amp;ROW()-1))),IF($AR759="本年累计",SUMIF($AR$6:$AR759,"本月合计",$F$6:$F758),INDEX(凭证录入!K:K,$AR759))))</f>
        <v>0</v>
      </c>
      <c r="G759" s="459" t="str">
        <f t="shared" ca="1" si="167"/>
        <v/>
      </c>
      <c r="H759" s="460" t="str">
        <f t="shared" ca="1" si="167"/>
        <v/>
      </c>
      <c r="I759" s="460" t="str">
        <f t="shared" ca="1" si="167"/>
        <v/>
      </c>
      <c r="J759" s="460" t="str">
        <f t="shared" ca="1" si="167"/>
        <v/>
      </c>
      <c r="K759" s="460" t="str">
        <f t="shared" ca="1" si="167"/>
        <v/>
      </c>
      <c r="L759" s="460" t="str">
        <f t="shared" ca="1" si="167"/>
        <v/>
      </c>
      <c r="M759" s="460" t="str">
        <f t="shared" ca="1" si="167"/>
        <v/>
      </c>
      <c r="N759" s="460" t="str">
        <f t="shared" ca="1" si="167"/>
        <v/>
      </c>
      <c r="O759" s="461" t="str">
        <f t="shared" ca="1" si="167"/>
        <v/>
      </c>
      <c r="P759" s="474" t="str">
        <f t="shared" ca="1" si="167"/>
        <v/>
      </c>
      <c r="Q759" s="475" t="str">
        <f t="shared" ca="1" si="167"/>
        <v/>
      </c>
      <c r="R759" s="476">
        <f ca="1">IF(OR($BG$2=0,$AR759=""),,IF($AR759="本月合计",IF(ROW()=$BG$3,SUM($R$6:$R758),SUM(INDIRECT("$R$"&amp;OFFSET($AU$3,,MATCH(ROW(),$AU$3:$BF$3,)-2)+2&amp;":$R"&amp;ROW()-1))),IF($AR759="本年累计",SUMIF($AR$6:$AR759,"本月合计",$R$6:$R758),INDEX(凭证录入!L:L,$AR759))))</f>
        <v>0</v>
      </c>
      <c r="S759" s="459" t="str">
        <f t="shared" ca="1" si="168"/>
        <v/>
      </c>
      <c r="T759" s="460" t="str">
        <f t="shared" ca="1" si="168"/>
        <v/>
      </c>
      <c r="U759" s="460" t="str">
        <f t="shared" ca="1" si="168"/>
        <v/>
      </c>
      <c r="V759" s="460" t="str">
        <f t="shared" ca="1" si="168"/>
        <v/>
      </c>
      <c r="W759" s="460" t="str">
        <f t="shared" ca="1" si="168"/>
        <v/>
      </c>
      <c r="X759" s="460" t="str">
        <f t="shared" ca="1" si="168"/>
        <v/>
      </c>
      <c r="Y759" s="460" t="str">
        <f t="shared" ca="1" si="168"/>
        <v/>
      </c>
      <c r="Z759" s="460" t="str">
        <f t="shared" ca="1" si="168"/>
        <v/>
      </c>
      <c r="AA759" s="461" t="str">
        <f t="shared" ca="1" si="168"/>
        <v/>
      </c>
      <c r="AB759" s="474" t="str">
        <f t="shared" ca="1" si="168"/>
        <v/>
      </c>
      <c r="AC759" s="475" t="str">
        <f t="shared" ca="1" si="168"/>
        <v/>
      </c>
      <c r="AD759" s="477" t="str">
        <f t="shared" ca="1" si="158"/>
        <v/>
      </c>
      <c r="AE759" s="478">
        <f t="shared" ca="1" si="159"/>
        <v>0</v>
      </c>
      <c r="AF759" s="459" t="str">
        <f t="shared" ca="1" si="166"/>
        <v/>
      </c>
      <c r="AG759" s="460" t="str">
        <f t="shared" ca="1" si="166"/>
        <v/>
      </c>
      <c r="AH759" s="460" t="str">
        <f t="shared" ca="1" si="166"/>
        <v/>
      </c>
      <c r="AI759" s="460" t="str">
        <f t="shared" ca="1" si="166"/>
        <v/>
      </c>
      <c r="AJ759" s="460" t="str">
        <f t="shared" ca="1" si="166"/>
        <v/>
      </c>
      <c r="AK759" s="460" t="str">
        <f t="shared" ca="1" si="166"/>
        <v/>
      </c>
      <c r="AL759" s="460" t="str">
        <f t="shared" ca="1" si="166"/>
        <v/>
      </c>
      <c r="AM759" s="460" t="str">
        <f t="shared" ca="1" si="166"/>
        <v/>
      </c>
      <c r="AN759" s="461" t="str">
        <f t="shared" ca="1" si="166"/>
        <v/>
      </c>
      <c r="AO759" s="474" t="str">
        <f t="shared" ca="1" si="166"/>
        <v/>
      </c>
      <c r="AP759" s="475" t="str">
        <f t="shared" ca="1" si="166"/>
        <v/>
      </c>
      <c r="AQ759" s="479" t="str">
        <f t="array" aca="1" ref="AQ759" ca="1">IF(ROW()-5&lt;=COUNTIF(科目编号,$AR$2),SMALL(IF(科目编号=$AR$2,ROW(科目编号),""),ROW()-5),"")</f>
        <v/>
      </c>
      <c r="AR759" s="480" t="str">
        <f ca="1">IF($BG$2=0,"",IF(AR758="本月合计","本年累计",IF(OR(ROW()=$AU$3,ROW()=$AV$3,ROW()=$AW$3,ROW()=$AX$3,ROW()=$AY$3,ROW()=$AZ$3,ROW()=$BA$3,ROW()=$BB$3,ROW()=$BC$3,ROW()=$BD$3,ROW()=$BE$3,ROW()=$BF$3),"本月合计",IF(ROW()&lt;7,$AQ$6,OFFSET($AQ$6,COUNT($AR$6:AR758),0)))))</f>
        <v/>
      </c>
    </row>
    <row r="760" spans="1:44">
      <c r="A760" s="469" t="str">
        <f ca="1">IFERROR(INDEX(凭证录入!A:A,$AR760),"")</f>
        <v/>
      </c>
      <c r="B760" s="469" t="str">
        <f ca="1">IFERROR(INDEX(凭证录入!B:B,$AR760),"")</f>
        <v/>
      </c>
      <c r="C760" s="470" t="str">
        <f ca="1">IFERROR(INDEX(凭证录入!G:G,$AR760),"")</f>
        <v/>
      </c>
      <c r="D760" s="471" t="str">
        <f ca="1">IFERROR(INDEX(凭证录入!F:F,$AR760),"")</f>
        <v/>
      </c>
      <c r="E760" s="472" t="str">
        <f ca="1">IFERROR(INDEX(凭证录入!H:H,$AR760),$AR760)</f>
        <v/>
      </c>
      <c r="F760" s="473">
        <f ca="1">IF(OR($BG$2=0,$AR760=""),,IF($AR760="本月合计",IF(ROW()=$BG$3,SUM($F$6:$F759),SUM(INDIRECT("$F$"&amp;OFFSET($AU$3,,MATCH(ROW(),$AU$3:$BF$3,)-2)+2&amp;":$E"&amp;ROW()-1))),IF($AR760="本年累计",SUMIF($AR$6:$AR760,"本月合计",$F$6:$F759),INDEX(凭证录入!K:K,$AR760))))</f>
        <v>0</v>
      </c>
      <c r="G760" s="459" t="str">
        <f t="shared" ca="1" si="167"/>
        <v/>
      </c>
      <c r="H760" s="460" t="str">
        <f t="shared" ca="1" si="167"/>
        <v/>
      </c>
      <c r="I760" s="460" t="str">
        <f t="shared" ca="1" si="167"/>
        <v/>
      </c>
      <c r="J760" s="460" t="str">
        <f t="shared" ca="1" si="167"/>
        <v/>
      </c>
      <c r="K760" s="460" t="str">
        <f t="shared" ca="1" si="167"/>
        <v/>
      </c>
      <c r="L760" s="460" t="str">
        <f t="shared" ca="1" si="167"/>
        <v/>
      </c>
      <c r="M760" s="460" t="str">
        <f t="shared" ca="1" si="167"/>
        <v/>
      </c>
      <c r="N760" s="460" t="str">
        <f t="shared" ca="1" si="167"/>
        <v/>
      </c>
      <c r="O760" s="461" t="str">
        <f t="shared" ca="1" si="167"/>
        <v/>
      </c>
      <c r="P760" s="474" t="str">
        <f t="shared" ca="1" si="167"/>
        <v/>
      </c>
      <c r="Q760" s="475" t="str">
        <f t="shared" ca="1" si="167"/>
        <v/>
      </c>
      <c r="R760" s="476">
        <f ca="1">IF(OR($BG$2=0,$AR760=""),,IF($AR760="本月合计",IF(ROW()=$BG$3,SUM($R$6:$R759),SUM(INDIRECT("$R$"&amp;OFFSET($AU$3,,MATCH(ROW(),$AU$3:$BF$3,)-2)+2&amp;":$R"&amp;ROW()-1))),IF($AR760="本年累计",SUMIF($AR$6:$AR760,"本月合计",$R$6:$R759),INDEX(凭证录入!L:L,$AR760))))</f>
        <v>0</v>
      </c>
      <c r="S760" s="459" t="str">
        <f t="shared" ca="1" si="168"/>
        <v/>
      </c>
      <c r="T760" s="460" t="str">
        <f t="shared" ca="1" si="168"/>
        <v/>
      </c>
      <c r="U760" s="460" t="str">
        <f t="shared" ca="1" si="168"/>
        <v/>
      </c>
      <c r="V760" s="460" t="str">
        <f t="shared" ca="1" si="168"/>
        <v/>
      </c>
      <c r="W760" s="460" t="str">
        <f t="shared" ca="1" si="168"/>
        <v/>
      </c>
      <c r="X760" s="460" t="str">
        <f t="shared" ca="1" si="168"/>
        <v/>
      </c>
      <c r="Y760" s="460" t="str">
        <f t="shared" ca="1" si="168"/>
        <v/>
      </c>
      <c r="Z760" s="460" t="str">
        <f t="shared" ca="1" si="168"/>
        <v/>
      </c>
      <c r="AA760" s="461" t="str">
        <f t="shared" ca="1" si="168"/>
        <v/>
      </c>
      <c r="AB760" s="474" t="str">
        <f t="shared" ca="1" si="168"/>
        <v/>
      </c>
      <c r="AC760" s="475" t="str">
        <f t="shared" ca="1" si="168"/>
        <v/>
      </c>
      <c r="AD760" s="477" t="str">
        <f t="shared" ca="1" si="158"/>
        <v/>
      </c>
      <c r="AE760" s="478">
        <f t="shared" ca="1" si="159"/>
        <v>0</v>
      </c>
      <c r="AF760" s="459" t="str">
        <f t="shared" ca="1" si="166"/>
        <v/>
      </c>
      <c r="AG760" s="460" t="str">
        <f t="shared" ca="1" si="166"/>
        <v/>
      </c>
      <c r="AH760" s="460" t="str">
        <f t="shared" ca="1" si="166"/>
        <v/>
      </c>
      <c r="AI760" s="460" t="str">
        <f t="shared" ca="1" si="166"/>
        <v/>
      </c>
      <c r="AJ760" s="460" t="str">
        <f t="shared" ca="1" si="166"/>
        <v/>
      </c>
      <c r="AK760" s="460" t="str">
        <f t="shared" ca="1" si="166"/>
        <v/>
      </c>
      <c r="AL760" s="460" t="str">
        <f t="shared" ca="1" si="166"/>
        <v/>
      </c>
      <c r="AM760" s="460" t="str">
        <f t="shared" ca="1" si="166"/>
        <v/>
      </c>
      <c r="AN760" s="461" t="str">
        <f t="shared" ca="1" si="166"/>
        <v/>
      </c>
      <c r="AO760" s="474" t="str">
        <f t="shared" ca="1" si="166"/>
        <v/>
      </c>
      <c r="AP760" s="475" t="str">
        <f t="shared" ca="1" si="166"/>
        <v/>
      </c>
      <c r="AQ760" s="479" t="str">
        <f t="array" aca="1" ref="AQ760" ca="1">IF(ROW()-5&lt;=COUNTIF(科目编号,$AR$2),SMALL(IF(科目编号=$AR$2,ROW(科目编号),""),ROW()-5),"")</f>
        <v/>
      </c>
      <c r="AR760" s="480" t="str">
        <f ca="1">IF($BG$2=0,"",IF(AR759="本月合计","本年累计",IF(OR(ROW()=$AU$3,ROW()=$AV$3,ROW()=$AW$3,ROW()=$AX$3,ROW()=$AY$3,ROW()=$AZ$3,ROW()=$BA$3,ROW()=$BB$3,ROW()=$BC$3,ROW()=$BD$3,ROW()=$BE$3,ROW()=$BF$3),"本月合计",IF(ROW()&lt;7,$AQ$6,OFFSET($AQ$6,COUNT($AR$6:AR759),0)))))</f>
        <v/>
      </c>
    </row>
    <row r="761" spans="1:44">
      <c r="A761" s="469" t="str">
        <f ca="1">IFERROR(INDEX(凭证录入!A:A,$AR761),"")</f>
        <v/>
      </c>
      <c r="B761" s="469" t="str">
        <f ca="1">IFERROR(INDEX(凭证录入!B:B,$AR761),"")</f>
        <v/>
      </c>
      <c r="C761" s="470" t="str">
        <f ca="1">IFERROR(INDEX(凭证录入!G:G,$AR761),"")</f>
        <v/>
      </c>
      <c r="D761" s="471" t="str">
        <f ca="1">IFERROR(INDEX(凭证录入!F:F,$AR761),"")</f>
        <v/>
      </c>
      <c r="E761" s="472" t="str">
        <f ca="1">IFERROR(INDEX(凭证录入!H:H,$AR761),$AR761)</f>
        <v/>
      </c>
      <c r="F761" s="473">
        <f ca="1">IF(OR($BG$2=0,$AR761=""),,IF($AR761="本月合计",IF(ROW()=$BG$3,SUM($F$6:$F760),SUM(INDIRECT("$F$"&amp;OFFSET($AU$3,,MATCH(ROW(),$AU$3:$BF$3,)-2)+2&amp;":$E"&amp;ROW()-1))),IF($AR761="本年累计",SUMIF($AR$6:$AR761,"本月合计",$F$6:$F760),INDEX(凭证录入!K:K,$AR761))))</f>
        <v>0</v>
      </c>
      <c r="G761" s="459" t="str">
        <f t="shared" ca="1" si="167"/>
        <v/>
      </c>
      <c r="H761" s="460" t="str">
        <f t="shared" ca="1" si="167"/>
        <v/>
      </c>
      <c r="I761" s="460" t="str">
        <f t="shared" ca="1" si="167"/>
        <v/>
      </c>
      <c r="J761" s="460" t="str">
        <f t="shared" ca="1" si="167"/>
        <v/>
      </c>
      <c r="K761" s="460" t="str">
        <f t="shared" ca="1" si="167"/>
        <v/>
      </c>
      <c r="L761" s="460" t="str">
        <f t="shared" ca="1" si="167"/>
        <v/>
      </c>
      <c r="M761" s="460" t="str">
        <f t="shared" ca="1" si="167"/>
        <v/>
      </c>
      <c r="N761" s="460" t="str">
        <f t="shared" ca="1" si="167"/>
        <v/>
      </c>
      <c r="O761" s="461" t="str">
        <f t="shared" ca="1" si="167"/>
        <v/>
      </c>
      <c r="P761" s="474" t="str">
        <f t="shared" ca="1" si="167"/>
        <v/>
      </c>
      <c r="Q761" s="475" t="str">
        <f t="shared" ca="1" si="167"/>
        <v/>
      </c>
      <c r="R761" s="476">
        <f ca="1">IF(OR($BG$2=0,$AR761=""),,IF($AR761="本月合计",IF(ROW()=$BG$3,SUM($R$6:$R760),SUM(INDIRECT("$R$"&amp;OFFSET($AU$3,,MATCH(ROW(),$AU$3:$BF$3,)-2)+2&amp;":$R"&amp;ROW()-1))),IF($AR761="本年累计",SUMIF($AR$6:$AR761,"本月合计",$R$6:$R760),INDEX(凭证录入!L:L,$AR761))))</f>
        <v>0</v>
      </c>
      <c r="S761" s="459" t="str">
        <f t="shared" ca="1" si="168"/>
        <v/>
      </c>
      <c r="T761" s="460" t="str">
        <f t="shared" ca="1" si="168"/>
        <v/>
      </c>
      <c r="U761" s="460" t="str">
        <f t="shared" ca="1" si="168"/>
        <v/>
      </c>
      <c r="V761" s="460" t="str">
        <f t="shared" ca="1" si="168"/>
        <v/>
      </c>
      <c r="W761" s="460" t="str">
        <f t="shared" ca="1" si="168"/>
        <v/>
      </c>
      <c r="X761" s="460" t="str">
        <f t="shared" ca="1" si="168"/>
        <v/>
      </c>
      <c r="Y761" s="460" t="str">
        <f t="shared" ca="1" si="168"/>
        <v/>
      </c>
      <c r="Z761" s="460" t="str">
        <f t="shared" ca="1" si="168"/>
        <v/>
      </c>
      <c r="AA761" s="461" t="str">
        <f t="shared" ca="1" si="168"/>
        <v/>
      </c>
      <c r="AB761" s="474" t="str">
        <f t="shared" ca="1" si="168"/>
        <v/>
      </c>
      <c r="AC761" s="475" t="str">
        <f t="shared" ca="1" si="168"/>
        <v/>
      </c>
      <c r="AD761" s="477" t="str">
        <f t="shared" ca="1" si="158"/>
        <v/>
      </c>
      <c r="AE761" s="478">
        <f t="shared" ca="1" si="159"/>
        <v>0</v>
      </c>
      <c r="AF761" s="459" t="str">
        <f t="shared" ca="1" si="166"/>
        <v/>
      </c>
      <c r="AG761" s="460" t="str">
        <f t="shared" ca="1" si="166"/>
        <v/>
      </c>
      <c r="AH761" s="460" t="str">
        <f t="shared" ca="1" si="166"/>
        <v/>
      </c>
      <c r="AI761" s="460" t="str">
        <f t="shared" ca="1" si="166"/>
        <v/>
      </c>
      <c r="AJ761" s="460" t="str">
        <f t="shared" ca="1" si="166"/>
        <v/>
      </c>
      <c r="AK761" s="460" t="str">
        <f t="shared" ca="1" si="166"/>
        <v/>
      </c>
      <c r="AL761" s="460" t="str">
        <f t="shared" ca="1" si="166"/>
        <v/>
      </c>
      <c r="AM761" s="460" t="str">
        <f t="shared" ca="1" si="166"/>
        <v/>
      </c>
      <c r="AN761" s="461" t="str">
        <f t="shared" ca="1" si="166"/>
        <v/>
      </c>
      <c r="AO761" s="474" t="str">
        <f t="shared" ca="1" si="166"/>
        <v/>
      </c>
      <c r="AP761" s="475" t="str">
        <f t="shared" ca="1" si="166"/>
        <v/>
      </c>
      <c r="AQ761" s="479" t="str">
        <f t="array" aca="1" ref="AQ761" ca="1">IF(ROW()-5&lt;=COUNTIF(科目编号,$AR$2),SMALL(IF(科目编号=$AR$2,ROW(科目编号),""),ROW()-5),"")</f>
        <v/>
      </c>
      <c r="AR761" s="480" t="str">
        <f ca="1">IF($BG$2=0,"",IF(AR760="本月合计","本年累计",IF(OR(ROW()=$AU$3,ROW()=$AV$3,ROW()=$AW$3,ROW()=$AX$3,ROW()=$AY$3,ROW()=$AZ$3,ROW()=$BA$3,ROW()=$BB$3,ROW()=$BC$3,ROW()=$BD$3,ROW()=$BE$3,ROW()=$BF$3),"本月合计",IF(ROW()&lt;7,$AQ$6,OFFSET($AQ$6,COUNT($AR$6:AR760),0)))))</f>
        <v/>
      </c>
    </row>
    <row r="762" spans="1:44">
      <c r="A762" s="469" t="str">
        <f ca="1">IFERROR(INDEX(凭证录入!A:A,$AR762),"")</f>
        <v/>
      </c>
      <c r="B762" s="469" t="str">
        <f ca="1">IFERROR(INDEX(凭证录入!B:B,$AR762),"")</f>
        <v/>
      </c>
      <c r="C762" s="470" t="str">
        <f ca="1">IFERROR(INDEX(凭证录入!G:G,$AR762),"")</f>
        <v/>
      </c>
      <c r="D762" s="471" t="str">
        <f ca="1">IFERROR(INDEX(凭证录入!F:F,$AR762),"")</f>
        <v/>
      </c>
      <c r="E762" s="472" t="str">
        <f ca="1">IFERROR(INDEX(凭证录入!H:H,$AR762),$AR762)</f>
        <v/>
      </c>
      <c r="F762" s="473">
        <f ca="1">IF(OR($BG$2=0,$AR762=""),,IF($AR762="本月合计",IF(ROW()=$BG$3,SUM($F$6:$F761),SUM(INDIRECT("$F$"&amp;OFFSET($AU$3,,MATCH(ROW(),$AU$3:$BF$3,)-2)+2&amp;":$E"&amp;ROW()-1))),IF($AR762="本年累计",SUMIF($AR$6:$AR762,"本月合计",$F$6:$F761),INDEX(凭证录入!K:K,$AR762))))</f>
        <v>0</v>
      </c>
      <c r="G762" s="459" t="str">
        <f t="shared" ca="1" si="167"/>
        <v/>
      </c>
      <c r="H762" s="460" t="str">
        <f t="shared" ca="1" si="167"/>
        <v/>
      </c>
      <c r="I762" s="460" t="str">
        <f t="shared" ca="1" si="167"/>
        <v/>
      </c>
      <c r="J762" s="460" t="str">
        <f t="shared" ca="1" si="167"/>
        <v/>
      </c>
      <c r="K762" s="460" t="str">
        <f t="shared" ca="1" si="167"/>
        <v/>
      </c>
      <c r="L762" s="460" t="str">
        <f t="shared" ca="1" si="167"/>
        <v/>
      </c>
      <c r="M762" s="460" t="str">
        <f t="shared" ca="1" si="167"/>
        <v/>
      </c>
      <c r="N762" s="460" t="str">
        <f t="shared" ca="1" si="167"/>
        <v/>
      </c>
      <c r="O762" s="461" t="str">
        <f t="shared" ca="1" si="167"/>
        <v/>
      </c>
      <c r="P762" s="474" t="str">
        <f t="shared" ca="1" si="167"/>
        <v/>
      </c>
      <c r="Q762" s="475" t="str">
        <f t="shared" ca="1" si="167"/>
        <v/>
      </c>
      <c r="R762" s="476">
        <f ca="1">IF(OR($BG$2=0,$AR762=""),,IF($AR762="本月合计",IF(ROW()=$BG$3,SUM($R$6:$R761),SUM(INDIRECT("$R$"&amp;OFFSET($AU$3,,MATCH(ROW(),$AU$3:$BF$3,)-2)+2&amp;":$R"&amp;ROW()-1))),IF($AR762="本年累计",SUMIF($AR$6:$AR762,"本月合计",$R$6:$R761),INDEX(凭证录入!L:L,$AR762))))</f>
        <v>0</v>
      </c>
      <c r="S762" s="459" t="str">
        <f t="shared" ca="1" si="168"/>
        <v/>
      </c>
      <c r="T762" s="460" t="str">
        <f t="shared" ca="1" si="168"/>
        <v/>
      </c>
      <c r="U762" s="460" t="str">
        <f t="shared" ca="1" si="168"/>
        <v/>
      </c>
      <c r="V762" s="460" t="str">
        <f t="shared" ca="1" si="168"/>
        <v/>
      </c>
      <c r="W762" s="460" t="str">
        <f t="shared" ca="1" si="168"/>
        <v/>
      </c>
      <c r="X762" s="460" t="str">
        <f t="shared" ca="1" si="168"/>
        <v/>
      </c>
      <c r="Y762" s="460" t="str">
        <f t="shared" ca="1" si="168"/>
        <v/>
      </c>
      <c r="Z762" s="460" t="str">
        <f t="shared" ca="1" si="168"/>
        <v/>
      </c>
      <c r="AA762" s="461" t="str">
        <f t="shared" ca="1" si="168"/>
        <v/>
      </c>
      <c r="AB762" s="474" t="str">
        <f t="shared" ca="1" si="168"/>
        <v/>
      </c>
      <c r="AC762" s="475" t="str">
        <f t="shared" ca="1" si="168"/>
        <v/>
      </c>
      <c r="AD762" s="477" t="str">
        <f t="shared" ca="1" si="158"/>
        <v/>
      </c>
      <c r="AE762" s="478">
        <f t="shared" ca="1" si="159"/>
        <v>0</v>
      </c>
      <c r="AF762" s="459" t="str">
        <f t="shared" ca="1" si="166"/>
        <v/>
      </c>
      <c r="AG762" s="460" t="str">
        <f t="shared" ca="1" si="166"/>
        <v/>
      </c>
      <c r="AH762" s="460" t="str">
        <f t="shared" ca="1" si="166"/>
        <v/>
      </c>
      <c r="AI762" s="460" t="str">
        <f t="shared" ca="1" si="166"/>
        <v/>
      </c>
      <c r="AJ762" s="460" t="str">
        <f t="shared" ca="1" si="166"/>
        <v/>
      </c>
      <c r="AK762" s="460" t="str">
        <f t="shared" ca="1" si="166"/>
        <v/>
      </c>
      <c r="AL762" s="460" t="str">
        <f t="shared" ca="1" si="166"/>
        <v/>
      </c>
      <c r="AM762" s="460" t="str">
        <f t="shared" ca="1" si="166"/>
        <v/>
      </c>
      <c r="AN762" s="461" t="str">
        <f t="shared" ca="1" si="166"/>
        <v/>
      </c>
      <c r="AO762" s="474" t="str">
        <f t="shared" ca="1" si="166"/>
        <v/>
      </c>
      <c r="AP762" s="475" t="str">
        <f t="shared" ca="1" si="166"/>
        <v/>
      </c>
      <c r="AQ762" s="479" t="str">
        <f t="array" aca="1" ref="AQ762" ca="1">IF(ROW()-5&lt;=COUNTIF(科目编号,$AR$2),SMALL(IF(科目编号=$AR$2,ROW(科目编号),""),ROW()-5),"")</f>
        <v/>
      </c>
      <c r="AR762" s="480" t="str">
        <f ca="1">IF($BG$2=0,"",IF(AR761="本月合计","本年累计",IF(OR(ROW()=$AU$3,ROW()=$AV$3,ROW()=$AW$3,ROW()=$AX$3,ROW()=$AY$3,ROW()=$AZ$3,ROW()=$BA$3,ROW()=$BB$3,ROW()=$BC$3,ROW()=$BD$3,ROW()=$BE$3,ROW()=$BF$3),"本月合计",IF(ROW()&lt;7,$AQ$6,OFFSET($AQ$6,COUNT($AR$6:AR761),0)))))</f>
        <v/>
      </c>
    </row>
    <row r="763" spans="1:44">
      <c r="A763" s="469" t="str">
        <f ca="1">IFERROR(INDEX(凭证录入!A:A,$AR763),"")</f>
        <v/>
      </c>
      <c r="B763" s="469" t="str">
        <f ca="1">IFERROR(INDEX(凭证录入!B:B,$AR763),"")</f>
        <v/>
      </c>
      <c r="C763" s="470" t="str">
        <f ca="1">IFERROR(INDEX(凭证录入!G:G,$AR763),"")</f>
        <v/>
      </c>
      <c r="D763" s="471" t="str">
        <f ca="1">IFERROR(INDEX(凭证录入!F:F,$AR763),"")</f>
        <v/>
      </c>
      <c r="E763" s="472" t="str">
        <f ca="1">IFERROR(INDEX(凭证录入!H:H,$AR763),$AR763)</f>
        <v/>
      </c>
      <c r="F763" s="473">
        <f ca="1">IF(OR($BG$2=0,$AR763=""),,IF($AR763="本月合计",IF(ROW()=$BG$3,SUM($F$6:$F762),SUM(INDIRECT("$F$"&amp;OFFSET($AU$3,,MATCH(ROW(),$AU$3:$BF$3,)-2)+2&amp;":$E"&amp;ROW()-1))),IF($AR763="本年累计",SUMIF($AR$6:$AR763,"本月合计",$F$6:$F762),INDEX(凭证录入!K:K,$AR763))))</f>
        <v>0</v>
      </c>
      <c r="G763" s="459" t="str">
        <f t="shared" ca="1" si="167"/>
        <v/>
      </c>
      <c r="H763" s="460" t="str">
        <f t="shared" ca="1" si="167"/>
        <v/>
      </c>
      <c r="I763" s="460" t="str">
        <f t="shared" ca="1" si="167"/>
        <v/>
      </c>
      <c r="J763" s="460" t="str">
        <f t="shared" ca="1" si="167"/>
        <v/>
      </c>
      <c r="K763" s="460" t="str">
        <f t="shared" ca="1" si="167"/>
        <v/>
      </c>
      <c r="L763" s="460" t="str">
        <f t="shared" ca="1" si="167"/>
        <v/>
      </c>
      <c r="M763" s="460" t="str">
        <f t="shared" ca="1" si="167"/>
        <v/>
      </c>
      <c r="N763" s="460" t="str">
        <f t="shared" ca="1" si="167"/>
        <v/>
      </c>
      <c r="O763" s="461" t="str">
        <f t="shared" ca="1" si="167"/>
        <v/>
      </c>
      <c r="P763" s="474" t="str">
        <f t="shared" ca="1" si="167"/>
        <v/>
      </c>
      <c r="Q763" s="475" t="str">
        <f t="shared" ca="1" si="167"/>
        <v/>
      </c>
      <c r="R763" s="476">
        <f ca="1">IF(OR($BG$2=0,$AR763=""),,IF($AR763="本月合计",IF(ROW()=$BG$3,SUM($R$6:$R762),SUM(INDIRECT("$R$"&amp;OFFSET($AU$3,,MATCH(ROW(),$AU$3:$BF$3,)-2)+2&amp;":$R"&amp;ROW()-1))),IF($AR763="本年累计",SUMIF($AR$6:$AR763,"本月合计",$R$6:$R762),INDEX(凭证录入!L:L,$AR763))))</f>
        <v>0</v>
      </c>
      <c r="S763" s="459" t="str">
        <f t="shared" ca="1" si="168"/>
        <v/>
      </c>
      <c r="T763" s="460" t="str">
        <f t="shared" ca="1" si="168"/>
        <v/>
      </c>
      <c r="U763" s="460" t="str">
        <f t="shared" ca="1" si="168"/>
        <v/>
      </c>
      <c r="V763" s="460" t="str">
        <f t="shared" ca="1" si="168"/>
        <v/>
      </c>
      <c r="W763" s="460" t="str">
        <f t="shared" ca="1" si="168"/>
        <v/>
      </c>
      <c r="X763" s="460" t="str">
        <f t="shared" ca="1" si="168"/>
        <v/>
      </c>
      <c r="Y763" s="460" t="str">
        <f t="shared" ca="1" si="168"/>
        <v/>
      </c>
      <c r="Z763" s="460" t="str">
        <f t="shared" ca="1" si="168"/>
        <v/>
      </c>
      <c r="AA763" s="461" t="str">
        <f t="shared" ca="1" si="168"/>
        <v/>
      </c>
      <c r="AB763" s="474" t="str">
        <f t="shared" ca="1" si="168"/>
        <v/>
      </c>
      <c r="AC763" s="475" t="str">
        <f t="shared" ca="1" si="168"/>
        <v/>
      </c>
      <c r="AD763" s="477" t="str">
        <f t="shared" ca="1" si="158"/>
        <v/>
      </c>
      <c r="AE763" s="478">
        <f t="shared" ca="1" si="159"/>
        <v>0</v>
      </c>
      <c r="AF763" s="459" t="str">
        <f t="shared" ca="1" si="166"/>
        <v/>
      </c>
      <c r="AG763" s="460" t="str">
        <f t="shared" ca="1" si="166"/>
        <v/>
      </c>
      <c r="AH763" s="460" t="str">
        <f t="shared" ca="1" si="166"/>
        <v/>
      </c>
      <c r="AI763" s="460" t="str">
        <f t="shared" ca="1" si="166"/>
        <v/>
      </c>
      <c r="AJ763" s="460" t="str">
        <f t="shared" ca="1" si="166"/>
        <v/>
      </c>
      <c r="AK763" s="460" t="str">
        <f t="shared" ca="1" si="166"/>
        <v/>
      </c>
      <c r="AL763" s="460" t="str">
        <f t="shared" ca="1" si="166"/>
        <v/>
      </c>
      <c r="AM763" s="460" t="str">
        <f t="shared" ca="1" si="166"/>
        <v/>
      </c>
      <c r="AN763" s="461" t="str">
        <f t="shared" ca="1" si="166"/>
        <v/>
      </c>
      <c r="AO763" s="474" t="str">
        <f t="shared" ca="1" si="166"/>
        <v/>
      </c>
      <c r="AP763" s="475" t="str">
        <f t="shared" ca="1" si="166"/>
        <v/>
      </c>
      <c r="AQ763" s="479" t="str">
        <f t="array" aca="1" ref="AQ763" ca="1">IF(ROW()-5&lt;=COUNTIF(科目编号,$AR$2),SMALL(IF(科目编号=$AR$2,ROW(科目编号),""),ROW()-5),"")</f>
        <v/>
      </c>
      <c r="AR763" s="480" t="str">
        <f ca="1">IF($BG$2=0,"",IF(AR762="本月合计","本年累计",IF(OR(ROW()=$AU$3,ROW()=$AV$3,ROW()=$AW$3,ROW()=$AX$3,ROW()=$AY$3,ROW()=$AZ$3,ROW()=$BA$3,ROW()=$BB$3,ROW()=$BC$3,ROW()=$BD$3,ROW()=$BE$3,ROW()=$BF$3),"本月合计",IF(ROW()&lt;7,$AQ$6,OFFSET($AQ$6,COUNT($AR$6:AR762),0)))))</f>
        <v/>
      </c>
    </row>
    <row r="764" spans="1:44">
      <c r="A764" s="469" t="str">
        <f ca="1">IFERROR(INDEX(凭证录入!A:A,$AR764),"")</f>
        <v/>
      </c>
      <c r="B764" s="469" t="str">
        <f ca="1">IFERROR(INDEX(凭证录入!B:B,$AR764),"")</f>
        <v/>
      </c>
      <c r="C764" s="470" t="str">
        <f ca="1">IFERROR(INDEX(凭证录入!G:G,$AR764),"")</f>
        <v/>
      </c>
      <c r="D764" s="471" t="str">
        <f ca="1">IFERROR(INDEX(凭证录入!F:F,$AR764),"")</f>
        <v/>
      </c>
      <c r="E764" s="472" t="str">
        <f ca="1">IFERROR(INDEX(凭证录入!H:H,$AR764),$AR764)</f>
        <v/>
      </c>
      <c r="F764" s="473">
        <f ca="1">IF(OR($BG$2=0,$AR764=""),,IF($AR764="本月合计",IF(ROW()=$BG$3,SUM($F$6:$F763),SUM(INDIRECT("$F$"&amp;OFFSET($AU$3,,MATCH(ROW(),$AU$3:$BF$3,)-2)+2&amp;":$E"&amp;ROW()-1))),IF($AR764="本年累计",SUMIF($AR$6:$AR764,"本月合计",$F$6:$F763),INDEX(凭证录入!K:K,$AR764))))</f>
        <v>0</v>
      </c>
      <c r="G764" s="459" t="str">
        <f t="shared" ca="1" si="167"/>
        <v/>
      </c>
      <c r="H764" s="460" t="str">
        <f t="shared" ca="1" si="167"/>
        <v/>
      </c>
      <c r="I764" s="460" t="str">
        <f t="shared" ca="1" si="167"/>
        <v/>
      </c>
      <c r="J764" s="460" t="str">
        <f t="shared" ca="1" si="167"/>
        <v/>
      </c>
      <c r="K764" s="460" t="str">
        <f t="shared" ca="1" si="167"/>
        <v/>
      </c>
      <c r="L764" s="460" t="str">
        <f t="shared" ca="1" si="167"/>
        <v/>
      </c>
      <c r="M764" s="460" t="str">
        <f t="shared" ca="1" si="167"/>
        <v/>
      </c>
      <c r="N764" s="460" t="str">
        <f t="shared" ca="1" si="167"/>
        <v/>
      </c>
      <c r="O764" s="461" t="str">
        <f t="shared" ca="1" si="167"/>
        <v/>
      </c>
      <c r="P764" s="474" t="str">
        <f t="shared" ca="1" si="167"/>
        <v/>
      </c>
      <c r="Q764" s="475" t="str">
        <f t="shared" ca="1" si="167"/>
        <v/>
      </c>
      <c r="R764" s="476">
        <f ca="1">IF(OR($BG$2=0,$AR764=""),,IF($AR764="本月合计",IF(ROW()=$BG$3,SUM($R$6:$R763),SUM(INDIRECT("$R$"&amp;OFFSET($AU$3,,MATCH(ROW(),$AU$3:$BF$3,)-2)+2&amp;":$R"&amp;ROW()-1))),IF($AR764="本年累计",SUMIF($AR$6:$AR764,"本月合计",$R$6:$R763),INDEX(凭证录入!L:L,$AR764))))</f>
        <v>0</v>
      </c>
      <c r="S764" s="459" t="str">
        <f t="shared" ca="1" si="168"/>
        <v/>
      </c>
      <c r="T764" s="460" t="str">
        <f t="shared" ca="1" si="168"/>
        <v/>
      </c>
      <c r="U764" s="460" t="str">
        <f t="shared" ca="1" si="168"/>
        <v/>
      </c>
      <c r="V764" s="460" t="str">
        <f t="shared" ca="1" si="168"/>
        <v/>
      </c>
      <c r="W764" s="460" t="str">
        <f t="shared" ca="1" si="168"/>
        <v/>
      </c>
      <c r="X764" s="460" t="str">
        <f t="shared" ca="1" si="168"/>
        <v/>
      </c>
      <c r="Y764" s="460" t="str">
        <f t="shared" ca="1" si="168"/>
        <v/>
      </c>
      <c r="Z764" s="460" t="str">
        <f t="shared" ca="1" si="168"/>
        <v/>
      </c>
      <c r="AA764" s="461" t="str">
        <f t="shared" ca="1" si="168"/>
        <v/>
      </c>
      <c r="AB764" s="474" t="str">
        <f t="shared" ca="1" si="168"/>
        <v/>
      </c>
      <c r="AC764" s="475" t="str">
        <f t="shared" ca="1" si="168"/>
        <v/>
      </c>
      <c r="AD764" s="477" t="str">
        <f t="shared" ca="1" si="158"/>
        <v/>
      </c>
      <c r="AE764" s="478">
        <f t="shared" ca="1" si="159"/>
        <v>0</v>
      </c>
      <c r="AF764" s="459" t="str">
        <f t="shared" ca="1" si="166"/>
        <v/>
      </c>
      <c r="AG764" s="460" t="str">
        <f t="shared" ca="1" si="166"/>
        <v/>
      </c>
      <c r="AH764" s="460" t="str">
        <f t="shared" ca="1" si="166"/>
        <v/>
      </c>
      <c r="AI764" s="460" t="str">
        <f t="shared" ca="1" si="166"/>
        <v/>
      </c>
      <c r="AJ764" s="460" t="str">
        <f t="shared" ca="1" si="166"/>
        <v/>
      </c>
      <c r="AK764" s="460" t="str">
        <f t="shared" ca="1" si="166"/>
        <v/>
      </c>
      <c r="AL764" s="460" t="str">
        <f t="shared" ca="1" si="166"/>
        <v/>
      </c>
      <c r="AM764" s="460" t="str">
        <f t="shared" ca="1" si="166"/>
        <v/>
      </c>
      <c r="AN764" s="461" t="str">
        <f t="shared" ca="1" si="166"/>
        <v/>
      </c>
      <c r="AO764" s="474" t="str">
        <f t="shared" ca="1" si="166"/>
        <v/>
      </c>
      <c r="AP764" s="475" t="str">
        <f t="shared" ca="1" si="166"/>
        <v/>
      </c>
      <c r="AQ764" s="479" t="str">
        <f t="array" aca="1" ref="AQ764" ca="1">IF(ROW()-5&lt;=COUNTIF(科目编号,$AR$2),SMALL(IF(科目编号=$AR$2,ROW(科目编号),""),ROW()-5),"")</f>
        <v/>
      </c>
      <c r="AR764" s="480" t="str">
        <f ca="1">IF($BG$2=0,"",IF(AR763="本月合计","本年累计",IF(OR(ROW()=$AU$3,ROW()=$AV$3,ROW()=$AW$3,ROW()=$AX$3,ROW()=$AY$3,ROW()=$AZ$3,ROW()=$BA$3,ROW()=$BB$3,ROW()=$BC$3,ROW()=$BD$3,ROW()=$BE$3,ROW()=$BF$3),"本月合计",IF(ROW()&lt;7,$AQ$6,OFFSET($AQ$6,COUNT($AR$6:AR763),0)))))</f>
        <v/>
      </c>
    </row>
    <row r="765" spans="1:44">
      <c r="A765" s="469" t="str">
        <f ca="1">IFERROR(INDEX(凭证录入!A:A,$AR765),"")</f>
        <v/>
      </c>
      <c r="B765" s="469" t="str">
        <f ca="1">IFERROR(INDEX(凭证录入!B:B,$AR765),"")</f>
        <v/>
      </c>
      <c r="C765" s="470" t="str">
        <f ca="1">IFERROR(INDEX(凭证录入!G:G,$AR765),"")</f>
        <v/>
      </c>
      <c r="D765" s="471" t="str">
        <f ca="1">IFERROR(INDEX(凭证录入!F:F,$AR765),"")</f>
        <v/>
      </c>
      <c r="E765" s="472" t="str">
        <f ca="1">IFERROR(INDEX(凭证录入!H:H,$AR765),$AR765)</f>
        <v/>
      </c>
      <c r="F765" s="473">
        <f ca="1">IF(OR($BG$2=0,$AR765=""),,IF($AR765="本月合计",IF(ROW()=$BG$3,SUM($F$6:$F764),SUM(INDIRECT("$F$"&amp;OFFSET($AU$3,,MATCH(ROW(),$AU$3:$BF$3,)-2)+2&amp;":$E"&amp;ROW()-1))),IF($AR765="本年累计",SUMIF($AR$6:$AR765,"本月合计",$F$6:$F764),INDEX(凭证录入!K:K,$AR765))))</f>
        <v>0</v>
      </c>
      <c r="G765" s="459" t="str">
        <f t="shared" ca="1" si="167"/>
        <v/>
      </c>
      <c r="H765" s="460" t="str">
        <f t="shared" ca="1" si="167"/>
        <v/>
      </c>
      <c r="I765" s="460" t="str">
        <f t="shared" ca="1" si="167"/>
        <v/>
      </c>
      <c r="J765" s="460" t="str">
        <f t="shared" ca="1" si="167"/>
        <v/>
      </c>
      <c r="K765" s="460" t="str">
        <f t="shared" ca="1" si="167"/>
        <v/>
      </c>
      <c r="L765" s="460" t="str">
        <f t="shared" ca="1" si="167"/>
        <v/>
      </c>
      <c r="M765" s="460" t="str">
        <f t="shared" ca="1" si="167"/>
        <v/>
      </c>
      <c r="N765" s="460" t="str">
        <f t="shared" ca="1" si="167"/>
        <v/>
      </c>
      <c r="O765" s="461" t="str">
        <f t="shared" ca="1" si="167"/>
        <v/>
      </c>
      <c r="P765" s="474" t="str">
        <f t="shared" ca="1" si="167"/>
        <v/>
      </c>
      <c r="Q765" s="475" t="str">
        <f t="shared" ca="1" si="167"/>
        <v/>
      </c>
      <c r="R765" s="476">
        <f ca="1">IF(OR($BG$2=0,$AR765=""),,IF($AR765="本月合计",IF(ROW()=$BG$3,SUM($R$6:$R764),SUM(INDIRECT("$R$"&amp;OFFSET($AU$3,,MATCH(ROW(),$AU$3:$BF$3,)-2)+2&amp;":$R"&amp;ROW()-1))),IF($AR765="本年累计",SUMIF($AR$6:$AR765,"本月合计",$R$6:$R764),INDEX(凭证录入!L:L,$AR765))))</f>
        <v>0</v>
      </c>
      <c r="S765" s="459" t="str">
        <f t="shared" ca="1" si="168"/>
        <v/>
      </c>
      <c r="T765" s="460" t="str">
        <f t="shared" ca="1" si="168"/>
        <v/>
      </c>
      <c r="U765" s="460" t="str">
        <f t="shared" ca="1" si="168"/>
        <v/>
      </c>
      <c r="V765" s="460" t="str">
        <f t="shared" ca="1" si="168"/>
        <v/>
      </c>
      <c r="W765" s="460" t="str">
        <f t="shared" ca="1" si="168"/>
        <v/>
      </c>
      <c r="X765" s="460" t="str">
        <f t="shared" ca="1" si="168"/>
        <v/>
      </c>
      <c r="Y765" s="460" t="str">
        <f t="shared" ca="1" si="168"/>
        <v/>
      </c>
      <c r="Z765" s="460" t="str">
        <f t="shared" ca="1" si="168"/>
        <v/>
      </c>
      <c r="AA765" s="461" t="str">
        <f t="shared" ca="1" si="168"/>
        <v/>
      </c>
      <c r="AB765" s="474" t="str">
        <f t="shared" ca="1" si="168"/>
        <v/>
      </c>
      <c r="AC765" s="475" t="str">
        <f t="shared" ca="1" si="168"/>
        <v/>
      </c>
      <c r="AD765" s="477" t="str">
        <f t="shared" ca="1" si="158"/>
        <v/>
      </c>
      <c r="AE765" s="478">
        <f t="shared" ca="1" si="159"/>
        <v>0</v>
      </c>
      <c r="AF765" s="459" t="str">
        <f t="shared" ca="1" si="166"/>
        <v/>
      </c>
      <c r="AG765" s="460" t="str">
        <f t="shared" ca="1" si="166"/>
        <v/>
      </c>
      <c r="AH765" s="460" t="str">
        <f t="shared" ca="1" si="166"/>
        <v/>
      </c>
      <c r="AI765" s="460" t="str">
        <f t="shared" ca="1" si="166"/>
        <v/>
      </c>
      <c r="AJ765" s="460" t="str">
        <f t="shared" ca="1" si="166"/>
        <v/>
      </c>
      <c r="AK765" s="460" t="str">
        <f t="shared" ca="1" si="166"/>
        <v/>
      </c>
      <c r="AL765" s="460" t="str">
        <f t="shared" ca="1" si="166"/>
        <v/>
      </c>
      <c r="AM765" s="460" t="str">
        <f t="shared" ca="1" si="166"/>
        <v/>
      </c>
      <c r="AN765" s="461" t="str">
        <f t="shared" ca="1" si="166"/>
        <v/>
      </c>
      <c r="AO765" s="474" t="str">
        <f t="shared" ca="1" si="166"/>
        <v/>
      </c>
      <c r="AP765" s="475" t="str">
        <f t="shared" ca="1" si="166"/>
        <v/>
      </c>
      <c r="AQ765" s="479" t="str">
        <f t="array" aca="1" ref="AQ765" ca="1">IF(ROW()-5&lt;=COUNTIF(科目编号,$AR$2),SMALL(IF(科目编号=$AR$2,ROW(科目编号),""),ROW()-5),"")</f>
        <v/>
      </c>
      <c r="AR765" s="480" t="str">
        <f ca="1">IF($BG$2=0,"",IF(AR764="本月合计","本年累计",IF(OR(ROW()=$AU$3,ROW()=$AV$3,ROW()=$AW$3,ROW()=$AX$3,ROW()=$AY$3,ROW()=$AZ$3,ROW()=$BA$3,ROW()=$BB$3,ROW()=$BC$3,ROW()=$BD$3,ROW()=$BE$3,ROW()=$BF$3),"本月合计",IF(ROW()&lt;7,$AQ$6,OFFSET($AQ$6,COUNT($AR$6:AR764),0)))))</f>
        <v/>
      </c>
    </row>
    <row r="766" spans="1:44">
      <c r="A766" s="469" t="str">
        <f ca="1">IFERROR(INDEX(凭证录入!A:A,$AR766),"")</f>
        <v/>
      </c>
      <c r="B766" s="469" t="str">
        <f ca="1">IFERROR(INDEX(凭证录入!B:B,$AR766),"")</f>
        <v/>
      </c>
      <c r="C766" s="470" t="str">
        <f ca="1">IFERROR(INDEX(凭证录入!G:G,$AR766),"")</f>
        <v/>
      </c>
      <c r="D766" s="471" t="str">
        <f ca="1">IFERROR(INDEX(凭证录入!F:F,$AR766),"")</f>
        <v/>
      </c>
      <c r="E766" s="472" t="str">
        <f ca="1">IFERROR(INDEX(凭证录入!H:H,$AR766),$AR766)</f>
        <v/>
      </c>
      <c r="F766" s="473">
        <f ca="1">IF(OR($BG$2=0,$AR766=""),,IF($AR766="本月合计",IF(ROW()=$BG$3,SUM($F$6:$F765),SUM(INDIRECT("$F$"&amp;OFFSET($AU$3,,MATCH(ROW(),$AU$3:$BF$3,)-2)+2&amp;":$E"&amp;ROW()-1))),IF($AR766="本年累计",SUMIF($AR$6:$AR766,"本月合计",$F$6:$F765),INDEX(凭证录入!K:K,$AR766))))</f>
        <v>0</v>
      </c>
      <c r="G766" s="459" t="str">
        <f t="shared" ca="1" si="167"/>
        <v/>
      </c>
      <c r="H766" s="460" t="str">
        <f t="shared" ca="1" si="167"/>
        <v/>
      </c>
      <c r="I766" s="460" t="str">
        <f t="shared" ca="1" si="167"/>
        <v/>
      </c>
      <c r="J766" s="460" t="str">
        <f t="shared" ca="1" si="167"/>
        <v/>
      </c>
      <c r="K766" s="460" t="str">
        <f t="shared" ca="1" si="167"/>
        <v/>
      </c>
      <c r="L766" s="460" t="str">
        <f t="shared" ca="1" si="167"/>
        <v/>
      </c>
      <c r="M766" s="460" t="str">
        <f t="shared" ca="1" si="167"/>
        <v/>
      </c>
      <c r="N766" s="460" t="str">
        <f t="shared" ca="1" si="167"/>
        <v/>
      </c>
      <c r="O766" s="461" t="str">
        <f t="shared" ca="1" si="167"/>
        <v/>
      </c>
      <c r="P766" s="474" t="str">
        <f t="shared" ca="1" si="167"/>
        <v/>
      </c>
      <c r="Q766" s="475" t="str">
        <f t="shared" ca="1" si="167"/>
        <v/>
      </c>
      <c r="R766" s="476">
        <f ca="1">IF(OR($BG$2=0,$AR766=""),,IF($AR766="本月合计",IF(ROW()=$BG$3,SUM($R$6:$R765),SUM(INDIRECT("$R$"&amp;OFFSET($AU$3,,MATCH(ROW(),$AU$3:$BF$3,)-2)+2&amp;":$R"&amp;ROW()-1))),IF($AR766="本年累计",SUMIF($AR$6:$AR766,"本月合计",$R$6:$R765),INDEX(凭证录入!L:L,$AR766))))</f>
        <v>0</v>
      </c>
      <c r="S766" s="459" t="str">
        <f t="shared" ca="1" si="168"/>
        <v/>
      </c>
      <c r="T766" s="460" t="str">
        <f t="shared" ca="1" si="168"/>
        <v/>
      </c>
      <c r="U766" s="460" t="str">
        <f t="shared" ca="1" si="168"/>
        <v/>
      </c>
      <c r="V766" s="460" t="str">
        <f t="shared" ca="1" si="168"/>
        <v/>
      </c>
      <c r="W766" s="460" t="str">
        <f t="shared" ca="1" si="168"/>
        <v/>
      </c>
      <c r="X766" s="460" t="str">
        <f t="shared" ca="1" si="168"/>
        <v/>
      </c>
      <c r="Y766" s="460" t="str">
        <f t="shared" ca="1" si="168"/>
        <v/>
      </c>
      <c r="Z766" s="460" t="str">
        <f t="shared" ca="1" si="168"/>
        <v/>
      </c>
      <c r="AA766" s="461" t="str">
        <f t="shared" ca="1" si="168"/>
        <v/>
      </c>
      <c r="AB766" s="474" t="str">
        <f t="shared" ca="1" si="168"/>
        <v/>
      </c>
      <c r="AC766" s="475" t="str">
        <f t="shared" ca="1" si="168"/>
        <v/>
      </c>
      <c r="AD766" s="477" t="str">
        <f t="shared" ca="1" si="158"/>
        <v/>
      </c>
      <c r="AE766" s="478">
        <f t="shared" ca="1" si="159"/>
        <v>0</v>
      </c>
      <c r="AF766" s="459" t="str">
        <f t="shared" ca="1" si="166"/>
        <v/>
      </c>
      <c r="AG766" s="460" t="str">
        <f t="shared" ca="1" si="166"/>
        <v/>
      </c>
      <c r="AH766" s="460" t="str">
        <f t="shared" ca="1" si="166"/>
        <v/>
      </c>
      <c r="AI766" s="460" t="str">
        <f t="shared" ca="1" si="166"/>
        <v/>
      </c>
      <c r="AJ766" s="460" t="str">
        <f t="shared" ca="1" si="166"/>
        <v/>
      </c>
      <c r="AK766" s="460" t="str">
        <f t="shared" ca="1" si="166"/>
        <v/>
      </c>
      <c r="AL766" s="460" t="str">
        <f t="shared" ca="1" si="166"/>
        <v/>
      </c>
      <c r="AM766" s="460" t="str">
        <f t="shared" ca="1" si="166"/>
        <v/>
      </c>
      <c r="AN766" s="461" t="str">
        <f t="shared" ca="1" si="166"/>
        <v/>
      </c>
      <c r="AO766" s="474" t="str">
        <f t="shared" ca="1" si="166"/>
        <v/>
      </c>
      <c r="AP766" s="475" t="str">
        <f t="shared" ca="1" si="166"/>
        <v/>
      </c>
      <c r="AQ766" s="479" t="str">
        <f t="array" aca="1" ref="AQ766" ca="1">IF(ROW()-5&lt;=COUNTIF(科目编号,$AR$2),SMALL(IF(科目编号=$AR$2,ROW(科目编号),""),ROW()-5),"")</f>
        <v/>
      </c>
      <c r="AR766" s="480" t="str">
        <f ca="1">IF($BG$2=0,"",IF(AR765="本月合计","本年累计",IF(OR(ROW()=$AU$3,ROW()=$AV$3,ROW()=$AW$3,ROW()=$AX$3,ROW()=$AY$3,ROW()=$AZ$3,ROW()=$BA$3,ROW()=$BB$3,ROW()=$BC$3,ROW()=$BD$3,ROW()=$BE$3,ROW()=$BF$3),"本月合计",IF(ROW()&lt;7,$AQ$6,OFFSET($AQ$6,COUNT($AR$6:AR765),0)))))</f>
        <v/>
      </c>
    </row>
    <row r="767" spans="1:44">
      <c r="A767" s="469" t="str">
        <f ca="1">IFERROR(INDEX(凭证录入!A:A,$AR767),"")</f>
        <v/>
      </c>
      <c r="B767" s="469" t="str">
        <f ca="1">IFERROR(INDEX(凭证录入!B:B,$AR767),"")</f>
        <v/>
      </c>
      <c r="C767" s="470" t="str">
        <f ca="1">IFERROR(INDEX(凭证录入!G:G,$AR767),"")</f>
        <v/>
      </c>
      <c r="D767" s="471" t="str">
        <f ca="1">IFERROR(INDEX(凭证录入!F:F,$AR767),"")</f>
        <v/>
      </c>
      <c r="E767" s="472" t="str">
        <f ca="1">IFERROR(INDEX(凭证录入!H:H,$AR767),$AR767)</f>
        <v/>
      </c>
      <c r="F767" s="473">
        <f ca="1">IF(OR($BG$2=0,$AR767=""),,IF($AR767="本月合计",IF(ROW()=$BG$3,SUM($F$6:$F766),SUM(INDIRECT("$F$"&amp;OFFSET($AU$3,,MATCH(ROW(),$AU$3:$BF$3,)-2)+2&amp;":$E"&amp;ROW()-1))),IF($AR767="本年累计",SUMIF($AR$6:$AR767,"本月合计",$F$6:$F766),INDEX(凭证录入!K:K,$AR767))))</f>
        <v>0</v>
      </c>
      <c r="G767" s="459" t="str">
        <f t="shared" ca="1" si="167"/>
        <v/>
      </c>
      <c r="H767" s="460" t="str">
        <f t="shared" ca="1" si="167"/>
        <v/>
      </c>
      <c r="I767" s="460" t="str">
        <f t="shared" ca="1" si="167"/>
        <v/>
      </c>
      <c r="J767" s="460" t="str">
        <f t="shared" ca="1" si="167"/>
        <v/>
      </c>
      <c r="K767" s="460" t="str">
        <f t="shared" ca="1" si="167"/>
        <v/>
      </c>
      <c r="L767" s="460" t="str">
        <f t="shared" ca="1" si="167"/>
        <v/>
      </c>
      <c r="M767" s="460" t="str">
        <f t="shared" ca="1" si="167"/>
        <v/>
      </c>
      <c r="N767" s="460" t="str">
        <f t="shared" ca="1" si="167"/>
        <v/>
      </c>
      <c r="O767" s="461" t="str">
        <f t="shared" ca="1" si="167"/>
        <v/>
      </c>
      <c r="P767" s="474" t="str">
        <f t="shared" ca="1" si="167"/>
        <v/>
      </c>
      <c r="Q767" s="475" t="str">
        <f t="shared" ca="1" si="167"/>
        <v/>
      </c>
      <c r="R767" s="476">
        <f ca="1">IF(OR($BG$2=0,$AR767=""),,IF($AR767="本月合计",IF(ROW()=$BG$3,SUM($R$6:$R766),SUM(INDIRECT("$R$"&amp;OFFSET($AU$3,,MATCH(ROW(),$AU$3:$BF$3,)-2)+2&amp;":$R"&amp;ROW()-1))),IF($AR767="本年累计",SUMIF($AR$6:$AR767,"本月合计",$R$6:$R766),INDEX(凭证录入!L:L,$AR767))))</f>
        <v>0</v>
      </c>
      <c r="S767" s="459" t="str">
        <f t="shared" ca="1" si="168"/>
        <v/>
      </c>
      <c r="T767" s="460" t="str">
        <f t="shared" ca="1" si="168"/>
        <v/>
      </c>
      <c r="U767" s="460" t="str">
        <f t="shared" ca="1" si="168"/>
        <v/>
      </c>
      <c r="V767" s="460" t="str">
        <f t="shared" ca="1" si="168"/>
        <v/>
      </c>
      <c r="W767" s="460" t="str">
        <f t="shared" ca="1" si="168"/>
        <v/>
      </c>
      <c r="X767" s="460" t="str">
        <f t="shared" ca="1" si="168"/>
        <v/>
      </c>
      <c r="Y767" s="460" t="str">
        <f t="shared" ca="1" si="168"/>
        <v/>
      </c>
      <c r="Z767" s="460" t="str">
        <f t="shared" ca="1" si="168"/>
        <v/>
      </c>
      <c r="AA767" s="461" t="str">
        <f t="shared" ca="1" si="168"/>
        <v/>
      </c>
      <c r="AB767" s="474" t="str">
        <f t="shared" ca="1" si="168"/>
        <v/>
      </c>
      <c r="AC767" s="475" t="str">
        <f t="shared" ca="1" si="168"/>
        <v/>
      </c>
      <c r="AD767" s="477" t="str">
        <f t="shared" ca="1" si="158"/>
        <v/>
      </c>
      <c r="AE767" s="478">
        <f t="shared" ca="1" si="159"/>
        <v>0</v>
      </c>
      <c r="AF767" s="459" t="str">
        <f t="shared" ca="1" si="166"/>
        <v/>
      </c>
      <c r="AG767" s="460" t="str">
        <f t="shared" ca="1" si="166"/>
        <v/>
      </c>
      <c r="AH767" s="460" t="str">
        <f t="shared" ca="1" si="166"/>
        <v/>
      </c>
      <c r="AI767" s="460" t="str">
        <f t="shared" ca="1" si="166"/>
        <v/>
      </c>
      <c r="AJ767" s="460" t="str">
        <f t="shared" ca="1" si="166"/>
        <v/>
      </c>
      <c r="AK767" s="460" t="str">
        <f t="shared" ca="1" si="166"/>
        <v/>
      </c>
      <c r="AL767" s="460" t="str">
        <f t="shared" ca="1" si="166"/>
        <v/>
      </c>
      <c r="AM767" s="460" t="str">
        <f t="shared" ca="1" si="166"/>
        <v/>
      </c>
      <c r="AN767" s="461" t="str">
        <f t="shared" ca="1" si="166"/>
        <v/>
      </c>
      <c r="AO767" s="474" t="str">
        <f t="shared" ca="1" si="166"/>
        <v/>
      </c>
      <c r="AP767" s="475" t="str">
        <f t="shared" ca="1" si="166"/>
        <v/>
      </c>
      <c r="AQ767" s="479" t="str">
        <f t="array" aca="1" ref="AQ767" ca="1">IF(ROW()-5&lt;=COUNTIF(科目编号,$AR$2),SMALL(IF(科目编号=$AR$2,ROW(科目编号),""),ROW()-5),"")</f>
        <v/>
      </c>
      <c r="AR767" s="480" t="str">
        <f ca="1">IF($BG$2=0,"",IF(AR766="本月合计","本年累计",IF(OR(ROW()=$AU$3,ROW()=$AV$3,ROW()=$AW$3,ROW()=$AX$3,ROW()=$AY$3,ROW()=$AZ$3,ROW()=$BA$3,ROW()=$BB$3,ROW()=$BC$3,ROW()=$BD$3,ROW()=$BE$3,ROW()=$BF$3),"本月合计",IF(ROW()&lt;7,$AQ$6,OFFSET($AQ$6,COUNT($AR$6:AR766),0)))))</f>
        <v/>
      </c>
    </row>
    <row r="768" spans="1:44">
      <c r="A768" s="469" t="str">
        <f ca="1">IFERROR(INDEX(凭证录入!A:A,$AR768),"")</f>
        <v/>
      </c>
      <c r="B768" s="469" t="str">
        <f ca="1">IFERROR(INDEX(凭证录入!B:B,$AR768),"")</f>
        <v/>
      </c>
      <c r="C768" s="470" t="str">
        <f ca="1">IFERROR(INDEX(凭证录入!G:G,$AR768),"")</f>
        <v/>
      </c>
      <c r="D768" s="471" t="str">
        <f ca="1">IFERROR(INDEX(凭证录入!F:F,$AR768),"")</f>
        <v/>
      </c>
      <c r="E768" s="472" t="str">
        <f ca="1">IFERROR(INDEX(凭证录入!H:H,$AR768),$AR768)</f>
        <v/>
      </c>
      <c r="F768" s="473">
        <f ca="1">IF(OR($BG$2=0,$AR768=""),,IF($AR768="本月合计",IF(ROW()=$BG$3,SUM($F$6:$F767),SUM(INDIRECT("$F$"&amp;OFFSET($AU$3,,MATCH(ROW(),$AU$3:$BF$3,)-2)+2&amp;":$E"&amp;ROW()-1))),IF($AR768="本年累计",SUMIF($AR$6:$AR768,"本月合计",$F$6:$F767),INDEX(凭证录入!K:K,$AR768))))</f>
        <v>0</v>
      </c>
      <c r="G768" s="459" t="str">
        <f t="shared" ca="1" si="167"/>
        <v/>
      </c>
      <c r="H768" s="460" t="str">
        <f t="shared" ca="1" si="167"/>
        <v/>
      </c>
      <c r="I768" s="460" t="str">
        <f t="shared" ca="1" si="167"/>
        <v/>
      </c>
      <c r="J768" s="460" t="str">
        <f t="shared" ca="1" si="167"/>
        <v/>
      </c>
      <c r="K768" s="460" t="str">
        <f t="shared" ca="1" si="167"/>
        <v/>
      </c>
      <c r="L768" s="460" t="str">
        <f t="shared" ca="1" si="167"/>
        <v/>
      </c>
      <c r="M768" s="460" t="str">
        <f t="shared" ca="1" si="167"/>
        <v/>
      </c>
      <c r="N768" s="460" t="str">
        <f t="shared" ca="1" si="167"/>
        <v/>
      </c>
      <c r="O768" s="461" t="str">
        <f t="shared" ca="1" si="167"/>
        <v/>
      </c>
      <c r="P768" s="474" t="str">
        <f t="shared" ca="1" si="167"/>
        <v/>
      </c>
      <c r="Q768" s="475" t="str">
        <f t="shared" ca="1" si="167"/>
        <v/>
      </c>
      <c r="R768" s="476">
        <f ca="1">IF(OR($BG$2=0,$AR768=""),,IF($AR768="本月合计",IF(ROW()=$BG$3,SUM($R$6:$R767),SUM(INDIRECT("$R$"&amp;OFFSET($AU$3,,MATCH(ROW(),$AU$3:$BF$3,)-2)+2&amp;":$R"&amp;ROW()-1))),IF($AR768="本年累计",SUMIF($AR$6:$AR768,"本月合计",$R$6:$R767),INDEX(凭证录入!L:L,$AR768))))</f>
        <v>0</v>
      </c>
      <c r="S768" s="459" t="str">
        <f t="shared" ca="1" si="168"/>
        <v/>
      </c>
      <c r="T768" s="460" t="str">
        <f t="shared" ca="1" si="168"/>
        <v/>
      </c>
      <c r="U768" s="460" t="str">
        <f t="shared" ca="1" si="168"/>
        <v/>
      </c>
      <c r="V768" s="460" t="str">
        <f t="shared" ca="1" si="168"/>
        <v/>
      </c>
      <c r="W768" s="460" t="str">
        <f t="shared" ca="1" si="168"/>
        <v/>
      </c>
      <c r="X768" s="460" t="str">
        <f t="shared" ca="1" si="168"/>
        <v/>
      </c>
      <c r="Y768" s="460" t="str">
        <f t="shared" ca="1" si="168"/>
        <v/>
      </c>
      <c r="Z768" s="460" t="str">
        <f t="shared" ca="1" si="168"/>
        <v/>
      </c>
      <c r="AA768" s="461" t="str">
        <f t="shared" ca="1" si="168"/>
        <v/>
      </c>
      <c r="AB768" s="474" t="str">
        <f t="shared" ca="1" si="168"/>
        <v/>
      </c>
      <c r="AC768" s="475" t="str">
        <f t="shared" ca="1" si="168"/>
        <v/>
      </c>
      <c r="AD768" s="477" t="str">
        <f t="shared" ca="1" si="158"/>
        <v/>
      </c>
      <c r="AE768" s="478">
        <f t="shared" ca="1" si="159"/>
        <v>0</v>
      </c>
      <c r="AF768" s="459" t="str">
        <f t="shared" ca="1" si="166"/>
        <v/>
      </c>
      <c r="AG768" s="460" t="str">
        <f t="shared" ca="1" si="166"/>
        <v/>
      </c>
      <c r="AH768" s="460" t="str">
        <f t="shared" ca="1" si="166"/>
        <v/>
      </c>
      <c r="AI768" s="460" t="str">
        <f t="shared" ca="1" si="166"/>
        <v/>
      </c>
      <c r="AJ768" s="460" t="str">
        <f t="shared" ca="1" si="166"/>
        <v/>
      </c>
      <c r="AK768" s="460" t="str">
        <f t="shared" ca="1" si="166"/>
        <v/>
      </c>
      <c r="AL768" s="460" t="str">
        <f t="shared" ca="1" si="166"/>
        <v/>
      </c>
      <c r="AM768" s="460" t="str">
        <f t="shared" ca="1" si="166"/>
        <v/>
      </c>
      <c r="AN768" s="461" t="str">
        <f t="shared" ca="1" si="166"/>
        <v/>
      </c>
      <c r="AO768" s="474" t="str">
        <f t="shared" ca="1" si="166"/>
        <v/>
      </c>
      <c r="AP768" s="475" t="str">
        <f t="shared" ca="1" si="166"/>
        <v/>
      </c>
      <c r="AQ768" s="479" t="str">
        <f t="array" aca="1" ref="AQ768" ca="1">IF(ROW()-5&lt;=COUNTIF(科目编号,$AR$2),SMALL(IF(科目编号=$AR$2,ROW(科目编号),""),ROW()-5),"")</f>
        <v/>
      </c>
      <c r="AR768" s="480" t="str">
        <f ca="1">IF($BG$2=0,"",IF(AR767="本月合计","本年累计",IF(OR(ROW()=$AU$3,ROW()=$AV$3,ROW()=$AW$3,ROW()=$AX$3,ROW()=$AY$3,ROW()=$AZ$3,ROW()=$BA$3,ROW()=$BB$3,ROW()=$BC$3,ROW()=$BD$3,ROW()=$BE$3,ROW()=$BF$3),"本月合计",IF(ROW()&lt;7,$AQ$6,OFFSET($AQ$6,COUNT($AR$6:AR767),0)))))</f>
        <v/>
      </c>
    </row>
    <row r="769" spans="1:44">
      <c r="A769" s="469" t="str">
        <f ca="1">IFERROR(INDEX(凭证录入!A:A,$AR769),"")</f>
        <v/>
      </c>
      <c r="B769" s="469" t="str">
        <f ca="1">IFERROR(INDEX(凭证录入!B:B,$AR769),"")</f>
        <v/>
      </c>
      <c r="C769" s="470" t="str">
        <f ca="1">IFERROR(INDEX(凭证录入!G:G,$AR769),"")</f>
        <v/>
      </c>
      <c r="D769" s="471" t="str">
        <f ca="1">IFERROR(INDEX(凭证录入!F:F,$AR769),"")</f>
        <v/>
      </c>
      <c r="E769" s="472" t="str">
        <f ca="1">IFERROR(INDEX(凭证录入!H:H,$AR769),$AR769)</f>
        <v/>
      </c>
      <c r="F769" s="473">
        <f ca="1">IF(OR($BG$2=0,$AR769=""),,IF($AR769="本月合计",IF(ROW()=$BG$3,SUM($F$6:$F768),SUM(INDIRECT("$F$"&amp;OFFSET($AU$3,,MATCH(ROW(),$AU$3:$BF$3,)-2)+2&amp;":$E"&amp;ROW()-1))),IF($AR769="本年累计",SUMIF($AR$6:$AR769,"本月合计",$F$6:$F768),INDEX(凭证录入!K:K,$AR769))))</f>
        <v>0</v>
      </c>
      <c r="G769" s="459" t="str">
        <f t="shared" ca="1" si="167"/>
        <v/>
      </c>
      <c r="H769" s="460" t="str">
        <f t="shared" ca="1" si="167"/>
        <v/>
      </c>
      <c r="I769" s="460" t="str">
        <f t="shared" ca="1" si="167"/>
        <v/>
      </c>
      <c r="J769" s="460" t="str">
        <f t="shared" ca="1" si="167"/>
        <v/>
      </c>
      <c r="K769" s="460" t="str">
        <f t="shared" ca="1" si="167"/>
        <v/>
      </c>
      <c r="L769" s="460" t="str">
        <f t="shared" ca="1" si="167"/>
        <v/>
      </c>
      <c r="M769" s="460" t="str">
        <f t="shared" ca="1" si="167"/>
        <v/>
      </c>
      <c r="N769" s="460" t="str">
        <f t="shared" ca="1" si="167"/>
        <v/>
      </c>
      <c r="O769" s="461" t="str">
        <f t="shared" ca="1" si="167"/>
        <v/>
      </c>
      <c r="P769" s="474" t="str">
        <f t="shared" ca="1" si="167"/>
        <v/>
      </c>
      <c r="Q769" s="475" t="str">
        <f t="shared" ca="1" si="167"/>
        <v/>
      </c>
      <c r="R769" s="476">
        <f ca="1">IF(OR($BG$2=0,$AR769=""),,IF($AR769="本月合计",IF(ROW()=$BG$3,SUM($R$6:$R768),SUM(INDIRECT("$R$"&amp;OFFSET($AU$3,,MATCH(ROW(),$AU$3:$BF$3,)-2)+2&amp;":$R"&amp;ROW()-1))),IF($AR769="本年累计",SUMIF($AR$6:$AR769,"本月合计",$R$6:$R768),INDEX(凭证录入!L:L,$AR769))))</f>
        <v>0</v>
      </c>
      <c r="S769" s="459" t="str">
        <f t="shared" ca="1" si="168"/>
        <v/>
      </c>
      <c r="T769" s="460" t="str">
        <f t="shared" ca="1" si="168"/>
        <v/>
      </c>
      <c r="U769" s="460" t="str">
        <f t="shared" ca="1" si="168"/>
        <v/>
      </c>
      <c r="V769" s="460" t="str">
        <f t="shared" ca="1" si="168"/>
        <v/>
      </c>
      <c r="W769" s="460" t="str">
        <f t="shared" ca="1" si="168"/>
        <v/>
      </c>
      <c r="X769" s="460" t="str">
        <f t="shared" ca="1" si="168"/>
        <v/>
      </c>
      <c r="Y769" s="460" t="str">
        <f t="shared" ca="1" si="168"/>
        <v/>
      </c>
      <c r="Z769" s="460" t="str">
        <f t="shared" ca="1" si="168"/>
        <v/>
      </c>
      <c r="AA769" s="461" t="str">
        <f t="shared" ca="1" si="168"/>
        <v/>
      </c>
      <c r="AB769" s="474" t="str">
        <f t="shared" ca="1" si="168"/>
        <v/>
      </c>
      <c r="AC769" s="475" t="str">
        <f t="shared" ca="1" si="168"/>
        <v/>
      </c>
      <c r="AD769" s="477" t="str">
        <f t="shared" ca="1" si="158"/>
        <v/>
      </c>
      <c r="AE769" s="478">
        <f t="shared" ca="1" si="159"/>
        <v>0</v>
      </c>
      <c r="AF769" s="459" t="str">
        <f t="shared" ca="1" si="166"/>
        <v/>
      </c>
      <c r="AG769" s="460" t="str">
        <f t="shared" ca="1" si="166"/>
        <v/>
      </c>
      <c r="AH769" s="460" t="str">
        <f t="shared" ca="1" si="166"/>
        <v/>
      </c>
      <c r="AI769" s="460" t="str">
        <f t="shared" ca="1" si="166"/>
        <v/>
      </c>
      <c r="AJ769" s="460" t="str">
        <f t="shared" ca="1" si="166"/>
        <v/>
      </c>
      <c r="AK769" s="460" t="str">
        <f t="shared" ca="1" si="166"/>
        <v/>
      </c>
      <c r="AL769" s="460" t="str">
        <f t="shared" ca="1" si="166"/>
        <v/>
      </c>
      <c r="AM769" s="460" t="str">
        <f t="shared" ca="1" si="166"/>
        <v/>
      </c>
      <c r="AN769" s="461" t="str">
        <f t="shared" ca="1" si="166"/>
        <v/>
      </c>
      <c r="AO769" s="474" t="str">
        <f t="shared" ca="1" si="166"/>
        <v/>
      </c>
      <c r="AP769" s="475" t="str">
        <f t="shared" ca="1" si="166"/>
        <v/>
      </c>
      <c r="AQ769" s="479" t="str">
        <f t="array" aca="1" ref="AQ769" ca="1">IF(ROW()-5&lt;=COUNTIF(科目编号,$AR$2),SMALL(IF(科目编号=$AR$2,ROW(科目编号),""),ROW()-5),"")</f>
        <v/>
      </c>
      <c r="AR769" s="480" t="str">
        <f ca="1">IF($BG$2=0,"",IF(AR768="本月合计","本年累计",IF(OR(ROW()=$AU$3,ROW()=$AV$3,ROW()=$AW$3,ROW()=$AX$3,ROW()=$AY$3,ROW()=$AZ$3,ROW()=$BA$3,ROW()=$BB$3,ROW()=$BC$3,ROW()=$BD$3,ROW()=$BE$3,ROW()=$BF$3),"本月合计",IF(ROW()&lt;7,$AQ$6,OFFSET($AQ$6,COUNT($AR$6:AR768),0)))))</f>
        <v/>
      </c>
    </row>
    <row r="770" spans="1:44">
      <c r="A770" s="469" t="str">
        <f ca="1">IFERROR(INDEX(凭证录入!A:A,$AR770),"")</f>
        <v/>
      </c>
      <c r="B770" s="469" t="str">
        <f ca="1">IFERROR(INDEX(凭证录入!B:B,$AR770),"")</f>
        <v/>
      </c>
      <c r="C770" s="470" t="str">
        <f ca="1">IFERROR(INDEX(凭证录入!G:G,$AR770),"")</f>
        <v/>
      </c>
      <c r="D770" s="471" t="str">
        <f ca="1">IFERROR(INDEX(凭证录入!F:F,$AR770),"")</f>
        <v/>
      </c>
      <c r="E770" s="472" t="str">
        <f ca="1">IFERROR(INDEX(凭证录入!H:H,$AR770),$AR770)</f>
        <v/>
      </c>
      <c r="F770" s="473">
        <f ca="1">IF(OR($BG$2=0,$AR770=""),,IF($AR770="本月合计",IF(ROW()=$BG$3,SUM($F$6:$F769),SUM(INDIRECT("$F$"&amp;OFFSET($AU$3,,MATCH(ROW(),$AU$3:$BF$3,)-2)+2&amp;":$E"&amp;ROW()-1))),IF($AR770="本年累计",SUMIF($AR$6:$AR770,"本月合计",$F$6:$F769),INDEX(凭证录入!K:K,$AR770))))</f>
        <v>0</v>
      </c>
      <c r="G770" s="459" t="str">
        <f t="shared" ca="1" si="167"/>
        <v/>
      </c>
      <c r="H770" s="460" t="str">
        <f t="shared" ca="1" si="167"/>
        <v/>
      </c>
      <c r="I770" s="460" t="str">
        <f t="shared" ca="1" si="167"/>
        <v/>
      </c>
      <c r="J770" s="460" t="str">
        <f t="shared" ca="1" si="167"/>
        <v/>
      </c>
      <c r="K770" s="460" t="str">
        <f t="shared" ca="1" si="167"/>
        <v/>
      </c>
      <c r="L770" s="460" t="str">
        <f t="shared" ca="1" si="167"/>
        <v/>
      </c>
      <c r="M770" s="460" t="str">
        <f t="shared" ca="1" si="167"/>
        <v/>
      </c>
      <c r="N770" s="460" t="str">
        <f t="shared" ca="1" si="167"/>
        <v/>
      </c>
      <c r="O770" s="461" t="str">
        <f t="shared" ca="1" si="167"/>
        <v/>
      </c>
      <c r="P770" s="474" t="str">
        <f t="shared" ca="1" si="167"/>
        <v/>
      </c>
      <c r="Q770" s="475" t="str">
        <f t="shared" ca="1" si="167"/>
        <v/>
      </c>
      <c r="R770" s="476">
        <f ca="1">IF(OR($BG$2=0,$AR770=""),,IF($AR770="本月合计",IF(ROW()=$BG$3,SUM($R$6:$R769),SUM(INDIRECT("$R$"&amp;OFFSET($AU$3,,MATCH(ROW(),$AU$3:$BF$3,)-2)+2&amp;":$R"&amp;ROW()-1))),IF($AR770="本年累计",SUMIF($AR$6:$AR770,"本月合计",$R$6:$R769),INDEX(凭证录入!L:L,$AR770))))</f>
        <v>0</v>
      </c>
      <c r="S770" s="459" t="str">
        <f t="shared" ca="1" si="168"/>
        <v/>
      </c>
      <c r="T770" s="460" t="str">
        <f t="shared" ca="1" si="168"/>
        <v/>
      </c>
      <c r="U770" s="460" t="str">
        <f t="shared" ca="1" si="168"/>
        <v/>
      </c>
      <c r="V770" s="460" t="str">
        <f t="shared" ca="1" si="168"/>
        <v/>
      </c>
      <c r="W770" s="460" t="str">
        <f t="shared" ca="1" si="168"/>
        <v/>
      </c>
      <c r="X770" s="460" t="str">
        <f t="shared" ca="1" si="168"/>
        <v/>
      </c>
      <c r="Y770" s="460" t="str">
        <f t="shared" ca="1" si="168"/>
        <v/>
      </c>
      <c r="Z770" s="460" t="str">
        <f t="shared" ca="1" si="168"/>
        <v/>
      </c>
      <c r="AA770" s="461" t="str">
        <f t="shared" ca="1" si="168"/>
        <v/>
      </c>
      <c r="AB770" s="474" t="str">
        <f t="shared" ca="1" si="168"/>
        <v/>
      </c>
      <c r="AC770" s="475" t="str">
        <f t="shared" ca="1" si="168"/>
        <v/>
      </c>
      <c r="AD770" s="477" t="str">
        <f t="shared" ca="1" si="158"/>
        <v/>
      </c>
      <c r="AE770" s="478">
        <f t="shared" ca="1" si="159"/>
        <v>0</v>
      </c>
      <c r="AF770" s="459" t="str">
        <f t="shared" ca="1" si="166"/>
        <v/>
      </c>
      <c r="AG770" s="460" t="str">
        <f t="shared" ca="1" si="166"/>
        <v/>
      </c>
      <c r="AH770" s="460" t="str">
        <f t="shared" ca="1" si="166"/>
        <v/>
      </c>
      <c r="AI770" s="460" t="str">
        <f t="shared" ca="1" si="166"/>
        <v/>
      </c>
      <c r="AJ770" s="460" t="str">
        <f t="shared" ca="1" si="166"/>
        <v/>
      </c>
      <c r="AK770" s="460" t="str">
        <f t="shared" ca="1" si="166"/>
        <v/>
      </c>
      <c r="AL770" s="460" t="str">
        <f t="shared" ca="1" si="166"/>
        <v/>
      </c>
      <c r="AM770" s="460" t="str">
        <f t="shared" ca="1" si="166"/>
        <v/>
      </c>
      <c r="AN770" s="461" t="str">
        <f t="shared" ca="1" si="166"/>
        <v/>
      </c>
      <c r="AO770" s="474" t="str">
        <f t="shared" ca="1" si="166"/>
        <v/>
      </c>
      <c r="AP770" s="475" t="str">
        <f t="shared" ca="1" si="166"/>
        <v/>
      </c>
      <c r="AQ770" s="479" t="str">
        <f t="array" aca="1" ref="AQ770" ca="1">IF(ROW()-5&lt;=COUNTIF(科目编号,$AR$2),SMALL(IF(科目编号=$AR$2,ROW(科目编号),""),ROW()-5),"")</f>
        <v/>
      </c>
      <c r="AR770" s="480" t="str">
        <f ca="1">IF($BG$2=0,"",IF(AR769="本月合计","本年累计",IF(OR(ROW()=$AU$3,ROW()=$AV$3,ROW()=$AW$3,ROW()=$AX$3,ROW()=$AY$3,ROW()=$AZ$3,ROW()=$BA$3,ROW()=$BB$3,ROW()=$BC$3,ROW()=$BD$3,ROW()=$BE$3,ROW()=$BF$3),"本月合计",IF(ROW()&lt;7,$AQ$6,OFFSET($AQ$6,COUNT($AR$6:AR769),0)))))</f>
        <v/>
      </c>
    </row>
    <row r="771" spans="1:44">
      <c r="A771" s="469" t="str">
        <f ca="1">IFERROR(INDEX(凭证录入!A:A,$AR771),"")</f>
        <v/>
      </c>
      <c r="B771" s="469" t="str">
        <f ca="1">IFERROR(INDEX(凭证录入!B:B,$AR771),"")</f>
        <v/>
      </c>
      <c r="C771" s="470" t="str">
        <f ca="1">IFERROR(INDEX(凭证录入!G:G,$AR771),"")</f>
        <v/>
      </c>
      <c r="D771" s="471" t="str">
        <f ca="1">IFERROR(INDEX(凭证录入!F:F,$AR771),"")</f>
        <v/>
      </c>
      <c r="E771" s="472" t="str">
        <f ca="1">IFERROR(INDEX(凭证录入!H:H,$AR771),$AR771)</f>
        <v/>
      </c>
      <c r="F771" s="473">
        <f ca="1">IF(OR($BG$2=0,$AR771=""),,IF($AR771="本月合计",IF(ROW()=$BG$3,SUM($F$6:$F770),SUM(INDIRECT("$F$"&amp;OFFSET($AU$3,,MATCH(ROW(),$AU$3:$BF$3,)-2)+2&amp;":$E"&amp;ROW()-1))),IF($AR771="本年累计",SUMIF($AR$6:$AR771,"本月合计",$F$6:$F770),INDEX(凭证录入!K:K,$AR771))))</f>
        <v>0</v>
      </c>
      <c r="G771" s="459" t="str">
        <f t="shared" ca="1" si="167"/>
        <v/>
      </c>
      <c r="H771" s="460" t="str">
        <f t="shared" ca="1" si="167"/>
        <v/>
      </c>
      <c r="I771" s="460" t="str">
        <f t="shared" ca="1" si="167"/>
        <v/>
      </c>
      <c r="J771" s="460" t="str">
        <f t="shared" ca="1" si="167"/>
        <v/>
      </c>
      <c r="K771" s="460" t="str">
        <f t="shared" ca="1" si="167"/>
        <v/>
      </c>
      <c r="L771" s="460" t="str">
        <f t="shared" ca="1" si="167"/>
        <v/>
      </c>
      <c r="M771" s="460" t="str">
        <f t="shared" ca="1" si="167"/>
        <v/>
      </c>
      <c r="N771" s="460" t="str">
        <f t="shared" ca="1" si="167"/>
        <v/>
      </c>
      <c r="O771" s="461" t="str">
        <f t="shared" ca="1" si="167"/>
        <v/>
      </c>
      <c r="P771" s="474" t="str">
        <f t="shared" ca="1" si="167"/>
        <v/>
      </c>
      <c r="Q771" s="475" t="str">
        <f t="shared" ca="1" si="167"/>
        <v/>
      </c>
      <c r="R771" s="476">
        <f ca="1">IF(OR($BG$2=0,$AR771=""),,IF($AR771="本月合计",IF(ROW()=$BG$3,SUM($R$6:$R770),SUM(INDIRECT("$R$"&amp;OFFSET($AU$3,,MATCH(ROW(),$AU$3:$BF$3,)-2)+2&amp;":$R"&amp;ROW()-1))),IF($AR771="本年累计",SUMIF($AR$6:$AR771,"本月合计",$R$6:$R770),INDEX(凭证录入!L:L,$AR771))))</f>
        <v>0</v>
      </c>
      <c r="S771" s="459" t="str">
        <f t="shared" ca="1" si="168"/>
        <v/>
      </c>
      <c r="T771" s="460" t="str">
        <f t="shared" ca="1" si="168"/>
        <v/>
      </c>
      <c r="U771" s="460" t="str">
        <f t="shared" ca="1" si="168"/>
        <v/>
      </c>
      <c r="V771" s="460" t="str">
        <f t="shared" ca="1" si="168"/>
        <v/>
      </c>
      <c r="W771" s="460" t="str">
        <f t="shared" ca="1" si="168"/>
        <v/>
      </c>
      <c r="X771" s="460" t="str">
        <f t="shared" ca="1" si="168"/>
        <v/>
      </c>
      <c r="Y771" s="460" t="str">
        <f t="shared" ca="1" si="168"/>
        <v/>
      </c>
      <c r="Z771" s="460" t="str">
        <f t="shared" ca="1" si="168"/>
        <v/>
      </c>
      <c r="AA771" s="461" t="str">
        <f t="shared" ca="1" si="168"/>
        <v/>
      </c>
      <c r="AB771" s="474" t="str">
        <f t="shared" ca="1" si="168"/>
        <v/>
      </c>
      <c r="AC771" s="475" t="str">
        <f t="shared" ca="1" si="168"/>
        <v/>
      </c>
      <c r="AD771" s="477" t="str">
        <f t="shared" ca="1" si="158"/>
        <v/>
      </c>
      <c r="AE771" s="478">
        <f t="shared" ca="1" si="159"/>
        <v>0</v>
      </c>
      <c r="AF771" s="459" t="str">
        <f t="shared" ca="1" si="166"/>
        <v/>
      </c>
      <c r="AG771" s="460" t="str">
        <f t="shared" ca="1" si="166"/>
        <v/>
      </c>
      <c r="AH771" s="460" t="str">
        <f t="shared" ca="1" si="166"/>
        <v/>
      </c>
      <c r="AI771" s="460" t="str">
        <f t="shared" ca="1" si="166"/>
        <v/>
      </c>
      <c r="AJ771" s="460" t="str">
        <f t="shared" ca="1" si="166"/>
        <v/>
      </c>
      <c r="AK771" s="460" t="str">
        <f t="shared" ca="1" si="166"/>
        <v/>
      </c>
      <c r="AL771" s="460" t="str">
        <f t="shared" ca="1" si="166"/>
        <v/>
      </c>
      <c r="AM771" s="460" t="str">
        <f t="shared" ca="1" si="166"/>
        <v/>
      </c>
      <c r="AN771" s="461" t="str">
        <f t="shared" ca="1" si="166"/>
        <v/>
      </c>
      <c r="AO771" s="474" t="str">
        <f t="shared" ca="1" si="166"/>
        <v/>
      </c>
      <c r="AP771" s="475" t="str">
        <f t="shared" ca="1" si="166"/>
        <v/>
      </c>
      <c r="AQ771" s="479" t="str">
        <f t="array" aca="1" ref="AQ771" ca="1">IF(ROW()-5&lt;=COUNTIF(科目编号,$AR$2),SMALL(IF(科目编号=$AR$2,ROW(科目编号),""),ROW()-5),"")</f>
        <v/>
      </c>
      <c r="AR771" s="480" t="str">
        <f ca="1">IF($BG$2=0,"",IF(AR770="本月合计","本年累计",IF(OR(ROW()=$AU$3,ROW()=$AV$3,ROW()=$AW$3,ROW()=$AX$3,ROW()=$AY$3,ROW()=$AZ$3,ROW()=$BA$3,ROW()=$BB$3,ROW()=$BC$3,ROW()=$BD$3,ROW()=$BE$3,ROW()=$BF$3),"本月合计",IF(ROW()&lt;7,$AQ$6,OFFSET($AQ$6,COUNT($AR$6:AR770),0)))))</f>
        <v/>
      </c>
    </row>
    <row r="772" spans="1:44">
      <c r="A772" s="469" t="str">
        <f ca="1">IFERROR(INDEX(凭证录入!A:A,$AR772),"")</f>
        <v/>
      </c>
      <c r="B772" s="469" t="str">
        <f ca="1">IFERROR(INDEX(凭证录入!B:B,$AR772),"")</f>
        <v/>
      </c>
      <c r="C772" s="470" t="str">
        <f ca="1">IFERROR(INDEX(凭证录入!G:G,$AR772),"")</f>
        <v/>
      </c>
      <c r="D772" s="471" t="str">
        <f ca="1">IFERROR(INDEX(凭证录入!F:F,$AR772),"")</f>
        <v/>
      </c>
      <c r="E772" s="472" t="str">
        <f ca="1">IFERROR(INDEX(凭证录入!H:H,$AR772),$AR772)</f>
        <v/>
      </c>
      <c r="F772" s="473">
        <f ca="1">IF(OR($BG$2=0,$AR772=""),,IF($AR772="本月合计",IF(ROW()=$BG$3,SUM($F$6:$F771),SUM(INDIRECT("$F$"&amp;OFFSET($AU$3,,MATCH(ROW(),$AU$3:$BF$3,)-2)+2&amp;":$E"&amp;ROW()-1))),IF($AR772="本年累计",SUMIF($AR$6:$AR772,"本月合计",$F$6:$F771),INDEX(凭证录入!K:K,$AR772))))</f>
        <v>0</v>
      </c>
      <c r="G772" s="459" t="str">
        <f t="shared" ca="1" si="167"/>
        <v/>
      </c>
      <c r="H772" s="460" t="str">
        <f t="shared" ca="1" si="167"/>
        <v/>
      </c>
      <c r="I772" s="460" t="str">
        <f t="shared" ca="1" si="167"/>
        <v/>
      </c>
      <c r="J772" s="460" t="str">
        <f t="shared" ca="1" si="167"/>
        <v/>
      </c>
      <c r="K772" s="460" t="str">
        <f t="shared" ca="1" si="167"/>
        <v/>
      </c>
      <c r="L772" s="460" t="str">
        <f t="shared" ca="1" si="167"/>
        <v/>
      </c>
      <c r="M772" s="460" t="str">
        <f t="shared" ca="1" si="167"/>
        <v/>
      </c>
      <c r="N772" s="460" t="str">
        <f t="shared" ca="1" si="167"/>
        <v/>
      </c>
      <c r="O772" s="461" t="str">
        <f t="shared" ca="1" si="167"/>
        <v/>
      </c>
      <c r="P772" s="474" t="str">
        <f t="shared" ca="1" si="167"/>
        <v/>
      </c>
      <c r="Q772" s="475" t="str">
        <f t="shared" ca="1" si="167"/>
        <v/>
      </c>
      <c r="R772" s="476">
        <f ca="1">IF(OR($BG$2=0,$AR772=""),,IF($AR772="本月合计",IF(ROW()=$BG$3,SUM($R$6:$R771),SUM(INDIRECT("$R$"&amp;OFFSET($AU$3,,MATCH(ROW(),$AU$3:$BF$3,)-2)+2&amp;":$R"&amp;ROW()-1))),IF($AR772="本年累计",SUMIF($AR$6:$AR772,"本月合计",$R$6:$R771),INDEX(凭证录入!L:L,$AR772))))</f>
        <v>0</v>
      </c>
      <c r="S772" s="459" t="str">
        <f t="shared" ca="1" si="168"/>
        <v/>
      </c>
      <c r="T772" s="460" t="str">
        <f t="shared" ca="1" si="168"/>
        <v/>
      </c>
      <c r="U772" s="460" t="str">
        <f t="shared" ca="1" si="168"/>
        <v/>
      </c>
      <c r="V772" s="460" t="str">
        <f t="shared" ca="1" si="168"/>
        <v/>
      </c>
      <c r="W772" s="460" t="str">
        <f t="shared" ca="1" si="168"/>
        <v/>
      </c>
      <c r="X772" s="460" t="str">
        <f t="shared" ca="1" si="168"/>
        <v/>
      </c>
      <c r="Y772" s="460" t="str">
        <f t="shared" ca="1" si="168"/>
        <v/>
      </c>
      <c r="Z772" s="460" t="str">
        <f t="shared" ca="1" si="168"/>
        <v/>
      </c>
      <c r="AA772" s="461" t="str">
        <f t="shared" ca="1" si="168"/>
        <v/>
      </c>
      <c r="AB772" s="474" t="str">
        <f t="shared" ca="1" si="168"/>
        <v/>
      </c>
      <c r="AC772" s="475" t="str">
        <f t="shared" ca="1" si="168"/>
        <v/>
      </c>
      <c r="AD772" s="477" t="str">
        <f t="shared" ca="1" si="158"/>
        <v/>
      </c>
      <c r="AE772" s="478">
        <f t="shared" ca="1" si="159"/>
        <v>0</v>
      </c>
      <c r="AF772" s="459" t="str">
        <f t="shared" ca="1" si="166"/>
        <v/>
      </c>
      <c r="AG772" s="460" t="str">
        <f t="shared" ca="1" si="166"/>
        <v/>
      </c>
      <c r="AH772" s="460" t="str">
        <f t="shared" ca="1" si="166"/>
        <v/>
      </c>
      <c r="AI772" s="460" t="str">
        <f t="shared" ca="1" si="166"/>
        <v/>
      </c>
      <c r="AJ772" s="460" t="str">
        <f t="shared" ca="1" si="166"/>
        <v/>
      </c>
      <c r="AK772" s="460" t="str">
        <f t="shared" ca="1" si="166"/>
        <v/>
      </c>
      <c r="AL772" s="460" t="str">
        <f t="shared" ca="1" si="166"/>
        <v/>
      </c>
      <c r="AM772" s="460" t="str">
        <f t="shared" ca="1" si="166"/>
        <v/>
      </c>
      <c r="AN772" s="461" t="str">
        <f t="shared" ca="1" si="166"/>
        <v/>
      </c>
      <c r="AO772" s="474" t="str">
        <f t="shared" ca="1" si="166"/>
        <v/>
      </c>
      <c r="AP772" s="475" t="str">
        <f t="shared" ca="1" si="166"/>
        <v/>
      </c>
      <c r="AQ772" s="479" t="str">
        <f t="array" aca="1" ref="AQ772" ca="1">IF(ROW()-5&lt;=COUNTIF(科目编号,$AR$2),SMALL(IF(科目编号=$AR$2,ROW(科目编号),""),ROW()-5),"")</f>
        <v/>
      </c>
      <c r="AR772" s="480" t="str">
        <f ca="1">IF($BG$2=0,"",IF(AR771="本月合计","本年累计",IF(OR(ROW()=$AU$3,ROW()=$AV$3,ROW()=$AW$3,ROW()=$AX$3,ROW()=$AY$3,ROW()=$AZ$3,ROW()=$BA$3,ROW()=$BB$3,ROW()=$BC$3,ROW()=$BD$3,ROW()=$BE$3,ROW()=$BF$3),"本月合计",IF(ROW()&lt;7,$AQ$6,OFFSET($AQ$6,COUNT($AR$6:AR771),0)))))</f>
        <v/>
      </c>
    </row>
    <row r="773" spans="1:44">
      <c r="A773" s="469" t="str">
        <f ca="1">IFERROR(INDEX(凭证录入!A:A,$AR773),"")</f>
        <v/>
      </c>
      <c r="B773" s="469" t="str">
        <f ca="1">IFERROR(INDEX(凭证录入!B:B,$AR773),"")</f>
        <v/>
      </c>
      <c r="C773" s="470" t="str">
        <f ca="1">IFERROR(INDEX(凭证录入!G:G,$AR773),"")</f>
        <v/>
      </c>
      <c r="D773" s="471" t="str">
        <f ca="1">IFERROR(INDEX(凭证录入!F:F,$AR773),"")</f>
        <v/>
      </c>
      <c r="E773" s="472" t="str">
        <f ca="1">IFERROR(INDEX(凭证录入!H:H,$AR773),$AR773)</f>
        <v/>
      </c>
      <c r="F773" s="473">
        <f ca="1">IF(OR($BG$2=0,$AR773=""),,IF($AR773="本月合计",IF(ROW()=$BG$3,SUM($F$6:$F772),SUM(INDIRECT("$F$"&amp;OFFSET($AU$3,,MATCH(ROW(),$AU$3:$BF$3,)-2)+2&amp;":$E"&amp;ROW()-1))),IF($AR773="本年累计",SUMIF($AR$6:$AR773,"本月合计",$F$6:$F772),INDEX(凭证录入!K:K,$AR773))))</f>
        <v>0</v>
      </c>
      <c r="G773" s="459" t="str">
        <f t="shared" ca="1" si="167"/>
        <v/>
      </c>
      <c r="H773" s="460" t="str">
        <f t="shared" ca="1" si="167"/>
        <v/>
      </c>
      <c r="I773" s="460" t="str">
        <f t="shared" ca="1" si="167"/>
        <v/>
      </c>
      <c r="J773" s="460" t="str">
        <f t="shared" ca="1" si="167"/>
        <v/>
      </c>
      <c r="K773" s="460" t="str">
        <f t="shared" ca="1" si="167"/>
        <v/>
      </c>
      <c r="L773" s="460" t="str">
        <f t="shared" ca="1" si="167"/>
        <v/>
      </c>
      <c r="M773" s="460" t="str">
        <f t="shared" ca="1" si="167"/>
        <v/>
      </c>
      <c r="N773" s="460" t="str">
        <f t="shared" ca="1" si="167"/>
        <v/>
      </c>
      <c r="O773" s="461" t="str">
        <f t="shared" ca="1" si="167"/>
        <v/>
      </c>
      <c r="P773" s="474" t="str">
        <f t="shared" ca="1" si="167"/>
        <v/>
      </c>
      <c r="Q773" s="475" t="str">
        <f t="shared" ca="1" si="167"/>
        <v/>
      </c>
      <c r="R773" s="476">
        <f ca="1">IF(OR($BG$2=0,$AR773=""),,IF($AR773="本月合计",IF(ROW()=$BG$3,SUM($R$6:$R772),SUM(INDIRECT("$R$"&amp;OFFSET($AU$3,,MATCH(ROW(),$AU$3:$BF$3,)-2)+2&amp;":$R"&amp;ROW()-1))),IF($AR773="本年累计",SUMIF($AR$6:$AR773,"本月合计",$R$6:$R772),INDEX(凭证录入!L:L,$AR773))))</f>
        <v>0</v>
      </c>
      <c r="S773" s="459" t="str">
        <f t="shared" ca="1" si="168"/>
        <v/>
      </c>
      <c r="T773" s="460" t="str">
        <f t="shared" ca="1" si="168"/>
        <v/>
      </c>
      <c r="U773" s="460" t="str">
        <f t="shared" ca="1" si="168"/>
        <v/>
      </c>
      <c r="V773" s="460" t="str">
        <f t="shared" ca="1" si="168"/>
        <v/>
      </c>
      <c r="W773" s="460" t="str">
        <f t="shared" ca="1" si="168"/>
        <v/>
      </c>
      <c r="X773" s="460" t="str">
        <f t="shared" ca="1" si="168"/>
        <v/>
      </c>
      <c r="Y773" s="460" t="str">
        <f t="shared" ca="1" si="168"/>
        <v/>
      </c>
      <c r="Z773" s="460" t="str">
        <f t="shared" ca="1" si="168"/>
        <v/>
      </c>
      <c r="AA773" s="461" t="str">
        <f t="shared" ca="1" si="168"/>
        <v/>
      </c>
      <c r="AB773" s="474" t="str">
        <f t="shared" ca="1" si="168"/>
        <v/>
      </c>
      <c r="AC773" s="475" t="str">
        <f t="shared" ca="1" si="168"/>
        <v/>
      </c>
      <c r="AD773" s="477" t="str">
        <f t="shared" ca="1" si="158"/>
        <v/>
      </c>
      <c r="AE773" s="478">
        <f t="shared" ca="1" si="159"/>
        <v>0</v>
      </c>
      <c r="AF773" s="459" t="str">
        <f t="shared" ref="AF773:AP788" ca="1" si="169">LEFT(RIGHT(TEXT($AE773/1%," ￥0; ￥-0;"),43-COLUMN()))</f>
        <v/>
      </c>
      <c r="AG773" s="460" t="str">
        <f t="shared" ca="1" si="169"/>
        <v/>
      </c>
      <c r="AH773" s="460" t="str">
        <f t="shared" ca="1" si="169"/>
        <v/>
      </c>
      <c r="AI773" s="460" t="str">
        <f t="shared" ca="1" si="169"/>
        <v/>
      </c>
      <c r="AJ773" s="460" t="str">
        <f t="shared" ca="1" si="169"/>
        <v/>
      </c>
      <c r="AK773" s="460" t="str">
        <f t="shared" ca="1" si="169"/>
        <v/>
      </c>
      <c r="AL773" s="460" t="str">
        <f t="shared" ca="1" si="169"/>
        <v/>
      </c>
      <c r="AM773" s="460" t="str">
        <f t="shared" ca="1" si="169"/>
        <v/>
      </c>
      <c r="AN773" s="461" t="str">
        <f t="shared" ca="1" si="169"/>
        <v/>
      </c>
      <c r="AO773" s="474" t="str">
        <f t="shared" ca="1" si="169"/>
        <v/>
      </c>
      <c r="AP773" s="475" t="str">
        <f t="shared" ca="1" si="169"/>
        <v/>
      </c>
      <c r="AQ773" s="479" t="str">
        <f t="array" aca="1" ref="AQ773" ca="1">IF(ROW()-5&lt;=COUNTIF(科目编号,$AR$2),SMALL(IF(科目编号=$AR$2,ROW(科目编号),""),ROW()-5),"")</f>
        <v/>
      </c>
      <c r="AR773" s="480" t="str">
        <f ca="1">IF($BG$2=0,"",IF(AR772="本月合计","本年累计",IF(OR(ROW()=$AU$3,ROW()=$AV$3,ROW()=$AW$3,ROW()=$AX$3,ROW()=$AY$3,ROW()=$AZ$3,ROW()=$BA$3,ROW()=$BB$3,ROW()=$BC$3,ROW()=$BD$3,ROW()=$BE$3,ROW()=$BF$3),"本月合计",IF(ROW()&lt;7,$AQ$6,OFFSET($AQ$6,COUNT($AR$6:AR772),0)))))</f>
        <v/>
      </c>
    </row>
    <row r="774" spans="1:44">
      <c r="A774" s="469" t="str">
        <f ca="1">IFERROR(INDEX(凭证录入!A:A,$AR774),"")</f>
        <v/>
      </c>
      <c r="B774" s="469" t="str">
        <f ca="1">IFERROR(INDEX(凭证录入!B:B,$AR774),"")</f>
        <v/>
      </c>
      <c r="C774" s="470" t="str">
        <f ca="1">IFERROR(INDEX(凭证录入!G:G,$AR774),"")</f>
        <v/>
      </c>
      <c r="D774" s="471" t="str">
        <f ca="1">IFERROR(INDEX(凭证录入!F:F,$AR774),"")</f>
        <v/>
      </c>
      <c r="E774" s="472" t="str">
        <f ca="1">IFERROR(INDEX(凭证录入!H:H,$AR774),$AR774)</f>
        <v/>
      </c>
      <c r="F774" s="473">
        <f ca="1">IF(OR($BG$2=0,$AR774=""),,IF($AR774="本月合计",IF(ROW()=$BG$3,SUM($F$6:$F773),SUM(INDIRECT("$F$"&amp;OFFSET($AU$3,,MATCH(ROW(),$AU$3:$BF$3,)-2)+2&amp;":$E"&amp;ROW()-1))),IF($AR774="本年累计",SUMIF($AR$6:$AR774,"本月合计",$F$6:$F773),INDEX(凭证录入!K:K,$AR774))))</f>
        <v>0</v>
      </c>
      <c r="G774" s="459" t="str">
        <f t="shared" ref="G774:Q789" ca="1" si="170">LEFT(RIGHT(TEXT($F774/1%," ￥0; ￥-0;"),18-COLUMN()))</f>
        <v/>
      </c>
      <c r="H774" s="460" t="str">
        <f t="shared" ca="1" si="170"/>
        <v/>
      </c>
      <c r="I774" s="460" t="str">
        <f t="shared" ca="1" si="170"/>
        <v/>
      </c>
      <c r="J774" s="460" t="str">
        <f t="shared" ca="1" si="170"/>
        <v/>
      </c>
      <c r="K774" s="460" t="str">
        <f t="shared" ca="1" si="170"/>
        <v/>
      </c>
      <c r="L774" s="460" t="str">
        <f t="shared" ca="1" si="170"/>
        <v/>
      </c>
      <c r="M774" s="460" t="str">
        <f t="shared" ca="1" si="170"/>
        <v/>
      </c>
      <c r="N774" s="460" t="str">
        <f t="shared" ca="1" si="170"/>
        <v/>
      </c>
      <c r="O774" s="461" t="str">
        <f t="shared" ca="1" si="170"/>
        <v/>
      </c>
      <c r="P774" s="474" t="str">
        <f t="shared" ca="1" si="170"/>
        <v/>
      </c>
      <c r="Q774" s="475" t="str">
        <f t="shared" ca="1" si="170"/>
        <v/>
      </c>
      <c r="R774" s="476">
        <f ca="1">IF(OR($BG$2=0,$AR774=""),,IF($AR774="本月合计",IF(ROW()=$BG$3,SUM($R$6:$R773),SUM(INDIRECT("$R$"&amp;OFFSET($AU$3,,MATCH(ROW(),$AU$3:$BF$3,)-2)+2&amp;":$R"&amp;ROW()-1))),IF($AR774="本年累计",SUMIF($AR$6:$AR774,"本月合计",$R$6:$R773),INDEX(凭证录入!L:L,$AR774))))</f>
        <v>0</v>
      </c>
      <c r="S774" s="459" t="str">
        <f t="shared" ref="S774:AC789" ca="1" si="171">LEFT(RIGHT(TEXT($R774/1%," ￥0; ￥-0;"),30-COLUMN()))</f>
        <v/>
      </c>
      <c r="T774" s="460" t="str">
        <f t="shared" ca="1" si="171"/>
        <v/>
      </c>
      <c r="U774" s="460" t="str">
        <f t="shared" ca="1" si="171"/>
        <v/>
      </c>
      <c r="V774" s="460" t="str">
        <f t="shared" ca="1" si="171"/>
        <v/>
      </c>
      <c r="W774" s="460" t="str">
        <f t="shared" ca="1" si="171"/>
        <v/>
      </c>
      <c r="X774" s="460" t="str">
        <f t="shared" ca="1" si="171"/>
        <v/>
      </c>
      <c r="Y774" s="460" t="str">
        <f t="shared" ca="1" si="171"/>
        <v/>
      </c>
      <c r="Z774" s="460" t="str">
        <f t="shared" ca="1" si="171"/>
        <v/>
      </c>
      <c r="AA774" s="461" t="str">
        <f t="shared" ca="1" si="171"/>
        <v/>
      </c>
      <c r="AB774" s="474" t="str">
        <f t="shared" ca="1" si="171"/>
        <v/>
      </c>
      <c r="AC774" s="475" t="str">
        <f t="shared" ca="1" si="171"/>
        <v/>
      </c>
      <c r="AD774" s="477" t="str">
        <f t="shared" ref="AD774:AD837" ca="1" si="172">IF(OR($BG$2=0,$AR774="",$AR774="本月合计",$AR774="本年累计"),"",IF(OR(AND($AD773="",$AE773="",$AD771&lt;&gt;"借",$AD771&lt;&gt;"贷",($F774-$R774)&gt;=0),AND($AD773="",$AE773&lt;&gt;"",$AD771="借",($AE772+$F774-$R774)&gt;=0),AND($AD773="",$AE773&lt;&gt;"",$AD771="贷",(-$AE772+$F774-$R774)&gt;=0),AND($AD773="借",($AE773+$F774-$R774)&gt;=0),AND($AD773="贷",(-$AE773+$F774-$R774)&gt;=0),),"借","贷"))</f>
        <v/>
      </c>
      <c r="AE774" s="478">
        <f t="shared" ref="AE774:AE837" ca="1" si="173">IF(OR($BG$2=0,$AR774=""),,IF(OR($AR774="本月合计",$AR774="本年累计"),$AE773,IF(OR(AD773="借",AND(AD773="",AD772="",AD771="借")),ABS(AE773+F774-R774),ABS(-AE773+F774-R774))))</f>
        <v>0</v>
      </c>
      <c r="AF774" s="459" t="str">
        <f t="shared" ca="1" si="169"/>
        <v/>
      </c>
      <c r="AG774" s="460" t="str">
        <f t="shared" ca="1" si="169"/>
        <v/>
      </c>
      <c r="AH774" s="460" t="str">
        <f t="shared" ca="1" si="169"/>
        <v/>
      </c>
      <c r="AI774" s="460" t="str">
        <f t="shared" ca="1" si="169"/>
        <v/>
      </c>
      <c r="AJ774" s="460" t="str">
        <f t="shared" ca="1" si="169"/>
        <v/>
      </c>
      <c r="AK774" s="460" t="str">
        <f t="shared" ca="1" si="169"/>
        <v/>
      </c>
      <c r="AL774" s="460" t="str">
        <f t="shared" ca="1" si="169"/>
        <v/>
      </c>
      <c r="AM774" s="460" t="str">
        <f t="shared" ca="1" si="169"/>
        <v/>
      </c>
      <c r="AN774" s="461" t="str">
        <f t="shared" ca="1" si="169"/>
        <v/>
      </c>
      <c r="AO774" s="474" t="str">
        <f t="shared" ca="1" si="169"/>
        <v/>
      </c>
      <c r="AP774" s="475" t="str">
        <f t="shared" ca="1" si="169"/>
        <v/>
      </c>
      <c r="AQ774" s="479" t="str">
        <f t="array" aca="1" ref="AQ774" ca="1">IF(ROW()-5&lt;=COUNTIF(科目编号,$AR$2),SMALL(IF(科目编号=$AR$2,ROW(科目编号),""),ROW()-5),"")</f>
        <v/>
      </c>
      <c r="AR774" s="480" t="str">
        <f ca="1">IF($BG$2=0,"",IF(AR773="本月合计","本年累计",IF(OR(ROW()=$AU$3,ROW()=$AV$3,ROW()=$AW$3,ROW()=$AX$3,ROW()=$AY$3,ROW()=$AZ$3,ROW()=$BA$3,ROW()=$BB$3,ROW()=$BC$3,ROW()=$BD$3,ROW()=$BE$3,ROW()=$BF$3),"本月合计",IF(ROW()&lt;7,$AQ$6,OFFSET($AQ$6,COUNT($AR$6:AR773),0)))))</f>
        <v/>
      </c>
    </row>
    <row r="775" spans="1:44">
      <c r="A775" s="469" t="str">
        <f ca="1">IFERROR(INDEX(凭证录入!A:A,$AR775),"")</f>
        <v/>
      </c>
      <c r="B775" s="469" t="str">
        <f ca="1">IFERROR(INDEX(凭证录入!B:B,$AR775),"")</f>
        <v/>
      </c>
      <c r="C775" s="470" t="str">
        <f ca="1">IFERROR(INDEX(凭证录入!G:G,$AR775),"")</f>
        <v/>
      </c>
      <c r="D775" s="471" t="str">
        <f ca="1">IFERROR(INDEX(凭证录入!F:F,$AR775),"")</f>
        <v/>
      </c>
      <c r="E775" s="472" t="str">
        <f ca="1">IFERROR(INDEX(凭证录入!H:H,$AR775),$AR775)</f>
        <v/>
      </c>
      <c r="F775" s="473">
        <f ca="1">IF(OR($BG$2=0,$AR775=""),,IF($AR775="本月合计",IF(ROW()=$BG$3,SUM($F$6:$F774),SUM(INDIRECT("$F$"&amp;OFFSET($AU$3,,MATCH(ROW(),$AU$3:$BF$3,)-2)+2&amp;":$E"&amp;ROW()-1))),IF($AR775="本年累计",SUMIF($AR$6:$AR775,"本月合计",$F$6:$F774),INDEX(凭证录入!K:K,$AR775))))</f>
        <v>0</v>
      </c>
      <c r="G775" s="459" t="str">
        <f t="shared" ca="1" si="170"/>
        <v/>
      </c>
      <c r="H775" s="460" t="str">
        <f t="shared" ca="1" si="170"/>
        <v/>
      </c>
      <c r="I775" s="460" t="str">
        <f t="shared" ca="1" si="170"/>
        <v/>
      </c>
      <c r="J775" s="460" t="str">
        <f t="shared" ca="1" si="170"/>
        <v/>
      </c>
      <c r="K775" s="460" t="str">
        <f t="shared" ca="1" si="170"/>
        <v/>
      </c>
      <c r="L775" s="460" t="str">
        <f t="shared" ca="1" si="170"/>
        <v/>
      </c>
      <c r="M775" s="460" t="str">
        <f t="shared" ca="1" si="170"/>
        <v/>
      </c>
      <c r="N775" s="460" t="str">
        <f t="shared" ca="1" si="170"/>
        <v/>
      </c>
      <c r="O775" s="461" t="str">
        <f t="shared" ca="1" si="170"/>
        <v/>
      </c>
      <c r="P775" s="474" t="str">
        <f t="shared" ca="1" si="170"/>
        <v/>
      </c>
      <c r="Q775" s="475" t="str">
        <f t="shared" ca="1" si="170"/>
        <v/>
      </c>
      <c r="R775" s="476">
        <f ca="1">IF(OR($BG$2=0,$AR775=""),,IF($AR775="本月合计",IF(ROW()=$BG$3,SUM($R$6:$R774),SUM(INDIRECT("$R$"&amp;OFFSET($AU$3,,MATCH(ROW(),$AU$3:$BF$3,)-2)+2&amp;":$R"&amp;ROW()-1))),IF($AR775="本年累计",SUMIF($AR$6:$AR775,"本月合计",$R$6:$R774),INDEX(凭证录入!L:L,$AR775))))</f>
        <v>0</v>
      </c>
      <c r="S775" s="459" t="str">
        <f t="shared" ca="1" si="171"/>
        <v/>
      </c>
      <c r="T775" s="460" t="str">
        <f t="shared" ca="1" si="171"/>
        <v/>
      </c>
      <c r="U775" s="460" t="str">
        <f t="shared" ca="1" si="171"/>
        <v/>
      </c>
      <c r="V775" s="460" t="str">
        <f t="shared" ca="1" si="171"/>
        <v/>
      </c>
      <c r="W775" s="460" t="str">
        <f t="shared" ca="1" si="171"/>
        <v/>
      </c>
      <c r="X775" s="460" t="str">
        <f t="shared" ca="1" si="171"/>
        <v/>
      </c>
      <c r="Y775" s="460" t="str">
        <f t="shared" ca="1" si="171"/>
        <v/>
      </c>
      <c r="Z775" s="460" t="str">
        <f t="shared" ca="1" si="171"/>
        <v/>
      </c>
      <c r="AA775" s="461" t="str">
        <f t="shared" ca="1" si="171"/>
        <v/>
      </c>
      <c r="AB775" s="474" t="str">
        <f t="shared" ca="1" si="171"/>
        <v/>
      </c>
      <c r="AC775" s="475" t="str">
        <f t="shared" ca="1" si="171"/>
        <v/>
      </c>
      <c r="AD775" s="477" t="str">
        <f t="shared" ca="1" si="172"/>
        <v/>
      </c>
      <c r="AE775" s="478">
        <f t="shared" ca="1" si="173"/>
        <v>0</v>
      </c>
      <c r="AF775" s="459" t="str">
        <f t="shared" ca="1" si="169"/>
        <v/>
      </c>
      <c r="AG775" s="460" t="str">
        <f t="shared" ca="1" si="169"/>
        <v/>
      </c>
      <c r="AH775" s="460" t="str">
        <f t="shared" ca="1" si="169"/>
        <v/>
      </c>
      <c r="AI775" s="460" t="str">
        <f t="shared" ca="1" si="169"/>
        <v/>
      </c>
      <c r="AJ775" s="460" t="str">
        <f t="shared" ca="1" si="169"/>
        <v/>
      </c>
      <c r="AK775" s="460" t="str">
        <f t="shared" ca="1" si="169"/>
        <v/>
      </c>
      <c r="AL775" s="460" t="str">
        <f t="shared" ca="1" si="169"/>
        <v/>
      </c>
      <c r="AM775" s="460" t="str">
        <f t="shared" ca="1" si="169"/>
        <v/>
      </c>
      <c r="AN775" s="461" t="str">
        <f t="shared" ca="1" si="169"/>
        <v/>
      </c>
      <c r="AO775" s="474" t="str">
        <f t="shared" ca="1" si="169"/>
        <v/>
      </c>
      <c r="AP775" s="475" t="str">
        <f t="shared" ca="1" si="169"/>
        <v/>
      </c>
      <c r="AQ775" s="479" t="str">
        <f t="array" aca="1" ref="AQ775" ca="1">IF(ROW()-5&lt;=COUNTIF(科目编号,$AR$2),SMALL(IF(科目编号=$AR$2,ROW(科目编号),""),ROW()-5),"")</f>
        <v/>
      </c>
      <c r="AR775" s="480" t="str">
        <f ca="1">IF($BG$2=0,"",IF(AR774="本月合计","本年累计",IF(OR(ROW()=$AU$3,ROW()=$AV$3,ROW()=$AW$3,ROW()=$AX$3,ROW()=$AY$3,ROW()=$AZ$3,ROW()=$BA$3,ROW()=$BB$3,ROW()=$BC$3,ROW()=$BD$3,ROW()=$BE$3,ROW()=$BF$3),"本月合计",IF(ROW()&lt;7,$AQ$6,OFFSET($AQ$6,COUNT($AR$6:AR774),0)))))</f>
        <v/>
      </c>
    </row>
    <row r="776" spans="1:44">
      <c r="A776" s="469" t="str">
        <f ca="1">IFERROR(INDEX(凭证录入!A:A,$AR776),"")</f>
        <v/>
      </c>
      <c r="B776" s="469" t="str">
        <f ca="1">IFERROR(INDEX(凭证录入!B:B,$AR776),"")</f>
        <v/>
      </c>
      <c r="C776" s="470" t="str">
        <f ca="1">IFERROR(INDEX(凭证录入!G:G,$AR776),"")</f>
        <v/>
      </c>
      <c r="D776" s="471" t="str">
        <f ca="1">IFERROR(INDEX(凭证录入!F:F,$AR776),"")</f>
        <v/>
      </c>
      <c r="E776" s="472" t="str">
        <f ca="1">IFERROR(INDEX(凭证录入!H:H,$AR776),$AR776)</f>
        <v/>
      </c>
      <c r="F776" s="473">
        <f ca="1">IF(OR($BG$2=0,$AR776=""),,IF($AR776="本月合计",IF(ROW()=$BG$3,SUM($F$6:$F775),SUM(INDIRECT("$F$"&amp;OFFSET($AU$3,,MATCH(ROW(),$AU$3:$BF$3,)-2)+2&amp;":$E"&amp;ROW()-1))),IF($AR776="本年累计",SUMIF($AR$6:$AR776,"本月合计",$F$6:$F775),INDEX(凭证录入!K:K,$AR776))))</f>
        <v>0</v>
      </c>
      <c r="G776" s="459" t="str">
        <f t="shared" ca="1" si="170"/>
        <v/>
      </c>
      <c r="H776" s="460" t="str">
        <f t="shared" ca="1" si="170"/>
        <v/>
      </c>
      <c r="I776" s="460" t="str">
        <f t="shared" ca="1" si="170"/>
        <v/>
      </c>
      <c r="J776" s="460" t="str">
        <f t="shared" ca="1" si="170"/>
        <v/>
      </c>
      <c r="K776" s="460" t="str">
        <f t="shared" ca="1" si="170"/>
        <v/>
      </c>
      <c r="L776" s="460" t="str">
        <f t="shared" ca="1" si="170"/>
        <v/>
      </c>
      <c r="M776" s="460" t="str">
        <f t="shared" ca="1" si="170"/>
        <v/>
      </c>
      <c r="N776" s="460" t="str">
        <f t="shared" ca="1" si="170"/>
        <v/>
      </c>
      <c r="O776" s="461" t="str">
        <f t="shared" ca="1" si="170"/>
        <v/>
      </c>
      <c r="P776" s="474" t="str">
        <f t="shared" ca="1" si="170"/>
        <v/>
      </c>
      <c r="Q776" s="475" t="str">
        <f t="shared" ca="1" si="170"/>
        <v/>
      </c>
      <c r="R776" s="476">
        <f ca="1">IF(OR($BG$2=0,$AR776=""),,IF($AR776="本月合计",IF(ROW()=$BG$3,SUM($R$6:$R775),SUM(INDIRECT("$R$"&amp;OFFSET($AU$3,,MATCH(ROW(),$AU$3:$BF$3,)-2)+2&amp;":$R"&amp;ROW()-1))),IF($AR776="本年累计",SUMIF($AR$6:$AR776,"本月合计",$R$6:$R775),INDEX(凭证录入!L:L,$AR776))))</f>
        <v>0</v>
      </c>
      <c r="S776" s="459" t="str">
        <f t="shared" ca="1" si="171"/>
        <v/>
      </c>
      <c r="T776" s="460" t="str">
        <f t="shared" ca="1" si="171"/>
        <v/>
      </c>
      <c r="U776" s="460" t="str">
        <f t="shared" ca="1" si="171"/>
        <v/>
      </c>
      <c r="V776" s="460" t="str">
        <f t="shared" ca="1" si="171"/>
        <v/>
      </c>
      <c r="W776" s="460" t="str">
        <f t="shared" ca="1" si="171"/>
        <v/>
      </c>
      <c r="X776" s="460" t="str">
        <f t="shared" ca="1" si="171"/>
        <v/>
      </c>
      <c r="Y776" s="460" t="str">
        <f t="shared" ca="1" si="171"/>
        <v/>
      </c>
      <c r="Z776" s="460" t="str">
        <f t="shared" ca="1" si="171"/>
        <v/>
      </c>
      <c r="AA776" s="461" t="str">
        <f t="shared" ca="1" si="171"/>
        <v/>
      </c>
      <c r="AB776" s="474" t="str">
        <f t="shared" ca="1" si="171"/>
        <v/>
      </c>
      <c r="AC776" s="475" t="str">
        <f t="shared" ca="1" si="171"/>
        <v/>
      </c>
      <c r="AD776" s="477" t="str">
        <f t="shared" ca="1" si="172"/>
        <v/>
      </c>
      <c r="AE776" s="478">
        <f t="shared" ca="1" si="173"/>
        <v>0</v>
      </c>
      <c r="AF776" s="459" t="str">
        <f t="shared" ca="1" si="169"/>
        <v/>
      </c>
      <c r="AG776" s="460" t="str">
        <f t="shared" ca="1" si="169"/>
        <v/>
      </c>
      <c r="AH776" s="460" t="str">
        <f t="shared" ca="1" si="169"/>
        <v/>
      </c>
      <c r="AI776" s="460" t="str">
        <f t="shared" ca="1" si="169"/>
        <v/>
      </c>
      <c r="AJ776" s="460" t="str">
        <f t="shared" ca="1" si="169"/>
        <v/>
      </c>
      <c r="AK776" s="460" t="str">
        <f t="shared" ca="1" si="169"/>
        <v/>
      </c>
      <c r="AL776" s="460" t="str">
        <f t="shared" ca="1" si="169"/>
        <v/>
      </c>
      <c r="AM776" s="460" t="str">
        <f t="shared" ca="1" si="169"/>
        <v/>
      </c>
      <c r="AN776" s="461" t="str">
        <f t="shared" ca="1" si="169"/>
        <v/>
      </c>
      <c r="AO776" s="474" t="str">
        <f t="shared" ca="1" si="169"/>
        <v/>
      </c>
      <c r="AP776" s="475" t="str">
        <f t="shared" ca="1" si="169"/>
        <v/>
      </c>
      <c r="AQ776" s="479" t="str">
        <f t="array" aca="1" ref="AQ776" ca="1">IF(ROW()-5&lt;=COUNTIF(科目编号,$AR$2),SMALL(IF(科目编号=$AR$2,ROW(科目编号),""),ROW()-5),"")</f>
        <v/>
      </c>
      <c r="AR776" s="480" t="str">
        <f ca="1">IF($BG$2=0,"",IF(AR775="本月合计","本年累计",IF(OR(ROW()=$AU$3,ROW()=$AV$3,ROW()=$AW$3,ROW()=$AX$3,ROW()=$AY$3,ROW()=$AZ$3,ROW()=$BA$3,ROW()=$BB$3,ROW()=$BC$3,ROW()=$BD$3,ROW()=$BE$3,ROW()=$BF$3),"本月合计",IF(ROW()&lt;7,$AQ$6,OFFSET($AQ$6,COUNT($AR$6:AR775),0)))))</f>
        <v/>
      </c>
    </row>
    <row r="777" spans="1:44">
      <c r="A777" s="469" t="str">
        <f ca="1">IFERROR(INDEX(凭证录入!A:A,$AR777),"")</f>
        <v/>
      </c>
      <c r="B777" s="469" t="str">
        <f ca="1">IFERROR(INDEX(凭证录入!B:B,$AR777),"")</f>
        <v/>
      </c>
      <c r="C777" s="470" t="str">
        <f ca="1">IFERROR(INDEX(凭证录入!G:G,$AR777),"")</f>
        <v/>
      </c>
      <c r="D777" s="471" t="str">
        <f ca="1">IFERROR(INDEX(凭证录入!F:F,$AR777),"")</f>
        <v/>
      </c>
      <c r="E777" s="472" t="str">
        <f ca="1">IFERROR(INDEX(凭证录入!H:H,$AR777),$AR777)</f>
        <v/>
      </c>
      <c r="F777" s="473">
        <f ca="1">IF(OR($BG$2=0,$AR777=""),,IF($AR777="本月合计",IF(ROW()=$BG$3,SUM($F$6:$F776),SUM(INDIRECT("$F$"&amp;OFFSET($AU$3,,MATCH(ROW(),$AU$3:$BF$3,)-2)+2&amp;":$E"&amp;ROW()-1))),IF($AR777="本年累计",SUMIF($AR$6:$AR777,"本月合计",$F$6:$F776),INDEX(凭证录入!K:K,$AR777))))</f>
        <v>0</v>
      </c>
      <c r="G777" s="459" t="str">
        <f t="shared" ca="1" si="170"/>
        <v/>
      </c>
      <c r="H777" s="460" t="str">
        <f t="shared" ca="1" si="170"/>
        <v/>
      </c>
      <c r="I777" s="460" t="str">
        <f t="shared" ca="1" si="170"/>
        <v/>
      </c>
      <c r="J777" s="460" t="str">
        <f t="shared" ca="1" si="170"/>
        <v/>
      </c>
      <c r="K777" s="460" t="str">
        <f t="shared" ca="1" si="170"/>
        <v/>
      </c>
      <c r="L777" s="460" t="str">
        <f t="shared" ca="1" si="170"/>
        <v/>
      </c>
      <c r="M777" s="460" t="str">
        <f t="shared" ca="1" si="170"/>
        <v/>
      </c>
      <c r="N777" s="460" t="str">
        <f t="shared" ca="1" si="170"/>
        <v/>
      </c>
      <c r="O777" s="461" t="str">
        <f t="shared" ca="1" si="170"/>
        <v/>
      </c>
      <c r="P777" s="474" t="str">
        <f t="shared" ca="1" si="170"/>
        <v/>
      </c>
      <c r="Q777" s="475" t="str">
        <f t="shared" ca="1" si="170"/>
        <v/>
      </c>
      <c r="R777" s="476">
        <f ca="1">IF(OR($BG$2=0,$AR777=""),,IF($AR777="本月合计",IF(ROW()=$BG$3,SUM($R$6:$R776),SUM(INDIRECT("$R$"&amp;OFFSET($AU$3,,MATCH(ROW(),$AU$3:$BF$3,)-2)+2&amp;":$R"&amp;ROW()-1))),IF($AR777="本年累计",SUMIF($AR$6:$AR777,"本月合计",$R$6:$R776),INDEX(凭证录入!L:L,$AR777))))</f>
        <v>0</v>
      </c>
      <c r="S777" s="459" t="str">
        <f t="shared" ca="1" si="171"/>
        <v/>
      </c>
      <c r="T777" s="460" t="str">
        <f t="shared" ca="1" si="171"/>
        <v/>
      </c>
      <c r="U777" s="460" t="str">
        <f t="shared" ca="1" si="171"/>
        <v/>
      </c>
      <c r="V777" s="460" t="str">
        <f t="shared" ca="1" si="171"/>
        <v/>
      </c>
      <c r="W777" s="460" t="str">
        <f t="shared" ca="1" si="171"/>
        <v/>
      </c>
      <c r="X777" s="460" t="str">
        <f t="shared" ca="1" si="171"/>
        <v/>
      </c>
      <c r="Y777" s="460" t="str">
        <f t="shared" ca="1" si="171"/>
        <v/>
      </c>
      <c r="Z777" s="460" t="str">
        <f t="shared" ca="1" si="171"/>
        <v/>
      </c>
      <c r="AA777" s="461" t="str">
        <f t="shared" ca="1" si="171"/>
        <v/>
      </c>
      <c r="AB777" s="474" t="str">
        <f t="shared" ca="1" si="171"/>
        <v/>
      </c>
      <c r="AC777" s="475" t="str">
        <f t="shared" ca="1" si="171"/>
        <v/>
      </c>
      <c r="AD777" s="477" t="str">
        <f t="shared" ca="1" si="172"/>
        <v/>
      </c>
      <c r="AE777" s="478">
        <f t="shared" ca="1" si="173"/>
        <v>0</v>
      </c>
      <c r="AF777" s="459" t="str">
        <f t="shared" ca="1" si="169"/>
        <v/>
      </c>
      <c r="AG777" s="460" t="str">
        <f t="shared" ca="1" si="169"/>
        <v/>
      </c>
      <c r="AH777" s="460" t="str">
        <f t="shared" ca="1" si="169"/>
        <v/>
      </c>
      <c r="AI777" s="460" t="str">
        <f t="shared" ca="1" si="169"/>
        <v/>
      </c>
      <c r="AJ777" s="460" t="str">
        <f t="shared" ca="1" si="169"/>
        <v/>
      </c>
      <c r="AK777" s="460" t="str">
        <f t="shared" ca="1" si="169"/>
        <v/>
      </c>
      <c r="AL777" s="460" t="str">
        <f t="shared" ca="1" si="169"/>
        <v/>
      </c>
      <c r="AM777" s="460" t="str">
        <f t="shared" ca="1" si="169"/>
        <v/>
      </c>
      <c r="AN777" s="461" t="str">
        <f t="shared" ca="1" si="169"/>
        <v/>
      </c>
      <c r="AO777" s="474" t="str">
        <f t="shared" ca="1" si="169"/>
        <v/>
      </c>
      <c r="AP777" s="475" t="str">
        <f t="shared" ca="1" si="169"/>
        <v/>
      </c>
      <c r="AQ777" s="479" t="str">
        <f t="array" aca="1" ref="AQ777" ca="1">IF(ROW()-5&lt;=COUNTIF(科目编号,$AR$2),SMALL(IF(科目编号=$AR$2,ROW(科目编号),""),ROW()-5),"")</f>
        <v/>
      </c>
      <c r="AR777" s="480" t="str">
        <f ca="1">IF($BG$2=0,"",IF(AR776="本月合计","本年累计",IF(OR(ROW()=$AU$3,ROW()=$AV$3,ROW()=$AW$3,ROW()=$AX$3,ROW()=$AY$3,ROW()=$AZ$3,ROW()=$BA$3,ROW()=$BB$3,ROW()=$BC$3,ROW()=$BD$3,ROW()=$BE$3,ROW()=$BF$3),"本月合计",IF(ROW()&lt;7,$AQ$6,OFFSET($AQ$6,COUNT($AR$6:AR776),0)))))</f>
        <v/>
      </c>
    </row>
    <row r="778" spans="1:44">
      <c r="A778" s="469" t="str">
        <f ca="1">IFERROR(INDEX(凭证录入!A:A,$AR778),"")</f>
        <v/>
      </c>
      <c r="B778" s="469" t="str">
        <f ca="1">IFERROR(INDEX(凭证录入!B:B,$AR778),"")</f>
        <v/>
      </c>
      <c r="C778" s="470" t="str">
        <f ca="1">IFERROR(INDEX(凭证录入!G:G,$AR778),"")</f>
        <v/>
      </c>
      <c r="D778" s="471" t="str">
        <f ca="1">IFERROR(INDEX(凭证录入!F:F,$AR778),"")</f>
        <v/>
      </c>
      <c r="E778" s="472" t="str">
        <f ca="1">IFERROR(INDEX(凭证录入!H:H,$AR778),$AR778)</f>
        <v/>
      </c>
      <c r="F778" s="473">
        <f ca="1">IF(OR($BG$2=0,$AR778=""),,IF($AR778="本月合计",IF(ROW()=$BG$3,SUM($F$6:$F777),SUM(INDIRECT("$F$"&amp;OFFSET($AU$3,,MATCH(ROW(),$AU$3:$BF$3,)-2)+2&amp;":$E"&amp;ROW()-1))),IF($AR778="本年累计",SUMIF($AR$6:$AR778,"本月合计",$F$6:$F777),INDEX(凭证录入!K:K,$AR778))))</f>
        <v>0</v>
      </c>
      <c r="G778" s="459" t="str">
        <f t="shared" ca="1" si="170"/>
        <v/>
      </c>
      <c r="H778" s="460" t="str">
        <f t="shared" ca="1" si="170"/>
        <v/>
      </c>
      <c r="I778" s="460" t="str">
        <f t="shared" ca="1" si="170"/>
        <v/>
      </c>
      <c r="J778" s="460" t="str">
        <f t="shared" ca="1" si="170"/>
        <v/>
      </c>
      <c r="K778" s="460" t="str">
        <f t="shared" ca="1" si="170"/>
        <v/>
      </c>
      <c r="L778" s="460" t="str">
        <f t="shared" ca="1" si="170"/>
        <v/>
      </c>
      <c r="M778" s="460" t="str">
        <f t="shared" ca="1" si="170"/>
        <v/>
      </c>
      <c r="N778" s="460" t="str">
        <f t="shared" ca="1" si="170"/>
        <v/>
      </c>
      <c r="O778" s="461" t="str">
        <f t="shared" ca="1" si="170"/>
        <v/>
      </c>
      <c r="P778" s="474" t="str">
        <f t="shared" ca="1" si="170"/>
        <v/>
      </c>
      <c r="Q778" s="475" t="str">
        <f t="shared" ca="1" si="170"/>
        <v/>
      </c>
      <c r="R778" s="476">
        <f ca="1">IF(OR($BG$2=0,$AR778=""),,IF($AR778="本月合计",IF(ROW()=$BG$3,SUM($R$6:$R777),SUM(INDIRECT("$R$"&amp;OFFSET($AU$3,,MATCH(ROW(),$AU$3:$BF$3,)-2)+2&amp;":$R"&amp;ROW()-1))),IF($AR778="本年累计",SUMIF($AR$6:$AR778,"本月合计",$R$6:$R777),INDEX(凭证录入!L:L,$AR778))))</f>
        <v>0</v>
      </c>
      <c r="S778" s="459" t="str">
        <f t="shared" ca="1" si="171"/>
        <v/>
      </c>
      <c r="T778" s="460" t="str">
        <f t="shared" ca="1" si="171"/>
        <v/>
      </c>
      <c r="U778" s="460" t="str">
        <f t="shared" ca="1" si="171"/>
        <v/>
      </c>
      <c r="V778" s="460" t="str">
        <f t="shared" ca="1" si="171"/>
        <v/>
      </c>
      <c r="W778" s="460" t="str">
        <f t="shared" ca="1" si="171"/>
        <v/>
      </c>
      <c r="X778" s="460" t="str">
        <f t="shared" ca="1" si="171"/>
        <v/>
      </c>
      <c r="Y778" s="460" t="str">
        <f t="shared" ca="1" si="171"/>
        <v/>
      </c>
      <c r="Z778" s="460" t="str">
        <f t="shared" ca="1" si="171"/>
        <v/>
      </c>
      <c r="AA778" s="461" t="str">
        <f t="shared" ca="1" si="171"/>
        <v/>
      </c>
      <c r="AB778" s="474" t="str">
        <f t="shared" ca="1" si="171"/>
        <v/>
      </c>
      <c r="AC778" s="475" t="str">
        <f t="shared" ca="1" si="171"/>
        <v/>
      </c>
      <c r="AD778" s="477" t="str">
        <f t="shared" ca="1" si="172"/>
        <v/>
      </c>
      <c r="AE778" s="478">
        <f t="shared" ca="1" si="173"/>
        <v>0</v>
      </c>
      <c r="AF778" s="459" t="str">
        <f t="shared" ca="1" si="169"/>
        <v/>
      </c>
      <c r="AG778" s="460" t="str">
        <f t="shared" ca="1" si="169"/>
        <v/>
      </c>
      <c r="AH778" s="460" t="str">
        <f t="shared" ca="1" si="169"/>
        <v/>
      </c>
      <c r="AI778" s="460" t="str">
        <f t="shared" ca="1" si="169"/>
        <v/>
      </c>
      <c r="AJ778" s="460" t="str">
        <f t="shared" ca="1" si="169"/>
        <v/>
      </c>
      <c r="AK778" s="460" t="str">
        <f t="shared" ca="1" si="169"/>
        <v/>
      </c>
      <c r="AL778" s="460" t="str">
        <f t="shared" ca="1" si="169"/>
        <v/>
      </c>
      <c r="AM778" s="460" t="str">
        <f t="shared" ca="1" si="169"/>
        <v/>
      </c>
      <c r="AN778" s="461" t="str">
        <f t="shared" ca="1" si="169"/>
        <v/>
      </c>
      <c r="AO778" s="474" t="str">
        <f t="shared" ca="1" si="169"/>
        <v/>
      </c>
      <c r="AP778" s="475" t="str">
        <f t="shared" ca="1" si="169"/>
        <v/>
      </c>
      <c r="AQ778" s="479" t="str">
        <f t="array" aca="1" ref="AQ778" ca="1">IF(ROW()-5&lt;=COUNTIF(科目编号,$AR$2),SMALL(IF(科目编号=$AR$2,ROW(科目编号),""),ROW()-5),"")</f>
        <v/>
      </c>
      <c r="AR778" s="480" t="str">
        <f ca="1">IF($BG$2=0,"",IF(AR777="本月合计","本年累计",IF(OR(ROW()=$AU$3,ROW()=$AV$3,ROW()=$AW$3,ROW()=$AX$3,ROW()=$AY$3,ROW()=$AZ$3,ROW()=$BA$3,ROW()=$BB$3,ROW()=$BC$3,ROW()=$BD$3,ROW()=$BE$3,ROW()=$BF$3),"本月合计",IF(ROW()&lt;7,$AQ$6,OFFSET($AQ$6,COUNT($AR$6:AR777),0)))))</f>
        <v/>
      </c>
    </row>
    <row r="779" spans="1:44">
      <c r="A779" s="469" t="str">
        <f ca="1">IFERROR(INDEX(凭证录入!A:A,$AR779),"")</f>
        <v/>
      </c>
      <c r="B779" s="469" t="str">
        <f ca="1">IFERROR(INDEX(凭证录入!B:B,$AR779),"")</f>
        <v/>
      </c>
      <c r="C779" s="470" t="str">
        <f ca="1">IFERROR(INDEX(凭证录入!G:G,$AR779),"")</f>
        <v/>
      </c>
      <c r="D779" s="471" t="str">
        <f ca="1">IFERROR(INDEX(凭证录入!F:F,$AR779),"")</f>
        <v/>
      </c>
      <c r="E779" s="472" t="str">
        <f ca="1">IFERROR(INDEX(凭证录入!H:H,$AR779),$AR779)</f>
        <v/>
      </c>
      <c r="F779" s="473">
        <f ca="1">IF(OR($BG$2=0,$AR779=""),,IF($AR779="本月合计",IF(ROW()=$BG$3,SUM($F$6:$F778),SUM(INDIRECT("$F$"&amp;OFFSET($AU$3,,MATCH(ROW(),$AU$3:$BF$3,)-2)+2&amp;":$E"&amp;ROW()-1))),IF($AR779="本年累计",SUMIF($AR$6:$AR779,"本月合计",$F$6:$F778),INDEX(凭证录入!K:K,$AR779))))</f>
        <v>0</v>
      </c>
      <c r="G779" s="459" t="str">
        <f t="shared" ca="1" si="170"/>
        <v/>
      </c>
      <c r="H779" s="460" t="str">
        <f t="shared" ca="1" si="170"/>
        <v/>
      </c>
      <c r="I779" s="460" t="str">
        <f t="shared" ca="1" si="170"/>
        <v/>
      </c>
      <c r="J779" s="460" t="str">
        <f t="shared" ca="1" si="170"/>
        <v/>
      </c>
      <c r="K779" s="460" t="str">
        <f t="shared" ca="1" si="170"/>
        <v/>
      </c>
      <c r="L779" s="460" t="str">
        <f t="shared" ca="1" si="170"/>
        <v/>
      </c>
      <c r="M779" s="460" t="str">
        <f t="shared" ca="1" si="170"/>
        <v/>
      </c>
      <c r="N779" s="460" t="str">
        <f t="shared" ca="1" si="170"/>
        <v/>
      </c>
      <c r="O779" s="461" t="str">
        <f t="shared" ca="1" si="170"/>
        <v/>
      </c>
      <c r="P779" s="474" t="str">
        <f t="shared" ca="1" si="170"/>
        <v/>
      </c>
      <c r="Q779" s="475" t="str">
        <f t="shared" ca="1" si="170"/>
        <v/>
      </c>
      <c r="R779" s="476">
        <f ca="1">IF(OR($BG$2=0,$AR779=""),,IF($AR779="本月合计",IF(ROW()=$BG$3,SUM($R$6:$R778),SUM(INDIRECT("$R$"&amp;OFFSET($AU$3,,MATCH(ROW(),$AU$3:$BF$3,)-2)+2&amp;":$R"&amp;ROW()-1))),IF($AR779="本年累计",SUMIF($AR$6:$AR779,"本月合计",$R$6:$R778),INDEX(凭证录入!L:L,$AR779))))</f>
        <v>0</v>
      </c>
      <c r="S779" s="459" t="str">
        <f t="shared" ca="1" si="171"/>
        <v/>
      </c>
      <c r="T779" s="460" t="str">
        <f t="shared" ca="1" si="171"/>
        <v/>
      </c>
      <c r="U779" s="460" t="str">
        <f t="shared" ca="1" si="171"/>
        <v/>
      </c>
      <c r="V779" s="460" t="str">
        <f t="shared" ca="1" si="171"/>
        <v/>
      </c>
      <c r="W779" s="460" t="str">
        <f t="shared" ca="1" si="171"/>
        <v/>
      </c>
      <c r="X779" s="460" t="str">
        <f t="shared" ca="1" si="171"/>
        <v/>
      </c>
      <c r="Y779" s="460" t="str">
        <f t="shared" ca="1" si="171"/>
        <v/>
      </c>
      <c r="Z779" s="460" t="str">
        <f t="shared" ca="1" si="171"/>
        <v/>
      </c>
      <c r="AA779" s="461" t="str">
        <f t="shared" ca="1" si="171"/>
        <v/>
      </c>
      <c r="AB779" s="474" t="str">
        <f t="shared" ca="1" si="171"/>
        <v/>
      </c>
      <c r="AC779" s="475" t="str">
        <f t="shared" ca="1" si="171"/>
        <v/>
      </c>
      <c r="AD779" s="477" t="str">
        <f t="shared" ca="1" si="172"/>
        <v/>
      </c>
      <c r="AE779" s="478">
        <f t="shared" ca="1" si="173"/>
        <v>0</v>
      </c>
      <c r="AF779" s="459" t="str">
        <f t="shared" ca="1" si="169"/>
        <v/>
      </c>
      <c r="AG779" s="460" t="str">
        <f t="shared" ca="1" si="169"/>
        <v/>
      </c>
      <c r="AH779" s="460" t="str">
        <f t="shared" ca="1" si="169"/>
        <v/>
      </c>
      <c r="AI779" s="460" t="str">
        <f t="shared" ca="1" si="169"/>
        <v/>
      </c>
      <c r="AJ779" s="460" t="str">
        <f t="shared" ca="1" si="169"/>
        <v/>
      </c>
      <c r="AK779" s="460" t="str">
        <f t="shared" ca="1" si="169"/>
        <v/>
      </c>
      <c r="AL779" s="460" t="str">
        <f t="shared" ca="1" si="169"/>
        <v/>
      </c>
      <c r="AM779" s="460" t="str">
        <f t="shared" ca="1" si="169"/>
        <v/>
      </c>
      <c r="AN779" s="461" t="str">
        <f t="shared" ca="1" si="169"/>
        <v/>
      </c>
      <c r="AO779" s="474" t="str">
        <f t="shared" ca="1" si="169"/>
        <v/>
      </c>
      <c r="AP779" s="475" t="str">
        <f t="shared" ca="1" si="169"/>
        <v/>
      </c>
      <c r="AQ779" s="479" t="str">
        <f t="array" aca="1" ref="AQ779" ca="1">IF(ROW()-5&lt;=COUNTIF(科目编号,$AR$2),SMALL(IF(科目编号=$AR$2,ROW(科目编号),""),ROW()-5),"")</f>
        <v/>
      </c>
      <c r="AR779" s="480" t="str">
        <f ca="1">IF($BG$2=0,"",IF(AR778="本月合计","本年累计",IF(OR(ROW()=$AU$3,ROW()=$AV$3,ROW()=$AW$3,ROW()=$AX$3,ROW()=$AY$3,ROW()=$AZ$3,ROW()=$BA$3,ROW()=$BB$3,ROW()=$BC$3,ROW()=$BD$3,ROW()=$BE$3,ROW()=$BF$3),"本月合计",IF(ROW()&lt;7,$AQ$6,OFFSET($AQ$6,COUNT($AR$6:AR778),0)))))</f>
        <v/>
      </c>
    </row>
    <row r="780" spans="1:44">
      <c r="A780" s="469" t="str">
        <f ca="1">IFERROR(INDEX(凭证录入!A:A,$AR780),"")</f>
        <v/>
      </c>
      <c r="B780" s="469" t="str">
        <f ca="1">IFERROR(INDEX(凭证录入!B:B,$AR780),"")</f>
        <v/>
      </c>
      <c r="C780" s="470" t="str">
        <f ca="1">IFERROR(INDEX(凭证录入!G:G,$AR780),"")</f>
        <v/>
      </c>
      <c r="D780" s="471" t="str">
        <f ca="1">IFERROR(INDEX(凭证录入!F:F,$AR780),"")</f>
        <v/>
      </c>
      <c r="E780" s="472" t="str">
        <f ca="1">IFERROR(INDEX(凭证录入!H:H,$AR780),$AR780)</f>
        <v/>
      </c>
      <c r="F780" s="473">
        <f ca="1">IF(OR($BG$2=0,$AR780=""),,IF($AR780="本月合计",IF(ROW()=$BG$3,SUM($F$6:$F779),SUM(INDIRECT("$F$"&amp;OFFSET($AU$3,,MATCH(ROW(),$AU$3:$BF$3,)-2)+2&amp;":$E"&amp;ROW()-1))),IF($AR780="本年累计",SUMIF($AR$6:$AR780,"本月合计",$F$6:$F779),INDEX(凭证录入!K:K,$AR780))))</f>
        <v>0</v>
      </c>
      <c r="G780" s="459" t="str">
        <f t="shared" ca="1" si="170"/>
        <v/>
      </c>
      <c r="H780" s="460" t="str">
        <f t="shared" ca="1" si="170"/>
        <v/>
      </c>
      <c r="I780" s="460" t="str">
        <f t="shared" ca="1" si="170"/>
        <v/>
      </c>
      <c r="J780" s="460" t="str">
        <f t="shared" ca="1" si="170"/>
        <v/>
      </c>
      <c r="K780" s="460" t="str">
        <f t="shared" ca="1" si="170"/>
        <v/>
      </c>
      <c r="L780" s="460" t="str">
        <f t="shared" ca="1" si="170"/>
        <v/>
      </c>
      <c r="M780" s="460" t="str">
        <f t="shared" ca="1" si="170"/>
        <v/>
      </c>
      <c r="N780" s="460" t="str">
        <f t="shared" ca="1" si="170"/>
        <v/>
      </c>
      <c r="O780" s="461" t="str">
        <f t="shared" ca="1" si="170"/>
        <v/>
      </c>
      <c r="P780" s="474" t="str">
        <f t="shared" ca="1" si="170"/>
        <v/>
      </c>
      <c r="Q780" s="475" t="str">
        <f t="shared" ca="1" si="170"/>
        <v/>
      </c>
      <c r="R780" s="476">
        <f ca="1">IF(OR($BG$2=0,$AR780=""),,IF($AR780="本月合计",IF(ROW()=$BG$3,SUM($R$6:$R779),SUM(INDIRECT("$R$"&amp;OFFSET($AU$3,,MATCH(ROW(),$AU$3:$BF$3,)-2)+2&amp;":$R"&amp;ROW()-1))),IF($AR780="本年累计",SUMIF($AR$6:$AR780,"本月合计",$R$6:$R779),INDEX(凭证录入!L:L,$AR780))))</f>
        <v>0</v>
      </c>
      <c r="S780" s="459" t="str">
        <f t="shared" ca="1" si="171"/>
        <v/>
      </c>
      <c r="T780" s="460" t="str">
        <f t="shared" ca="1" si="171"/>
        <v/>
      </c>
      <c r="U780" s="460" t="str">
        <f t="shared" ca="1" si="171"/>
        <v/>
      </c>
      <c r="V780" s="460" t="str">
        <f t="shared" ca="1" si="171"/>
        <v/>
      </c>
      <c r="W780" s="460" t="str">
        <f t="shared" ca="1" si="171"/>
        <v/>
      </c>
      <c r="X780" s="460" t="str">
        <f t="shared" ca="1" si="171"/>
        <v/>
      </c>
      <c r="Y780" s="460" t="str">
        <f t="shared" ca="1" si="171"/>
        <v/>
      </c>
      <c r="Z780" s="460" t="str">
        <f t="shared" ca="1" si="171"/>
        <v/>
      </c>
      <c r="AA780" s="461" t="str">
        <f t="shared" ca="1" si="171"/>
        <v/>
      </c>
      <c r="AB780" s="474" t="str">
        <f t="shared" ca="1" si="171"/>
        <v/>
      </c>
      <c r="AC780" s="475" t="str">
        <f t="shared" ca="1" si="171"/>
        <v/>
      </c>
      <c r="AD780" s="477" t="str">
        <f t="shared" ca="1" si="172"/>
        <v/>
      </c>
      <c r="AE780" s="478">
        <f t="shared" ca="1" si="173"/>
        <v>0</v>
      </c>
      <c r="AF780" s="459" t="str">
        <f t="shared" ca="1" si="169"/>
        <v/>
      </c>
      <c r="AG780" s="460" t="str">
        <f t="shared" ca="1" si="169"/>
        <v/>
      </c>
      <c r="AH780" s="460" t="str">
        <f t="shared" ca="1" si="169"/>
        <v/>
      </c>
      <c r="AI780" s="460" t="str">
        <f t="shared" ca="1" si="169"/>
        <v/>
      </c>
      <c r="AJ780" s="460" t="str">
        <f t="shared" ca="1" si="169"/>
        <v/>
      </c>
      <c r="AK780" s="460" t="str">
        <f t="shared" ca="1" si="169"/>
        <v/>
      </c>
      <c r="AL780" s="460" t="str">
        <f t="shared" ca="1" si="169"/>
        <v/>
      </c>
      <c r="AM780" s="460" t="str">
        <f t="shared" ca="1" si="169"/>
        <v/>
      </c>
      <c r="AN780" s="461" t="str">
        <f t="shared" ca="1" si="169"/>
        <v/>
      </c>
      <c r="AO780" s="474" t="str">
        <f t="shared" ca="1" si="169"/>
        <v/>
      </c>
      <c r="AP780" s="475" t="str">
        <f t="shared" ca="1" si="169"/>
        <v/>
      </c>
      <c r="AQ780" s="479" t="str">
        <f t="array" aca="1" ref="AQ780" ca="1">IF(ROW()-5&lt;=COUNTIF(科目编号,$AR$2),SMALL(IF(科目编号=$AR$2,ROW(科目编号),""),ROW()-5),"")</f>
        <v/>
      </c>
      <c r="AR780" s="480" t="str">
        <f ca="1">IF($BG$2=0,"",IF(AR779="本月合计","本年累计",IF(OR(ROW()=$AU$3,ROW()=$AV$3,ROW()=$AW$3,ROW()=$AX$3,ROW()=$AY$3,ROW()=$AZ$3,ROW()=$BA$3,ROW()=$BB$3,ROW()=$BC$3,ROW()=$BD$3,ROW()=$BE$3,ROW()=$BF$3),"本月合计",IF(ROW()&lt;7,$AQ$6,OFFSET($AQ$6,COUNT($AR$6:AR779),0)))))</f>
        <v/>
      </c>
    </row>
    <row r="781" spans="1:44">
      <c r="A781" s="469" t="str">
        <f ca="1">IFERROR(INDEX(凭证录入!A:A,$AR781),"")</f>
        <v/>
      </c>
      <c r="B781" s="469" t="str">
        <f ca="1">IFERROR(INDEX(凭证录入!B:B,$AR781),"")</f>
        <v/>
      </c>
      <c r="C781" s="470" t="str">
        <f ca="1">IFERROR(INDEX(凭证录入!G:G,$AR781),"")</f>
        <v/>
      </c>
      <c r="D781" s="471" t="str">
        <f ca="1">IFERROR(INDEX(凭证录入!F:F,$AR781),"")</f>
        <v/>
      </c>
      <c r="E781" s="472" t="str">
        <f ca="1">IFERROR(INDEX(凭证录入!H:H,$AR781),$AR781)</f>
        <v/>
      </c>
      <c r="F781" s="473">
        <f ca="1">IF(OR($BG$2=0,$AR781=""),,IF($AR781="本月合计",IF(ROW()=$BG$3,SUM($F$6:$F780),SUM(INDIRECT("$F$"&amp;OFFSET($AU$3,,MATCH(ROW(),$AU$3:$BF$3,)-2)+2&amp;":$E"&amp;ROW()-1))),IF($AR781="本年累计",SUMIF($AR$6:$AR781,"本月合计",$F$6:$F780),INDEX(凭证录入!K:K,$AR781))))</f>
        <v>0</v>
      </c>
      <c r="G781" s="459" t="str">
        <f t="shared" ca="1" si="170"/>
        <v/>
      </c>
      <c r="H781" s="460" t="str">
        <f t="shared" ca="1" si="170"/>
        <v/>
      </c>
      <c r="I781" s="460" t="str">
        <f t="shared" ca="1" si="170"/>
        <v/>
      </c>
      <c r="J781" s="460" t="str">
        <f t="shared" ca="1" si="170"/>
        <v/>
      </c>
      <c r="K781" s="460" t="str">
        <f t="shared" ca="1" si="170"/>
        <v/>
      </c>
      <c r="L781" s="460" t="str">
        <f t="shared" ca="1" si="170"/>
        <v/>
      </c>
      <c r="M781" s="460" t="str">
        <f t="shared" ca="1" si="170"/>
        <v/>
      </c>
      <c r="N781" s="460" t="str">
        <f t="shared" ca="1" si="170"/>
        <v/>
      </c>
      <c r="O781" s="461" t="str">
        <f t="shared" ca="1" si="170"/>
        <v/>
      </c>
      <c r="P781" s="474" t="str">
        <f t="shared" ca="1" si="170"/>
        <v/>
      </c>
      <c r="Q781" s="475" t="str">
        <f t="shared" ca="1" si="170"/>
        <v/>
      </c>
      <c r="R781" s="476">
        <f ca="1">IF(OR($BG$2=0,$AR781=""),,IF($AR781="本月合计",IF(ROW()=$BG$3,SUM($R$6:$R780),SUM(INDIRECT("$R$"&amp;OFFSET($AU$3,,MATCH(ROW(),$AU$3:$BF$3,)-2)+2&amp;":$R"&amp;ROW()-1))),IF($AR781="本年累计",SUMIF($AR$6:$AR781,"本月合计",$R$6:$R780),INDEX(凭证录入!L:L,$AR781))))</f>
        <v>0</v>
      </c>
      <c r="S781" s="459" t="str">
        <f t="shared" ca="1" si="171"/>
        <v/>
      </c>
      <c r="T781" s="460" t="str">
        <f t="shared" ca="1" si="171"/>
        <v/>
      </c>
      <c r="U781" s="460" t="str">
        <f t="shared" ca="1" si="171"/>
        <v/>
      </c>
      <c r="V781" s="460" t="str">
        <f t="shared" ca="1" si="171"/>
        <v/>
      </c>
      <c r="W781" s="460" t="str">
        <f t="shared" ca="1" si="171"/>
        <v/>
      </c>
      <c r="X781" s="460" t="str">
        <f t="shared" ca="1" si="171"/>
        <v/>
      </c>
      <c r="Y781" s="460" t="str">
        <f t="shared" ca="1" si="171"/>
        <v/>
      </c>
      <c r="Z781" s="460" t="str">
        <f t="shared" ca="1" si="171"/>
        <v/>
      </c>
      <c r="AA781" s="461" t="str">
        <f t="shared" ca="1" si="171"/>
        <v/>
      </c>
      <c r="AB781" s="474" t="str">
        <f t="shared" ca="1" si="171"/>
        <v/>
      </c>
      <c r="AC781" s="475" t="str">
        <f t="shared" ca="1" si="171"/>
        <v/>
      </c>
      <c r="AD781" s="477" t="str">
        <f t="shared" ca="1" si="172"/>
        <v/>
      </c>
      <c r="AE781" s="478">
        <f t="shared" ca="1" si="173"/>
        <v>0</v>
      </c>
      <c r="AF781" s="459" t="str">
        <f t="shared" ca="1" si="169"/>
        <v/>
      </c>
      <c r="AG781" s="460" t="str">
        <f t="shared" ca="1" si="169"/>
        <v/>
      </c>
      <c r="AH781" s="460" t="str">
        <f t="shared" ca="1" si="169"/>
        <v/>
      </c>
      <c r="AI781" s="460" t="str">
        <f t="shared" ca="1" si="169"/>
        <v/>
      </c>
      <c r="AJ781" s="460" t="str">
        <f t="shared" ca="1" si="169"/>
        <v/>
      </c>
      <c r="AK781" s="460" t="str">
        <f t="shared" ca="1" si="169"/>
        <v/>
      </c>
      <c r="AL781" s="460" t="str">
        <f t="shared" ca="1" si="169"/>
        <v/>
      </c>
      <c r="AM781" s="460" t="str">
        <f t="shared" ca="1" si="169"/>
        <v/>
      </c>
      <c r="AN781" s="461" t="str">
        <f t="shared" ca="1" si="169"/>
        <v/>
      </c>
      <c r="AO781" s="474" t="str">
        <f t="shared" ca="1" si="169"/>
        <v/>
      </c>
      <c r="AP781" s="475" t="str">
        <f t="shared" ca="1" si="169"/>
        <v/>
      </c>
      <c r="AQ781" s="479" t="str">
        <f t="array" aca="1" ref="AQ781" ca="1">IF(ROW()-5&lt;=COUNTIF(科目编号,$AR$2),SMALL(IF(科目编号=$AR$2,ROW(科目编号),""),ROW()-5),"")</f>
        <v/>
      </c>
      <c r="AR781" s="480" t="str">
        <f ca="1">IF($BG$2=0,"",IF(AR780="本月合计","本年累计",IF(OR(ROW()=$AU$3,ROW()=$AV$3,ROW()=$AW$3,ROW()=$AX$3,ROW()=$AY$3,ROW()=$AZ$3,ROW()=$BA$3,ROW()=$BB$3,ROW()=$BC$3,ROW()=$BD$3,ROW()=$BE$3,ROW()=$BF$3),"本月合计",IF(ROW()&lt;7,$AQ$6,OFFSET($AQ$6,COUNT($AR$6:AR780),0)))))</f>
        <v/>
      </c>
    </row>
    <row r="782" spans="1:44">
      <c r="A782" s="469" t="str">
        <f ca="1">IFERROR(INDEX(凭证录入!A:A,$AR782),"")</f>
        <v/>
      </c>
      <c r="B782" s="469" t="str">
        <f ca="1">IFERROR(INDEX(凭证录入!B:B,$AR782),"")</f>
        <v/>
      </c>
      <c r="C782" s="470" t="str">
        <f ca="1">IFERROR(INDEX(凭证录入!G:G,$AR782),"")</f>
        <v/>
      </c>
      <c r="D782" s="471" t="str">
        <f ca="1">IFERROR(INDEX(凭证录入!F:F,$AR782),"")</f>
        <v/>
      </c>
      <c r="E782" s="472" t="str">
        <f ca="1">IFERROR(INDEX(凭证录入!H:H,$AR782),$AR782)</f>
        <v/>
      </c>
      <c r="F782" s="473">
        <f ca="1">IF(OR($BG$2=0,$AR782=""),,IF($AR782="本月合计",IF(ROW()=$BG$3,SUM($F$6:$F781),SUM(INDIRECT("$F$"&amp;OFFSET($AU$3,,MATCH(ROW(),$AU$3:$BF$3,)-2)+2&amp;":$E"&amp;ROW()-1))),IF($AR782="本年累计",SUMIF($AR$6:$AR782,"本月合计",$F$6:$F781),INDEX(凭证录入!K:K,$AR782))))</f>
        <v>0</v>
      </c>
      <c r="G782" s="459" t="str">
        <f t="shared" ca="1" si="170"/>
        <v/>
      </c>
      <c r="H782" s="460" t="str">
        <f t="shared" ca="1" si="170"/>
        <v/>
      </c>
      <c r="I782" s="460" t="str">
        <f t="shared" ca="1" si="170"/>
        <v/>
      </c>
      <c r="J782" s="460" t="str">
        <f t="shared" ca="1" si="170"/>
        <v/>
      </c>
      <c r="K782" s="460" t="str">
        <f t="shared" ca="1" si="170"/>
        <v/>
      </c>
      <c r="L782" s="460" t="str">
        <f t="shared" ca="1" si="170"/>
        <v/>
      </c>
      <c r="M782" s="460" t="str">
        <f t="shared" ca="1" si="170"/>
        <v/>
      </c>
      <c r="N782" s="460" t="str">
        <f t="shared" ca="1" si="170"/>
        <v/>
      </c>
      <c r="O782" s="461" t="str">
        <f t="shared" ca="1" si="170"/>
        <v/>
      </c>
      <c r="P782" s="474" t="str">
        <f t="shared" ca="1" si="170"/>
        <v/>
      </c>
      <c r="Q782" s="475" t="str">
        <f t="shared" ca="1" si="170"/>
        <v/>
      </c>
      <c r="R782" s="476">
        <f ca="1">IF(OR($BG$2=0,$AR782=""),,IF($AR782="本月合计",IF(ROW()=$BG$3,SUM($R$6:$R781),SUM(INDIRECT("$R$"&amp;OFFSET($AU$3,,MATCH(ROW(),$AU$3:$BF$3,)-2)+2&amp;":$R"&amp;ROW()-1))),IF($AR782="本年累计",SUMIF($AR$6:$AR782,"本月合计",$R$6:$R781),INDEX(凭证录入!L:L,$AR782))))</f>
        <v>0</v>
      </c>
      <c r="S782" s="459" t="str">
        <f t="shared" ca="1" si="171"/>
        <v/>
      </c>
      <c r="T782" s="460" t="str">
        <f t="shared" ca="1" si="171"/>
        <v/>
      </c>
      <c r="U782" s="460" t="str">
        <f t="shared" ca="1" si="171"/>
        <v/>
      </c>
      <c r="V782" s="460" t="str">
        <f t="shared" ca="1" si="171"/>
        <v/>
      </c>
      <c r="W782" s="460" t="str">
        <f t="shared" ca="1" si="171"/>
        <v/>
      </c>
      <c r="X782" s="460" t="str">
        <f t="shared" ca="1" si="171"/>
        <v/>
      </c>
      <c r="Y782" s="460" t="str">
        <f t="shared" ca="1" si="171"/>
        <v/>
      </c>
      <c r="Z782" s="460" t="str">
        <f t="shared" ca="1" si="171"/>
        <v/>
      </c>
      <c r="AA782" s="461" t="str">
        <f t="shared" ca="1" si="171"/>
        <v/>
      </c>
      <c r="AB782" s="474" t="str">
        <f t="shared" ca="1" si="171"/>
        <v/>
      </c>
      <c r="AC782" s="475" t="str">
        <f t="shared" ca="1" si="171"/>
        <v/>
      </c>
      <c r="AD782" s="477" t="str">
        <f t="shared" ca="1" si="172"/>
        <v/>
      </c>
      <c r="AE782" s="478">
        <f t="shared" ca="1" si="173"/>
        <v>0</v>
      </c>
      <c r="AF782" s="459" t="str">
        <f t="shared" ca="1" si="169"/>
        <v/>
      </c>
      <c r="AG782" s="460" t="str">
        <f t="shared" ca="1" si="169"/>
        <v/>
      </c>
      <c r="AH782" s="460" t="str">
        <f t="shared" ca="1" si="169"/>
        <v/>
      </c>
      <c r="AI782" s="460" t="str">
        <f t="shared" ca="1" si="169"/>
        <v/>
      </c>
      <c r="AJ782" s="460" t="str">
        <f t="shared" ca="1" si="169"/>
        <v/>
      </c>
      <c r="AK782" s="460" t="str">
        <f t="shared" ca="1" si="169"/>
        <v/>
      </c>
      <c r="AL782" s="460" t="str">
        <f t="shared" ca="1" si="169"/>
        <v/>
      </c>
      <c r="AM782" s="460" t="str">
        <f t="shared" ca="1" si="169"/>
        <v/>
      </c>
      <c r="AN782" s="461" t="str">
        <f t="shared" ca="1" si="169"/>
        <v/>
      </c>
      <c r="AO782" s="474" t="str">
        <f t="shared" ca="1" si="169"/>
        <v/>
      </c>
      <c r="AP782" s="475" t="str">
        <f t="shared" ca="1" si="169"/>
        <v/>
      </c>
      <c r="AQ782" s="479" t="str">
        <f t="array" aca="1" ref="AQ782" ca="1">IF(ROW()-5&lt;=COUNTIF(科目编号,$AR$2),SMALL(IF(科目编号=$AR$2,ROW(科目编号),""),ROW()-5),"")</f>
        <v/>
      </c>
      <c r="AR782" s="480" t="str">
        <f ca="1">IF($BG$2=0,"",IF(AR781="本月合计","本年累计",IF(OR(ROW()=$AU$3,ROW()=$AV$3,ROW()=$AW$3,ROW()=$AX$3,ROW()=$AY$3,ROW()=$AZ$3,ROW()=$BA$3,ROW()=$BB$3,ROW()=$BC$3,ROW()=$BD$3,ROW()=$BE$3,ROW()=$BF$3),"本月合计",IF(ROW()&lt;7,$AQ$6,OFFSET($AQ$6,COUNT($AR$6:AR781),0)))))</f>
        <v/>
      </c>
    </row>
    <row r="783" spans="1:44">
      <c r="A783" s="469" t="str">
        <f ca="1">IFERROR(INDEX(凭证录入!A:A,$AR783),"")</f>
        <v/>
      </c>
      <c r="B783" s="469" t="str">
        <f ca="1">IFERROR(INDEX(凭证录入!B:B,$AR783),"")</f>
        <v/>
      </c>
      <c r="C783" s="470" t="str">
        <f ca="1">IFERROR(INDEX(凭证录入!G:G,$AR783),"")</f>
        <v/>
      </c>
      <c r="D783" s="471" t="str">
        <f ca="1">IFERROR(INDEX(凭证录入!F:F,$AR783),"")</f>
        <v/>
      </c>
      <c r="E783" s="472" t="str">
        <f ca="1">IFERROR(INDEX(凭证录入!H:H,$AR783),$AR783)</f>
        <v/>
      </c>
      <c r="F783" s="473">
        <f ca="1">IF(OR($BG$2=0,$AR783=""),,IF($AR783="本月合计",IF(ROW()=$BG$3,SUM($F$6:$F782),SUM(INDIRECT("$F$"&amp;OFFSET($AU$3,,MATCH(ROW(),$AU$3:$BF$3,)-2)+2&amp;":$E"&amp;ROW()-1))),IF($AR783="本年累计",SUMIF($AR$6:$AR783,"本月合计",$F$6:$F782),INDEX(凭证录入!K:K,$AR783))))</f>
        <v>0</v>
      </c>
      <c r="G783" s="459" t="str">
        <f t="shared" ca="1" si="170"/>
        <v/>
      </c>
      <c r="H783" s="460" t="str">
        <f t="shared" ca="1" si="170"/>
        <v/>
      </c>
      <c r="I783" s="460" t="str">
        <f t="shared" ca="1" si="170"/>
        <v/>
      </c>
      <c r="J783" s="460" t="str">
        <f t="shared" ca="1" si="170"/>
        <v/>
      </c>
      <c r="K783" s="460" t="str">
        <f t="shared" ca="1" si="170"/>
        <v/>
      </c>
      <c r="L783" s="460" t="str">
        <f t="shared" ca="1" si="170"/>
        <v/>
      </c>
      <c r="M783" s="460" t="str">
        <f t="shared" ca="1" si="170"/>
        <v/>
      </c>
      <c r="N783" s="460" t="str">
        <f t="shared" ca="1" si="170"/>
        <v/>
      </c>
      <c r="O783" s="461" t="str">
        <f t="shared" ca="1" si="170"/>
        <v/>
      </c>
      <c r="P783" s="474" t="str">
        <f t="shared" ca="1" si="170"/>
        <v/>
      </c>
      <c r="Q783" s="475" t="str">
        <f t="shared" ca="1" si="170"/>
        <v/>
      </c>
      <c r="R783" s="476">
        <f ca="1">IF(OR($BG$2=0,$AR783=""),,IF($AR783="本月合计",IF(ROW()=$BG$3,SUM($R$6:$R782),SUM(INDIRECT("$R$"&amp;OFFSET($AU$3,,MATCH(ROW(),$AU$3:$BF$3,)-2)+2&amp;":$R"&amp;ROW()-1))),IF($AR783="本年累计",SUMIF($AR$6:$AR783,"本月合计",$R$6:$R782),INDEX(凭证录入!L:L,$AR783))))</f>
        <v>0</v>
      </c>
      <c r="S783" s="459" t="str">
        <f t="shared" ca="1" si="171"/>
        <v/>
      </c>
      <c r="T783" s="460" t="str">
        <f t="shared" ca="1" si="171"/>
        <v/>
      </c>
      <c r="U783" s="460" t="str">
        <f t="shared" ca="1" si="171"/>
        <v/>
      </c>
      <c r="V783" s="460" t="str">
        <f t="shared" ca="1" si="171"/>
        <v/>
      </c>
      <c r="W783" s="460" t="str">
        <f t="shared" ca="1" si="171"/>
        <v/>
      </c>
      <c r="X783" s="460" t="str">
        <f t="shared" ca="1" si="171"/>
        <v/>
      </c>
      <c r="Y783" s="460" t="str">
        <f t="shared" ca="1" si="171"/>
        <v/>
      </c>
      <c r="Z783" s="460" t="str">
        <f t="shared" ca="1" si="171"/>
        <v/>
      </c>
      <c r="AA783" s="461" t="str">
        <f t="shared" ca="1" si="171"/>
        <v/>
      </c>
      <c r="AB783" s="474" t="str">
        <f t="shared" ca="1" si="171"/>
        <v/>
      </c>
      <c r="AC783" s="475" t="str">
        <f t="shared" ca="1" si="171"/>
        <v/>
      </c>
      <c r="AD783" s="477" t="str">
        <f t="shared" ca="1" si="172"/>
        <v/>
      </c>
      <c r="AE783" s="478">
        <f t="shared" ca="1" si="173"/>
        <v>0</v>
      </c>
      <c r="AF783" s="459" t="str">
        <f t="shared" ca="1" si="169"/>
        <v/>
      </c>
      <c r="AG783" s="460" t="str">
        <f t="shared" ca="1" si="169"/>
        <v/>
      </c>
      <c r="AH783" s="460" t="str">
        <f t="shared" ca="1" si="169"/>
        <v/>
      </c>
      <c r="AI783" s="460" t="str">
        <f t="shared" ca="1" si="169"/>
        <v/>
      </c>
      <c r="AJ783" s="460" t="str">
        <f t="shared" ca="1" si="169"/>
        <v/>
      </c>
      <c r="AK783" s="460" t="str">
        <f t="shared" ca="1" si="169"/>
        <v/>
      </c>
      <c r="AL783" s="460" t="str">
        <f t="shared" ca="1" si="169"/>
        <v/>
      </c>
      <c r="AM783" s="460" t="str">
        <f t="shared" ca="1" si="169"/>
        <v/>
      </c>
      <c r="AN783" s="461" t="str">
        <f t="shared" ca="1" si="169"/>
        <v/>
      </c>
      <c r="AO783" s="474" t="str">
        <f t="shared" ca="1" si="169"/>
        <v/>
      </c>
      <c r="AP783" s="475" t="str">
        <f t="shared" ca="1" si="169"/>
        <v/>
      </c>
      <c r="AQ783" s="479" t="str">
        <f t="array" aca="1" ref="AQ783" ca="1">IF(ROW()-5&lt;=COUNTIF(科目编号,$AR$2),SMALL(IF(科目编号=$AR$2,ROW(科目编号),""),ROW()-5),"")</f>
        <v/>
      </c>
      <c r="AR783" s="480" t="str">
        <f ca="1">IF($BG$2=0,"",IF(AR782="本月合计","本年累计",IF(OR(ROW()=$AU$3,ROW()=$AV$3,ROW()=$AW$3,ROW()=$AX$3,ROW()=$AY$3,ROW()=$AZ$3,ROW()=$BA$3,ROW()=$BB$3,ROW()=$BC$3,ROW()=$BD$3,ROW()=$BE$3,ROW()=$BF$3),"本月合计",IF(ROW()&lt;7,$AQ$6,OFFSET($AQ$6,COUNT($AR$6:AR782),0)))))</f>
        <v/>
      </c>
    </row>
    <row r="784" spans="1:44">
      <c r="A784" s="469" t="str">
        <f ca="1">IFERROR(INDEX(凭证录入!A:A,$AR784),"")</f>
        <v/>
      </c>
      <c r="B784" s="469" t="str">
        <f ca="1">IFERROR(INDEX(凭证录入!B:B,$AR784),"")</f>
        <v/>
      </c>
      <c r="C784" s="470" t="str">
        <f ca="1">IFERROR(INDEX(凭证录入!G:G,$AR784),"")</f>
        <v/>
      </c>
      <c r="D784" s="471" t="str">
        <f ca="1">IFERROR(INDEX(凭证录入!F:F,$AR784),"")</f>
        <v/>
      </c>
      <c r="E784" s="472" t="str">
        <f ca="1">IFERROR(INDEX(凭证录入!H:H,$AR784),$AR784)</f>
        <v/>
      </c>
      <c r="F784" s="473">
        <f ca="1">IF(OR($BG$2=0,$AR784=""),,IF($AR784="本月合计",IF(ROW()=$BG$3,SUM($F$6:$F783),SUM(INDIRECT("$F$"&amp;OFFSET($AU$3,,MATCH(ROW(),$AU$3:$BF$3,)-2)+2&amp;":$E"&amp;ROW()-1))),IF($AR784="本年累计",SUMIF($AR$6:$AR784,"本月合计",$F$6:$F783),INDEX(凭证录入!K:K,$AR784))))</f>
        <v>0</v>
      </c>
      <c r="G784" s="459" t="str">
        <f t="shared" ca="1" si="170"/>
        <v/>
      </c>
      <c r="H784" s="460" t="str">
        <f t="shared" ca="1" si="170"/>
        <v/>
      </c>
      <c r="I784" s="460" t="str">
        <f t="shared" ca="1" si="170"/>
        <v/>
      </c>
      <c r="J784" s="460" t="str">
        <f t="shared" ca="1" si="170"/>
        <v/>
      </c>
      <c r="K784" s="460" t="str">
        <f t="shared" ca="1" si="170"/>
        <v/>
      </c>
      <c r="L784" s="460" t="str">
        <f t="shared" ca="1" si="170"/>
        <v/>
      </c>
      <c r="M784" s="460" t="str">
        <f t="shared" ca="1" si="170"/>
        <v/>
      </c>
      <c r="N784" s="460" t="str">
        <f t="shared" ca="1" si="170"/>
        <v/>
      </c>
      <c r="O784" s="461" t="str">
        <f t="shared" ca="1" si="170"/>
        <v/>
      </c>
      <c r="P784" s="474" t="str">
        <f t="shared" ca="1" si="170"/>
        <v/>
      </c>
      <c r="Q784" s="475" t="str">
        <f t="shared" ca="1" si="170"/>
        <v/>
      </c>
      <c r="R784" s="476">
        <f ca="1">IF(OR($BG$2=0,$AR784=""),,IF($AR784="本月合计",IF(ROW()=$BG$3,SUM($R$6:$R783),SUM(INDIRECT("$R$"&amp;OFFSET($AU$3,,MATCH(ROW(),$AU$3:$BF$3,)-2)+2&amp;":$R"&amp;ROW()-1))),IF($AR784="本年累计",SUMIF($AR$6:$AR784,"本月合计",$R$6:$R783),INDEX(凭证录入!L:L,$AR784))))</f>
        <v>0</v>
      </c>
      <c r="S784" s="459" t="str">
        <f t="shared" ca="1" si="171"/>
        <v/>
      </c>
      <c r="T784" s="460" t="str">
        <f t="shared" ca="1" si="171"/>
        <v/>
      </c>
      <c r="U784" s="460" t="str">
        <f t="shared" ca="1" si="171"/>
        <v/>
      </c>
      <c r="V784" s="460" t="str">
        <f t="shared" ca="1" si="171"/>
        <v/>
      </c>
      <c r="W784" s="460" t="str">
        <f t="shared" ca="1" si="171"/>
        <v/>
      </c>
      <c r="X784" s="460" t="str">
        <f t="shared" ca="1" si="171"/>
        <v/>
      </c>
      <c r="Y784" s="460" t="str">
        <f t="shared" ca="1" si="171"/>
        <v/>
      </c>
      <c r="Z784" s="460" t="str">
        <f t="shared" ca="1" si="171"/>
        <v/>
      </c>
      <c r="AA784" s="461" t="str">
        <f t="shared" ca="1" si="171"/>
        <v/>
      </c>
      <c r="AB784" s="474" t="str">
        <f t="shared" ca="1" si="171"/>
        <v/>
      </c>
      <c r="AC784" s="475" t="str">
        <f t="shared" ca="1" si="171"/>
        <v/>
      </c>
      <c r="AD784" s="477" t="str">
        <f t="shared" ca="1" si="172"/>
        <v/>
      </c>
      <c r="AE784" s="478">
        <f t="shared" ca="1" si="173"/>
        <v>0</v>
      </c>
      <c r="AF784" s="459" t="str">
        <f t="shared" ca="1" si="169"/>
        <v/>
      </c>
      <c r="AG784" s="460" t="str">
        <f t="shared" ca="1" si="169"/>
        <v/>
      </c>
      <c r="AH784" s="460" t="str">
        <f t="shared" ca="1" si="169"/>
        <v/>
      </c>
      <c r="AI784" s="460" t="str">
        <f t="shared" ca="1" si="169"/>
        <v/>
      </c>
      <c r="AJ784" s="460" t="str">
        <f t="shared" ca="1" si="169"/>
        <v/>
      </c>
      <c r="AK784" s="460" t="str">
        <f t="shared" ca="1" si="169"/>
        <v/>
      </c>
      <c r="AL784" s="460" t="str">
        <f t="shared" ca="1" si="169"/>
        <v/>
      </c>
      <c r="AM784" s="460" t="str">
        <f t="shared" ca="1" si="169"/>
        <v/>
      </c>
      <c r="AN784" s="461" t="str">
        <f t="shared" ca="1" si="169"/>
        <v/>
      </c>
      <c r="AO784" s="474" t="str">
        <f t="shared" ca="1" si="169"/>
        <v/>
      </c>
      <c r="AP784" s="475" t="str">
        <f t="shared" ca="1" si="169"/>
        <v/>
      </c>
      <c r="AQ784" s="479" t="str">
        <f t="array" aca="1" ref="AQ784" ca="1">IF(ROW()-5&lt;=COUNTIF(科目编号,$AR$2),SMALL(IF(科目编号=$AR$2,ROW(科目编号),""),ROW()-5),"")</f>
        <v/>
      </c>
      <c r="AR784" s="480" t="str">
        <f ca="1">IF($BG$2=0,"",IF(AR783="本月合计","本年累计",IF(OR(ROW()=$AU$3,ROW()=$AV$3,ROW()=$AW$3,ROW()=$AX$3,ROW()=$AY$3,ROW()=$AZ$3,ROW()=$BA$3,ROW()=$BB$3,ROW()=$BC$3,ROW()=$BD$3,ROW()=$BE$3,ROW()=$BF$3),"本月合计",IF(ROW()&lt;7,$AQ$6,OFFSET($AQ$6,COUNT($AR$6:AR783),0)))))</f>
        <v/>
      </c>
    </row>
    <row r="785" spans="1:44">
      <c r="A785" s="469" t="str">
        <f ca="1">IFERROR(INDEX(凭证录入!A:A,$AR785),"")</f>
        <v/>
      </c>
      <c r="B785" s="469" t="str">
        <f ca="1">IFERROR(INDEX(凭证录入!B:B,$AR785),"")</f>
        <v/>
      </c>
      <c r="C785" s="470" t="str">
        <f ca="1">IFERROR(INDEX(凭证录入!G:G,$AR785),"")</f>
        <v/>
      </c>
      <c r="D785" s="471" t="str">
        <f ca="1">IFERROR(INDEX(凭证录入!F:F,$AR785),"")</f>
        <v/>
      </c>
      <c r="E785" s="472" t="str">
        <f ca="1">IFERROR(INDEX(凭证录入!H:H,$AR785),$AR785)</f>
        <v/>
      </c>
      <c r="F785" s="473">
        <f ca="1">IF(OR($BG$2=0,$AR785=""),,IF($AR785="本月合计",IF(ROW()=$BG$3,SUM($F$6:$F784),SUM(INDIRECT("$F$"&amp;OFFSET($AU$3,,MATCH(ROW(),$AU$3:$BF$3,)-2)+2&amp;":$E"&amp;ROW()-1))),IF($AR785="本年累计",SUMIF($AR$6:$AR785,"本月合计",$F$6:$F784),INDEX(凭证录入!K:K,$AR785))))</f>
        <v>0</v>
      </c>
      <c r="G785" s="459" t="str">
        <f t="shared" ca="1" si="170"/>
        <v/>
      </c>
      <c r="H785" s="460" t="str">
        <f t="shared" ca="1" si="170"/>
        <v/>
      </c>
      <c r="I785" s="460" t="str">
        <f t="shared" ca="1" si="170"/>
        <v/>
      </c>
      <c r="J785" s="460" t="str">
        <f t="shared" ca="1" si="170"/>
        <v/>
      </c>
      <c r="K785" s="460" t="str">
        <f t="shared" ca="1" si="170"/>
        <v/>
      </c>
      <c r="L785" s="460" t="str">
        <f t="shared" ca="1" si="170"/>
        <v/>
      </c>
      <c r="M785" s="460" t="str">
        <f t="shared" ca="1" si="170"/>
        <v/>
      </c>
      <c r="N785" s="460" t="str">
        <f t="shared" ca="1" si="170"/>
        <v/>
      </c>
      <c r="O785" s="461" t="str">
        <f t="shared" ca="1" si="170"/>
        <v/>
      </c>
      <c r="P785" s="474" t="str">
        <f t="shared" ca="1" si="170"/>
        <v/>
      </c>
      <c r="Q785" s="475" t="str">
        <f t="shared" ca="1" si="170"/>
        <v/>
      </c>
      <c r="R785" s="476">
        <f ca="1">IF(OR($BG$2=0,$AR785=""),,IF($AR785="本月合计",IF(ROW()=$BG$3,SUM($R$6:$R784),SUM(INDIRECT("$R$"&amp;OFFSET($AU$3,,MATCH(ROW(),$AU$3:$BF$3,)-2)+2&amp;":$R"&amp;ROW()-1))),IF($AR785="本年累计",SUMIF($AR$6:$AR785,"本月合计",$R$6:$R784),INDEX(凭证录入!L:L,$AR785))))</f>
        <v>0</v>
      </c>
      <c r="S785" s="459" t="str">
        <f t="shared" ca="1" si="171"/>
        <v/>
      </c>
      <c r="T785" s="460" t="str">
        <f t="shared" ca="1" si="171"/>
        <v/>
      </c>
      <c r="U785" s="460" t="str">
        <f t="shared" ca="1" si="171"/>
        <v/>
      </c>
      <c r="V785" s="460" t="str">
        <f t="shared" ca="1" si="171"/>
        <v/>
      </c>
      <c r="W785" s="460" t="str">
        <f t="shared" ca="1" si="171"/>
        <v/>
      </c>
      <c r="X785" s="460" t="str">
        <f t="shared" ca="1" si="171"/>
        <v/>
      </c>
      <c r="Y785" s="460" t="str">
        <f t="shared" ca="1" si="171"/>
        <v/>
      </c>
      <c r="Z785" s="460" t="str">
        <f t="shared" ca="1" si="171"/>
        <v/>
      </c>
      <c r="AA785" s="461" t="str">
        <f t="shared" ca="1" si="171"/>
        <v/>
      </c>
      <c r="AB785" s="474" t="str">
        <f t="shared" ca="1" si="171"/>
        <v/>
      </c>
      <c r="AC785" s="475" t="str">
        <f t="shared" ca="1" si="171"/>
        <v/>
      </c>
      <c r="AD785" s="477" t="str">
        <f t="shared" ca="1" si="172"/>
        <v/>
      </c>
      <c r="AE785" s="478">
        <f t="shared" ca="1" si="173"/>
        <v>0</v>
      </c>
      <c r="AF785" s="459" t="str">
        <f t="shared" ca="1" si="169"/>
        <v/>
      </c>
      <c r="AG785" s="460" t="str">
        <f t="shared" ca="1" si="169"/>
        <v/>
      </c>
      <c r="AH785" s="460" t="str">
        <f t="shared" ca="1" si="169"/>
        <v/>
      </c>
      <c r="AI785" s="460" t="str">
        <f t="shared" ca="1" si="169"/>
        <v/>
      </c>
      <c r="AJ785" s="460" t="str">
        <f t="shared" ca="1" si="169"/>
        <v/>
      </c>
      <c r="AK785" s="460" t="str">
        <f t="shared" ca="1" si="169"/>
        <v/>
      </c>
      <c r="AL785" s="460" t="str">
        <f t="shared" ca="1" si="169"/>
        <v/>
      </c>
      <c r="AM785" s="460" t="str">
        <f t="shared" ca="1" si="169"/>
        <v/>
      </c>
      <c r="AN785" s="461" t="str">
        <f t="shared" ca="1" si="169"/>
        <v/>
      </c>
      <c r="AO785" s="474" t="str">
        <f t="shared" ca="1" si="169"/>
        <v/>
      </c>
      <c r="AP785" s="475" t="str">
        <f t="shared" ca="1" si="169"/>
        <v/>
      </c>
      <c r="AQ785" s="479" t="str">
        <f t="array" aca="1" ref="AQ785" ca="1">IF(ROW()-5&lt;=COUNTIF(科目编号,$AR$2),SMALL(IF(科目编号=$AR$2,ROW(科目编号),""),ROW()-5),"")</f>
        <v/>
      </c>
      <c r="AR785" s="480" t="str">
        <f ca="1">IF($BG$2=0,"",IF(AR784="本月合计","本年累计",IF(OR(ROW()=$AU$3,ROW()=$AV$3,ROW()=$AW$3,ROW()=$AX$3,ROW()=$AY$3,ROW()=$AZ$3,ROW()=$BA$3,ROW()=$BB$3,ROW()=$BC$3,ROW()=$BD$3,ROW()=$BE$3,ROW()=$BF$3),"本月合计",IF(ROW()&lt;7,$AQ$6,OFFSET($AQ$6,COUNT($AR$6:AR784),0)))))</f>
        <v/>
      </c>
    </row>
    <row r="786" spans="1:44">
      <c r="A786" s="469" t="str">
        <f ca="1">IFERROR(INDEX(凭证录入!A:A,$AR786),"")</f>
        <v/>
      </c>
      <c r="B786" s="469" t="str">
        <f ca="1">IFERROR(INDEX(凭证录入!B:B,$AR786),"")</f>
        <v/>
      </c>
      <c r="C786" s="470" t="str">
        <f ca="1">IFERROR(INDEX(凭证录入!G:G,$AR786),"")</f>
        <v/>
      </c>
      <c r="D786" s="471" t="str">
        <f ca="1">IFERROR(INDEX(凭证录入!F:F,$AR786),"")</f>
        <v/>
      </c>
      <c r="E786" s="472" t="str">
        <f ca="1">IFERROR(INDEX(凭证录入!H:H,$AR786),$AR786)</f>
        <v/>
      </c>
      <c r="F786" s="473">
        <f ca="1">IF(OR($BG$2=0,$AR786=""),,IF($AR786="本月合计",IF(ROW()=$BG$3,SUM($F$6:$F785),SUM(INDIRECT("$F$"&amp;OFFSET($AU$3,,MATCH(ROW(),$AU$3:$BF$3,)-2)+2&amp;":$E"&amp;ROW()-1))),IF($AR786="本年累计",SUMIF($AR$6:$AR786,"本月合计",$F$6:$F785),INDEX(凭证录入!K:K,$AR786))))</f>
        <v>0</v>
      </c>
      <c r="G786" s="459" t="str">
        <f t="shared" ca="1" si="170"/>
        <v/>
      </c>
      <c r="H786" s="460" t="str">
        <f t="shared" ca="1" si="170"/>
        <v/>
      </c>
      <c r="I786" s="460" t="str">
        <f t="shared" ca="1" si="170"/>
        <v/>
      </c>
      <c r="J786" s="460" t="str">
        <f t="shared" ca="1" si="170"/>
        <v/>
      </c>
      <c r="K786" s="460" t="str">
        <f t="shared" ca="1" si="170"/>
        <v/>
      </c>
      <c r="L786" s="460" t="str">
        <f t="shared" ca="1" si="170"/>
        <v/>
      </c>
      <c r="M786" s="460" t="str">
        <f t="shared" ca="1" si="170"/>
        <v/>
      </c>
      <c r="N786" s="460" t="str">
        <f t="shared" ca="1" si="170"/>
        <v/>
      </c>
      <c r="O786" s="461" t="str">
        <f t="shared" ca="1" si="170"/>
        <v/>
      </c>
      <c r="P786" s="474" t="str">
        <f t="shared" ca="1" si="170"/>
        <v/>
      </c>
      <c r="Q786" s="475" t="str">
        <f t="shared" ca="1" si="170"/>
        <v/>
      </c>
      <c r="R786" s="476">
        <f ca="1">IF(OR($BG$2=0,$AR786=""),,IF($AR786="本月合计",IF(ROW()=$BG$3,SUM($R$6:$R785),SUM(INDIRECT("$R$"&amp;OFFSET($AU$3,,MATCH(ROW(),$AU$3:$BF$3,)-2)+2&amp;":$R"&amp;ROW()-1))),IF($AR786="本年累计",SUMIF($AR$6:$AR786,"本月合计",$R$6:$R785),INDEX(凭证录入!L:L,$AR786))))</f>
        <v>0</v>
      </c>
      <c r="S786" s="459" t="str">
        <f t="shared" ca="1" si="171"/>
        <v/>
      </c>
      <c r="T786" s="460" t="str">
        <f t="shared" ca="1" si="171"/>
        <v/>
      </c>
      <c r="U786" s="460" t="str">
        <f t="shared" ca="1" si="171"/>
        <v/>
      </c>
      <c r="V786" s="460" t="str">
        <f t="shared" ca="1" si="171"/>
        <v/>
      </c>
      <c r="W786" s="460" t="str">
        <f t="shared" ca="1" si="171"/>
        <v/>
      </c>
      <c r="X786" s="460" t="str">
        <f t="shared" ca="1" si="171"/>
        <v/>
      </c>
      <c r="Y786" s="460" t="str">
        <f t="shared" ca="1" si="171"/>
        <v/>
      </c>
      <c r="Z786" s="460" t="str">
        <f t="shared" ca="1" si="171"/>
        <v/>
      </c>
      <c r="AA786" s="461" t="str">
        <f t="shared" ca="1" si="171"/>
        <v/>
      </c>
      <c r="AB786" s="474" t="str">
        <f t="shared" ca="1" si="171"/>
        <v/>
      </c>
      <c r="AC786" s="475" t="str">
        <f t="shared" ca="1" si="171"/>
        <v/>
      </c>
      <c r="AD786" s="477" t="str">
        <f t="shared" ca="1" si="172"/>
        <v/>
      </c>
      <c r="AE786" s="478">
        <f t="shared" ca="1" si="173"/>
        <v>0</v>
      </c>
      <c r="AF786" s="459" t="str">
        <f t="shared" ca="1" si="169"/>
        <v/>
      </c>
      <c r="AG786" s="460" t="str">
        <f t="shared" ca="1" si="169"/>
        <v/>
      </c>
      <c r="AH786" s="460" t="str">
        <f t="shared" ca="1" si="169"/>
        <v/>
      </c>
      <c r="AI786" s="460" t="str">
        <f t="shared" ca="1" si="169"/>
        <v/>
      </c>
      <c r="AJ786" s="460" t="str">
        <f t="shared" ca="1" si="169"/>
        <v/>
      </c>
      <c r="AK786" s="460" t="str">
        <f t="shared" ca="1" si="169"/>
        <v/>
      </c>
      <c r="AL786" s="460" t="str">
        <f t="shared" ca="1" si="169"/>
        <v/>
      </c>
      <c r="AM786" s="460" t="str">
        <f t="shared" ca="1" si="169"/>
        <v/>
      </c>
      <c r="AN786" s="461" t="str">
        <f t="shared" ca="1" si="169"/>
        <v/>
      </c>
      <c r="AO786" s="474" t="str">
        <f t="shared" ca="1" si="169"/>
        <v/>
      </c>
      <c r="AP786" s="475" t="str">
        <f t="shared" ca="1" si="169"/>
        <v/>
      </c>
      <c r="AQ786" s="479" t="str">
        <f t="array" aca="1" ref="AQ786" ca="1">IF(ROW()-5&lt;=COUNTIF(科目编号,$AR$2),SMALL(IF(科目编号=$AR$2,ROW(科目编号),""),ROW()-5),"")</f>
        <v/>
      </c>
      <c r="AR786" s="480" t="str">
        <f ca="1">IF($BG$2=0,"",IF(AR785="本月合计","本年累计",IF(OR(ROW()=$AU$3,ROW()=$AV$3,ROW()=$AW$3,ROW()=$AX$3,ROW()=$AY$3,ROW()=$AZ$3,ROW()=$BA$3,ROW()=$BB$3,ROW()=$BC$3,ROW()=$BD$3,ROW()=$BE$3,ROW()=$BF$3),"本月合计",IF(ROW()&lt;7,$AQ$6,OFFSET($AQ$6,COUNT($AR$6:AR785),0)))))</f>
        <v/>
      </c>
    </row>
    <row r="787" spans="1:44">
      <c r="A787" s="469" t="str">
        <f ca="1">IFERROR(INDEX(凭证录入!A:A,$AR787),"")</f>
        <v/>
      </c>
      <c r="B787" s="469" t="str">
        <f ca="1">IFERROR(INDEX(凭证录入!B:B,$AR787),"")</f>
        <v/>
      </c>
      <c r="C787" s="470" t="str">
        <f ca="1">IFERROR(INDEX(凭证录入!G:G,$AR787),"")</f>
        <v/>
      </c>
      <c r="D787" s="471" t="str">
        <f ca="1">IFERROR(INDEX(凭证录入!F:F,$AR787),"")</f>
        <v/>
      </c>
      <c r="E787" s="472" t="str">
        <f ca="1">IFERROR(INDEX(凭证录入!H:H,$AR787),$AR787)</f>
        <v/>
      </c>
      <c r="F787" s="473">
        <f ca="1">IF(OR($BG$2=0,$AR787=""),,IF($AR787="本月合计",IF(ROW()=$BG$3,SUM($F$6:$F786),SUM(INDIRECT("$F$"&amp;OFFSET($AU$3,,MATCH(ROW(),$AU$3:$BF$3,)-2)+2&amp;":$E"&amp;ROW()-1))),IF($AR787="本年累计",SUMIF($AR$6:$AR787,"本月合计",$F$6:$F786),INDEX(凭证录入!K:K,$AR787))))</f>
        <v>0</v>
      </c>
      <c r="G787" s="459" t="str">
        <f t="shared" ca="1" si="170"/>
        <v/>
      </c>
      <c r="H787" s="460" t="str">
        <f t="shared" ca="1" si="170"/>
        <v/>
      </c>
      <c r="I787" s="460" t="str">
        <f t="shared" ca="1" si="170"/>
        <v/>
      </c>
      <c r="J787" s="460" t="str">
        <f t="shared" ca="1" si="170"/>
        <v/>
      </c>
      <c r="K787" s="460" t="str">
        <f t="shared" ca="1" si="170"/>
        <v/>
      </c>
      <c r="L787" s="460" t="str">
        <f t="shared" ca="1" si="170"/>
        <v/>
      </c>
      <c r="M787" s="460" t="str">
        <f t="shared" ca="1" si="170"/>
        <v/>
      </c>
      <c r="N787" s="460" t="str">
        <f t="shared" ca="1" si="170"/>
        <v/>
      </c>
      <c r="O787" s="461" t="str">
        <f t="shared" ca="1" si="170"/>
        <v/>
      </c>
      <c r="P787" s="474" t="str">
        <f t="shared" ca="1" si="170"/>
        <v/>
      </c>
      <c r="Q787" s="475" t="str">
        <f t="shared" ca="1" si="170"/>
        <v/>
      </c>
      <c r="R787" s="476">
        <f ca="1">IF(OR($BG$2=0,$AR787=""),,IF($AR787="本月合计",IF(ROW()=$BG$3,SUM($R$6:$R786),SUM(INDIRECT("$R$"&amp;OFFSET($AU$3,,MATCH(ROW(),$AU$3:$BF$3,)-2)+2&amp;":$R"&amp;ROW()-1))),IF($AR787="本年累计",SUMIF($AR$6:$AR787,"本月合计",$R$6:$R786),INDEX(凭证录入!L:L,$AR787))))</f>
        <v>0</v>
      </c>
      <c r="S787" s="459" t="str">
        <f t="shared" ca="1" si="171"/>
        <v/>
      </c>
      <c r="T787" s="460" t="str">
        <f t="shared" ca="1" si="171"/>
        <v/>
      </c>
      <c r="U787" s="460" t="str">
        <f t="shared" ca="1" si="171"/>
        <v/>
      </c>
      <c r="V787" s="460" t="str">
        <f t="shared" ca="1" si="171"/>
        <v/>
      </c>
      <c r="W787" s="460" t="str">
        <f t="shared" ca="1" si="171"/>
        <v/>
      </c>
      <c r="X787" s="460" t="str">
        <f t="shared" ca="1" si="171"/>
        <v/>
      </c>
      <c r="Y787" s="460" t="str">
        <f t="shared" ca="1" si="171"/>
        <v/>
      </c>
      <c r="Z787" s="460" t="str">
        <f t="shared" ca="1" si="171"/>
        <v/>
      </c>
      <c r="AA787" s="461" t="str">
        <f t="shared" ca="1" si="171"/>
        <v/>
      </c>
      <c r="AB787" s="474" t="str">
        <f t="shared" ca="1" si="171"/>
        <v/>
      </c>
      <c r="AC787" s="475" t="str">
        <f t="shared" ca="1" si="171"/>
        <v/>
      </c>
      <c r="AD787" s="477" t="str">
        <f t="shared" ca="1" si="172"/>
        <v/>
      </c>
      <c r="AE787" s="478">
        <f t="shared" ca="1" si="173"/>
        <v>0</v>
      </c>
      <c r="AF787" s="459" t="str">
        <f t="shared" ca="1" si="169"/>
        <v/>
      </c>
      <c r="AG787" s="460" t="str">
        <f t="shared" ca="1" si="169"/>
        <v/>
      </c>
      <c r="AH787" s="460" t="str">
        <f t="shared" ca="1" si="169"/>
        <v/>
      </c>
      <c r="AI787" s="460" t="str">
        <f t="shared" ca="1" si="169"/>
        <v/>
      </c>
      <c r="AJ787" s="460" t="str">
        <f t="shared" ca="1" si="169"/>
        <v/>
      </c>
      <c r="AK787" s="460" t="str">
        <f t="shared" ca="1" si="169"/>
        <v/>
      </c>
      <c r="AL787" s="460" t="str">
        <f t="shared" ca="1" si="169"/>
        <v/>
      </c>
      <c r="AM787" s="460" t="str">
        <f t="shared" ca="1" si="169"/>
        <v/>
      </c>
      <c r="AN787" s="461" t="str">
        <f t="shared" ca="1" si="169"/>
        <v/>
      </c>
      <c r="AO787" s="474" t="str">
        <f t="shared" ca="1" si="169"/>
        <v/>
      </c>
      <c r="AP787" s="475" t="str">
        <f t="shared" ca="1" si="169"/>
        <v/>
      </c>
      <c r="AQ787" s="479" t="str">
        <f t="array" aca="1" ref="AQ787" ca="1">IF(ROW()-5&lt;=COUNTIF(科目编号,$AR$2),SMALL(IF(科目编号=$AR$2,ROW(科目编号),""),ROW()-5),"")</f>
        <v/>
      </c>
      <c r="AR787" s="480" t="str">
        <f ca="1">IF($BG$2=0,"",IF(AR786="本月合计","本年累计",IF(OR(ROW()=$AU$3,ROW()=$AV$3,ROW()=$AW$3,ROW()=$AX$3,ROW()=$AY$3,ROW()=$AZ$3,ROW()=$BA$3,ROW()=$BB$3,ROW()=$BC$3,ROW()=$BD$3,ROW()=$BE$3,ROW()=$BF$3),"本月合计",IF(ROW()&lt;7,$AQ$6,OFFSET($AQ$6,COUNT($AR$6:AR786),0)))))</f>
        <v/>
      </c>
    </row>
    <row r="788" spans="1:44">
      <c r="A788" s="469" t="str">
        <f ca="1">IFERROR(INDEX(凭证录入!A:A,$AR788),"")</f>
        <v/>
      </c>
      <c r="B788" s="469" t="str">
        <f ca="1">IFERROR(INDEX(凭证录入!B:B,$AR788),"")</f>
        <v/>
      </c>
      <c r="C788" s="470" t="str">
        <f ca="1">IFERROR(INDEX(凭证录入!G:G,$AR788),"")</f>
        <v/>
      </c>
      <c r="D788" s="471" t="str">
        <f ca="1">IFERROR(INDEX(凭证录入!F:F,$AR788),"")</f>
        <v/>
      </c>
      <c r="E788" s="472" t="str">
        <f ca="1">IFERROR(INDEX(凭证录入!H:H,$AR788),$AR788)</f>
        <v/>
      </c>
      <c r="F788" s="473">
        <f ca="1">IF(OR($BG$2=0,$AR788=""),,IF($AR788="本月合计",IF(ROW()=$BG$3,SUM($F$6:$F787),SUM(INDIRECT("$F$"&amp;OFFSET($AU$3,,MATCH(ROW(),$AU$3:$BF$3,)-2)+2&amp;":$E"&amp;ROW()-1))),IF($AR788="本年累计",SUMIF($AR$6:$AR788,"本月合计",$F$6:$F787),INDEX(凭证录入!K:K,$AR788))))</f>
        <v>0</v>
      </c>
      <c r="G788" s="459" t="str">
        <f t="shared" ca="1" si="170"/>
        <v/>
      </c>
      <c r="H788" s="460" t="str">
        <f t="shared" ca="1" si="170"/>
        <v/>
      </c>
      <c r="I788" s="460" t="str">
        <f t="shared" ca="1" si="170"/>
        <v/>
      </c>
      <c r="J788" s="460" t="str">
        <f t="shared" ca="1" si="170"/>
        <v/>
      </c>
      <c r="K788" s="460" t="str">
        <f t="shared" ca="1" si="170"/>
        <v/>
      </c>
      <c r="L788" s="460" t="str">
        <f t="shared" ca="1" si="170"/>
        <v/>
      </c>
      <c r="M788" s="460" t="str">
        <f t="shared" ca="1" si="170"/>
        <v/>
      </c>
      <c r="N788" s="460" t="str">
        <f t="shared" ca="1" si="170"/>
        <v/>
      </c>
      <c r="O788" s="461" t="str">
        <f t="shared" ca="1" si="170"/>
        <v/>
      </c>
      <c r="P788" s="474" t="str">
        <f t="shared" ca="1" si="170"/>
        <v/>
      </c>
      <c r="Q788" s="475" t="str">
        <f t="shared" ca="1" si="170"/>
        <v/>
      </c>
      <c r="R788" s="476">
        <f ca="1">IF(OR($BG$2=0,$AR788=""),,IF($AR788="本月合计",IF(ROW()=$BG$3,SUM($R$6:$R787),SUM(INDIRECT("$R$"&amp;OFFSET($AU$3,,MATCH(ROW(),$AU$3:$BF$3,)-2)+2&amp;":$R"&amp;ROW()-1))),IF($AR788="本年累计",SUMIF($AR$6:$AR788,"本月合计",$R$6:$R787),INDEX(凭证录入!L:L,$AR788))))</f>
        <v>0</v>
      </c>
      <c r="S788" s="459" t="str">
        <f t="shared" ca="1" si="171"/>
        <v/>
      </c>
      <c r="T788" s="460" t="str">
        <f t="shared" ca="1" si="171"/>
        <v/>
      </c>
      <c r="U788" s="460" t="str">
        <f t="shared" ca="1" si="171"/>
        <v/>
      </c>
      <c r="V788" s="460" t="str">
        <f t="shared" ca="1" si="171"/>
        <v/>
      </c>
      <c r="W788" s="460" t="str">
        <f t="shared" ca="1" si="171"/>
        <v/>
      </c>
      <c r="X788" s="460" t="str">
        <f t="shared" ca="1" si="171"/>
        <v/>
      </c>
      <c r="Y788" s="460" t="str">
        <f t="shared" ca="1" si="171"/>
        <v/>
      </c>
      <c r="Z788" s="460" t="str">
        <f t="shared" ca="1" si="171"/>
        <v/>
      </c>
      <c r="AA788" s="461" t="str">
        <f t="shared" ca="1" si="171"/>
        <v/>
      </c>
      <c r="AB788" s="474" t="str">
        <f t="shared" ca="1" si="171"/>
        <v/>
      </c>
      <c r="AC788" s="475" t="str">
        <f t="shared" ca="1" si="171"/>
        <v/>
      </c>
      <c r="AD788" s="477" t="str">
        <f t="shared" ca="1" si="172"/>
        <v/>
      </c>
      <c r="AE788" s="478">
        <f t="shared" ca="1" si="173"/>
        <v>0</v>
      </c>
      <c r="AF788" s="459" t="str">
        <f t="shared" ca="1" si="169"/>
        <v/>
      </c>
      <c r="AG788" s="460" t="str">
        <f t="shared" ca="1" si="169"/>
        <v/>
      </c>
      <c r="AH788" s="460" t="str">
        <f t="shared" ca="1" si="169"/>
        <v/>
      </c>
      <c r="AI788" s="460" t="str">
        <f t="shared" ca="1" si="169"/>
        <v/>
      </c>
      <c r="AJ788" s="460" t="str">
        <f t="shared" ca="1" si="169"/>
        <v/>
      </c>
      <c r="AK788" s="460" t="str">
        <f t="shared" ca="1" si="169"/>
        <v/>
      </c>
      <c r="AL788" s="460" t="str">
        <f t="shared" ca="1" si="169"/>
        <v/>
      </c>
      <c r="AM788" s="460" t="str">
        <f t="shared" ca="1" si="169"/>
        <v/>
      </c>
      <c r="AN788" s="461" t="str">
        <f t="shared" ca="1" si="169"/>
        <v/>
      </c>
      <c r="AO788" s="474" t="str">
        <f t="shared" ca="1" si="169"/>
        <v/>
      </c>
      <c r="AP788" s="475" t="str">
        <f t="shared" ca="1" si="169"/>
        <v/>
      </c>
      <c r="AQ788" s="479" t="str">
        <f t="array" aca="1" ref="AQ788" ca="1">IF(ROW()-5&lt;=COUNTIF(科目编号,$AR$2),SMALL(IF(科目编号=$AR$2,ROW(科目编号),""),ROW()-5),"")</f>
        <v/>
      </c>
      <c r="AR788" s="480" t="str">
        <f ca="1">IF($BG$2=0,"",IF(AR787="本月合计","本年累计",IF(OR(ROW()=$AU$3,ROW()=$AV$3,ROW()=$AW$3,ROW()=$AX$3,ROW()=$AY$3,ROW()=$AZ$3,ROW()=$BA$3,ROW()=$BB$3,ROW()=$BC$3,ROW()=$BD$3,ROW()=$BE$3,ROW()=$BF$3),"本月合计",IF(ROW()&lt;7,$AQ$6,OFFSET($AQ$6,COUNT($AR$6:AR787),0)))))</f>
        <v/>
      </c>
    </row>
    <row r="789" spans="1:44">
      <c r="A789" s="469" t="str">
        <f ca="1">IFERROR(INDEX(凭证录入!A:A,$AR789),"")</f>
        <v/>
      </c>
      <c r="B789" s="469" t="str">
        <f ca="1">IFERROR(INDEX(凭证录入!B:B,$AR789),"")</f>
        <v/>
      </c>
      <c r="C789" s="470" t="str">
        <f ca="1">IFERROR(INDEX(凭证录入!G:G,$AR789),"")</f>
        <v/>
      </c>
      <c r="D789" s="471" t="str">
        <f ca="1">IFERROR(INDEX(凭证录入!F:F,$AR789),"")</f>
        <v/>
      </c>
      <c r="E789" s="472" t="str">
        <f ca="1">IFERROR(INDEX(凭证录入!H:H,$AR789),$AR789)</f>
        <v/>
      </c>
      <c r="F789" s="473">
        <f ca="1">IF(OR($BG$2=0,$AR789=""),,IF($AR789="本月合计",IF(ROW()=$BG$3,SUM($F$6:$F788),SUM(INDIRECT("$F$"&amp;OFFSET($AU$3,,MATCH(ROW(),$AU$3:$BF$3,)-2)+2&amp;":$E"&amp;ROW()-1))),IF($AR789="本年累计",SUMIF($AR$6:$AR789,"本月合计",$F$6:$F788),INDEX(凭证录入!K:K,$AR789))))</f>
        <v>0</v>
      </c>
      <c r="G789" s="459" t="str">
        <f t="shared" ca="1" si="170"/>
        <v/>
      </c>
      <c r="H789" s="460" t="str">
        <f t="shared" ca="1" si="170"/>
        <v/>
      </c>
      <c r="I789" s="460" t="str">
        <f t="shared" ca="1" si="170"/>
        <v/>
      </c>
      <c r="J789" s="460" t="str">
        <f t="shared" ca="1" si="170"/>
        <v/>
      </c>
      <c r="K789" s="460" t="str">
        <f t="shared" ca="1" si="170"/>
        <v/>
      </c>
      <c r="L789" s="460" t="str">
        <f t="shared" ca="1" si="170"/>
        <v/>
      </c>
      <c r="M789" s="460" t="str">
        <f t="shared" ca="1" si="170"/>
        <v/>
      </c>
      <c r="N789" s="460" t="str">
        <f t="shared" ca="1" si="170"/>
        <v/>
      </c>
      <c r="O789" s="461" t="str">
        <f t="shared" ca="1" si="170"/>
        <v/>
      </c>
      <c r="P789" s="474" t="str">
        <f t="shared" ca="1" si="170"/>
        <v/>
      </c>
      <c r="Q789" s="475" t="str">
        <f t="shared" ca="1" si="170"/>
        <v/>
      </c>
      <c r="R789" s="476">
        <f ca="1">IF(OR($BG$2=0,$AR789=""),,IF($AR789="本月合计",IF(ROW()=$BG$3,SUM($R$6:$R788),SUM(INDIRECT("$R$"&amp;OFFSET($AU$3,,MATCH(ROW(),$AU$3:$BF$3,)-2)+2&amp;":$R"&amp;ROW()-1))),IF($AR789="本年累计",SUMIF($AR$6:$AR789,"本月合计",$R$6:$R788),INDEX(凭证录入!L:L,$AR789))))</f>
        <v>0</v>
      </c>
      <c r="S789" s="459" t="str">
        <f t="shared" ca="1" si="171"/>
        <v/>
      </c>
      <c r="T789" s="460" t="str">
        <f t="shared" ca="1" si="171"/>
        <v/>
      </c>
      <c r="U789" s="460" t="str">
        <f t="shared" ca="1" si="171"/>
        <v/>
      </c>
      <c r="V789" s="460" t="str">
        <f t="shared" ca="1" si="171"/>
        <v/>
      </c>
      <c r="W789" s="460" t="str">
        <f t="shared" ca="1" si="171"/>
        <v/>
      </c>
      <c r="X789" s="460" t="str">
        <f t="shared" ca="1" si="171"/>
        <v/>
      </c>
      <c r="Y789" s="460" t="str">
        <f t="shared" ca="1" si="171"/>
        <v/>
      </c>
      <c r="Z789" s="460" t="str">
        <f t="shared" ca="1" si="171"/>
        <v/>
      </c>
      <c r="AA789" s="461" t="str">
        <f t="shared" ca="1" si="171"/>
        <v/>
      </c>
      <c r="AB789" s="474" t="str">
        <f t="shared" ca="1" si="171"/>
        <v/>
      </c>
      <c r="AC789" s="475" t="str">
        <f t="shared" ca="1" si="171"/>
        <v/>
      </c>
      <c r="AD789" s="477" t="str">
        <f t="shared" ca="1" si="172"/>
        <v/>
      </c>
      <c r="AE789" s="478">
        <f t="shared" ca="1" si="173"/>
        <v>0</v>
      </c>
      <c r="AF789" s="459" t="str">
        <f t="shared" ref="AF789:AP804" ca="1" si="174">LEFT(RIGHT(TEXT($AE789/1%," ￥0; ￥-0;"),43-COLUMN()))</f>
        <v/>
      </c>
      <c r="AG789" s="460" t="str">
        <f t="shared" ca="1" si="174"/>
        <v/>
      </c>
      <c r="AH789" s="460" t="str">
        <f t="shared" ca="1" si="174"/>
        <v/>
      </c>
      <c r="AI789" s="460" t="str">
        <f t="shared" ca="1" si="174"/>
        <v/>
      </c>
      <c r="AJ789" s="460" t="str">
        <f t="shared" ca="1" si="174"/>
        <v/>
      </c>
      <c r="AK789" s="460" t="str">
        <f t="shared" ca="1" si="174"/>
        <v/>
      </c>
      <c r="AL789" s="460" t="str">
        <f t="shared" ca="1" si="174"/>
        <v/>
      </c>
      <c r="AM789" s="460" t="str">
        <f t="shared" ca="1" si="174"/>
        <v/>
      </c>
      <c r="AN789" s="461" t="str">
        <f t="shared" ca="1" si="174"/>
        <v/>
      </c>
      <c r="AO789" s="474" t="str">
        <f t="shared" ca="1" si="174"/>
        <v/>
      </c>
      <c r="AP789" s="475" t="str">
        <f t="shared" ca="1" si="174"/>
        <v/>
      </c>
      <c r="AQ789" s="479" t="str">
        <f t="array" aca="1" ref="AQ789" ca="1">IF(ROW()-5&lt;=COUNTIF(科目编号,$AR$2),SMALL(IF(科目编号=$AR$2,ROW(科目编号),""),ROW()-5),"")</f>
        <v/>
      </c>
      <c r="AR789" s="480" t="str">
        <f ca="1">IF($BG$2=0,"",IF(AR788="本月合计","本年累计",IF(OR(ROW()=$AU$3,ROW()=$AV$3,ROW()=$AW$3,ROW()=$AX$3,ROW()=$AY$3,ROW()=$AZ$3,ROW()=$BA$3,ROW()=$BB$3,ROW()=$BC$3,ROW()=$BD$3,ROW()=$BE$3,ROW()=$BF$3),"本月合计",IF(ROW()&lt;7,$AQ$6,OFFSET($AQ$6,COUNT($AR$6:AR788),0)))))</f>
        <v/>
      </c>
    </row>
    <row r="790" spans="1:44">
      <c r="A790" s="469" t="str">
        <f ca="1">IFERROR(INDEX(凭证录入!A:A,$AR790),"")</f>
        <v/>
      </c>
      <c r="B790" s="469" t="str">
        <f ca="1">IFERROR(INDEX(凭证录入!B:B,$AR790),"")</f>
        <v/>
      </c>
      <c r="C790" s="470" t="str">
        <f ca="1">IFERROR(INDEX(凭证录入!G:G,$AR790),"")</f>
        <v/>
      </c>
      <c r="D790" s="471" t="str">
        <f ca="1">IFERROR(INDEX(凭证录入!F:F,$AR790),"")</f>
        <v/>
      </c>
      <c r="E790" s="472" t="str">
        <f ca="1">IFERROR(INDEX(凭证录入!H:H,$AR790),$AR790)</f>
        <v/>
      </c>
      <c r="F790" s="473">
        <f ca="1">IF(OR($BG$2=0,$AR790=""),,IF($AR790="本月合计",IF(ROW()=$BG$3,SUM($F$6:$F789),SUM(INDIRECT("$F$"&amp;OFFSET($AU$3,,MATCH(ROW(),$AU$3:$BF$3,)-2)+2&amp;":$E"&amp;ROW()-1))),IF($AR790="本年累计",SUMIF($AR$6:$AR790,"本月合计",$F$6:$F789),INDEX(凭证录入!K:K,$AR790))))</f>
        <v>0</v>
      </c>
      <c r="G790" s="459" t="str">
        <f t="shared" ref="G790:Q805" ca="1" si="175">LEFT(RIGHT(TEXT($F790/1%," ￥0; ￥-0;"),18-COLUMN()))</f>
        <v/>
      </c>
      <c r="H790" s="460" t="str">
        <f t="shared" ca="1" si="175"/>
        <v/>
      </c>
      <c r="I790" s="460" t="str">
        <f t="shared" ca="1" si="175"/>
        <v/>
      </c>
      <c r="J790" s="460" t="str">
        <f t="shared" ca="1" si="175"/>
        <v/>
      </c>
      <c r="K790" s="460" t="str">
        <f t="shared" ca="1" si="175"/>
        <v/>
      </c>
      <c r="L790" s="460" t="str">
        <f t="shared" ca="1" si="175"/>
        <v/>
      </c>
      <c r="M790" s="460" t="str">
        <f t="shared" ca="1" si="175"/>
        <v/>
      </c>
      <c r="N790" s="460" t="str">
        <f t="shared" ca="1" si="175"/>
        <v/>
      </c>
      <c r="O790" s="461" t="str">
        <f t="shared" ca="1" si="175"/>
        <v/>
      </c>
      <c r="P790" s="474" t="str">
        <f t="shared" ca="1" si="175"/>
        <v/>
      </c>
      <c r="Q790" s="475" t="str">
        <f t="shared" ca="1" si="175"/>
        <v/>
      </c>
      <c r="R790" s="476">
        <f ca="1">IF(OR($BG$2=0,$AR790=""),,IF($AR790="本月合计",IF(ROW()=$BG$3,SUM($R$6:$R789),SUM(INDIRECT("$R$"&amp;OFFSET($AU$3,,MATCH(ROW(),$AU$3:$BF$3,)-2)+2&amp;":$R"&amp;ROW()-1))),IF($AR790="本年累计",SUMIF($AR$6:$AR790,"本月合计",$R$6:$R789),INDEX(凭证录入!L:L,$AR790))))</f>
        <v>0</v>
      </c>
      <c r="S790" s="459" t="str">
        <f t="shared" ref="S790:AC805" ca="1" si="176">LEFT(RIGHT(TEXT($R790/1%," ￥0; ￥-0;"),30-COLUMN()))</f>
        <v/>
      </c>
      <c r="T790" s="460" t="str">
        <f t="shared" ca="1" si="176"/>
        <v/>
      </c>
      <c r="U790" s="460" t="str">
        <f t="shared" ca="1" si="176"/>
        <v/>
      </c>
      <c r="V790" s="460" t="str">
        <f t="shared" ca="1" si="176"/>
        <v/>
      </c>
      <c r="W790" s="460" t="str">
        <f t="shared" ca="1" si="176"/>
        <v/>
      </c>
      <c r="X790" s="460" t="str">
        <f t="shared" ca="1" si="176"/>
        <v/>
      </c>
      <c r="Y790" s="460" t="str">
        <f t="shared" ca="1" si="176"/>
        <v/>
      </c>
      <c r="Z790" s="460" t="str">
        <f t="shared" ca="1" si="176"/>
        <v/>
      </c>
      <c r="AA790" s="461" t="str">
        <f t="shared" ca="1" si="176"/>
        <v/>
      </c>
      <c r="AB790" s="474" t="str">
        <f t="shared" ca="1" si="176"/>
        <v/>
      </c>
      <c r="AC790" s="475" t="str">
        <f t="shared" ca="1" si="176"/>
        <v/>
      </c>
      <c r="AD790" s="477" t="str">
        <f t="shared" ca="1" si="172"/>
        <v/>
      </c>
      <c r="AE790" s="478">
        <f t="shared" ca="1" si="173"/>
        <v>0</v>
      </c>
      <c r="AF790" s="459" t="str">
        <f t="shared" ca="1" si="174"/>
        <v/>
      </c>
      <c r="AG790" s="460" t="str">
        <f t="shared" ca="1" si="174"/>
        <v/>
      </c>
      <c r="AH790" s="460" t="str">
        <f t="shared" ca="1" si="174"/>
        <v/>
      </c>
      <c r="AI790" s="460" t="str">
        <f t="shared" ca="1" si="174"/>
        <v/>
      </c>
      <c r="AJ790" s="460" t="str">
        <f t="shared" ca="1" si="174"/>
        <v/>
      </c>
      <c r="AK790" s="460" t="str">
        <f t="shared" ca="1" si="174"/>
        <v/>
      </c>
      <c r="AL790" s="460" t="str">
        <f t="shared" ca="1" si="174"/>
        <v/>
      </c>
      <c r="AM790" s="460" t="str">
        <f t="shared" ca="1" si="174"/>
        <v/>
      </c>
      <c r="AN790" s="461" t="str">
        <f t="shared" ca="1" si="174"/>
        <v/>
      </c>
      <c r="AO790" s="474" t="str">
        <f t="shared" ca="1" si="174"/>
        <v/>
      </c>
      <c r="AP790" s="475" t="str">
        <f t="shared" ca="1" si="174"/>
        <v/>
      </c>
      <c r="AQ790" s="479" t="str">
        <f t="array" aca="1" ref="AQ790" ca="1">IF(ROW()-5&lt;=COUNTIF(科目编号,$AR$2),SMALL(IF(科目编号=$AR$2,ROW(科目编号),""),ROW()-5),"")</f>
        <v/>
      </c>
      <c r="AR790" s="480" t="str">
        <f ca="1">IF($BG$2=0,"",IF(AR789="本月合计","本年累计",IF(OR(ROW()=$AU$3,ROW()=$AV$3,ROW()=$AW$3,ROW()=$AX$3,ROW()=$AY$3,ROW()=$AZ$3,ROW()=$BA$3,ROW()=$BB$3,ROW()=$BC$3,ROW()=$BD$3,ROW()=$BE$3,ROW()=$BF$3),"本月合计",IF(ROW()&lt;7,$AQ$6,OFFSET($AQ$6,COUNT($AR$6:AR789),0)))))</f>
        <v/>
      </c>
    </row>
    <row r="791" spans="1:44">
      <c r="A791" s="469" t="str">
        <f ca="1">IFERROR(INDEX(凭证录入!A:A,$AR791),"")</f>
        <v/>
      </c>
      <c r="B791" s="469" t="str">
        <f ca="1">IFERROR(INDEX(凭证录入!B:B,$AR791),"")</f>
        <v/>
      </c>
      <c r="C791" s="470" t="str">
        <f ca="1">IFERROR(INDEX(凭证录入!G:G,$AR791),"")</f>
        <v/>
      </c>
      <c r="D791" s="471" t="str">
        <f ca="1">IFERROR(INDEX(凭证录入!F:F,$AR791),"")</f>
        <v/>
      </c>
      <c r="E791" s="472" t="str">
        <f ca="1">IFERROR(INDEX(凭证录入!H:H,$AR791),$AR791)</f>
        <v/>
      </c>
      <c r="F791" s="473">
        <f ca="1">IF(OR($BG$2=0,$AR791=""),,IF($AR791="本月合计",IF(ROW()=$BG$3,SUM($F$6:$F790),SUM(INDIRECT("$F$"&amp;OFFSET($AU$3,,MATCH(ROW(),$AU$3:$BF$3,)-2)+2&amp;":$E"&amp;ROW()-1))),IF($AR791="本年累计",SUMIF($AR$6:$AR791,"本月合计",$F$6:$F790),INDEX(凭证录入!K:K,$AR791))))</f>
        <v>0</v>
      </c>
      <c r="G791" s="459" t="str">
        <f t="shared" ca="1" si="175"/>
        <v/>
      </c>
      <c r="H791" s="460" t="str">
        <f t="shared" ca="1" si="175"/>
        <v/>
      </c>
      <c r="I791" s="460" t="str">
        <f t="shared" ca="1" si="175"/>
        <v/>
      </c>
      <c r="J791" s="460" t="str">
        <f t="shared" ca="1" si="175"/>
        <v/>
      </c>
      <c r="K791" s="460" t="str">
        <f t="shared" ca="1" si="175"/>
        <v/>
      </c>
      <c r="L791" s="460" t="str">
        <f t="shared" ca="1" si="175"/>
        <v/>
      </c>
      <c r="M791" s="460" t="str">
        <f t="shared" ca="1" si="175"/>
        <v/>
      </c>
      <c r="N791" s="460" t="str">
        <f t="shared" ca="1" si="175"/>
        <v/>
      </c>
      <c r="O791" s="461" t="str">
        <f t="shared" ca="1" si="175"/>
        <v/>
      </c>
      <c r="P791" s="474" t="str">
        <f t="shared" ca="1" si="175"/>
        <v/>
      </c>
      <c r="Q791" s="475" t="str">
        <f t="shared" ca="1" si="175"/>
        <v/>
      </c>
      <c r="R791" s="476">
        <f ca="1">IF(OR($BG$2=0,$AR791=""),,IF($AR791="本月合计",IF(ROW()=$BG$3,SUM($R$6:$R790),SUM(INDIRECT("$R$"&amp;OFFSET($AU$3,,MATCH(ROW(),$AU$3:$BF$3,)-2)+2&amp;":$R"&amp;ROW()-1))),IF($AR791="本年累计",SUMIF($AR$6:$AR791,"本月合计",$R$6:$R790),INDEX(凭证录入!L:L,$AR791))))</f>
        <v>0</v>
      </c>
      <c r="S791" s="459" t="str">
        <f t="shared" ca="1" si="176"/>
        <v/>
      </c>
      <c r="T791" s="460" t="str">
        <f t="shared" ca="1" si="176"/>
        <v/>
      </c>
      <c r="U791" s="460" t="str">
        <f t="shared" ca="1" si="176"/>
        <v/>
      </c>
      <c r="V791" s="460" t="str">
        <f t="shared" ca="1" si="176"/>
        <v/>
      </c>
      <c r="W791" s="460" t="str">
        <f t="shared" ca="1" si="176"/>
        <v/>
      </c>
      <c r="X791" s="460" t="str">
        <f t="shared" ca="1" si="176"/>
        <v/>
      </c>
      <c r="Y791" s="460" t="str">
        <f t="shared" ca="1" si="176"/>
        <v/>
      </c>
      <c r="Z791" s="460" t="str">
        <f t="shared" ca="1" si="176"/>
        <v/>
      </c>
      <c r="AA791" s="461" t="str">
        <f t="shared" ca="1" si="176"/>
        <v/>
      </c>
      <c r="AB791" s="474" t="str">
        <f t="shared" ca="1" si="176"/>
        <v/>
      </c>
      <c r="AC791" s="475" t="str">
        <f t="shared" ca="1" si="176"/>
        <v/>
      </c>
      <c r="AD791" s="477" t="str">
        <f t="shared" ca="1" si="172"/>
        <v/>
      </c>
      <c r="AE791" s="478">
        <f t="shared" ca="1" si="173"/>
        <v>0</v>
      </c>
      <c r="AF791" s="459" t="str">
        <f t="shared" ca="1" si="174"/>
        <v/>
      </c>
      <c r="AG791" s="460" t="str">
        <f t="shared" ca="1" si="174"/>
        <v/>
      </c>
      <c r="AH791" s="460" t="str">
        <f t="shared" ca="1" si="174"/>
        <v/>
      </c>
      <c r="AI791" s="460" t="str">
        <f t="shared" ca="1" si="174"/>
        <v/>
      </c>
      <c r="AJ791" s="460" t="str">
        <f t="shared" ca="1" si="174"/>
        <v/>
      </c>
      <c r="AK791" s="460" t="str">
        <f t="shared" ca="1" si="174"/>
        <v/>
      </c>
      <c r="AL791" s="460" t="str">
        <f t="shared" ca="1" si="174"/>
        <v/>
      </c>
      <c r="AM791" s="460" t="str">
        <f t="shared" ca="1" si="174"/>
        <v/>
      </c>
      <c r="AN791" s="461" t="str">
        <f t="shared" ca="1" si="174"/>
        <v/>
      </c>
      <c r="AO791" s="474" t="str">
        <f t="shared" ca="1" si="174"/>
        <v/>
      </c>
      <c r="AP791" s="475" t="str">
        <f t="shared" ca="1" si="174"/>
        <v/>
      </c>
      <c r="AQ791" s="479" t="str">
        <f t="array" aca="1" ref="AQ791" ca="1">IF(ROW()-5&lt;=COUNTIF(科目编号,$AR$2),SMALL(IF(科目编号=$AR$2,ROW(科目编号),""),ROW()-5),"")</f>
        <v/>
      </c>
      <c r="AR791" s="480" t="str">
        <f ca="1">IF($BG$2=0,"",IF(AR790="本月合计","本年累计",IF(OR(ROW()=$AU$3,ROW()=$AV$3,ROW()=$AW$3,ROW()=$AX$3,ROW()=$AY$3,ROW()=$AZ$3,ROW()=$BA$3,ROW()=$BB$3,ROW()=$BC$3,ROW()=$BD$3,ROW()=$BE$3,ROW()=$BF$3),"本月合计",IF(ROW()&lt;7,$AQ$6,OFFSET($AQ$6,COUNT($AR$6:AR790),0)))))</f>
        <v/>
      </c>
    </row>
    <row r="792" spans="1:44">
      <c r="A792" s="469" t="str">
        <f ca="1">IFERROR(INDEX(凭证录入!A:A,$AR792),"")</f>
        <v/>
      </c>
      <c r="B792" s="469" t="str">
        <f ca="1">IFERROR(INDEX(凭证录入!B:B,$AR792),"")</f>
        <v/>
      </c>
      <c r="C792" s="470" t="str">
        <f ca="1">IFERROR(INDEX(凭证录入!G:G,$AR792),"")</f>
        <v/>
      </c>
      <c r="D792" s="471" t="str">
        <f ca="1">IFERROR(INDEX(凭证录入!F:F,$AR792),"")</f>
        <v/>
      </c>
      <c r="E792" s="472" t="str">
        <f ca="1">IFERROR(INDEX(凭证录入!H:H,$AR792),$AR792)</f>
        <v/>
      </c>
      <c r="F792" s="473">
        <f ca="1">IF(OR($BG$2=0,$AR792=""),,IF($AR792="本月合计",IF(ROW()=$BG$3,SUM($F$6:$F791),SUM(INDIRECT("$F$"&amp;OFFSET($AU$3,,MATCH(ROW(),$AU$3:$BF$3,)-2)+2&amp;":$E"&amp;ROW()-1))),IF($AR792="本年累计",SUMIF($AR$6:$AR792,"本月合计",$F$6:$F791),INDEX(凭证录入!K:K,$AR792))))</f>
        <v>0</v>
      </c>
      <c r="G792" s="459" t="str">
        <f t="shared" ca="1" si="175"/>
        <v/>
      </c>
      <c r="H792" s="460" t="str">
        <f t="shared" ca="1" si="175"/>
        <v/>
      </c>
      <c r="I792" s="460" t="str">
        <f t="shared" ca="1" si="175"/>
        <v/>
      </c>
      <c r="J792" s="460" t="str">
        <f t="shared" ca="1" si="175"/>
        <v/>
      </c>
      <c r="K792" s="460" t="str">
        <f t="shared" ca="1" si="175"/>
        <v/>
      </c>
      <c r="L792" s="460" t="str">
        <f t="shared" ca="1" si="175"/>
        <v/>
      </c>
      <c r="M792" s="460" t="str">
        <f t="shared" ca="1" si="175"/>
        <v/>
      </c>
      <c r="N792" s="460" t="str">
        <f t="shared" ca="1" si="175"/>
        <v/>
      </c>
      <c r="O792" s="461" t="str">
        <f t="shared" ca="1" si="175"/>
        <v/>
      </c>
      <c r="P792" s="474" t="str">
        <f t="shared" ca="1" si="175"/>
        <v/>
      </c>
      <c r="Q792" s="475" t="str">
        <f t="shared" ca="1" si="175"/>
        <v/>
      </c>
      <c r="R792" s="476">
        <f ca="1">IF(OR($BG$2=0,$AR792=""),,IF($AR792="本月合计",IF(ROW()=$BG$3,SUM($R$6:$R791),SUM(INDIRECT("$R$"&amp;OFFSET($AU$3,,MATCH(ROW(),$AU$3:$BF$3,)-2)+2&amp;":$R"&amp;ROW()-1))),IF($AR792="本年累计",SUMIF($AR$6:$AR792,"本月合计",$R$6:$R791),INDEX(凭证录入!L:L,$AR792))))</f>
        <v>0</v>
      </c>
      <c r="S792" s="459" t="str">
        <f t="shared" ca="1" si="176"/>
        <v/>
      </c>
      <c r="T792" s="460" t="str">
        <f t="shared" ca="1" si="176"/>
        <v/>
      </c>
      <c r="U792" s="460" t="str">
        <f t="shared" ca="1" si="176"/>
        <v/>
      </c>
      <c r="V792" s="460" t="str">
        <f t="shared" ca="1" si="176"/>
        <v/>
      </c>
      <c r="W792" s="460" t="str">
        <f t="shared" ca="1" si="176"/>
        <v/>
      </c>
      <c r="X792" s="460" t="str">
        <f t="shared" ca="1" si="176"/>
        <v/>
      </c>
      <c r="Y792" s="460" t="str">
        <f t="shared" ca="1" si="176"/>
        <v/>
      </c>
      <c r="Z792" s="460" t="str">
        <f t="shared" ca="1" si="176"/>
        <v/>
      </c>
      <c r="AA792" s="461" t="str">
        <f t="shared" ca="1" si="176"/>
        <v/>
      </c>
      <c r="AB792" s="474" t="str">
        <f t="shared" ca="1" si="176"/>
        <v/>
      </c>
      <c r="AC792" s="475" t="str">
        <f t="shared" ca="1" si="176"/>
        <v/>
      </c>
      <c r="AD792" s="477" t="str">
        <f t="shared" ca="1" si="172"/>
        <v/>
      </c>
      <c r="AE792" s="478">
        <f t="shared" ca="1" si="173"/>
        <v>0</v>
      </c>
      <c r="AF792" s="459" t="str">
        <f t="shared" ca="1" si="174"/>
        <v/>
      </c>
      <c r="AG792" s="460" t="str">
        <f t="shared" ca="1" si="174"/>
        <v/>
      </c>
      <c r="AH792" s="460" t="str">
        <f t="shared" ca="1" si="174"/>
        <v/>
      </c>
      <c r="AI792" s="460" t="str">
        <f t="shared" ca="1" si="174"/>
        <v/>
      </c>
      <c r="AJ792" s="460" t="str">
        <f t="shared" ca="1" si="174"/>
        <v/>
      </c>
      <c r="AK792" s="460" t="str">
        <f t="shared" ca="1" si="174"/>
        <v/>
      </c>
      <c r="AL792" s="460" t="str">
        <f t="shared" ca="1" si="174"/>
        <v/>
      </c>
      <c r="AM792" s="460" t="str">
        <f t="shared" ca="1" si="174"/>
        <v/>
      </c>
      <c r="AN792" s="461" t="str">
        <f t="shared" ca="1" si="174"/>
        <v/>
      </c>
      <c r="AO792" s="474" t="str">
        <f t="shared" ca="1" si="174"/>
        <v/>
      </c>
      <c r="AP792" s="475" t="str">
        <f t="shared" ca="1" si="174"/>
        <v/>
      </c>
      <c r="AQ792" s="479" t="str">
        <f t="array" aca="1" ref="AQ792" ca="1">IF(ROW()-5&lt;=COUNTIF(科目编号,$AR$2),SMALL(IF(科目编号=$AR$2,ROW(科目编号),""),ROW()-5),"")</f>
        <v/>
      </c>
      <c r="AR792" s="480" t="str">
        <f ca="1">IF($BG$2=0,"",IF(AR791="本月合计","本年累计",IF(OR(ROW()=$AU$3,ROW()=$AV$3,ROW()=$AW$3,ROW()=$AX$3,ROW()=$AY$3,ROW()=$AZ$3,ROW()=$BA$3,ROW()=$BB$3,ROW()=$BC$3,ROW()=$BD$3,ROW()=$BE$3,ROW()=$BF$3),"本月合计",IF(ROW()&lt;7,$AQ$6,OFFSET($AQ$6,COUNT($AR$6:AR791),0)))))</f>
        <v/>
      </c>
    </row>
    <row r="793" spans="1:44">
      <c r="A793" s="469" t="str">
        <f ca="1">IFERROR(INDEX(凭证录入!A:A,$AR793),"")</f>
        <v/>
      </c>
      <c r="B793" s="469" t="str">
        <f ca="1">IFERROR(INDEX(凭证录入!B:B,$AR793),"")</f>
        <v/>
      </c>
      <c r="C793" s="470" t="str">
        <f ca="1">IFERROR(INDEX(凭证录入!G:G,$AR793),"")</f>
        <v/>
      </c>
      <c r="D793" s="471" t="str">
        <f ca="1">IFERROR(INDEX(凭证录入!F:F,$AR793),"")</f>
        <v/>
      </c>
      <c r="E793" s="472" t="str">
        <f ca="1">IFERROR(INDEX(凭证录入!H:H,$AR793),$AR793)</f>
        <v/>
      </c>
      <c r="F793" s="473">
        <f ca="1">IF(OR($BG$2=0,$AR793=""),,IF($AR793="本月合计",IF(ROW()=$BG$3,SUM($F$6:$F792),SUM(INDIRECT("$F$"&amp;OFFSET($AU$3,,MATCH(ROW(),$AU$3:$BF$3,)-2)+2&amp;":$E"&amp;ROW()-1))),IF($AR793="本年累计",SUMIF($AR$6:$AR793,"本月合计",$F$6:$F792),INDEX(凭证录入!K:K,$AR793))))</f>
        <v>0</v>
      </c>
      <c r="G793" s="459" t="str">
        <f t="shared" ca="1" si="175"/>
        <v/>
      </c>
      <c r="H793" s="460" t="str">
        <f t="shared" ca="1" si="175"/>
        <v/>
      </c>
      <c r="I793" s="460" t="str">
        <f t="shared" ca="1" si="175"/>
        <v/>
      </c>
      <c r="J793" s="460" t="str">
        <f t="shared" ca="1" si="175"/>
        <v/>
      </c>
      <c r="K793" s="460" t="str">
        <f t="shared" ca="1" si="175"/>
        <v/>
      </c>
      <c r="L793" s="460" t="str">
        <f t="shared" ca="1" si="175"/>
        <v/>
      </c>
      <c r="M793" s="460" t="str">
        <f t="shared" ca="1" si="175"/>
        <v/>
      </c>
      <c r="N793" s="460" t="str">
        <f t="shared" ca="1" si="175"/>
        <v/>
      </c>
      <c r="O793" s="461" t="str">
        <f t="shared" ca="1" si="175"/>
        <v/>
      </c>
      <c r="P793" s="474" t="str">
        <f t="shared" ca="1" si="175"/>
        <v/>
      </c>
      <c r="Q793" s="475" t="str">
        <f t="shared" ca="1" si="175"/>
        <v/>
      </c>
      <c r="R793" s="476">
        <f ca="1">IF(OR($BG$2=0,$AR793=""),,IF($AR793="本月合计",IF(ROW()=$BG$3,SUM($R$6:$R792),SUM(INDIRECT("$R$"&amp;OFFSET($AU$3,,MATCH(ROW(),$AU$3:$BF$3,)-2)+2&amp;":$R"&amp;ROW()-1))),IF($AR793="本年累计",SUMIF($AR$6:$AR793,"本月合计",$R$6:$R792),INDEX(凭证录入!L:L,$AR793))))</f>
        <v>0</v>
      </c>
      <c r="S793" s="459" t="str">
        <f t="shared" ca="1" si="176"/>
        <v/>
      </c>
      <c r="T793" s="460" t="str">
        <f t="shared" ca="1" si="176"/>
        <v/>
      </c>
      <c r="U793" s="460" t="str">
        <f t="shared" ca="1" si="176"/>
        <v/>
      </c>
      <c r="V793" s="460" t="str">
        <f t="shared" ca="1" si="176"/>
        <v/>
      </c>
      <c r="W793" s="460" t="str">
        <f t="shared" ca="1" si="176"/>
        <v/>
      </c>
      <c r="X793" s="460" t="str">
        <f t="shared" ca="1" si="176"/>
        <v/>
      </c>
      <c r="Y793" s="460" t="str">
        <f t="shared" ca="1" si="176"/>
        <v/>
      </c>
      <c r="Z793" s="460" t="str">
        <f t="shared" ca="1" si="176"/>
        <v/>
      </c>
      <c r="AA793" s="461" t="str">
        <f t="shared" ca="1" si="176"/>
        <v/>
      </c>
      <c r="AB793" s="474" t="str">
        <f t="shared" ca="1" si="176"/>
        <v/>
      </c>
      <c r="AC793" s="475" t="str">
        <f t="shared" ca="1" si="176"/>
        <v/>
      </c>
      <c r="AD793" s="477" t="str">
        <f t="shared" ca="1" si="172"/>
        <v/>
      </c>
      <c r="AE793" s="478">
        <f t="shared" ca="1" si="173"/>
        <v>0</v>
      </c>
      <c r="AF793" s="459" t="str">
        <f t="shared" ca="1" si="174"/>
        <v/>
      </c>
      <c r="AG793" s="460" t="str">
        <f t="shared" ca="1" si="174"/>
        <v/>
      </c>
      <c r="AH793" s="460" t="str">
        <f t="shared" ca="1" si="174"/>
        <v/>
      </c>
      <c r="AI793" s="460" t="str">
        <f t="shared" ca="1" si="174"/>
        <v/>
      </c>
      <c r="AJ793" s="460" t="str">
        <f t="shared" ca="1" si="174"/>
        <v/>
      </c>
      <c r="AK793" s="460" t="str">
        <f t="shared" ca="1" si="174"/>
        <v/>
      </c>
      <c r="AL793" s="460" t="str">
        <f t="shared" ca="1" si="174"/>
        <v/>
      </c>
      <c r="AM793" s="460" t="str">
        <f t="shared" ca="1" si="174"/>
        <v/>
      </c>
      <c r="AN793" s="461" t="str">
        <f t="shared" ca="1" si="174"/>
        <v/>
      </c>
      <c r="AO793" s="474" t="str">
        <f t="shared" ca="1" si="174"/>
        <v/>
      </c>
      <c r="AP793" s="475" t="str">
        <f t="shared" ca="1" si="174"/>
        <v/>
      </c>
      <c r="AQ793" s="479" t="str">
        <f t="array" aca="1" ref="AQ793" ca="1">IF(ROW()-5&lt;=COUNTIF(科目编号,$AR$2),SMALL(IF(科目编号=$AR$2,ROW(科目编号),""),ROW()-5),"")</f>
        <v/>
      </c>
      <c r="AR793" s="480" t="str">
        <f ca="1">IF($BG$2=0,"",IF(AR792="本月合计","本年累计",IF(OR(ROW()=$AU$3,ROW()=$AV$3,ROW()=$AW$3,ROW()=$AX$3,ROW()=$AY$3,ROW()=$AZ$3,ROW()=$BA$3,ROW()=$BB$3,ROW()=$BC$3,ROW()=$BD$3,ROW()=$BE$3,ROW()=$BF$3),"本月合计",IF(ROW()&lt;7,$AQ$6,OFFSET($AQ$6,COUNT($AR$6:AR792),0)))))</f>
        <v/>
      </c>
    </row>
    <row r="794" spans="1:44">
      <c r="A794" s="469" t="str">
        <f ca="1">IFERROR(INDEX(凭证录入!A:A,$AR794),"")</f>
        <v/>
      </c>
      <c r="B794" s="469" t="str">
        <f ca="1">IFERROR(INDEX(凭证录入!B:B,$AR794),"")</f>
        <v/>
      </c>
      <c r="C794" s="470" t="str">
        <f ca="1">IFERROR(INDEX(凭证录入!G:G,$AR794),"")</f>
        <v/>
      </c>
      <c r="D794" s="471" t="str">
        <f ca="1">IFERROR(INDEX(凭证录入!F:F,$AR794),"")</f>
        <v/>
      </c>
      <c r="E794" s="472" t="str">
        <f ca="1">IFERROR(INDEX(凭证录入!H:H,$AR794),$AR794)</f>
        <v/>
      </c>
      <c r="F794" s="473">
        <f ca="1">IF(OR($BG$2=0,$AR794=""),,IF($AR794="本月合计",IF(ROW()=$BG$3,SUM($F$6:$F793),SUM(INDIRECT("$F$"&amp;OFFSET($AU$3,,MATCH(ROW(),$AU$3:$BF$3,)-2)+2&amp;":$E"&amp;ROW()-1))),IF($AR794="本年累计",SUMIF($AR$6:$AR794,"本月合计",$F$6:$F793),INDEX(凭证录入!K:K,$AR794))))</f>
        <v>0</v>
      </c>
      <c r="G794" s="459" t="str">
        <f t="shared" ca="1" si="175"/>
        <v/>
      </c>
      <c r="H794" s="460" t="str">
        <f t="shared" ca="1" si="175"/>
        <v/>
      </c>
      <c r="I794" s="460" t="str">
        <f t="shared" ca="1" si="175"/>
        <v/>
      </c>
      <c r="J794" s="460" t="str">
        <f t="shared" ca="1" si="175"/>
        <v/>
      </c>
      <c r="K794" s="460" t="str">
        <f t="shared" ca="1" si="175"/>
        <v/>
      </c>
      <c r="L794" s="460" t="str">
        <f t="shared" ca="1" si="175"/>
        <v/>
      </c>
      <c r="M794" s="460" t="str">
        <f t="shared" ca="1" si="175"/>
        <v/>
      </c>
      <c r="N794" s="460" t="str">
        <f t="shared" ca="1" si="175"/>
        <v/>
      </c>
      <c r="O794" s="461" t="str">
        <f t="shared" ca="1" si="175"/>
        <v/>
      </c>
      <c r="P794" s="474" t="str">
        <f t="shared" ca="1" si="175"/>
        <v/>
      </c>
      <c r="Q794" s="475" t="str">
        <f t="shared" ca="1" si="175"/>
        <v/>
      </c>
      <c r="R794" s="476">
        <f ca="1">IF(OR($BG$2=0,$AR794=""),,IF($AR794="本月合计",IF(ROW()=$BG$3,SUM($R$6:$R793),SUM(INDIRECT("$R$"&amp;OFFSET($AU$3,,MATCH(ROW(),$AU$3:$BF$3,)-2)+2&amp;":$R"&amp;ROW()-1))),IF($AR794="本年累计",SUMIF($AR$6:$AR794,"本月合计",$R$6:$R793),INDEX(凭证录入!L:L,$AR794))))</f>
        <v>0</v>
      </c>
      <c r="S794" s="459" t="str">
        <f t="shared" ca="1" si="176"/>
        <v/>
      </c>
      <c r="T794" s="460" t="str">
        <f t="shared" ca="1" si="176"/>
        <v/>
      </c>
      <c r="U794" s="460" t="str">
        <f t="shared" ca="1" si="176"/>
        <v/>
      </c>
      <c r="V794" s="460" t="str">
        <f t="shared" ca="1" si="176"/>
        <v/>
      </c>
      <c r="W794" s="460" t="str">
        <f t="shared" ca="1" si="176"/>
        <v/>
      </c>
      <c r="X794" s="460" t="str">
        <f t="shared" ca="1" si="176"/>
        <v/>
      </c>
      <c r="Y794" s="460" t="str">
        <f t="shared" ca="1" si="176"/>
        <v/>
      </c>
      <c r="Z794" s="460" t="str">
        <f t="shared" ca="1" si="176"/>
        <v/>
      </c>
      <c r="AA794" s="461" t="str">
        <f t="shared" ca="1" si="176"/>
        <v/>
      </c>
      <c r="AB794" s="474" t="str">
        <f t="shared" ca="1" si="176"/>
        <v/>
      </c>
      <c r="AC794" s="475" t="str">
        <f t="shared" ca="1" si="176"/>
        <v/>
      </c>
      <c r="AD794" s="477" t="str">
        <f t="shared" ca="1" si="172"/>
        <v/>
      </c>
      <c r="AE794" s="478">
        <f t="shared" ca="1" si="173"/>
        <v>0</v>
      </c>
      <c r="AF794" s="459" t="str">
        <f t="shared" ca="1" si="174"/>
        <v/>
      </c>
      <c r="AG794" s="460" t="str">
        <f t="shared" ca="1" si="174"/>
        <v/>
      </c>
      <c r="AH794" s="460" t="str">
        <f t="shared" ca="1" si="174"/>
        <v/>
      </c>
      <c r="AI794" s="460" t="str">
        <f t="shared" ca="1" si="174"/>
        <v/>
      </c>
      <c r="AJ794" s="460" t="str">
        <f t="shared" ca="1" si="174"/>
        <v/>
      </c>
      <c r="AK794" s="460" t="str">
        <f t="shared" ca="1" si="174"/>
        <v/>
      </c>
      <c r="AL794" s="460" t="str">
        <f t="shared" ca="1" si="174"/>
        <v/>
      </c>
      <c r="AM794" s="460" t="str">
        <f t="shared" ca="1" si="174"/>
        <v/>
      </c>
      <c r="AN794" s="461" t="str">
        <f t="shared" ca="1" si="174"/>
        <v/>
      </c>
      <c r="AO794" s="474" t="str">
        <f t="shared" ca="1" si="174"/>
        <v/>
      </c>
      <c r="AP794" s="475" t="str">
        <f t="shared" ca="1" si="174"/>
        <v/>
      </c>
      <c r="AQ794" s="479" t="str">
        <f t="array" aca="1" ref="AQ794" ca="1">IF(ROW()-5&lt;=COUNTIF(科目编号,$AR$2),SMALL(IF(科目编号=$AR$2,ROW(科目编号),""),ROW()-5),"")</f>
        <v/>
      </c>
      <c r="AR794" s="480" t="str">
        <f ca="1">IF($BG$2=0,"",IF(AR793="本月合计","本年累计",IF(OR(ROW()=$AU$3,ROW()=$AV$3,ROW()=$AW$3,ROW()=$AX$3,ROW()=$AY$3,ROW()=$AZ$3,ROW()=$BA$3,ROW()=$BB$3,ROW()=$BC$3,ROW()=$BD$3,ROW()=$BE$3,ROW()=$BF$3),"本月合计",IF(ROW()&lt;7,$AQ$6,OFFSET($AQ$6,COUNT($AR$6:AR793),0)))))</f>
        <v/>
      </c>
    </row>
    <row r="795" spans="1:44">
      <c r="A795" s="469" t="str">
        <f ca="1">IFERROR(INDEX(凭证录入!A:A,$AR795),"")</f>
        <v/>
      </c>
      <c r="B795" s="469" t="str">
        <f ca="1">IFERROR(INDEX(凭证录入!B:B,$AR795),"")</f>
        <v/>
      </c>
      <c r="C795" s="470" t="str">
        <f ca="1">IFERROR(INDEX(凭证录入!G:G,$AR795),"")</f>
        <v/>
      </c>
      <c r="D795" s="471" t="str">
        <f ca="1">IFERROR(INDEX(凭证录入!F:F,$AR795),"")</f>
        <v/>
      </c>
      <c r="E795" s="472" t="str">
        <f ca="1">IFERROR(INDEX(凭证录入!H:H,$AR795),$AR795)</f>
        <v/>
      </c>
      <c r="F795" s="473">
        <f ca="1">IF(OR($BG$2=0,$AR795=""),,IF($AR795="本月合计",IF(ROW()=$BG$3,SUM($F$6:$F794),SUM(INDIRECT("$F$"&amp;OFFSET($AU$3,,MATCH(ROW(),$AU$3:$BF$3,)-2)+2&amp;":$E"&amp;ROW()-1))),IF($AR795="本年累计",SUMIF($AR$6:$AR795,"本月合计",$F$6:$F794),INDEX(凭证录入!K:K,$AR795))))</f>
        <v>0</v>
      </c>
      <c r="G795" s="459" t="str">
        <f t="shared" ca="1" si="175"/>
        <v/>
      </c>
      <c r="H795" s="460" t="str">
        <f t="shared" ca="1" si="175"/>
        <v/>
      </c>
      <c r="I795" s="460" t="str">
        <f t="shared" ca="1" si="175"/>
        <v/>
      </c>
      <c r="J795" s="460" t="str">
        <f t="shared" ca="1" si="175"/>
        <v/>
      </c>
      <c r="K795" s="460" t="str">
        <f t="shared" ca="1" si="175"/>
        <v/>
      </c>
      <c r="L795" s="460" t="str">
        <f t="shared" ca="1" si="175"/>
        <v/>
      </c>
      <c r="M795" s="460" t="str">
        <f t="shared" ca="1" si="175"/>
        <v/>
      </c>
      <c r="N795" s="460" t="str">
        <f t="shared" ca="1" si="175"/>
        <v/>
      </c>
      <c r="O795" s="461" t="str">
        <f t="shared" ca="1" si="175"/>
        <v/>
      </c>
      <c r="P795" s="474" t="str">
        <f t="shared" ca="1" si="175"/>
        <v/>
      </c>
      <c r="Q795" s="475" t="str">
        <f t="shared" ca="1" si="175"/>
        <v/>
      </c>
      <c r="R795" s="476">
        <f ca="1">IF(OR($BG$2=0,$AR795=""),,IF($AR795="本月合计",IF(ROW()=$BG$3,SUM($R$6:$R794),SUM(INDIRECT("$R$"&amp;OFFSET($AU$3,,MATCH(ROW(),$AU$3:$BF$3,)-2)+2&amp;":$R"&amp;ROW()-1))),IF($AR795="本年累计",SUMIF($AR$6:$AR795,"本月合计",$R$6:$R794),INDEX(凭证录入!L:L,$AR795))))</f>
        <v>0</v>
      </c>
      <c r="S795" s="459" t="str">
        <f t="shared" ca="1" si="176"/>
        <v/>
      </c>
      <c r="T795" s="460" t="str">
        <f t="shared" ca="1" si="176"/>
        <v/>
      </c>
      <c r="U795" s="460" t="str">
        <f t="shared" ca="1" si="176"/>
        <v/>
      </c>
      <c r="V795" s="460" t="str">
        <f t="shared" ca="1" si="176"/>
        <v/>
      </c>
      <c r="W795" s="460" t="str">
        <f t="shared" ca="1" si="176"/>
        <v/>
      </c>
      <c r="X795" s="460" t="str">
        <f t="shared" ca="1" si="176"/>
        <v/>
      </c>
      <c r="Y795" s="460" t="str">
        <f t="shared" ca="1" si="176"/>
        <v/>
      </c>
      <c r="Z795" s="460" t="str">
        <f t="shared" ca="1" si="176"/>
        <v/>
      </c>
      <c r="AA795" s="461" t="str">
        <f t="shared" ca="1" si="176"/>
        <v/>
      </c>
      <c r="AB795" s="474" t="str">
        <f t="shared" ca="1" si="176"/>
        <v/>
      </c>
      <c r="AC795" s="475" t="str">
        <f t="shared" ca="1" si="176"/>
        <v/>
      </c>
      <c r="AD795" s="477" t="str">
        <f t="shared" ca="1" si="172"/>
        <v/>
      </c>
      <c r="AE795" s="478">
        <f t="shared" ca="1" si="173"/>
        <v>0</v>
      </c>
      <c r="AF795" s="459" t="str">
        <f t="shared" ca="1" si="174"/>
        <v/>
      </c>
      <c r="AG795" s="460" t="str">
        <f t="shared" ca="1" si="174"/>
        <v/>
      </c>
      <c r="AH795" s="460" t="str">
        <f t="shared" ca="1" si="174"/>
        <v/>
      </c>
      <c r="AI795" s="460" t="str">
        <f t="shared" ca="1" si="174"/>
        <v/>
      </c>
      <c r="AJ795" s="460" t="str">
        <f t="shared" ca="1" si="174"/>
        <v/>
      </c>
      <c r="AK795" s="460" t="str">
        <f t="shared" ca="1" si="174"/>
        <v/>
      </c>
      <c r="AL795" s="460" t="str">
        <f t="shared" ca="1" si="174"/>
        <v/>
      </c>
      <c r="AM795" s="460" t="str">
        <f t="shared" ca="1" si="174"/>
        <v/>
      </c>
      <c r="AN795" s="461" t="str">
        <f t="shared" ca="1" si="174"/>
        <v/>
      </c>
      <c r="AO795" s="474" t="str">
        <f t="shared" ca="1" si="174"/>
        <v/>
      </c>
      <c r="AP795" s="475" t="str">
        <f t="shared" ca="1" si="174"/>
        <v/>
      </c>
      <c r="AQ795" s="479" t="str">
        <f t="array" aca="1" ref="AQ795" ca="1">IF(ROW()-5&lt;=COUNTIF(科目编号,$AR$2),SMALL(IF(科目编号=$AR$2,ROW(科目编号),""),ROW()-5),"")</f>
        <v/>
      </c>
      <c r="AR795" s="480" t="str">
        <f ca="1">IF($BG$2=0,"",IF(AR794="本月合计","本年累计",IF(OR(ROW()=$AU$3,ROW()=$AV$3,ROW()=$AW$3,ROW()=$AX$3,ROW()=$AY$3,ROW()=$AZ$3,ROW()=$BA$3,ROW()=$BB$3,ROW()=$BC$3,ROW()=$BD$3,ROW()=$BE$3,ROW()=$BF$3),"本月合计",IF(ROW()&lt;7,$AQ$6,OFFSET($AQ$6,COUNT($AR$6:AR794),0)))))</f>
        <v/>
      </c>
    </row>
    <row r="796" spans="1:44">
      <c r="A796" s="469" t="str">
        <f ca="1">IFERROR(INDEX(凭证录入!A:A,$AR796),"")</f>
        <v/>
      </c>
      <c r="B796" s="469" t="str">
        <f ca="1">IFERROR(INDEX(凭证录入!B:B,$AR796),"")</f>
        <v/>
      </c>
      <c r="C796" s="470" t="str">
        <f ca="1">IFERROR(INDEX(凭证录入!G:G,$AR796),"")</f>
        <v/>
      </c>
      <c r="D796" s="471" t="str">
        <f ca="1">IFERROR(INDEX(凭证录入!F:F,$AR796),"")</f>
        <v/>
      </c>
      <c r="E796" s="472" t="str">
        <f ca="1">IFERROR(INDEX(凭证录入!H:H,$AR796),$AR796)</f>
        <v/>
      </c>
      <c r="F796" s="473">
        <f ca="1">IF(OR($BG$2=0,$AR796=""),,IF($AR796="本月合计",IF(ROW()=$BG$3,SUM($F$6:$F795),SUM(INDIRECT("$F$"&amp;OFFSET($AU$3,,MATCH(ROW(),$AU$3:$BF$3,)-2)+2&amp;":$E"&amp;ROW()-1))),IF($AR796="本年累计",SUMIF($AR$6:$AR796,"本月合计",$F$6:$F795),INDEX(凭证录入!K:K,$AR796))))</f>
        <v>0</v>
      </c>
      <c r="G796" s="459" t="str">
        <f t="shared" ca="1" si="175"/>
        <v/>
      </c>
      <c r="H796" s="460" t="str">
        <f t="shared" ca="1" si="175"/>
        <v/>
      </c>
      <c r="I796" s="460" t="str">
        <f t="shared" ca="1" si="175"/>
        <v/>
      </c>
      <c r="J796" s="460" t="str">
        <f t="shared" ca="1" si="175"/>
        <v/>
      </c>
      <c r="K796" s="460" t="str">
        <f t="shared" ca="1" si="175"/>
        <v/>
      </c>
      <c r="L796" s="460" t="str">
        <f t="shared" ca="1" si="175"/>
        <v/>
      </c>
      <c r="M796" s="460" t="str">
        <f t="shared" ca="1" si="175"/>
        <v/>
      </c>
      <c r="N796" s="460" t="str">
        <f t="shared" ca="1" si="175"/>
        <v/>
      </c>
      <c r="O796" s="461" t="str">
        <f t="shared" ca="1" si="175"/>
        <v/>
      </c>
      <c r="P796" s="474" t="str">
        <f t="shared" ca="1" si="175"/>
        <v/>
      </c>
      <c r="Q796" s="475" t="str">
        <f t="shared" ca="1" si="175"/>
        <v/>
      </c>
      <c r="R796" s="476">
        <f ca="1">IF(OR($BG$2=0,$AR796=""),,IF($AR796="本月合计",IF(ROW()=$BG$3,SUM($R$6:$R795),SUM(INDIRECT("$R$"&amp;OFFSET($AU$3,,MATCH(ROW(),$AU$3:$BF$3,)-2)+2&amp;":$R"&amp;ROW()-1))),IF($AR796="本年累计",SUMIF($AR$6:$AR796,"本月合计",$R$6:$R795),INDEX(凭证录入!L:L,$AR796))))</f>
        <v>0</v>
      </c>
      <c r="S796" s="459" t="str">
        <f t="shared" ca="1" si="176"/>
        <v/>
      </c>
      <c r="T796" s="460" t="str">
        <f t="shared" ca="1" si="176"/>
        <v/>
      </c>
      <c r="U796" s="460" t="str">
        <f t="shared" ca="1" si="176"/>
        <v/>
      </c>
      <c r="V796" s="460" t="str">
        <f t="shared" ca="1" si="176"/>
        <v/>
      </c>
      <c r="W796" s="460" t="str">
        <f t="shared" ca="1" si="176"/>
        <v/>
      </c>
      <c r="X796" s="460" t="str">
        <f t="shared" ca="1" si="176"/>
        <v/>
      </c>
      <c r="Y796" s="460" t="str">
        <f t="shared" ca="1" si="176"/>
        <v/>
      </c>
      <c r="Z796" s="460" t="str">
        <f t="shared" ca="1" si="176"/>
        <v/>
      </c>
      <c r="AA796" s="461" t="str">
        <f t="shared" ca="1" si="176"/>
        <v/>
      </c>
      <c r="AB796" s="474" t="str">
        <f t="shared" ca="1" si="176"/>
        <v/>
      </c>
      <c r="AC796" s="475" t="str">
        <f t="shared" ca="1" si="176"/>
        <v/>
      </c>
      <c r="AD796" s="477" t="str">
        <f t="shared" ca="1" si="172"/>
        <v/>
      </c>
      <c r="AE796" s="478">
        <f t="shared" ca="1" si="173"/>
        <v>0</v>
      </c>
      <c r="AF796" s="459" t="str">
        <f t="shared" ca="1" si="174"/>
        <v/>
      </c>
      <c r="AG796" s="460" t="str">
        <f t="shared" ca="1" si="174"/>
        <v/>
      </c>
      <c r="AH796" s="460" t="str">
        <f t="shared" ca="1" si="174"/>
        <v/>
      </c>
      <c r="AI796" s="460" t="str">
        <f t="shared" ca="1" si="174"/>
        <v/>
      </c>
      <c r="AJ796" s="460" t="str">
        <f t="shared" ca="1" si="174"/>
        <v/>
      </c>
      <c r="AK796" s="460" t="str">
        <f t="shared" ca="1" si="174"/>
        <v/>
      </c>
      <c r="AL796" s="460" t="str">
        <f t="shared" ca="1" si="174"/>
        <v/>
      </c>
      <c r="AM796" s="460" t="str">
        <f t="shared" ca="1" si="174"/>
        <v/>
      </c>
      <c r="AN796" s="461" t="str">
        <f t="shared" ca="1" si="174"/>
        <v/>
      </c>
      <c r="AO796" s="474" t="str">
        <f t="shared" ca="1" si="174"/>
        <v/>
      </c>
      <c r="AP796" s="475" t="str">
        <f t="shared" ca="1" si="174"/>
        <v/>
      </c>
      <c r="AQ796" s="479" t="str">
        <f t="array" aca="1" ref="AQ796" ca="1">IF(ROW()-5&lt;=COUNTIF(科目编号,$AR$2),SMALL(IF(科目编号=$AR$2,ROW(科目编号),""),ROW()-5),"")</f>
        <v/>
      </c>
      <c r="AR796" s="480" t="str">
        <f ca="1">IF($BG$2=0,"",IF(AR795="本月合计","本年累计",IF(OR(ROW()=$AU$3,ROW()=$AV$3,ROW()=$AW$3,ROW()=$AX$3,ROW()=$AY$3,ROW()=$AZ$3,ROW()=$BA$3,ROW()=$BB$3,ROW()=$BC$3,ROW()=$BD$3,ROW()=$BE$3,ROW()=$BF$3),"本月合计",IF(ROW()&lt;7,$AQ$6,OFFSET($AQ$6,COUNT($AR$6:AR795),0)))))</f>
        <v/>
      </c>
    </row>
    <row r="797" spans="1:44">
      <c r="A797" s="469" t="str">
        <f ca="1">IFERROR(INDEX(凭证录入!A:A,$AR797),"")</f>
        <v/>
      </c>
      <c r="B797" s="469" t="str">
        <f ca="1">IFERROR(INDEX(凭证录入!B:B,$AR797),"")</f>
        <v/>
      </c>
      <c r="C797" s="470" t="str">
        <f ca="1">IFERROR(INDEX(凭证录入!G:G,$AR797),"")</f>
        <v/>
      </c>
      <c r="D797" s="471" t="str">
        <f ca="1">IFERROR(INDEX(凭证录入!F:F,$AR797),"")</f>
        <v/>
      </c>
      <c r="E797" s="472" t="str">
        <f ca="1">IFERROR(INDEX(凭证录入!H:H,$AR797),$AR797)</f>
        <v/>
      </c>
      <c r="F797" s="473">
        <f ca="1">IF(OR($BG$2=0,$AR797=""),,IF($AR797="本月合计",IF(ROW()=$BG$3,SUM($F$6:$F796),SUM(INDIRECT("$F$"&amp;OFFSET($AU$3,,MATCH(ROW(),$AU$3:$BF$3,)-2)+2&amp;":$E"&amp;ROW()-1))),IF($AR797="本年累计",SUMIF($AR$6:$AR797,"本月合计",$F$6:$F796),INDEX(凭证录入!K:K,$AR797))))</f>
        <v>0</v>
      </c>
      <c r="G797" s="459" t="str">
        <f t="shared" ca="1" si="175"/>
        <v/>
      </c>
      <c r="H797" s="460" t="str">
        <f t="shared" ca="1" si="175"/>
        <v/>
      </c>
      <c r="I797" s="460" t="str">
        <f t="shared" ca="1" si="175"/>
        <v/>
      </c>
      <c r="J797" s="460" t="str">
        <f t="shared" ca="1" si="175"/>
        <v/>
      </c>
      <c r="K797" s="460" t="str">
        <f t="shared" ca="1" si="175"/>
        <v/>
      </c>
      <c r="L797" s="460" t="str">
        <f t="shared" ca="1" si="175"/>
        <v/>
      </c>
      <c r="M797" s="460" t="str">
        <f t="shared" ca="1" si="175"/>
        <v/>
      </c>
      <c r="N797" s="460" t="str">
        <f t="shared" ca="1" si="175"/>
        <v/>
      </c>
      <c r="O797" s="461" t="str">
        <f t="shared" ca="1" si="175"/>
        <v/>
      </c>
      <c r="P797" s="474" t="str">
        <f t="shared" ca="1" si="175"/>
        <v/>
      </c>
      <c r="Q797" s="475" t="str">
        <f t="shared" ca="1" si="175"/>
        <v/>
      </c>
      <c r="R797" s="476">
        <f ca="1">IF(OR($BG$2=0,$AR797=""),,IF($AR797="本月合计",IF(ROW()=$BG$3,SUM($R$6:$R796),SUM(INDIRECT("$R$"&amp;OFFSET($AU$3,,MATCH(ROW(),$AU$3:$BF$3,)-2)+2&amp;":$R"&amp;ROW()-1))),IF($AR797="本年累计",SUMIF($AR$6:$AR797,"本月合计",$R$6:$R796),INDEX(凭证录入!L:L,$AR797))))</f>
        <v>0</v>
      </c>
      <c r="S797" s="459" t="str">
        <f t="shared" ca="1" si="176"/>
        <v/>
      </c>
      <c r="T797" s="460" t="str">
        <f t="shared" ca="1" si="176"/>
        <v/>
      </c>
      <c r="U797" s="460" t="str">
        <f t="shared" ca="1" si="176"/>
        <v/>
      </c>
      <c r="V797" s="460" t="str">
        <f t="shared" ca="1" si="176"/>
        <v/>
      </c>
      <c r="W797" s="460" t="str">
        <f t="shared" ca="1" si="176"/>
        <v/>
      </c>
      <c r="X797" s="460" t="str">
        <f t="shared" ca="1" si="176"/>
        <v/>
      </c>
      <c r="Y797" s="460" t="str">
        <f t="shared" ca="1" si="176"/>
        <v/>
      </c>
      <c r="Z797" s="460" t="str">
        <f t="shared" ca="1" si="176"/>
        <v/>
      </c>
      <c r="AA797" s="461" t="str">
        <f t="shared" ca="1" si="176"/>
        <v/>
      </c>
      <c r="AB797" s="474" t="str">
        <f t="shared" ca="1" si="176"/>
        <v/>
      </c>
      <c r="AC797" s="475" t="str">
        <f t="shared" ca="1" si="176"/>
        <v/>
      </c>
      <c r="AD797" s="477" t="str">
        <f t="shared" ca="1" si="172"/>
        <v/>
      </c>
      <c r="AE797" s="478">
        <f t="shared" ca="1" si="173"/>
        <v>0</v>
      </c>
      <c r="AF797" s="459" t="str">
        <f t="shared" ca="1" si="174"/>
        <v/>
      </c>
      <c r="AG797" s="460" t="str">
        <f t="shared" ca="1" si="174"/>
        <v/>
      </c>
      <c r="AH797" s="460" t="str">
        <f t="shared" ca="1" si="174"/>
        <v/>
      </c>
      <c r="AI797" s="460" t="str">
        <f t="shared" ca="1" si="174"/>
        <v/>
      </c>
      <c r="AJ797" s="460" t="str">
        <f t="shared" ca="1" si="174"/>
        <v/>
      </c>
      <c r="AK797" s="460" t="str">
        <f t="shared" ca="1" si="174"/>
        <v/>
      </c>
      <c r="AL797" s="460" t="str">
        <f t="shared" ca="1" si="174"/>
        <v/>
      </c>
      <c r="AM797" s="460" t="str">
        <f t="shared" ca="1" si="174"/>
        <v/>
      </c>
      <c r="AN797" s="461" t="str">
        <f t="shared" ca="1" si="174"/>
        <v/>
      </c>
      <c r="AO797" s="474" t="str">
        <f t="shared" ca="1" si="174"/>
        <v/>
      </c>
      <c r="AP797" s="475" t="str">
        <f t="shared" ca="1" si="174"/>
        <v/>
      </c>
      <c r="AQ797" s="479" t="str">
        <f t="array" aca="1" ref="AQ797" ca="1">IF(ROW()-5&lt;=COUNTIF(科目编号,$AR$2),SMALL(IF(科目编号=$AR$2,ROW(科目编号),""),ROW()-5),"")</f>
        <v/>
      </c>
      <c r="AR797" s="480" t="str">
        <f ca="1">IF($BG$2=0,"",IF(AR796="本月合计","本年累计",IF(OR(ROW()=$AU$3,ROW()=$AV$3,ROW()=$AW$3,ROW()=$AX$3,ROW()=$AY$3,ROW()=$AZ$3,ROW()=$BA$3,ROW()=$BB$3,ROW()=$BC$3,ROW()=$BD$3,ROW()=$BE$3,ROW()=$BF$3),"本月合计",IF(ROW()&lt;7,$AQ$6,OFFSET($AQ$6,COUNT($AR$6:AR796),0)))))</f>
        <v/>
      </c>
    </row>
    <row r="798" spans="1:44">
      <c r="A798" s="469" t="str">
        <f ca="1">IFERROR(INDEX(凭证录入!A:A,$AR798),"")</f>
        <v/>
      </c>
      <c r="B798" s="469" t="str">
        <f ca="1">IFERROR(INDEX(凭证录入!B:B,$AR798),"")</f>
        <v/>
      </c>
      <c r="C798" s="470" t="str">
        <f ca="1">IFERROR(INDEX(凭证录入!G:G,$AR798),"")</f>
        <v/>
      </c>
      <c r="D798" s="471" t="str">
        <f ca="1">IFERROR(INDEX(凭证录入!F:F,$AR798),"")</f>
        <v/>
      </c>
      <c r="E798" s="472" t="str">
        <f ca="1">IFERROR(INDEX(凭证录入!H:H,$AR798),$AR798)</f>
        <v/>
      </c>
      <c r="F798" s="473">
        <f ca="1">IF(OR($BG$2=0,$AR798=""),,IF($AR798="本月合计",IF(ROW()=$BG$3,SUM($F$6:$F797),SUM(INDIRECT("$F$"&amp;OFFSET($AU$3,,MATCH(ROW(),$AU$3:$BF$3,)-2)+2&amp;":$E"&amp;ROW()-1))),IF($AR798="本年累计",SUMIF($AR$6:$AR798,"本月合计",$F$6:$F797),INDEX(凭证录入!K:K,$AR798))))</f>
        <v>0</v>
      </c>
      <c r="G798" s="459" t="str">
        <f t="shared" ca="1" si="175"/>
        <v/>
      </c>
      <c r="H798" s="460" t="str">
        <f t="shared" ca="1" si="175"/>
        <v/>
      </c>
      <c r="I798" s="460" t="str">
        <f t="shared" ca="1" si="175"/>
        <v/>
      </c>
      <c r="J798" s="460" t="str">
        <f t="shared" ca="1" si="175"/>
        <v/>
      </c>
      <c r="K798" s="460" t="str">
        <f t="shared" ca="1" si="175"/>
        <v/>
      </c>
      <c r="L798" s="460" t="str">
        <f t="shared" ca="1" si="175"/>
        <v/>
      </c>
      <c r="M798" s="460" t="str">
        <f t="shared" ca="1" si="175"/>
        <v/>
      </c>
      <c r="N798" s="460" t="str">
        <f t="shared" ca="1" si="175"/>
        <v/>
      </c>
      <c r="O798" s="461" t="str">
        <f t="shared" ca="1" si="175"/>
        <v/>
      </c>
      <c r="P798" s="474" t="str">
        <f t="shared" ca="1" si="175"/>
        <v/>
      </c>
      <c r="Q798" s="475" t="str">
        <f t="shared" ca="1" si="175"/>
        <v/>
      </c>
      <c r="R798" s="476">
        <f ca="1">IF(OR($BG$2=0,$AR798=""),,IF($AR798="本月合计",IF(ROW()=$BG$3,SUM($R$6:$R797),SUM(INDIRECT("$R$"&amp;OFFSET($AU$3,,MATCH(ROW(),$AU$3:$BF$3,)-2)+2&amp;":$R"&amp;ROW()-1))),IF($AR798="本年累计",SUMIF($AR$6:$AR798,"本月合计",$R$6:$R797),INDEX(凭证录入!L:L,$AR798))))</f>
        <v>0</v>
      </c>
      <c r="S798" s="459" t="str">
        <f t="shared" ca="1" si="176"/>
        <v/>
      </c>
      <c r="T798" s="460" t="str">
        <f t="shared" ca="1" si="176"/>
        <v/>
      </c>
      <c r="U798" s="460" t="str">
        <f t="shared" ca="1" si="176"/>
        <v/>
      </c>
      <c r="V798" s="460" t="str">
        <f t="shared" ca="1" si="176"/>
        <v/>
      </c>
      <c r="W798" s="460" t="str">
        <f t="shared" ca="1" si="176"/>
        <v/>
      </c>
      <c r="X798" s="460" t="str">
        <f t="shared" ca="1" si="176"/>
        <v/>
      </c>
      <c r="Y798" s="460" t="str">
        <f t="shared" ca="1" si="176"/>
        <v/>
      </c>
      <c r="Z798" s="460" t="str">
        <f t="shared" ca="1" si="176"/>
        <v/>
      </c>
      <c r="AA798" s="461" t="str">
        <f t="shared" ca="1" si="176"/>
        <v/>
      </c>
      <c r="AB798" s="474" t="str">
        <f t="shared" ca="1" si="176"/>
        <v/>
      </c>
      <c r="AC798" s="475" t="str">
        <f t="shared" ca="1" si="176"/>
        <v/>
      </c>
      <c r="AD798" s="477" t="str">
        <f t="shared" ca="1" si="172"/>
        <v/>
      </c>
      <c r="AE798" s="478">
        <f t="shared" ca="1" si="173"/>
        <v>0</v>
      </c>
      <c r="AF798" s="459" t="str">
        <f t="shared" ca="1" si="174"/>
        <v/>
      </c>
      <c r="AG798" s="460" t="str">
        <f t="shared" ca="1" si="174"/>
        <v/>
      </c>
      <c r="AH798" s="460" t="str">
        <f t="shared" ca="1" si="174"/>
        <v/>
      </c>
      <c r="AI798" s="460" t="str">
        <f t="shared" ca="1" si="174"/>
        <v/>
      </c>
      <c r="AJ798" s="460" t="str">
        <f t="shared" ca="1" si="174"/>
        <v/>
      </c>
      <c r="AK798" s="460" t="str">
        <f t="shared" ca="1" si="174"/>
        <v/>
      </c>
      <c r="AL798" s="460" t="str">
        <f t="shared" ca="1" si="174"/>
        <v/>
      </c>
      <c r="AM798" s="460" t="str">
        <f t="shared" ca="1" si="174"/>
        <v/>
      </c>
      <c r="AN798" s="461" t="str">
        <f t="shared" ca="1" si="174"/>
        <v/>
      </c>
      <c r="AO798" s="474" t="str">
        <f t="shared" ca="1" si="174"/>
        <v/>
      </c>
      <c r="AP798" s="475" t="str">
        <f t="shared" ca="1" si="174"/>
        <v/>
      </c>
      <c r="AQ798" s="479" t="str">
        <f t="array" aca="1" ref="AQ798" ca="1">IF(ROW()-5&lt;=COUNTIF(科目编号,$AR$2),SMALL(IF(科目编号=$AR$2,ROW(科目编号),""),ROW()-5),"")</f>
        <v/>
      </c>
      <c r="AR798" s="480" t="str">
        <f ca="1">IF($BG$2=0,"",IF(AR797="本月合计","本年累计",IF(OR(ROW()=$AU$3,ROW()=$AV$3,ROW()=$AW$3,ROW()=$AX$3,ROW()=$AY$3,ROW()=$AZ$3,ROW()=$BA$3,ROW()=$BB$3,ROW()=$BC$3,ROW()=$BD$3,ROW()=$BE$3,ROW()=$BF$3),"本月合计",IF(ROW()&lt;7,$AQ$6,OFFSET($AQ$6,COUNT($AR$6:AR797),0)))))</f>
        <v/>
      </c>
    </row>
    <row r="799" spans="1:44">
      <c r="A799" s="469" t="str">
        <f ca="1">IFERROR(INDEX(凭证录入!A:A,$AR799),"")</f>
        <v/>
      </c>
      <c r="B799" s="469" t="str">
        <f ca="1">IFERROR(INDEX(凭证录入!B:B,$AR799),"")</f>
        <v/>
      </c>
      <c r="C799" s="470" t="str">
        <f ca="1">IFERROR(INDEX(凭证录入!G:G,$AR799),"")</f>
        <v/>
      </c>
      <c r="D799" s="471" t="str">
        <f ca="1">IFERROR(INDEX(凭证录入!F:F,$AR799),"")</f>
        <v/>
      </c>
      <c r="E799" s="472" t="str">
        <f ca="1">IFERROR(INDEX(凭证录入!H:H,$AR799),$AR799)</f>
        <v/>
      </c>
      <c r="F799" s="473">
        <f ca="1">IF(OR($BG$2=0,$AR799=""),,IF($AR799="本月合计",IF(ROW()=$BG$3,SUM($F$6:$F798),SUM(INDIRECT("$F$"&amp;OFFSET($AU$3,,MATCH(ROW(),$AU$3:$BF$3,)-2)+2&amp;":$E"&amp;ROW()-1))),IF($AR799="本年累计",SUMIF($AR$6:$AR799,"本月合计",$F$6:$F798),INDEX(凭证录入!K:K,$AR799))))</f>
        <v>0</v>
      </c>
      <c r="G799" s="459" t="str">
        <f t="shared" ca="1" si="175"/>
        <v/>
      </c>
      <c r="H799" s="460" t="str">
        <f t="shared" ca="1" si="175"/>
        <v/>
      </c>
      <c r="I799" s="460" t="str">
        <f t="shared" ca="1" si="175"/>
        <v/>
      </c>
      <c r="J799" s="460" t="str">
        <f t="shared" ca="1" si="175"/>
        <v/>
      </c>
      <c r="K799" s="460" t="str">
        <f t="shared" ca="1" si="175"/>
        <v/>
      </c>
      <c r="L799" s="460" t="str">
        <f t="shared" ca="1" si="175"/>
        <v/>
      </c>
      <c r="M799" s="460" t="str">
        <f t="shared" ca="1" si="175"/>
        <v/>
      </c>
      <c r="N799" s="460" t="str">
        <f t="shared" ca="1" si="175"/>
        <v/>
      </c>
      <c r="O799" s="461" t="str">
        <f t="shared" ca="1" si="175"/>
        <v/>
      </c>
      <c r="P799" s="474" t="str">
        <f t="shared" ca="1" si="175"/>
        <v/>
      </c>
      <c r="Q799" s="475" t="str">
        <f t="shared" ca="1" si="175"/>
        <v/>
      </c>
      <c r="R799" s="476">
        <f ca="1">IF(OR($BG$2=0,$AR799=""),,IF($AR799="本月合计",IF(ROW()=$BG$3,SUM($R$6:$R798),SUM(INDIRECT("$R$"&amp;OFFSET($AU$3,,MATCH(ROW(),$AU$3:$BF$3,)-2)+2&amp;":$R"&amp;ROW()-1))),IF($AR799="本年累计",SUMIF($AR$6:$AR799,"本月合计",$R$6:$R798),INDEX(凭证录入!L:L,$AR799))))</f>
        <v>0</v>
      </c>
      <c r="S799" s="459" t="str">
        <f t="shared" ca="1" si="176"/>
        <v/>
      </c>
      <c r="T799" s="460" t="str">
        <f t="shared" ca="1" si="176"/>
        <v/>
      </c>
      <c r="U799" s="460" t="str">
        <f t="shared" ca="1" si="176"/>
        <v/>
      </c>
      <c r="V799" s="460" t="str">
        <f t="shared" ca="1" si="176"/>
        <v/>
      </c>
      <c r="W799" s="460" t="str">
        <f t="shared" ca="1" si="176"/>
        <v/>
      </c>
      <c r="X799" s="460" t="str">
        <f t="shared" ca="1" si="176"/>
        <v/>
      </c>
      <c r="Y799" s="460" t="str">
        <f t="shared" ca="1" si="176"/>
        <v/>
      </c>
      <c r="Z799" s="460" t="str">
        <f t="shared" ca="1" si="176"/>
        <v/>
      </c>
      <c r="AA799" s="461" t="str">
        <f t="shared" ca="1" si="176"/>
        <v/>
      </c>
      <c r="AB799" s="474" t="str">
        <f t="shared" ca="1" si="176"/>
        <v/>
      </c>
      <c r="AC799" s="475" t="str">
        <f t="shared" ca="1" si="176"/>
        <v/>
      </c>
      <c r="AD799" s="477" t="str">
        <f t="shared" ca="1" si="172"/>
        <v/>
      </c>
      <c r="AE799" s="478">
        <f t="shared" ca="1" si="173"/>
        <v>0</v>
      </c>
      <c r="AF799" s="459" t="str">
        <f t="shared" ca="1" si="174"/>
        <v/>
      </c>
      <c r="AG799" s="460" t="str">
        <f t="shared" ca="1" si="174"/>
        <v/>
      </c>
      <c r="AH799" s="460" t="str">
        <f t="shared" ca="1" si="174"/>
        <v/>
      </c>
      <c r="AI799" s="460" t="str">
        <f t="shared" ca="1" si="174"/>
        <v/>
      </c>
      <c r="AJ799" s="460" t="str">
        <f t="shared" ca="1" si="174"/>
        <v/>
      </c>
      <c r="AK799" s="460" t="str">
        <f t="shared" ca="1" si="174"/>
        <v/>
      </c>
      <c r="AL799" s="460" t="str">
        <f t="shared" ca="1" si="174"/>
        <v/>
      </c>
      <c r="AM799" s="460" t="str">
        <f t="shared" ca="1" si="174"/>
        <v/>
      </c>
      <c r="AN799" s="461" t="str">
        <f t="shared" ca="1" si="174"/>
        <v/>
      </c>
      <c r="AO799" s="474" t="str">
        <f t="shared" ca="1" si="174"/>
        <v/>
      </c>
      <c r="AP799" s="475" t="str">
        <f t="shared" ca="1" si="174"/>
        <v/>
      </c>
      <c r="AQ799" s="479" t="str">
        <f t="array" aca="1" ref="AQ799" ca="1">IF(ROW()-5&lt;=COUNTIF(科目编号,$AR$2),SMALL(IF(科目编号=$AR$2,ROW(科目编号),""),ROW()-5),"")</f>
        <v/>
      </c>
      <c r="AR799" s="480" t="str">
        <f ca="1">IF($BG$2=0,"",IF(AR798="本月合计","本年累计",IF(OR(ROW()=$AU$3,ROW()=$AV$3,ROW()=$AW$3,ROW()=$AX$3,ROW()=$AY$3,ROW()=$AZ$3,ROW()=$BA$3,ROW()=$BB$3,ROW()=$BC$3,ROW()=$BD$3,ROW()=$BE$3,ROW()=$BF$3),"本月合计",IF(ROW()&lt;7,$AQ$6,OFFSET($AQ$6,COUNT($AR$6:AR798),0)))))</f>
        <v/>
      </c>
    </row>
    <row r="800" spans="1:44">
      <c r="A800" s="469" t="str">
        <f ca="1">IFERROR(INDEX(凭证录入!A:A,$AR800),"")</f>
        <v/>
      </c>
      <c r="B800" s="469" t="str">
        <f ca="1">IFERROR(INDEX(凭证录入!B:B,$AR800),"")</f>
        <v/>
      </c>
      <c r="C800" s="470" t="str">
        <f ca="1">IFERROR(INDEX(凭证录入!G:G,$AR800),"")</f>
        <v/>
      </c>
      <c r="D800" s="471" t="str">
        <f ca="1">IFERROR(INDEX(凭证录入!F:F,$AR800),"")</f>
        <v/>
      </c>
      <c r="E800" s="472" t="str">
        <f ca="1">IFERROR(INDEX(凭证录入!H:H,$AR800),$AR800)</f>
        <v/>
      </c>
      <c r="F800" s="473">
        <f ca="1">IF(OR($BG$2=0,$AR800=""),,IF($AR800="本月合计",IF(ROW()=$BG$3,SUM($F$6:$F799),SUM(INDIRECT("$F$"&amp;OFFSET($AU$3,,MATCH(ROW(),$AU$3:$BF$3,)-2)+2&amp;":$E"&amp;ROW()-1))),IF($AR800="本年累计",SUMIF($AR$6:$AR800,"本月合计",$F$6:$F799),INDEX(凭证录入!K:K,$AR800))))</f>
        <v>0</v>
      </c>
      <c r="G800" s="459" t="str">
        <f t="shared" ca="1" si="175"/>
        <v/>
      </c>
      <c r="H800" s="460" t="str">
        <f t="shared" ca="1" si="175"/>
        <v/>
      </c>
      <c r="I800" s="460" t="str">
        <f t="shared" ca="1" si="175"/>
        <v/>
      </c>
      <c r="J800" s="460" t="str">
        <f t="shared" ca="1" si="175"/>
        <v/>
      </c>
      <c r="K800" s="460" t="str">
        <f t="shared" ca="1" si="175"/>
        <v/>
      </c>
      <c r="L800" s="460" t="str">
        <f t="shared" ca="1" si="175"/>
        <v/>
      </c>
      <c r="M800" s="460" t="str">
        <f t="shared" ca="1" si="175"/>
        <v/>
      </c>
      <c r="N800" s="460" t="str">
        <f t="shared" ca="1" si="175"/>
        <v/>
      </c>
      <c r="O800" s="461" t="str">
        <f t="shared" ca="1" si="175"/>
        <v/>
      </c>
      <c r="P800" s="474" t="str">
        <f t="shared" ca="1" si="175"/>
        <v/>
      </c>
      <c r="Q800" s="475" t="str">
        <f t="shared" ca="1" si="175"/>
        <v/>
      </c>
      <c r="R800" s="476">
        <f ca="1">IF(OR($BG$2=0,$AR800=""),,IF($AR800="本月合计",IF(ROW()=$BG$3,SUM($R$6:$R799),SUM(INDIRECT("$R$"&amp;OFFSET($AU$3,,MATCH(ROW(),$AU$3:$BF$3,)-2)+2&amp;":$R"&amp;ROW()-1))),IF($AR800="本年累计",SUMIF($AR$6:$AR800,"本月合计",$R$6:$R799),INDEX(凭证录入!L:L,$AR800))))</f>
        <v>0</v>
      </c>
      <c r="S800" s="459" t="str">
        <f t="shared" ca="1" si="176"/>
        <v/>
      </c>
      <c r="T800" s="460" t="str">
        <f t="shared" ca="1" si="176"/>
        <v/>
      </c>
      <c r="U800" s="460" t="str">
        <f t="shared" ca="1" si="176"/>
        <v/>
      </c>
      <c r="V800" s="460" t="str">
        <f t="shared" ca="1" si="176"/>
        <v/>
      </c>
      <c r="W800" s="460" t="str">
        <f t="shared" ca="1" si="176"/>
        <v/>
      </c>
      <c r="X800" s="460" t="str">
        <f t="shared" ca="1" si="176"/>
        <v/>
      </c>
      <c r="Y800" s="460" t="str">
        <f t="shared" ca="1" si="176"/>
        <v/>
      </c>
      <c r="Z800" s="460" t="str">
        <f t="shared" ca="1" si="176"/>
        <v/>
      </c>
      <c r="AA800" s="461" t="str">
        <f t="shared" ca="1" si="176"/>
        <v/>
      </c>
      <c r="AB800" s="474" t="str">
        <f t="shared" ca="1" si="176"/>
        <v/>
      </c>
      <c r="AC800" s="475" t="str">
        <f t="shared" ca="1" si="176"/>
        <v/>
      </c>
      <c r="AD800" s="477" t="str">
        <f t="shared" ca="1" si="172"/>
        <v/>
      </c>
      <c r="AE800" s="478">
        <f t="shared" ca="1" si="173"/>
        <v>0</v>
      </c>
      <c r="AF800" s="459" t="str">
        <f t="shared" ca="1" si="174"/>
        <v/>
      </c>
      <c r="AG800" s="460" t="str">
        <f t="shared" ca="1" si="174"/>
        <v/>
      </c>
      <c r="AH800" s="460" t="str">
        <f t="shared" ca="1" si="174"/>
        <v/>
      </c>
      <c r="AI800" s="460" t="str">
        <f t="shared" ca="1" si="174"/>
        <v/>
      </c>
      <c r="AJ800" s="460" t="str">
        <f t="shared" ca="1" si="174"/>
        <v/>
      </c>
      <c r="AK800" s="460" t="str">
        <f t="shared" ca="1" si="174"/>
        <v/>
      </c>
      <c r="AL800" s="460" t="str">
        <f t="shared" ca="1" si="174"/>
        <v/>
      </c>
      <c r="AM800" s="460" t="str">
        <f t="shared" ca="1" si="174"/>
        <v/>
      </c>
      <c r="AN800" s="461" t="str">
        <f t="shared" ca="1" si="174"/>
        <v/>
      </c>
      <c r="AO800" s="474" t="str">
        <f t="shared" ca="1" si="174"/>
        <v/>
      </c>
      <c r="AP800" s="475" t="str">
        <f t="shared" ca="1" si="174"/>
        <v/>
      </c>
      <c r="AQ800" s="479" t="str">
        <f t="array" aca="1" ref="AQ800" ca="1">IF(ROW()-5&lt;=COUNTIF(科目编号,$AR$2),SMALL(IF(科目编号=$AR$2,ROW(科目编号),""),ROW()-5),"")</f>
        <v/>
      </c>
      <c r="AR800" s="480" t="str">
        <f ca="1">IF($BG$2=0,"",IF(AR799="本月合计","本年累计",IF(OR(ROW()=$AU$3,ROW()=$AV$3,ROW()=$AW$3,ROW()=$AX$3,ROW()=$AY$3,ROW()=$AZ$3,ROW()=$BA$3,ROW()=$BB$3,ROW()=$BC$3,ROW()=$BD$3,ROW()=$BE$3,ROW()=$BF$3),"本月合计",IF(ROW()&lt;7,$AQ$6,OFFSET($AQ$6,COUNT($AR$6:AR799),0)))))</f>
        <v/>
      </c>
    </row>
    <row r="801" spans="1:44">
      <c r="A801" s="469" t="str">
        <f ca="1">IFERROR(INDEX(凭证录入!A:A,$AR801),"")</f>
        <v/>
      </c>
      <c r="B801" s="469" t="str">
        <f ca="1">IFERROR(INDEX(凭证录入!B:B,$AR801),"")</f>
        <v/>
      </c>
      <c r="C801" s="470" t="str">
        <f ca="1">IFERROR(INDEX(凭证录入!G:G,$AR801),"")</f>
        <v/>
      </c>
      <c r="D801" s="471" t="str">
        <f ca="1">IFERROR(INDEX(凭证录入!F:F,$AR801),"")</f>
        <v/>
      </c>
      <c r="E801" s="472" t="str">
        <f ca="1">IFERROR(INDEX(凭证录入!H:H,$AR801),$AR801)</f>
        <v/>
      </c>
      <c r="F801" s="473">
        <f ca="1">IF(OR($BG$2=0,$AR801=""),,IF($AR801="本月合计",IF(ROW()=$BG$3,SUM($F$6:$F800),SUM(INDIRECT("$F$"&amp;OFFSET($AU$3,,MATCH(ROW(),$AU$3:$BF$3,)-2)+2&amp;":$E"&amp;ROW()-1))),IF($AR801="本年累计",SUMIF($AR$6:$AR801,"本月合计",$F$6:$F800),INDEX(凭证录入!K:K,$AR801))))</f>
        <v>0</v>
      </c>
      <c r="G801" s="459" t="str">
        <f t="shared" ca="1" si="175"/>
        <v/>
      </c>
      <c r="H801" s="460" t="str">
        <f t="shared" ca="1" si="175"/>
        <v/>
      </c>
      <c r="I801" s="460" t="str">
        <f t="shared" ca="1" si="175"/>
        <v/>
      </c>
      <c r="J801" s="460" t="str">
        <f t="shared" ca="1" si="175"/>
        <v/>
      </c>
      <c r="K801" s="460" t="str">
        <f t="shared" ca="1" si="175"/>
        <v/>
      </c>
      <c r="L801" s="460" t="str">
        <f t="shared" ca="1" si="175"/>
        <v/>
      </c>
      <c r="M801" s="460" t="str">
        <f t="shared" ca="1" si="175"/>
        <v/>
      </c>
      <c r="N801" s="460" t="str">
        <f t="shared" ca="1" si="175"/>
        <v/>
      </c>
      <c r="O801" s="461" t="str">
        <f t="shared" ca="1" si="175"/>
        <v/>
      </c>
      <c r="P801" s="474" t="str">
        <f t="shared" ca="1" si="175"/>
        <v/>
      </c>
      <c r="Q801" s="475" t="str">
        <f t="shared" ca="1" si="175"/>
        <v/>
      </c>
      <c r="R801" s="476">
        <f ca="1">IF(OR($BG$2=0,$AR801=""),,IF($AR801="本月合计",IF(ROW()=$BG$3,SUM($R$6:$R800),SUM(INDIRECT("$R$"&amp;OFFSET($AU$3,,MATCH(ROW(),$AU$3:$BF$3,)-2)+2&amp;":$R"&amp;ROW()-1))),IF($AR801="本年累计",SUMIF($AR$6:$AR801,"本月合计",$R$6:$R800),INDEX(凭证录入!L:L,$AR801))))</f>
        <v>0</v>
      </c>
      <c r="S801" s="459" t="str">
        <f t="shared" ca="1" si="176"/>
        <v/>
      </c>
      <c r="T801" s="460" t="str">
        <f t="shared" ca="1" si="176"/>
        <v/>
      </c>
      <c r="U801" s="460" t="str">
        <f t="shared" ca="1" si="176"/>
        <v/>
      </c>
      <c r="V801" s="460" t="str">
        <f t="shared" ca="1" si="176"/>
        <v/>
      </c>
      <c r="W801" s="460" t="str">
        <f t="shared" ca="1" si="176"/>
        <v/>
      </c>
      <c r="X801" s="460" t="str">
        <f t="shared" ca="1" si="176"/>
        <v/>
      </c>
      <c r="Y801" s="460" t="str">
        <f t="shared" ca="1" si="176"/>
        <v/>
      </c>
      <c r="Z801" s="460" t="str">
        <f t="shared" ca="1" si="176"/>
        <v/>
      </c>
      <c r="AA801" s="461" t="str">
        <f t="shared" ca="1" si="176"/>
        <v/>
      </c>
      <c r="AB801" s="474" t="str">
        <f t="shared" ca="1" si="176"/>
        <v/>
      </c>
      <c r="AC801" s="475" t="str">
        <f t="shared" ca="1" si="176"/>
        <v/>
      </c>
      <c r="AD801" s="477" t="str">
        <f t="shared" ca="1" si="172"/>
        <v/>
      </c>
      <c r="AE801" s="478">
        <f t="shared" ca="1" si="173"/>
        <v>0</v>
      </c>
      <c r="AF801" s="459" t="str">
        <f t="shared" ca="1" si="174"/>
        <v/>
      </c>
      <c r="AG801" s="460" t="str">
        <f t="shared" ca="1" si="174"/>
        <v/>
      </c>
      <c r="AH801" s="460" t="str">
        <f t="shared" ca="1" si="174"/>
        <v/>
      </c>
      <c r="AI801" s="460" t="str">
        <f t="shared" ca="1" si="174"/>
        <v/>
      </c>
      <c r="AJ801" s="460" t="str">
        <f t="shared" ca="1" si="174"/>
        <v/>
      </c>
      <c r="AK801" s="460" t="str">
        <f t="shared" ca="1" si="174"/>
        <v/>
      </c>
      <c r="AL801" s="460" t="str">
        <f t="shared" ca="1" si="174"/>
        <v/>
      </c>
      <c r="AM801" s="460" t="str">
        <f t="shared" ca="1" si="174"/>
        <v/>
      </c>
      <c r="AN801" s="461" t="str">
        <f t="shared" ca="1" si="174"/>
        <v/>
      </c>
      <c r="AO801" s="474" t="str">
        <f t="shared" ca="1" si="174"/>
        <v/>
      </c>
      <c r="AP801" s="475" t="str">
        <f t="shared" ca="1" si="174"/>
        <v/>
      </c>
      <c r="AQ801" s="479" t="str">
        <f t="array" aca="1" ref="AQ801" ca="1">IF(ROW()-5&lt;=COUNTIF(科目编号,$AR$2),SMALL(IF(科目编号=$AR$2,ROW(科目编号),""),ROW()-5),"")</f>
        <v/>
      </c>
      <c r="AR801" s="480" t="str">
        <f ca="1">IF($BG$2=0,"",IF(AR800="本月合计","本年累计",IF(OR(ROW()=$AU$3,ROW()=$AV$3,ROW()=$AW$3,ROW()=$AX$3,ROW()=$AY$3,ROW()=$AZ$3,ROW()=$BA$3,ROW()=$BB$3,ROW()=$BC$3,ROW()=$BD$3,ROW()=$BE$3,ROW()=$BF$3),"本月合计",IF(ROW()&lt;7,$AQ$6,OFFSET($AQ$6,COUNT($AR$6:AR800),0)))))</f>
        <v/>
      </c>
    </row>
    <row r="802" spans="1:44">
      <c r="A802" s="469" t="str">
        <f ca="1">IFERROR(INDEX(凭证录入!A:A,$AR802),"")</f>
        <v/>
      </c>
      <c r="B802" s="469" t="str">
        <f ca="1">IFERROR(INDEX(凭证录入!B:B,$AR802),"")</f>
        <v/>
      </c>
      <c r="C802" s="470" t="str">
        <f ca="1">IFERROR(INDEX(凭证录入!G:G,$AR802),"")</f>
        <v/>
      </c>
      <c r="D802" s="471" t="str">
        <f ca="1">IFERROR(INDEX(凭证录入!F:F,$AR802),"")</f>
        <v/>
      </c>
      <c r="E802" s="472" t="str">
        <f ca="1">IFERROR(INDEX(凭证录入!H:H,$AR802),$AR802)</f>
        <v/>
      </c>
      <c r="F802" s="473">
        <f ca="1">IF(OR($BG$2=0,$AR802=""),,IF($AR802="本月合计",IF(ROW()=$BG$3,SUM($F$6:$F801),SUM(INDIRECT("$F$"&amp;OFFSET($AU$3,,MATCH(ROW(),$AU$3:$BF$3,)-2)+2&amp;":$E"&amp;ROW()-1))),IF($AR802="本年累计",SUMIF($AR$6:$AR802,"本月合计",$F$6:$F801),INDEX(凭证录入!K:K,$AR802))))</f>
        <v>0</v>
      </c>
      <c r="G802" s="459" t="str">
        <f t="shared" ca="1" si="175"/>
        <v/>
      </c>
      <c r="H802" s="460" t="str">
        <f t="shared" ca="1" si="175"/>
        <v/>
      </c>
      <c r="I802" s="460" t="str">
        <f t="shared" ca="1" si="175"/>
        <v/>
      </c>
      <c r="J802" s="460" t="str">
        <f t="shared" ca="1" si="175"/>
        <v/>
      </c>
      <c r="K802" s="460" t="str">
        <f t="shared" ca="1" si="175"/>
        <v/>
      </c>
      <c r="L802" s="460" t="str">
        <f t="shared" ca="1" si="175"/>
        <v/>
      </c>
      <c r="M802" s="460" t="str">
        <f t="shared" ca="1" si="175"/>
        <v/>
      </c>
      <c r="N802" s="460" t="str">
        <f t="shared" ca="1" si="175"/>
        <v/>
      </c>
      <c r="O802" s="461" t="str">
        <f t="shared" ca="1" si="175"/>
        <v/>
      </c>
      <c r="P802" s="474" t="str">
        <f t="shared" ca="1" si="175"/>
        <v/>
      </c>
      <c r="Q802" s="475" t="str">
        <f t="shared" ca="1" si="175"/>
        <v/>
      </c>
      <c r="R802" s="476">
        <f ca="1">IF(OR($BG$2=0,$AR802=""),,IF($AR802="本月合计",IF(ROW()=$BG$3,SUM($R$6:$R801),SUM(INDIRECT("$R$"&amp;OFFSET($AU$3,,MATCH(ROW(),$AU$3:$BF$3,)-2)+2&amp;":$R"&amp;ROW()-1))),IF($AR802="本年累计",SUMIF($AR$6:$AR802,"本月合计",$R$6:$R801),INDEX(凭证录入!L:L,$AR802))))</f>
        <v>0</v>
      </c>
      <c r="S802" s="459" t="str">
        <f t="shared" ca="1" si="176"/>
        <v/>
      </c>
      <c r="T802" s="460" t="str">
        <f t="shared" ca="1" si="176"/>
        <v/>
      </c>
      <c r="U802" s="460" t="str">
        <f t="shared" ca="1" si="176"/>
        <v/>
      </c>
      <c r="V802" s="460" t="str">
        <f t="shared" ca="1" si="176"/>
        <v/>
      </c>
      <c r="W802" s="460" t="str">
        <f t="shared" ca="1" si="176"/>
        <v/>
      </c>
      <c r="X802" s="460" t="str">
        <f t="shared" ca="1" si="176"/>
        <v/>
      </c>
      <c r="Y802" s="460" t="str">
        <f t="shared" ca="1" si="176"/>
        <v/>
      </c>
      <c r="Z802" s="460" t="str">
        <f t="shared" ca="1" si="176"/>
        <v/>
      </c>
      <c r="AA802" s="461" t="str">
        <f t="shared" ca="1" si="176"/>
        <v/>
      </c>
      <c r="AB802" s="474" t="str">
        <f t="shared" ca="1" si="176"/>
        <v/>
      </c>
      <c r="AC802" s="475" t="str">
        <f t="shared" ca="1" si="176"/>
        <v/>
      </c>
      <c r="AD802" s="477" t="str">
        <f t="shared" ca="1" si="172"/>
        <v/>
      </c>
      <c r="AE802" s="478">
        <f t="shared" ca="1" si="173"/>
        <v>0</v>
      </c>
      <c r="AF802" s="459" t="str">
        <f t="shared" ca="1" si="174"/>
        <v/>
      </c>
      <c r="AG802" s="460" t="str">
        <f t="shared" ca="1" si="174"/>
        <v/>
      </c>
      <c r="AH802" s="460" t="str">
        <f t="shared" ca="1" si="174"/>
        <v/>
      </c>
      <c r="AI802" s="460" t="str">
        <f t="shared" ca="1" si="174"/>
        <v/>
      </c>
      <c r="AJ802" s="460" t="str">
        <f t="shared" ca="1" si="174"/>
        <v/>
      </c>
      <c r="AK802" s="460" t="str">
        <f t="shared" ca="1" si="174"/>
        <v/>
      </c>
      <c r="AL802" s="460" t="str">
        <f t="shared" ca="1" si="174"/>
        <v/>
      </c>
      <c r="AM802" s="460" t="str">
        <f t="shared" ca="1" si="174"/>
        <v/>
      </c>
      <c r="AN802" s="461" t="str">
        <f t="shared" ca="1" si="174"/>
        <v/>
      </c>
      <c r="AO802" s="474" t="str">
        <f t="shared" ca="1" si="174"/>
        <v/>
      </c>
      <c r="AP802" s="475" t="str">
        <f t="shared" ca="1" si="174"/>
        <v/>
      </c>
      <c r="AQ802" s="479" t="str">
        <f t="array" aca="1" ref="AQ802" ca="1">IF(ROW()-5&lt;=COUNTIF(科目编号,$AR$2),SMALL(IF(科目编号=$AR$2,ROW(科目编号),""),ROW()-5),"")</f>
        <v/>
      </c>
      <c r="AR802" s="480" t="str">
        <f ca="1">IF($BG$2=0,"",IF(AR801="本月合计","本年累计",IF(OR(ROW()=$AU$3,ROW()=$AV$3,ROW()=$AW$3,ROW()=$AX$3,ROW()=$AY$3,ROW()=$AZ$3,ROW()=$BA$3,ROW()=$BB$3,ROW()=$BC$3,ROW()=$BD$3,ROW()=$BE$3,ROW()=$BF$3),"本月合计",IF(ROW()&lt;7,$AQ$6,OFFSET($AQ$6,COUNT($AR$6:AR801),0)))))</f>
        <v/>
      </c>
    </row>
    <row r="803" spans="1:44">
      <c r="A803" s="469" t="str">
        <f ca="1">IFERROR(INDEX(凭证录入!A:A,$AR803),"")</f>
        <v/>
      </c>
      <c r="B803" s="469" t="str">
        <f ca="1">IFERROR(INDEX(凭证录入!B:B,$AR803),"")</f>
        <v/>
      </c>
      <c r="C803" s="470" t="str">
        <f ca="1">IFERROR(INDEX(凭证录入!G:G,$AR803),"")</f>
        <v/>
      </c>
      <c r="D803" s="471" t="str">
        <f ca="1">IFERROR(INDEX(凭证录入!F:F,$AR803),"")</f>
        <v/>
      </c>
      <c r="E803" s="472" t="str">
        <f ca="1">IFERROR(INDEX(凭证录入!H:H,$AR803),$AR803)</f>
        <v/>
      </c>
      <c r="F803" s="473">
        <f ca="1">IF(OR($BG$2=0,$AR803=""),,IF($AR803="本月合计",IF(ROW()=$BG$3,SUM($F$6:$F802),SUM(INDIRECT("$F$"&amp;OFFSET($AU$3,,MATCH(ROW(),$AU$3:$BF$3,)-2)+2&amp;":$E"&amp;ROW()-1))),IF($AR803="本年累计",SUMIF($AR$6:$AR803,"本月合计",$F$6:$F802),INDEX(凭证录入!K:K,$AR803))))</f>
        <v>0</v>
      </c>
      <c r="G803" s="459" t="str">
        <f t="shared" ca="1" si="175"/>
        <v/>
      </c>
      <c r="H803" s="460" t="str">
        <f t="shared" ca="1" si="175"/>
        <v/>
      </c>
      <c r="I803" s="460" t="str">
        <f t="shared" ca="1" si="175"/>
        <v/>
      </c>
      <c r="J803" s="460" t="str">
        <f t="shared" ca="1" si="175"/>
        <v/>
      </c>
      <c r="K803" s="460" t="str">
        <f t="shared" ca="1" si="175"/>
        <v/>
      </c>
      <c r="L803" s="460" t="str">
        <f t="shared" ca="1" si="175"/>
        <v/>
      </c>
      <c r="M803" s="460" t="str">
        <f t="shared" ca="1" si="175"/>
        <v/>
      </c>
      <c r="N803" s="460" t="str">
        <f t="shared" ca="1" si="175"/>
        <v/>
      </c>
      <c r="O803" s="461" t="str">
        <f t="shared" ca="1" si="175"/>
        <v/>
      </c>
      <c r="P803" s="474" t="str">
        <f t="shared" ca="1" si="175"/>
        <v/>
      </c>
      <c r="Q803" s="475" t="str">
        <f t="shared" ca="1" si="175"/>
        <v/>
      </c>
      <c r="R803" s="476">
        <f ca="1">IF(OR($BG$2=0,$AR803=""),,IF($AR803="本月合计",IF(ROW()=$BG$3,SUM($R$6:$R802),SUM(INDIRECT("$R$"&amp;OFFSET($AU$3,,MATCH(ROW(),$AU$3:$BF$3,)-2)+2&amp;":$R"&amp;ROW()-1))),IF($AR803="本年累计",SUMIF($AR$6:$AR803,"本月合计",$R$6:$R802),INDEX(凭证录入!L:L,$AR803))))</f>
        <v>0</v>
      </c>
      <c r="S803" s="459" t="str">
        <f t="shared" ca="1" si="176"/>
        <v/>
      </c>
      <c r="T803" s="460" t="str">
        <f t="shared" ca="1" si="176"/>
        <v/>
      </c>
      <c r="U803" s="460" t="str">
        <f t="shared" ca="1" si="176"/>
        <v/>
      </c>
      <c r="V803" s="460" t="str">
        <f t="shared" ca="1" si="176"/>
        <v/>
      </c>
      <c r="W803" s="460" t="str">
        <f t="shared" ca="1" si="176"/>
        <v/>
      </c>
      <c r="X803" s="460" t="str">
        <f t="shared" ca="1" si="176"/>
        <v/>
      </c>
      <c r="Y803" s="460" t="str">
        <f t="shared" ca="1" si="176"/>
        <v/>
      </c>
      <c r="Z803" s="460" t="str">
        <f t="shared" ca="1" si="176"/>
        <v/>
      </c>
      <c r="AA803" s="461" t="str">
        <f t="shared" ca="1" si="176"/>
        <v/>
      </c>
      <c r="AB803" s="474" t="str">
        <f t="shared" ca="1" si="176"/>
        <v/>
      </c>
      <c r="AC803" s="475" t="str">
        <f t="shared" ca="1" si="176"/>
        <v/>
      </c>
      <c r="AD803" s="477" t="str">
        <f t="shared" ca="1" si="172"/>
        <v/>
      </c>
      <c r="AE803" s="478">
        <f t="shared" ca="1" si="173"/>
        <v>0</v>
      </c>
      <c r="AF803" s="459" t="str">
        <f t="shared" ca="1" si="174"/>
        <v/>
      </c>
      <c r="AG803" s="460" t="str">
        <f t="shared" ca="1" si="174"/>
        <v/>
      </c>
      <c r="AH803" s="460" t="str">
        <f t="shared" ca="1" si="174"/>
        <v/>
      </c>
      <c r="AI803" s="460" t="str">
        <f t="shared" ca="1" si="174"/>
        <v/>
      </c>
      <c r="AJ803" s="460" t="str">
        <f t="shared" ca="1" si="174"/>
        <v/>
      </c>
      <c r="AK803" s="460" t="str">
        <f t="shared" ca="1" si="174"/>
        <v/>
      </c>
      <c r="AL803" s="460" t="str">
        <f t="shared" ca="1" si="174"/>
        <v/>
      </c>
      <c r="AM803" s="460" t="str">
        <f t="shared" ca="1" si="174"/>
        <v/>
      </c>
      <c r="AN803" s="461" t="str">
        <f t="shared" ca="1" si="174"/>
        <v/>
      </c>
      <c r="AO803" s="474" t="str">
        <f t="shared" ca="1" si="174"/>
        <v/>
      </c>
      <c r="AP803" s="475" t="str">
        <f t="shared" ca="1" si="174"/>
        <v/>
      </c>
      <c r="AQ803" s="479" t="str">
        <f t="array" aca="1" ref="AQ803" ca="1">IF(ROW()-5&lt;=COUNTIF(科目编号,$AR$2),SMALL(IF(科目编号=$AR$2,ROW(科目编号),""),ROW()-5),"")</f>
        <v/>
      </c>
      <c r="AR803" s="480" t="str">
        <f ca="1">IF($BG$2=0,"",IF(AR802="本月合计","本年累计",IF(OR(ROW()=$AU$3,ROW()=$AV$3,ROW()=$AW$3,ROW()=$AX$3,ROW()=$AY$3,ROW()=$AZ$3,ROW()=$BA$3,ROW()=$BB$3,ROW()=$BC$3,ROW()=$BD$3,ROW()=$BE$3,ROW()=$BF$3),"本月合计",IF(ROW()&lt;7,$AQ$6,OFFSET($AQ$6,COUNT($AR$6:AR802),0)))))</f>
        <v/>
      </c>
    </row>
    <row r="804" spans="1:44">
      <c r="A804" s="469" t="str">
        <f ca="1">IFERROR(INDEX(凭证录入!A:A,$AR804),"")</f>
        <v/>
      </c>
      <c r="B804" s="469" t="str">
        <f ca="1">IFERROR(INDEX(凭证录入!B:B,$AR804),"")</f>
        <v/>
      </c>
      <c r="C804" s="470" t="str">
        <f ca="1">IFERROR(INDEX(凭证录入!G:G,$AR804),"")</f>
        <v/>
      </c>
      <c r="D804" s="471" t="str">
        <f ca="1">IFERROR(INDEX(凭证录入!F:F,$AR804),"")</f>
        <v/>
      </c>
      <c r="E804" s="472" t="str">
        <f ca="1">IFERROR(INDEX(凭证录入!H:H,$AR804),$AR804)</f>
        <v/>
      </c>
      <c r="F804" s="473">
        <f ca="1">IF(OR($BG$2=0,$AR804=""),,IF($AR804="本月合计",IF(ROW()=$BG$3,SUM($F$6:$F803),SUM(INDIRECT("$F$"&amp;OFFSET($AU$3,,MATCH(ROW(),$AU$3:$BF$3,)-2)+2&amp;":$E"&amp;ROW()-1))),IF($AR804="本年累计",SUMIF($AR$6:$AR804,"本月合计",$F$6:$F803),INDEX(凭证录入!K:K,$AR804))))</f>
        <v>0</v>
      </c>
      <c r="G804" s="459" t="str">
        <f t="shared" ca="1" si="175"/>
        <v/>
      </c>
      <c r="H804" s="460" t="str">
        <f t="shared" ca="1" si="175"/>
        <v/>
      </c>
      <c r="I804" s="460" t="str">
        <f t="shared" ca="1" si="175"/>
        <v/>
      </c>
      <c r="J804" s="460" t="str">
        <f t="shared" ca="1" si="175"/>
        <v/>
      </c>
      <c r="K804" s="460" t="str">
        <f t="shared" ca="1" si="175"/>
        <v/>
      </c>
      <c r="L804" s="460" t="str">
        <f t="shared" ca="1" si="175"/>
        <v/>
      </c>
      <c r="M804" s="460" t="str">
        <f t="shared" ca="1" si="175"/>
        <v/>
      </c>
      <c r="N804" s="460" t="str">
        <f t="shared" ca="1" si="175"/>
        <v/>
      </c>
      <c r="O804" s="461" t="str">
        <f t="shared" ca="1" si="175"/>
        <v/>
      </c>
      <c r="P804" s="474" t="str">
        <f t="shared" ca="1" si="175"/>
        <v/>
      </c>
      <c r="Q804" s="475" t="str">
        <f t="shared" ca="1" si="175"/>
        <v/>
      </c>
      <c r="R804" s="476">
        <f ca="1">IF(OR($BG$2=0,$AR804=""),,IF($AR804="本月合计",IF(ROW()=$BG$3,SUM($R$6:$R803),SUM(INDIRECT("$R$"&amp;OFFSET($AU$3,,MATCH(ROW(),$AU$3:$BF$3,)-2)+2&amp;":$R"&amp;ROW()-1))),IF($AR804="本年累计",SUMIF($AR$6:$AR804,"本月合计",$R$6:$R803),INDEX(凭证录入!L:L,$AR804))))</f>
        <v>0</v>
      </c>
      <c r="S804" s="459" t="str">
        <f t="shared" ca="1" si="176"/>
        <v/>
      </c>
      <c r="T804" s="460" t="str">
        <f t="shared" ca="1" si="176"/>
        <v/>
      </c>
      <c r="U804" s="460" t="str">
        <f t="shared" ca="1" si="176"/>
        <v/>
      </c>
      <c r="V804" s="460" t="str">
        <f t="shared" ca="1" si="176"/>
        <v/>
      </c>
      <c r="W804" s="460" t="str">
        <f t="shared" ca="1" si="176"/>
        <v/>
      </c>
      <c r="X804" s="460" t="str">
        <f t="shared" ca="1" si="176"/>
        <v/>
      </c>
      <c r="Y804" s="460" t="str">
        <f t="shared" ca="1" si="176"/>
        <v/>
      </c>
      <c r="Z804" s="460" t="str">
        <f t="shared" ca="1" si="176"/>
        <v/>
      </c>
      <c r="AA804" s="461" t="str">
        <f t="shared" ca="1" si="176"/>
        <v/>
      </c>
      <c r="AB804" s="474" t="str">
        <f t="shared" ca="1" si="176"/>
        <v/>
      </c>
      <c r="AC804" s="475" t="str">
        <f t="shared" ca="1" si="176"/>
        <v/>
      </c>
      <c r="AD804" s="477" t="str">
        <f t="shared" ca="1" si="172"/>
        <v/>
      </c>
      <c r="AE804" s="478">
        <f t="shared" ca="1" si="173"/>
        <v>0</v>
      </c>
      <c r="AF804" s="459" t="str">
        <f t="shared" ca="1" si="174"/>
        <v/>
      </c>
      <c r="AG804" s="460" t="str">
        <f t="shared" ca="1" si="174"/>
        <v/>
      </c>
      <c r="AH804" s="460" t="str">
        <f t="shared" ca="1" si="174"/>
        <v/>
      </c>
      <c r="AI804" s="460" t="str">
        <f t="shared" ca="1" si="174"/>
        <v/>
      </c>
      <c r="AJ804" s="460" t="str">
        <f t="shared" ca="1" si="174"/>
        <v/>
      </c>
      <c r="AK804" s="460" t="str">
        <f t="shared" ca="1" si="174"/>
        <v/>
      </c>
      <c r="AL804" s="460" t="str">
        <f t="shared" ca="1" si="174"/>
        <v/>
      </c>
      <c r="AM804" s="460" t="str">
        <f t="shared" ca="1" si="174"/>
        <v/>
      </c>
      <c r="AN804" s="461" t="str">
        <f t="shared" ca="1" si="174"/>
        <v/>
      </c>
      <c r="AO804" s="474" t="str">
        <f t="shared" ca="1" si="174"/>
        <v/>
      </c>
      <c r="AP804" s="475" t="str">
        <f t="shared" ca="1" si="174"/>
        <v/>
      </c>
      <c r="AQ804" s="479" t="str">
        <f t="array" aca="1" ref="AQ804" ca="1">IF(ROW()-5&lt;=COUNTIF(科目编号,$AR$2),SMALL(IF(科目编号=$AR$2,ROW(科目编号),""),ROW()-5),"")</f>
        <v/>
      </c>
      <c r="AR804" s="480" t="str">
        <f ca="1">IF($BG$2=0,"",IF(AR803="本月合计","本年累计",IF(OR(ROW()=$AU$3,ROW()=$AV$3,ROW()=$AW$3,ROW()=$AX$3,ROW()=$AY$3,ROW()=$AZ$3,ROW()=$BA$3,ROW()=$BB$3,ROW()=$BC$3,ROW()=$BD$3,ROW()=$BE$3,ROW()=$BF$3),"本月合计",IF(ROW()&lt;7,$AQ$6,OFFSET($AQ$6,COUNT($AR$6:AR803),0)))))</f>
        <v/>
      </c>
    </row>
    <row r="805" spans="1:44">
      <c r="A805" s="469" t="str">
        <f ca="1">IFERROR(INDEX(凭证录入!A:A,$AR805),"")</f>
        <v/>
      </c>
      <c r="B805" s="469" t="str">
        <f ca="1">IFERROR(INDEX(凭证录入!B:B,$AR805),"")</f>
        <v/>
      </c>
      <c r="C805" s="470" t="str">
        <f ca="1">IFERROR(INDEX(凭证录入!G:G,$AR805),"")</f>
        <v/>
      </c>
      <c r="D805" s="471" t="str">
        <f ca="1">IFERROR(INDEX(凭证录入!F:F,$AR805),"")</f>
        <v/>
      </c>
      <c r="E805" s="472" t="str">
        <f ca="1">IFERROR(INDEX(凭证录入!H:H,$AR805),$AR805)</f>
        <v/>
      </c>
      <c r="F805" s="473">
        <f ca="1">IF(OR($BG$2=0,$AR805=""),,IF($AR805="本月合计",IF(ROW()=$BG$3,SUM($F$6:$F804),SUM(INDIRECT("$F$"&amp;OFFSET($AU$3,,MATCH(ROW(),$AU$3:$BF$3,)-2)+2&amp;":$E"&amp;ROW()-1))),IF($AR805="本年累计",SUMIF($AR$6:$AR805,"本月合计",$F$6:$F804),INDEX(凭证录入!K:K,$AR805))))</f>
        <v>0</v>
      </c>
      <c r="G805" s="459" t="str">
        <f t="shared" ca="1" si="175"/>
        <v/>
      </c>
      <c r="H805" s="460" t="str">
        <f t="shared" ca="1" si="175"/>
        <v/>
      </c>
      <c r="I805" s="460" t="str">
        <f t="shared" ca="1" si="175"/>
        <v/>
      </c>
      <c r="J805" s="460" t="str">
        <f t="shared" ca="1" si="175"/>
        <v/>
      </c>
      <c r="K805" s="460" t="str">
        <f t="shared" ca="1" si="175"/>
        <v/>
      </c>
      <c r="L805" s="460" t="str">
        <f t="shared" ca="1" si="175"/>
        <v/>
      </c>
      <c r="M805" s="460" t="str">
        <f t="shared" ca="1" si="175"/>
        <v/>
      </c>
      <c r="N805" s="460" t="str">
        <f t="shared" ca="1" si="175"/>
        <v/>
      </c>
      <c r="O805" s="461" t="str">
        <f t="shared" ca="1" si="175"/>
        <v/>
      </c>
      <c r="P805" s="474" t="str">
        <f t="shared" ca="1" si="175"/>
        <v/>
      </c>
      <c r="Q805" s="475" t="str">
        <f t="shared" ca="1" si="175"/>
        <v/>
      </c>
      <c r="R805" s="476">
        <f ca="1">IF(OR($BG$2=0,$AR805=""),,IF($AR805="本月合计",IF(ROW()=$BG$3,SUM($R$6:$R804),SUM(INDIRECT("$R$"&amp;OFFSET($AU$3,,MATCH(ROW(),$AU$3:$BF$3,)-2)+2&amp;":$R"&amp;ROW()-1))),IF($AR805="本年累计",SUMIF($AR$6:$AR805,"本月合计",$R$6:$R804),INDEX(凭证录入!L:L,$AR805))))</f>
        <v>0</v>
      </c>
      <c r="S805" s="459" t="str">
        <f t="shared" ca="1" si="176"/>
        <v/>
      </c>
      <c r="T805" s="460" t="str">
        <f t="shared" ca="1" si="176"/>
        <v/>
      </c>
      <c r="U805" s="460" t="str">
        <f t="shared" ca="1" si="176"/>
        <v/>
      </c>
      <c r="V805" s="460" t="str">
        <f t="shared" ca="1" si="176"/>
        <v/>
      </c>
      <c r="W805" s="460" t="str">
        <f t="shared" ca="1" si="176"/>
        <v/>
      </c>
      <c r="X805" s="460" t="str">
        <f t="shared" ca="1" si="176"/>
        <v/>
      </c>
      <c r="Y805" s="460" t="str">
        <f t="shared" ca="1" si="176"/>
        <v/>
      </c>
      <c r="Z805" s="460" t="str">
        <f t="shared" ca="1" si="176"/>
        <v/>
      </c>
      <c r="AA805" s="461" t="str">
        <f t="shared" ca="1" si="176"/>
        <v/>
      </c>
      <c r="AB805" s="474" t="str">
        <f t="shared" ca="1" si="176"/>
        <v/>
      </c>
      <c r="AC805" s="475" t="str">
        <f t="shared" ca="1" si="176"/>
        <v/>
      </c>
      <c r="AD805" s="477" t="str">
        <f t="shared" ca="1" si="172"/>
        <v/>
      </c>
      <c r="AE805" s="478">
        <f t="shared" ca="1" si="173"/>
        <v>0</v>
      </c>
      <c r="AF805" s="459" t="str">
        <f t="shared" ref="AF805:AP820" ca="1" si="177">LEFT(RIGHT(TEXT($AE805/1%," ￥0; ￥-0;"),43-COLUMN()))</f>
        <v/>
      </c>
      <c r="AG805" s="460" t="str">
        <f t="shared" ca="1" si="177"/>
        <v/>
      </c>
      <c r="AH805" s="460" t="str">
        <f t="shared" ca="1" si="177"/>
        <v/>
      </c>
      <c r="AI805" s="460" t="str">
        <f t="shared" ca="1" si="177"/>
        <v/>
      </c>
      <c r="AJ805" s="460" t="str">
        <f t="shared" ca="1" si="177"/>
        <v/>
      </c>
      <c r="AK805" s="460" t="str">
        <f t="shared" ca="1" si="177"/>
        <v/>
      </c>
      <c r="AL805" s="460" t="str">
        <f t="shared" ca="1" si="177"/>
        <v/>
      </c>
      <c r="AM805" s="460" t="str">
        <f t="shared" ca="1" si="177"/>
        <v/>
      </c>
      <c r="AN805" s="461" t="str">
        <f t="shared" ca="1" si="177"/>
        <v/>
      </c>
      <c r="AO805" s="474" t="str">
        <f t="shared" ca="1" si="177"/>
        <v/>
      </c>
      <c r="AP805" s="475" t="str">
        <f t="shared" ca="1" si="177"/>
        <v/>
      </c>
      <c r="AQ805" s="479" t="str">
        <f t="array" aca="1" ref="AQ805" ca="1">IF(ROW()-5&lt;=COUNTIF(科目编号,$AR$2),SMALL(IF(科目编号=$AR$2,ROW(科目编号),""),ROW()-5),"")</f>
        <v/>
      </c>
      <c r="AR805" s="480" t="str">
        <f ca="1">IF($BG$2=0,"",IF(AR804="本月合计","本年累计",IF(OR(ROW()=$AU$3,ROW()=$AV$3,ROW()=$AW$3,ROW()=$AX$3,ROW()=$AY$3,ROW()=$AZ$3,ROW()=$BA$3,ROW()=$BB$3,ROW()=$BC$3,ROW()=$BD$3,ROW()=$BE$3,ROW()=$BF$3),"本月合计",IF(ROW()&lt;7,$AQ$6,OFFSET($AQ$6,COUNT($AR$6:AR804),0)))))</f>
        <v/>
      </c>
    </row>
    <row r="806" spans="1:44">
      <c r="A806" s="469" t="str">
        <f ca="1">IFERROR(INDEX(凭证录入!A:A,$AR806),"")</f>
        <v/>
      </c>
      <c r="B806" s="469" t="str">
        <f ca="1">IFERROR(INDEX(凭证录入!B:B,$AR806),"")</f>
        <v/>
      </c>
      <c r="C806" s="470" t="str">
        <f ca="1">IFERROR(INDEX(凭证录入!G:G,$AR806),"")</f>
        <v/>
      </c>
      <c r="D806" s="471" t="str">
        <f ca="1">IFERROR(INDEX(凭证录入!F:F,$AR806),"")</f>
        <v/>
      </c>
      <c r="E806" s="472" t="str">
        <f ca="1">IFERROR(INDEX(凭证录入!H:H,$AR806),$AR806)</f>
        <v/>
      </c>
      <c r="F806" s="473">
        <f ca="1">IF(OR($BG$2=0,$AR806=""),,IF($AR806="本月合计",IF(ROW()=$BG$3,SUM($F$6:$F805),SUM(INDIRECT("$F$"&amp;OFFSET($AU$3,,MATCH(ROW(),$AU$3:$BF$3,)-2)+2&amp;":$E"&amp;ROW()-1))),IF($AR806="本年累计",SUMIF($AR$6:$AR806,"本月合计",$F$6:$F805),INDEX(凭证录入!K:K,$AR806))))</f>
        <v>0</v>
      </c>
      <c r="G806" s="459" t="str">
        <f t="shared" ref="G806:Q821" ca="1" si="178">LEFT(RIGHT(TEXT($F806/1%," ￥0; ￥-0;"),18-COLUMN()))</f>
        <v/>
      </c>
      <c r="H806" s="460" t="str">
        <f t="shared" ca="1" si="178"/>
        <v/>
      </c>
      <c r="I806" s="460" t="str">
        <f t="shared" ca="1" si="178"/>
        <v/>
      </c>
      <c r="J806" s="460" t="str">
        <f t="shared" ca="1" si="178"/>
        <v/>
      </c>
      <c r="K806" s="460" t="str">
        <f t="shared" ca="1" si="178"/>
        <v/>
      </c>
      <c r="L806" s="460" t="str">
        <f t="shared" ca="1" si="178"/>
        <v/>
      </c>
      <c r="M806" s="460" t="str">
        <f t="shared" ca="1" si="178"/>
        <v/>
      </c>
      <c r="N806" s="460" t="str">
        <f t="shared" ca="1" si="178"/>
        <v/>
      </c>
      <c r="O806" s="461" t="str">
        <f t="shared" ca="1" si="178"/>
        <v/>
      </c>
      <c r="P806" s="474" t="str">
        <f t="shared" ca="1" si="178"/>
        <v/>
      </c>
      <c r="Q806" s="475" t="str">
        <f t="shared" ca="1" si="178"/>
        <v/>
      </c>
      <c r="R806" s="476">
        <f ca="1">IF(OR($BG$2=0,$AR806=""),,IF($AR806="本月合计",IF(ROW()=$BG$3,SUM($R$6:$R805),SUM(INDIRECT("$R$"&amp;OFFSET($AU$3,,MATCH(ROW(),$AU$3:$BF$3,)-2)+2&amp;":$R"&amp;ROW()-1))),IF($AR806="本年累计",SUMIF($AR$6:$AR806,"本月合计",$R$6:$R805),INDEX(凭证录入!L:L,$AR806))))</f>
        <v>0</v>
      </c>
      <c r="S806" s="459" t="str">
        <f t="shared" ref="S806:AC821" ca="1" si="179">LEFT(RIGHT(TEXT($R806/1%," ￥0; ￥-0;"),30-COLUMN()))</f>
        <v/>
      </c>
      <c r="T806" s="460" t="str">
        <f t="shared" ca="1" si="179"/>
        <v/>
      </c>
      <c r="U806" s="460" t="str">
        <f t="shared" ca="1" si="179"/>
        <v/>
      </c>
      <c r="V806" s="460" t="str">
        <f t="shared" ca="1" si="179"/>
        <v/>
      </c>
      <c r="W806" s="460" t="str">
        <f t="shared" ca="1" si="179"/>
        <v/>
      </c>
      <c r="X806" s="460" t="str">
        <f t="shared" ca="1" si="179"/>
        <v/>
      </c>
      <c r="Y806" s="460" t="str">
        <f t="shared" ca="1" si="179"/>
        <v/>
      </c>
      <c r="Z806" s="460" t="str">
        <f t="shared" ca="1" si="179"/>
        <v/>
      </c>
      <c r="AA806" s="461" t="str">
        <f t="shared" ca="1" si="179"/>
        <v/>
      </c>
      <c r="AB806" s="474" t="str">
        <f t="shared" ca="1" si="179"/>
        <v/>
      </c>
      <c r="AC806" s="475" t="str">
        <f t="shared" ca="1" si="179"/>
        <v/>
      </c>
      <c r="AD806" s="477" t="str">
        <f t="shared" ca="1" si="172"/>
        <v/>
      </c>
      <c r="AE806" s="478">
        <f t="shared" ca="1" si="173"/>
        <v>0</v>
      </c>
      <c r="AF806" s="459" t="str">
        <f t="shared" ca="1" si="177"/>
        <v/>
      </c>
      <c r="AG806" s="460" t="str">
        <f t="shared" ca="1" si="177"/>
        <v/>
      </c>
      <c r="AH806" s="460" t="str">
        <f t="shared" ca="1" si="177"/>
        <v/>
      </c>
      <c r="AI806" s="460" t="str">
        <f t="shared" ca="1" si="177"/>
        <v/>
      </c>
      <c r="AJ806" s="460" t="str">
        <f t="shared" ca="1" si="177"/>
        <v/>
      </c>
      <c r="AK806" s="460" t="str">
        <f t="shared" ca="1" si="177"/>
        <v/>
      </c>
      <c r="AL806" s="460" t="str">
        <f t="shared" ca="1" si="177"/>
        <v/>
      </c>
      <c r="AM806" s="460" t="str">
        <f t="shared" ca="1" si="177"/>
        <v/>
      </c>
      <c r="AN806" s="461" t="str">
        <f t="shared" ca="1" si="177"/>
        <v/>
      </c>
      <c r="AO806" s="474" t="str">
        <f t="shared" ca="1" si="177"/>
        <v/>
      </c>
      <c r="AP806" s="475" t="str">
        <f t="shared" ca="1" si="177"/>
        <v/>
      </c>
      <c r="AQ806" s="479" t="str">
        <f t="array" aca="1" ref="AQ806" ca="1">IF(ROW()-5&lt;=COUNTIF(科目编号,$AR$2),SMALL(IF(科目编号=$AR$2,ROW(科目编号),""),ROW()-5),"")</f>
        <v/>
      </c>
      <c r="AR806" s="480" t="str">
        <f ca="1">IF($BG$2=0,"",IF(AR805="本月合计","本年累计",IF(OR(ROW()=$AU$3,ROW()=$AV$3,ROW()=$AW$3,ROW()=$AX$3,ROW()=$AY$3,ROW()=$AZ$3,ROW()=$BA$3,ROW()=$BB$3,ROW()=$BC$3,ROW()=$BD$3,ROW()=$BE$3,ROW()=$BF$3),"本月合计",IF(ROW()&lt;7,$AQ$6,OFFSET($AQ$6,COUNT($AR$6:AR805),0)))))</f>
        <v/>
      </c>
    </row>
    <row r="807" spans="1:44">
      <c r="A807" s="469" t="str">
        <f ca="1">IFERROR(INDEX(凭证录入!A:A,$AR807),"")</f>
        <v/>
      </c>
      <c r="B807" s="469" t="str">
        <f ca="1">IFERROR(INDEX(凭证录入!B:B,$AR807),"")</f>
        <v/>
      </c>
      <c r="C807" s="470" t="str">
        <f ca="1">IFERROR(INDEX(凭证录入!G:G,$AR807),"")</f>
        <v/>
      </c>
      <c r="D807" s="471" t="str">
        <f ca="1">IFERROR(INDEX(凭证录入!F:F,$AR807),"")</f>
        <v/>
      </c>
      <c r="E807" s="472" t="str">
        <f ca="1">IFERROR(INDEX(凭证录入!H:H,$AR807),$AR807)</f>
        <v/>
      </c>
      <c r="F807" s="473">
        <f ca="1">IF(OR($BG$2=0,$AR807=""),,IF($AR807="本月合计",IF(ROW()=$BG$3,SUM($F$6:$F806),SUM(INDIRECT("$F$"&amp;OFFSET($AU$3,,MATCH(ROW(),$AU$3:$BF$3,)-2)+2&amp;":$E"&amp;ROW()-1))),IF($AR807="本年累计",SUMIF($AR$6:$AR807,"本月合计",$F$6:$F806),INDEX(凭证录入!K:K,$AR807))))</f>
        <v>0</v>
      </c>
      <c r="G807" s="459" t="str">
        <f t="shared" ca="1" si="178"/>
        <v/>
      </c>
      <c r="H807" s="460" t="str">
        <f t="shared" ca="1" si="178"/>
        <v/>
      </c>
      <c r="I807" s="460" t="str">
        <f t="shared" ca="1" si="178"/>
        <v/>
      </c>
      <c r="J807" s="460" t="str">
        <f t="shared" ca="1" si="178"/>
        <v/>
      </c>
      <c r="K807" s="460" t="str">
        <f t="shared" ca="1" si="178"/>
        <v/>
      </c>
      <c r="L807" s="460" t="str">
        <f t="shared" ca="1" si="178"/>
        <v/>
      </c>
      <c r="M807" s="460" t="str">
        <f t="shared" ca="1" si="178"/>
        <v/>
      </c>
      <c r="N807" s="460" t="str">
        <f t="shared" ca="1" si="178"/>
        <v/>
      </c>
      <c r="O807" s="461" t="str">
        <f t="shared" ca="1" si="178"/>
        <v/>
      </c>
      <c r="P807" s="474" t="str">
        <f t="shared" ca="1" si="178"/>
        <v/>
      </c>
      <c r="Q807" s="475" t="str">
        <f t="shared" ca="1" si="178"/>
        <v/>
      </c>
      <c r="R807" s="476">
        <f ca="1">IF(OR($BG$2=0,$AR807=""),,IF($AR807="本月合计",IF(ROW()=$BG$3,SUM($R$6:$R806),SUM(INDIRECT("$R$"&amp;OFFSET($AU$3,,MATCH(ROW(),$AU$3:$BF$3,)-2)+2&amp;":$R"&amp;ROW()-1))),IF($AR807="本年累计",SUMIF($AR$6:$AR807,"本月合计",$R$6:$R806),INDEX(凭证录入!L:L,$AR807))))</f>
        <v>0</v>
      </c>
      <c r="S807" s="459" t="str">
        <f t="shared" ca="1" si="179"/>
        <v/>
      </c>
      <c r="T807" s="460" t="str">
        <f t="shared" ca="1" si="179"/>
        <v/>
      </c>
      <c r="U807" s="460" t="str">
        <f t="shared" ca="1" si="179"/>
        <v/>
      </c>
      <c r="V807" s="460" t="str">
        <f t="shared" ca="1" si="179"/>
        <v/>
      </c>
      <c r="W807" s="460" t="str">
        <f t="shared" ca="1" si="179"/>
        <v/>
      </c>
      <c r="X807" s="460" t="str">
        <f t="shared" ca="1" si="179"/>
        <v/>
      </c>
      <c r="Y807" s="460" t="str">
        <f t="shared" ca="1" si="179"/>
        <v/>
      </c>
      <c r="Z807" s="460" t="str">
        <f t="shared" ca="1" si="179"/>
        <v/>
      </c>
      <c r="AA807" s="461" t="str">
        <f t="shared" ca="1" si="179"/>
        <v/>
      </c>
      <c r="AB807" s="474" t="str">
        <f t="shared" ca="1" si="179"/>
        <v/>
      </c>
      <c r="AC807" s="475" t="str">
        <f t="shared" ca="1" si="179"/>
        <v/>
      </c>
      <c r="AD807" s="477" t="str">
        <f t="shared" ca="1" si="172"/>
        <v/>
      </c>
      <c r="AE807" s="478">
        <f t="shared" ca="1" si="173"/>
        <v>0</v>
      </c>
      <c r="AF807" s="459" t="str">
        <f t="shared" ca="1" si="177"/>
        <v/>
      </c>
      <c r="AG807" s="460" t="str">
        <f t="shared" ca="1" si="177"/>
        <v/>
      </c>
      <c r="AH807" s="460" t="str">
        <f t="shared" ca="1" si="177"/>
        <v/>
      </c>
      <c r="AI807" s="460" t="str">
        <f t="shared" ca="1" si="177"/>
        <v/>
      </c>
      <c r="AJ807" s="460" t="str">
        <f t="shared" ca="1" si="177"/>
        <v/>
      </c>
      <c r="AK807" s="460" t="str">
        <f t="shared" ca="1" si="177"/>
        <v/>
      </c>
      <c r="AL807" s="460" t="str">
        <f t="shared" ca="1" si="177"/>
        <v/>
      </c>
      <c r="AM807" s="460" t="str">
        <f t="shared" ca="1" si="177"/>
        <v/>
      </c>
      <c r="AN807" s="461" t="str">
        <f t="shared" ca="1" si="177"/>
        <v/>
      </c>
      <c r="AO807" s="474" t="str">
        <f t="shared" ca="1" si="177"/>
        <v/>
      </c>
      <c r="AP807" s="475" t="str">
        <f t="shared" ca="1" si="177"/>
        <v/>
      </c>
      <c r="AQ807" s="479" t="str">
        <f t="array" aca="1" ref="AQ807" ca="1">IF(ROW()-5&lt;=COUNTIF(科目编号,$AR$2),SMALL(IF(科目编号=$AR$2,ROW(科目编号),""),ROW()-5),"")</f>
        <v/>
      </c>
      <c r="AR807" s="480" t="str">
        <f ca="1">IF($BG$2=0,"",IF(AR806="本月合计","本年累计",IF(OR(ROW()=$AU$3,ROW()=$AV$3,ROW()=$AW$3,ROW()=$AX$3,ROW()=$AY$3,ROW()=$AZ$3,ROW()=$BA$3,ROW()=$BB$3,ROW()=$BC$3,ROW()=$BD$3,ROW()=$BE$3,ROW()=$BF$3),"本月合计",IF(ROW()&lt;7,$AQ$6,OFFSET($AQ$6,COUNT($AR$6:AR806),0)))))</f>
        <v/>
      </c>
    </row>
    <row r="808" spans="1:44">
      <c r="A808" s="469" t="str">
        <f ca="1">IFERROR(INDEX(凭证录入!A:A,$AR808),"")</f>
        <v/>
      </c>
      <c r="B808" s="469" t="str">
        <f ca="1">IFERROR(INDEX(凭证录入!B:B,$AR808),"")</f>
        <v/>
      </c>
      <c r="C808" s="470" t="str">
        <f ca="1">IFERROR(INDEX(凭证录入!G:G,$AR808),"")</f>
        <v/>
      </c>
      <c r="D808" s="471" t="str">
        <f ca="1">IFERROR(INDEX(凭证录入!F:F,$AR808),"")</f>
        <v/>
      </c>
      <c r="E808" s="472" t="str">
        <f ca="1">IFERROR(INDEX(凭证录入!H:H,$AR808),$AR808)</f>
        <v/>
      </c>
      <c r="F808" s="473">
        <f ca="1">IF(OR($BG$2=0,$AR808=""),,IF($AR808="本月合计",IF(ROW()=$BG$3,SUM($F$6:$F807),SUM(INDIRECT("$F$"&amp;OFFSET($AU$3,,MATCH(ROW(),$AU$3:$BF$3,)-2)+2&amp;":$E"&amp;ROW()-1))),IF($AR808="本年累计",SUMIF($AR$6:$AR808,"本月合计",$F$6:$F807),INDEX(凭证录入!K:K,$AR808))))</f>
        <v>0</v>
      </c>
      <c r="G808" s="459" t="str">
        <f t="shared" ca="1" si="178"/>
        <v/>
      </c>
      <c r="H808" s="460" t="str">
        <f t="shared" ca="1" si="178"/>
        <v/>
      </c>
      <c r="I808" s="460" t="str">
        <f t="shared" ca="1" si="178"/>
        <v/>
      </c>
      <c r="J808" s="460" t="str">
        <f t="shared" ca="1" si="178"/>
        <v/>
      </c>
      <c r="K808" s="460" t="str">
        <f t="shared" ca="1" si="178"/>
        <v/>
      </c>
      <c r="L808" s="460" t="str">
        <f t="shared" ca="1" si="178"/>
        <v/>
      </c>
      <c r="M808" s="460" t="str">
        <f t="shared" ca="1" si="178"/>
        <v/>
      </c>
      <c r="N808" s="460" t="str">
        <f t="shared" ca="1" si="178"/>
        <v/>
      </c>
      <c r="O808" s="461" t="str">
        <f t="shared" ca="1" si="178"/>
        <v/>
      </c>
      <c r="P808" s="474" t="str">
        <f t="shared" ca="1" si="178"/>
        <v/>
      </c>
      <c r="Q808" s="475" t="str">
        <f t="shared" ca="1" si="178"/>
        <v/>
      </c>
      <c r="R808" s="476">
        <f ca="1">IF(OR($BG$2=0,$AR808=""),,IF($AR808="本月合计",IF(ROW()=$BG$3,SUM($R$6:$R807),SUM(INDIRECT("$R$"&amp;OFFSET($AU$3,,MATCH(ROW(),$AU$3:$BF$3,)-2)+2&amp;":$R"&amp;ROW()-1))),IF($AR808="本年累计",SUMIF($AR$6:$AR808,"本月合计",$R$6:$R807),INDEX(凭证录入!L:L,$AR808))))</f>
        <v>0</v>
      </c>
      <c r="S808" s="459" t="str">
        <f t="shared" ca="1" si="179"/>
        <v/>
      </c>
      <c r="T808" s="460" t="str">
        <f t="shared" ca="1" si="179"/>
        <v/>
      </c>
      <c r="U808" s="460" t="str">
        <f t="shared" ca="1" si="179"/>
        <v/>
      </c>
      <c r="V808" s="460" t="str">
        <f t="shared" ca="1" si="179"/>
        <v/>
      </c>
      <c r="W808" s="460" t="str">
        <f t="shared" ca="1" si="179"/>
        <v/>
      </c>
      <c r="X808" s="460" t="str">
        <f t="shared" ca="1" si="179"/>
        <v/>
      </c>
      <c r="Y808" s="460" t="str">
        <f t="shared" ca="1" si="179"/>
        <v/>
      </c>
      <c r="Z808" s="460" t="str">
        <f t="shared" ca="1" si="179"/>
        <v/>
      </c>
      <c r="AA808" s="461" t="str">
        <f t="shared" ca="1" si="179"/>
        <v/>
      </c>
      <c r="AB808" s="474" t="str">
        <f t="shared" ca="1" si="179"/>
        <v/>
      </c>
      <c r="AC808" s="475" t="str">
        <f t="shared" ca="1" si="179"/>
        <v/>
      </c>
      <c r="AD808" s="477" t="str">
        <f t="shared" ca="1" si="172"/>
        <v/>
      </c>
      <c r="AE808" s="478">
        <f t="shared" ca="1" si="173"/>
        <v>0</v>
      </c>
      <c r="AF808" s="459" t="str">
        <f t="shared" ca="1" si="177"/>
        <v/>
      </c>
      <c r="AG808" s="460" t="str">
        <f t="shared" ca="1" si="177"/>
        <v/>
      </c>
      <c r="AH808" s="460" t="str">
        <f t="shared" ca="1" si="177"/>
        <v/>
      </c>
      <c r="AI808" s="460" t="str">
        <f t="shared" ca="1" si="177"/>
        <v/>
      </c>
      <c r="AJ808" s="460" t="str">
        <f t="shared" ca="1" si="177"/>
        <v/>
      </c>
      <c r="AK808" s="460" t="str">
        <f t="shared" ca="1" si="177"/>
        <v/>
      </c>
      <c r="AL808" s="460" t="str">
        <f t="shared" ca="1" si="177"/>
        <v/>
      </c>
      <c r="AM808" s="460" t="str">
        <f t="shared" ca="1" si="177"/>
        <v/>
      </c>
      <c r="AN808" s="461" t="str">
        <f t="shared" ca="1" si="177"/>
        <v/>
      </c>
      <c r="AO808" s="474" t="str">
        <f t="shared" ca="1" si="177"/>
        <v/>
      </c>
      <c r="AP808" s="475" t="str">
        <f t="shared" ca="1" si="177"/>
        <v/>
      </c>
      <c r="AQ808" s="479" t="str">
        <f t="array" aca="1" ref="AQ808" ca="1">IF(ROW()-5&lt;=COUNTIF(科目编号,$AR$2),SMALL(IF(科目编号=$AR$2,ROW(科目编号),""),ROW()-5),"")</f>
        <v/>
      </c>
      <c r="AR808" s="480" t="str">
        <f ca="1">IF($BG$2=0,"",IF(AR807="本月合计","本年累计",IF(OR(ROW()=$AU$3,ROW()=$AV$3,ROW()=$AW$3,ROW()=$AX$3,ROW()=$AY$3,ROW()=$AZ$3,ROW()=$BA$3,ROW()=$BB$3,ROW()=$BC$3,ROW()=$BD$3,ROW()=$BE$3,ROW()=$BF$3),"本月合计",IF(ROW()&lt;7,$AQ$6,OFFSET($AQ$6,COUNT($AR$6:AR807),0)))))</f>
        <v/>
      </c>
    </row>
    <row r="809" spans="1:44">
      <c r="A809" s="469" t="str">
        <f ca="1">IFERROR(INDEX(凭证录入!A:A,$AR809),"")</f>
        <v/>
      </c>
      <c r="B809" s="469" t="str">
        <f ca="1">IFERROR(INDEX(凭证录入!B:B,$AR809),"")</f>
        <v/>
      </c>
      <c r="C809" s="470" t="str">
        <f ca="1">IFERROR(INDEX(凭证录入!G:G,$AR809),"")</f>
        <v/>
      </c>
      <c r="D809" s="471" t="str">
        <f ca="1">IFERROR(INDEX(凭证录入!F:F,$AR809),"")</f>
        <v/>
      </c>
      <c r="E809" s="472" t="str">
        <f ca="1">IFERROR(INDEX(凭证录入!H:H,$AR809),$AR809)</f>
        <v/>
      </c>
      <c r="F809" s="473">
        <f ca="1">IF(OR($BG$2=0,$AR809=""),,IF($AR809="本月合计",IF(ROW()=$BG$3,SUM($F$6:$F808),SUM(INDIRECT("$F$"&amp;OFFSET($AU$3,,MATCH(ROW(),$AU$3:$BF$3,)-2)+2&amp;":$E"&amp;ROW()-1))),IF($AR809="本年累计",SUMIF($AR$6:$AR809,"本月合计",$F$6:$F808),INDEX(凭证录入!K:K,$AR809))))</f>
        <v>0</v>
      </c>
      <c r="G809" s="459" t="str">
        <f t="shared" ca="1" si="178"/>
        <v/>
      </c>
      <c r="H809" s="460" t="str">
        <f t="shared" ca="1" si="178"/>
        <v/>
      </c>
      <c r="I809" s="460" t="str">
        <f t="shared" ca="1" si="178"/>
        <v/>
      </c>
      <c r="J809" s="460" t="str">
        <f t="shared" ca="1" si="178"/>
        <v/>
      </c>
      <c r="K809" s="460" t="str">
        <f t="shared" ca="1" si="178"/>
        <v/>
      </c>
      <c r="L809" s="460" t="str">
        <f t="shared" ca="1" si="178"/>
        <v/>
      </c>
      <c r="M809" s="460" t="str">
        <f t="shared" ca="1" si="178"/>
        <v/>
      </c>
      <c r="N809" s="460" t="str">
        <f t="shared" ca="1" si="178"/>
        <v/>
      </c>
      <c r="O809" s="461" t="str">
        <f t="shared" ca="1" si="178"/>
        <v/>
      </c>
      <c r="P809" s="474" t="str">
        <f t="shared" ca="1" si="178"/>
        <v/>
      </c>
      <c r="Q809" s="475" t="str">
        <f t="shared" ca="1" si="178"/>
        <v/>
      </c>
      <c r="R809" s="476">
        <f ca="1">IF(OR($BG$2=0,$AR809=""),,IF($AR809="本月合计",IF(ROW()=$BG$3,SUM($R$6:$R808),SUM(INDIRECT("$R$"&amp;OFFSET($AU$3,,MATCH(ROW(),$AU$3:$BF$3,)-2)+2&amp;":$R"&amp;ROW()-1))),IF($AR809="本年累计",SUMIF($AR$6:$AR809,"本月合计",$R$6:$R808),INDEX(凭证录入!L:L,$AR809))))</f>
        <v>0</v>
      </c>
      <c r="S809" s="459" t="str">
        <f t="shared" ca="1" si="179"/>
        <v/>
      </c>
      <c r="T809" s="460" t="str">
        <f t="shared" ca="1" si="179"/>
        <v/>
      </c>
      <c r="U809" s="460" t="str">
        <f t="shared" ca="1" si="179"/>
        <v/>
      </c>
      <c r="V809" s="460" t="str">
        <f t="shared" ca="1" si="179"/>
        <v/>
      </c>
      <c r="W809" s="460" t="str">
        <f t="shared" ca="1" si="179"/>
        <v/>
      </c>
      <c r="X809" s="460" t="str">
        <f t="shared" ca="1" si="179"/>
        <v/>
      </c>
      <c r="Y809" s="460" t="str">
        <f t="shared" ca="1" si="179"/>
        <v/>
      </c>
      <c r="Z809" s="460" t="str">
        <f t="shared" ca="1" si="179"/>
        <v/>
      </c>
      <c r="AA809" s="461" t="str">
        <f t="shared" ca="1" si="179"/>
        <v/>
      </c>
      <c r="AB809" s="474" t="str">
        <f t="shared" ca="1" si="179"/>
        <v/>
      </c>
      <c r="AC809" s="475" t="str">
        <f t="shared" ca="1" si="179"/>
        <v/>
      </c>
      <c r="AD809" s="477" t="str">
        <f t="shared" ca="1" si="172"/>
        <v/>
      </c>
      <c r="AE809" s="478">
        <f t="shared" ca="1" si="173"/>
        <v>0</v>
      </c>
      <c r="AF809" s="459" t="str">
        <f t="shared" ca="1" si="177"/>
        <v/>
      </c>
      <c r="AG809" s="460" t="str">
        <f t="shared" ca="1" si="177"/>
        <v/>
      </c>
      <c r="AH809" s="460" t="str">
        <f t="shared" ca="1" si="177"/>
        <v/>
      </c>
      <c r="AI809" s="460" t="str">
        <f t="shared" ca="1" si="177"/>
        <v/>
      </c>
      <c r="AJ809" s="460" t="str">
        <f t="shared" ca="1" si="177"/>
        <v/>
      </c>
      <c r="AK809" s="460" t="str">
        <f t="shared" ca="1" si="177"/>
        <v/>
      </c>
      <c r="AL809" s="460" t="str">
        <f t="shared" ca="1" si="177"/>
        <v/>
      </c>
      <c r="AM809" s="460" t="str">
        <f t="shared" ca="1" si="177"/>
        <v/>
      </c>
      <c r="AN809" s="461" t="str">
        <f t="shared" ca="1" si="177"/>
        <v/>
      </c>
      <c r="AO809" s="474" t="str">
        <f t="shared" ca="1" si="177"/>
        <v/>
      </c>
      <c r="AP809" s="475" t="str">
        <f t="shared" ca="1" si="177"/>
        <v/>
      </c>
      <c r="AQ809" s="479" t="str">
        <f t="array" aca="1" ref="AQ809" ca="1">IF(ROW()-5&lt;=COUNTIF(科目编号,$AR$2),SMALL(IF(科目编号=$AR$2,ROW(科目编号),""),ROW()-5),"")</f>
        <v/>
      </c>
      <c r="AR809" s="480" t="str">
        <f ca="1">IF($BG$2=0,"",IF(AR808="本月合计","本年累计",IF(OR(ROW()=$AU$3,ROW()=$AV$3,ROW()=$AW$3,ROW()=$AX$3,ROW()=$AY$3,ROW()=$AZ$3,ROW()=$BA$3,ROW()=$BB$3,ROW()=$BC$3,ROW()=$BD$3,ROW()=$BE$3,ROW()=$BF$3),"本月合计",IF(ROW()&lt;7,$AQ$6,OFFSET($AQ$6,COUNT($AR$6:AR808),0)))))</f>
        <v/>
      </c>
    </row>
    <row r="810" spans="1:44">
      <c r="A810" s="469" t="str">
        <f ca="1">IFERROR(INDEX(凭证录入!A:A,$AR810),"")</f>
        <v/>
      </c>
      <c r="B810" s="469" t="str">
        <f ca="1">IFERROR(INDEX(凭证录入!B:B,$AR810),"")</f>
        <v/>
      </c>
      <c r="C810" s="470" t="str">
        <f ca="1">IFERROR(INDEX(凭证录入!G:G,$AR810),"")</f>
        <v/>
      </c>
      <c r="D810" s="471" t="str">
        <f ca="1">IFERROR(INDEX(凭证录入!F:F,$AR810),"")</f>
        <v/>
      </c>
      <c r="E810" s="472" t="str">
        <f ca="1">IFERROR(INDEX(凭证录入!H:H,$AR810),$AR810)</f>
        <v/>
      </c>
      <c r="F810" s="473">
        <f ca="1">IF(OR($BG$2=0,$AR810=""),,IF($AR810="本月合计",IF(ROW()=$BG$3,SUM($F$6:$F809),SUM(INDIRECT("$F$"&amp;OFFSET($AU$3,,MATCH(ROW(),$AU$3:$BF$3,)-2)+2&amp;":$E"&amp;ROW()-1))),IF($AR810="本年累计",SUMIF($AR$6:$AR810,"本月合计",$F$6:$F809),INDEX(凭证录入!K:K,$AR810))))</f>
        <v>0</v>
      </c>
      <c r="G810" s="459" t="str">
        <f t="shared" ca="1" si="178"/>
        <v/>
      </c>
      <c r="H810" s="460" t="str">
        <f t="shared" ca="1" si="178"/>
        <v/>
      </c>
      <c r="I810" s="460" t="str">
        <f t="shared" ca="1" si="178"/>
        <v/>
      </c>
      <c r="J810" s="460" t="str">
        <f t="shared" ca="1" si="178"/>
        <v/>
      </c>
      <c r="K810" s="460" t="str">
        <f t="shared" ca="1" si="178"/>
        <v/>
      </c>
      <c r="L810" s="460" t="str">
        <f t="shared" ca="1" si="178"/>
        <v/>
      </c>
      <c r="M810" s="460" t="str">
        <f t="shared" ca="1" si="178"/>
        <v/>
      </c>
      <c r="N810" s="460" t="str">
        <f t="shared" ca="1" si="178"/>
        <v/>
      </c>
      <c r="O810" s="461" t="str">
        <f t="shared" ca="1" si="178"/>
        <v/>
      </c>
      <c r="P810" s="474" t="str">
        <f t="shared" ca="1" si="178"/>
        <v/>
      </c>
      <c r="Q810" s="475" t="str">
        <f t="shared" ca="1" si="178"/>
        <v/>
      </c>
      <c r="R810" s="476">
        <f ca="1">IF(OR($BG$2=0,$AR810=""),,IF($AR810="本月合计",IF(ROW()=$BG$3,SUM($R$6:$R809),SUM(INDIRECT("$R$"&amp;OFFSET($AU$3,,MATCH(ROW(),$AU$3:$BF$3,)-2)+2&amp;":$R"&amp;ROW()-1))),IF($AR810="本年累计",SUMIF($AR$6:$AR810,"本月合计",$R$6:$R809),INDEX(凭证录入!L:L,$AR810))))</f>
        <v>0</v>
      </c>
      <c r="S810" s="459" t="str">
        <f t="shared" ca="1" si="179"/>
        <v/>
      </c>
      <c r="T810" s="460" t="str">
        <f t="shared" ca="1" si="179"/>
        <v/>
      </c>
      <c r="U810" s="460" t="str">
        <f t="shared" ca="1" si="179"/>
        <v/>
      </c>
      <c r="V810" s="460" t="str">
        <f t="shared" ca="1" si="179"/>
        <v/>
      </c>
      <c r="W810" s="460" t="str">
        <f t="shared" ca="1" si="179"/>
        <v/>
      </c>
      <c r="X810" s="460" t="str">
        <f t="shared" ca="1" si="179"/>
        <v/>
      </c>
      <c r="Y810" s="460" t="str">
        <f t="shared" ca="1" si="179"/>
        <v/>
      </c>
      <c r="Z810" s="460" t="str">
        <f t="shared" ca="1" si="179"/>
        <v/>
      </c>
      <c r="AA810" s="461" t="str">
        <f t="shared" ca="1" si="179"/>
        <v/>
      </c>
      <c r="AB810" s="474" t="str">
        <f t="shared" ca="1" si="179"/>
        <v/>
      </c>
      <c r="AC810" s="475" t="str">
        <f t="shared" ca="1" si="179"/>
        <v/>
      </c>
      <c r="AD810" s="477" t="str">
        <f t="shared" ca="1" si="172"/>
        <v/>
      </c>
      <c r="AE810" s="478">
        <f t="shared" ca="1" si="173"/>
        <v>0</v>
      </c>
      <c r="AF810" s="459" t="str">
        <f t="shared" ca="1" si="177"/>
        <v/>
      </c>
      <c r="AG810" s="460" t="str">
        <f t="shared" ca="1" si="177"/>
        <v/>
      </c>
      <c r="AH810" s="460" t="str">
        <f t="shared" ca="1" si="177"/>
        <v/>
      </c>
      <c r="AI810" s="460" t="str">
        <f t="shared" ca="1" si="177"/>
        <v/>
      </c>
      <c r="AJ810" s="460" t="str">
        <f t="shared" ca="1" si="177"/>
        <v/>
      </c>
      <c r="AK810" s="460" t="str">
        <f t="shared" ca="1" si="177"/>
        <v/>
      </c>
      <c r="AL810" s="460" t="str">
        <f t="shared" ca="1" si="177"/>
        <v/>
      </c>
      <c r="AM810" s="460" t="str">
        <f t="shared" ca="1" si="177"/>
        <v/>
      </c>
      <c r="AN810" s="461" t="str">
        <f t="shared" ca="1" si="177"/>
        <v/>
      </c>
      <c r="AO810" s="474" t="str">
        <f t="shared" ca="1" si="177"/>
        <v/>
      </c>
      <c r="AP810" s="475" t="str">
        <f t="shared" ca="1" si="177"/>
        <v/>
      </c>
      <c r="AQ810" s="479" t="str">
        <f t="array" aca="1" ref="AQ810" ca="1">IF(ROW()-5&lt;=COUNTIF(科目编号,$AR$2),SMALL(IF(科目编号=$AR$2,ROW(科目编号),""),ROW()-5),"")</f>
        <v/>
      </c>
      <c r="AR810" s="480" t="str">
        <f ca="1">IF($BG$2=0,"",IF(AR809="本月合计","本年累计",IF(OR(ROW()=$AU$3,ROW()=$AV$3,ROW()=$AW$3,ROW()=$AX$3,ROW()=$AY$3,ROW()=$AZ$3,ROW()=$BA$3,ROW()=$BB$3,ROW()=$BC$3,ROW()=$BD$3,ROW()=$BE$3,ROW()=$BF$3),"本月合计",IF(ROW()&lt;7,$AQ$6,OFFSET($AQ$6,COUNT($AR$6:AR809),0)))))</f>
        <v/>
      </c>
    </row>
    <row r="811" spans="1:44">
      <c r="A811" s="469" t="str">
        <f ca="1">IFERROR(INDEX(凭证录入!A:A,$AR811),"")</f>
        <v/>
      </c>
      <c r="B811" s="469" t="str">
        <f ca="1">IFERROR(INDEX(凭证录入!B:B,$AR811),"")</f>
        <v/>
      </c>
      <c r="C811" s="470" t="str">
        <f ca="1">IFERROR(INDEX(凭证录入!G:G,$AR811),"")</f>
        <v/>
      </c>
      <c r="D811" s="471" t="str">
        <f ca="1">IFERROR(INDEX(凭证录入!F:F,$AR811),"")</f>
        <v/>
      </c>
      <c r="E811" s="472" t="str">
        <f ca="1">IFERROR(INDEX(凭证录入!H:H,$AR811),$AR811)</f>
        <v/>
      </c>
      <c r="F811" s="473">
        <f ca="1">IF(OR($BG$2=0,$AR811=""),,IF($AR811="本月合计",IF(ROW()=$BG$3,SUM($F$6:$F810),SUM(INDIRECT("$F$"&amp;OFFSET($AU$3,,MATCH(ROW(),$AU$3:$BF$3,)-2)+2&amp;":$E"&amp;ROW()-1))),IF($AR811="本年累计",SUMIF($AR$6:$AR811,"本月合计",$F$6:$F810),INDEX(凭证录入!K:K,$AR811))))</f>
        <v>0</v>
      </c>
      <c r="G811" s="459" t="str">
        <f t="shared" ca="1" si="178"/>
        <v/>
      </c>
      <c r="H811" s="460" t="str">
        <f t="shared" ca="1" si="178"/>
        <v/>
      </c>
      <c r="I811" s="460" t="str">
        <f t="shared" ca="1" si="178"/>
        <v/>
      </c>
      <c r="J811" s="460" t="str">
        <f t="shared" ca="1" si="178"/>
        <v/>
      </c>
      <c r="K811" s="460" t="str">
        <f t="shared" ca="1" si="178"/>
        <v/>
      </c>
      <c r="L811" s="460" t="str">
        <f t="shared" ca="1" si="178"/>
        <v/>
      </c>
      <c r="M811" s="460" t="str">
        <f t="shared" ca="1" si="178"/>
        <v/>
      </c>
      <c r="N811" s="460" t="str">
        <f t="shared" ca="1" si="178"/>
        <v/>
      </c>
      <c r="O811" s="461" t="str">
        <f t="shared" ca="1" si="178"/>
        <v/>
      </c>
      <c r="P811" s="474" t="str">
        <f t="shared" ca="1" si="178"/>
        <v/>
      </c>
      <c r="Q811" s="475" t="str">
        <f t="shared" ca="1" si="178"/>
        <v/>
      </c>
      <c r="R811" s="476">
        <f ca="1">IF(OR($BG$2=0,$AR811=""),,IF($AR811="本月合计",IF(ROW()=$BG$3,SUM($R$6:$R810),SUM(INDIRECT("$R$"&amp;OFFSET($AU$3,,MATCH(ROW(),$AU$3:$BF$3,)-2)+2&amp;":$R"&amp;ROW()-1))),IF($AR811="本年累计",SUMIF($AR$6:$AR811,"本月合计",$R$6:$R810),INDEX(凭证录入!L:L,$AR811))))</f>
        <v>0</v>
      </c>
      <c r="S811" s="459" t="str">
        <f t="shared" ca="1" si="179"/>
        <v/>
      </c>
      <c r="T811" s="460" t="str">
        <f t="shared" ca="1" si="179"/>
        <v/>
      </c>
      <c r="U811" s="460" t="str">
        <f t="shared" ca="1" si="179"/>
        <v/>
      </c>
      <c r="V811" s="460" t="str">
        <f t="shared" ca="1" si="179"/>
        <v/>
      </c>
      <c r="W811" s="460" t="str">
        <f t="shared" ca="1" si="179"/>
        <v/>
      </c>
      <c r="X811" s="460" t="str">
        <f t="shared" ca="1" si="179"/>
        <v/>
      </c>
      <c r="Y811" s="460" t="str">
        <f t="shared" ca="1" si="179"/>
        <v/>
      </c>
      <c r="Z811" s="460" t="str">
        <f t="shared" ca="1" si="179"/>
        <v/>
      </c>
      <c r="AA811" s="461" t="str">
        <f t="shared" ca="1" si="179"/>
        <v/>
      </c>
      <c r="AB811" s="474" t="str">
        <f t="shared" ca="1" si="179"/>
        <v/>
      </c>
      <c r="AC811" s="475" t="str">
        <f t="shared" ca="1" si="179"/>
        <v/>
      </c>
      <c r="AD811" s="477" t="str">
        <f t="shared" ca="1" si="172"/>
        <v/>
      </c>
      <c r="AE811" s="478">
        <f t="shared" ca="1" si="173"/>
        <v>0</v>
      </c>
      <c r="AF811" s="459" t="str">
        <f t="shared" ca="1" si="177"/>
        <v/>
      </c>
      <c r="AG811" s="460" t="str">
        <f t="shared" ca="1" si="177"/>
        <v/>
      </c>
      <c r="AH811" s="460" t="str">
        <f t="shared" ca="1" si="177"/>
        <v/>
      </c>
      <c r="AI811" s="460" t="str">
        <f t="shared" ca="1" si="177"/>
        <v/>
      </c>
      <c r="AJ811" s="460" t="str">
        <f t="shared" ca="1" si="177"/>
        <v/>
      </c>
      <c r="AK811" s="460" t="str">
        <f t="shared" ca="1" si="177"/>
        <v/>
      </c>
      <c r="AL811" s="460" t="str">
        <f t="shared" ca="1" si="177"/>
        <v/>
      </c>
      <c r="AM811" s="460" t="str">
        <f t="shared" ca="1" si="177"/>
        <v/>
      </c>
      <c r="AN811" s="461" t="str">
        <f t="shared" ca="1" si="177"/>
        <v/>
      </c>
      <c r="AO811" s="474" t="str">
        <f t="shared" ca="1" si="177"/>
        <v/>
      </c>
      <c r="AP811" s="475" t="str">
        <f t="shared" ca="1" si="177"/>
        <v/>
      </c>
      <c r="AQ811" s="479" t="str">
        <f t="array" aca="1" ref="AQ811" ca="1">IF(ROW()-5&lt;=COUNTIF(科目编号,$AR$2),SMALL(IF(科目编号=$AR$2,ROW(科目编号),""),ROW()-5),"")</f>
        <v/>
      </c>
      <c r="AR811" s="480" t="str">
        <f ca="1">IF($BG$2=0,"",IF(AR810="本月合计","本年累计",IF(OR(ROW()=$AU$3,ROW()=$AV$3,ROW()=$AW$3,ROW()=$AX$3,ROW()=$AY$3,ROW()=$AZ$3,ROW()=$BA$3,ROW()=$BB$3,ROW()=$BC$3,ROW()=$BD$3,ROW()=$BE$3,ROW()=$BF$3),"本月合计",IF(ROW()&lt;7,$AQ$6,OFFSET($AQ$6,COUNT($AR$6:AR810),0)))))</f>
        <v/>
      </c>
    </row>
    <row r="812" spans="1:44">
      <c r="A812" s="469" t="str">
        <f ca="1">IFERROR(INDEX(凭证录入!A:A,$AR812),"")</f>
        <v/>
      </c>
      <c r="B812" s="469" t="str">
        <f ca="1">IFERROR(INDEX(凭证录入!B:B,$AR812),"")</f>
        <v/>
      </c>
      <c r="C812" s="470" t="str">
        <f ca="1">IFERROR(INDEX(凭证录入!G:G,$AR812),"")</f>
        <v/>
      </c>
      <c r="D812" s="471" t="str">
        <f ca="1">IFERROR(INDEX(凭证录入!F:F,$AR812),"")</f>
        <v/>
      </c>
      <c r="E812" s="472" t="str">
        <f ca="1">IFERROR(INDEX(凭证录入!H:H,$AR812),$AR812)</f>
        <v/>
      </c>
      <c r="F812" s="473">
        <f ca="1">IF(OR($BG$2=0,$AR812=""),,IF($AR812="本月合计",IF(ROW()=$BG$3,SUM($F$6:$F811),SUM(INDIRECT("$F$"&amp;OFFSET($AU$3,,MATCH(ROW(),$AU$3:$BF$3,)-2)+2&amp;":$E"&amp;ROW()-1))),IF($AR812="本年累计",SUMIF($AR$6:$AR812,"本月合计",$F$6:$F811),INDEX(凭证录入!K:K,$AR812))))</f>
        <v>0</v>
      </c>
      <c r="G812" s="459" t="str">
        <f t="shared" ca="1" si="178"/>
        <v/>
      </c>
      <c r="H812" s="460" t="str">
        <f t="shared" ca="1" si="178"/>
        <v/>
      </c>
      <c r="I812" s="460" t="str">
        <f t="shared" ca="1" si="178"/>
        <v/>
      </c>
      <c r="J812" s="460" t="str">
        <f t="shared" ca="1" si="178"/>
        <v/>
      </c>
      <c r="K812" s="460" t="str">
        <f t="shared" ca="1" si="178"/>
        <v/>
      </c>
      <c r="L812" s="460" t="str">
        <f t="shared" ca="1" si="178"/>
        <v/>
      </c>
      <c r="M812" s="460" t="str">
        <f t="shared" ca="1" si="178"/>
        <v/>
      </c>
      <c r="N812" s="460" t="str">
        <f t="shared" ca="1" si="178"/>
        <v/>
      </c>
      <c r="O812" s="461" t="str">
        <f t="shared" ca="1" si="178"/>
        <v/>
      </c>
      <c r="P812" s="474" t="str">
        <f t="shared" ca="1" si="178"/>
        <v/>
      </c>
      <c r="Q812" s="475" t="str">
        <f t="shared" ca="1" si="178"/>
        <v/>
      </c>
      <c r="R812" s="476">
        <f ca="1">IF(OR($BG$2=0,$AR812=""),,IF($AR812="本月合计",IF(ROW()=$BG$3,SUM($R$6:$R811),SUM(INDIRECT("$R$"&amp;OFFSET($AU$3,,MATCH(ROW(),$AU$3:$BF$3,)-2)+2&amp;":$R"&amp;ROW()-1))),IF($AR812="本年累计",SUMIF($AR$6:$AR812,"本月合计",$R$6:$R811),INDEX(凭证录入!L:L,$AR812))))</f>
        <v>0</v>
      </c>
      <c r="S812" s="459" t="str">
        <f t="shared" ca="1" si="179"/>
        <v/>
      </c>
      <c r="T812" s="460" t="str">
        <f t="shared" ca="1" si="179"/>
        <v/>
      </c>
      <c r="U812" s="460" t="str">
        <f t="shared" ca="1" si="179"/>
        <v/>
      </c>
      <c r="V812" s="460" t="str">
        <f t="shared" ca="1" si="179"/>
        <v/>
      </c>
      <c r="W812" s="460" t="str">
        <f t="shared" ca="1" si="179"/>
        <v/>
      </c>
      <c r="X812" s="460" t="str">
        <f t="shared" ca="1" si="179"/>
        <v/>
      </c>
      <c r="Y812" s="460" t="str">
        <f t="shared" ca="1" si="179"/>
        <v/>
      </c>
      <c r="Z812" s="460" t="str">
        <f t="shared" ca="1" si="179"/>
        <v/>
      </c>
      <c r="AA812" s="461" t="str">
        <f t="shared" ca="1" si="179"/>
        <v/>
      </c>
      <c r="AB812" s="474" t="str">
        <f t="shared" ca="1" si="179"/>
        <v/>
      </c>
      <c r="AC812" s="475" t="str">
        <f t="shared" ca="1" si="179"/>
        <v/>
      </c>
      <c r="AD812" s="477" t="str">
        <f t="shared" ca="1" si="172"/>
        <v/>
      </c>
      <c r="AE812" s="478">
        <f t="shared" ca="1" si="173"/>
        <v>0</v>
      </c>
      <c r="AF812" s="459" t="str">
        <f t="shared" ca="1" si="177"/>
        <v/>
      </c>
      <c r="AG812" s="460" t="str">
        <f t="shared" ca="1" si="177"/>
        <v/>
      </c>
      <c r="AH812" s="460" t="str">
        <f t="shared" ca="1" si="177"/>
        <v/>
      </c>
      <c r="AI812" s="460" t="str">
        <f t="shared" ca="1" si="177"/>
        <v/>
      </c>
      <c r="AJ812" s="460" t="str">
        <f t="shared" ca="1" si="177"/>
        <v/>
      </c>
      <c r="AK812" s="460" t="str">
        <f t="shared" ca="1" si="177"/>
        <v/>
      </c>
      <c r="AL812" s="460" t="str">
        <f t="shared" ca="1" si="177"/>
        <v/>
      </c>
      <c r="AM812" s="460" t="str">
        <f t="shared" ca="1" si="177"/>
        <v/>
      </c>
      <c r="AN812" s="461" t="str">
        <f t="shared" ca="1" si="177"/>
        <v/>
      </c>
      <c r="AO812" s="474" t="str">
        <f t="shared" ca="1" si="177"/>
        <v/>
      </c>
      <c r="AP812" s="475" t="str">
        <f t="shared" ca="1" si="177"/>
        <v/>
      </c>
      <c r="AQ812" s="479" t="str">
        <f t="array" aca="1" ref="AQ812" ca="1">IF(ROW()-5&lt;=COUNTIF(科目编号,$AR$2),SMALL(IF(科目编号=$AR$2,ROW(科目编号),""),ROW()-5),"")</f>
        <v/>
      </c>
      <c r="AR812" s="480" t="str">
        <f ca="1">IF($BG$2=0,"",IF(AR811="本月合计","本年累计",IF(OR(ROW()=$AU$3,ROW()=$AV$3,ROW()=$AW$3,ROW()=$AX$3,ROW()=$AY$3,ROW()=$AZ$3,ROW()=$BA$3,ROW()=$BB$3,ROW()=$BC$3,ROW()=$BD$3,ROW()=$BE$3,ROW()=$BF$3),"本月合计",IF(ROW()&lt;7,$AQ$6,OFFSET($AQ$6,COUNT($AR$6:AR811),0)))))</f>
        <v/>
      </c>
    </row>
    <row r="813" spans="1:44">
      <c r="A813" s="469" t="str">
        <f ca="1">IFERROR(INDEX(凭证录入!A:A,$AR813),"")</f>
        <v/>
      </c>
      <c r="B813" s="469" t="str">
        <f ca="1">IFERROR(INDEX(凭证录入!B:B,$AR813),"")</f>
        <v/>
      </c>
      <c r="C813" s="470" t="str">
        <f ca="1">IFERROR(INDEX(凭证录入!G:G,$AR813),"")</f>
        <v/>
      </c>
      <c r="D813" s="471" t="str">
        <f ca="1">IFERROR(INDEX(凭证录入!F:F,$AR813),"")</f>
        <v/>
      </c>
      <c r="E813" s="472" t="str">
        <f ca="1">IFERROR(INDEX(凭证录入!H:H,$AR813),$AR813)</f>
        <v/>
      </c>
      <c r="F813" s="473">
        <f ca="1">IF(OR($BG$2=0,$AR813=""),,IF($AR813="本月合计",IF(ROW()=$BG$3,SUM($F$6:$F812),SUM(INDIRECT("$F$"&amp;OFFSET($AU$3,,MATCH(ROW(),$AU$3:$BF$3,)-2)+2&amp;":$E"&amp;ROW()-1))),IF($AR813="本年累计",SUMIF($AR$6:$AR813,"本月合计",$F$6:$F812),INDEX(凭证录入!K:K,$AR813))))</f>
        <v>0</v>
      </c>
      <c r="G813" s="459" t="str">
        <f t="shared" ca="1" si="178"/>
        <v/>
      </c>
      <c r="H813" s="460" t="str">
        <f t="shared" ca="1" si="178"/>
        <v/>
      </c>
      <c r="I813" s="460" t="str">
        <f t="shared" ca="1" si="178"/>
        <v/>
      </c>
      <c r="J813" s="460" t="str">
        <f t="shared" ca="1" si="178"/>
        <v/>
      </c>
      <c r="K813" s="460" t="str">
        <f t="shared" ca="1" si="178"/>
        <v/>
      </c>
      <c r="L813" s="460" t="str">
        <f t="shared" ca="1" si="178"/>
        <v/>
      </c>
      <c r="M813" s="460" t="str">
        <f t="shared" ca="1" si="178"/>
        <v/>
      </c>
      <c r="N813" s="460" t="str">
        <f t="shared" ca="1" si="178"/>
        <v/>
      </c>
      <c r="O813" s="461" t="str">
        <f t="shared" ca="1" si="178"/>
        <v/>
      </c>
      <c r="P813" s="474" t="str">
        <f t="shared" ca="1" si="178"/>
        <v/>
      </c>
      <c r="Q813" s="475" t="str">
        <f t="shared" ca="1" si="178"/>
        <v/>
      </c>
      <c r="R813" s="476">
        <f ca="1">IF(OR($BG$2=0,$AR813=""),,IF($AR813="本月合计",IF(ROW()=$BG$3,SUM($R$6:$R812),SUM(INDIRECT("$R$"&amp;OFFSET($AU$3,,MATCH(ROW(),$AU$3:$BF$3,)-2)+2&amp;":$R"&amp;ROW()-1))),IF($AR813="本年累计",SUMIF($AR$6:$AR813,"本月合计",$R$6:$R812),INDEX(凭证录入!L:L,$AR813))))</f>
        <v>0</v>
      </c>
      <c r="S813" s="459" t="str">
        <f t="shared" ca="1" si="179"/>
        <v/>
      </c>
      <c r="T813" s="460" t="str">
        <f t="shared" ca="1" si="179"/>
        <v/>
      </c>
      <c r="U813" s="460" t="str">
        <f t="shared" ca="1" si="179"/>
        <v/>
      </c>
      <c r="V813" s="460" t="str">
        <f t="shared" ca="1" si="179"/>
        <v/>
      </c>
      <c r="W813" s="460" t="str">
        <f t="shared" ca="1" si="179"/>
        <v/>
      </c>
      <c r="X813" s="460" t="str">
        <f t="shared" ca="1" si="179"/>
        <v/>
      </c>
      <c r="Y813" s="460" t="str">
        <f t="shared" ca="1" si="179"/>
        <v/>
      </c>
      <c r="Z813" s="460" t="str">
        <f t="shared" ca="1" si="179"/>
        <v/>
      </c>
      <c r="AA813" s="461" t="str">
        <f t="shared" ca="1" si="179"/>
        <v/>
      </c>
      <c r="AB813" s="474" t="str">
        <f t="shared" ca="1" si="179"/>
        <v/>
      </c>
      <c r="AC813" s="475" t="str">
        <f t="shared" ca="1" si="179"/>
        <v/>
      </c>
      <c r="AD813" s="477" t="str">
        <f t="shared" ca="1" si="172"/>
        <v/>
      </c>
      <c r="AE813" s="478">
        <f t="shared" ca="1" si="173"/>
        <v>0</v>
      </c>
      <c r="AF813" s="459" t="str">
        <f t="shared" ca="1" si="177"/>
        <v/>
      </c>
      <c r="AG813" s="460" t="str">
        <f t="shared" ca="1" si="177"/>
        <v/>
      </c>
      <c r="AH813" s="460" t="str">
        <f t="shared" ca="1" si="177"/>
        <v/>
      </c>
      <c r="AI813" s="460" t="str">
        <f t="shared" ca="1" si="177"/>
        <v/>
      </c>
      <c r="AJ813" s="460" t="str">
        <f t="shared" ca="1" si="177"/>
        <v/>
      </c>
      <c r="AK813" s="460" t="str">
        <f t="shared" ca="1" si="177"/>
        <v/>
      </c>
      <c r="AL813" s="460" t="str">
        <f t="shared" ca="1" si="177"/>
        <v/>
      </c>
      <c r="AM813" s="460" t="str">
        <f t="shared" ca="1" si="177"/>
        <v/>
      </c>
      <c r="AN813" s="461" t="str">
        <f t="shared" ca="1" si="177"/>
        <v/>
      </c>
      <c r="AO813" s="474" t="str">
        <f t="shared" ca="1" si="177"/>
        <v/>
      </c>
      <c r="AP813" s="475" t="str">
        <f t="shared" ca="1" si="177"/>
        <v/>
      </c>
      <c r="AQ813" s="479" t="str">
        <f t="array" aca="1" ref="AQ813" ca="1">IF(ROW()-5&lt;=COUNTIF(科目编号,$AR$2),SMALL(IF(科目编号=$AR$2,ROW(科目编号),""),ROW()-5),"")</f>
        <v/>
      </c>
      <c r="AR813" s="480" t="str">
        <f ca="1">IF($BG$2=0,"",IF(AR812="本月合计","本年累计",IF(OR(ROW()=$AU$3,ROW()=$AV$3,ROW()=$AW$3,ROW()=$AX$3,ROW()=$AY$3,ROW()=$AZ$3,ROW()=$BA$3,ROW()=$BB$3,ROW()=$BC$3,ROW()=$BD$3,ROW()=$BE$3,ROW()=$BF$3),"本月合计",IF(ROW()&lt;7,$AQ$6,OFFSET($AQ$6,COUNT($AR$6:AR812),0)))))</f>
        <v/>
      </c>
    </row>
    <row r="814" spans="1:44">
      <c r="A814" s="469" t="str">
        <f ca="1">IFERROR(INDEX(凭证录入!A:A,$AR814),"")</f>
        <v/>
      </c>
      <c r="B814" s="469" t="str">
        <f ca="1">IFERROR(INDEX(凭证录入!B:B,$AR814),"")</f>
        <v/>
      </c>
      <c r="C814" s="470" t="str">
        <f ca="1">IFERROR(INDEX(凭证录入!G:G,$AR814),"")</f>
        <v/>
      </c>
      <c r="D814" s="471" t="str">
        <f ca="1">IFERROR(INDEX(凭证录入!F:F,$AR814),"")</f>
        <v/>
      </c>
      <c r="E814" s="472" t="str">
        <f ca="1">IFERROR(INDEX(凭证录入!H:H,$AR814),$AR814)</f>
        <v/>
      </c>
      <c r="F814" s="473">
        <f ca="1">IF(OR($BG$2=0,$AR814=""),,IF($AR814="本月合计",IF(ROW()=$BG$3,SUM($F$6:$F813),SUM(INDIRECT("$F$"&amp;OFFSET($AU$3,,MATCH(ROW(),$AU$3:$BF$3,)-2)+2&amp;":$E"&amp;ROW()-1))),IF($AR814="本年累计",SUMIF($AR$6:$AR814,"本月合计",$F$6:$F813),INDEX(凭证录入!K:K,$AR814))))</f>
        <v>0</v>
      </c>
      <c r="G814" s="459" t="str">
        <f t="shared" ca="1" si="178"/>
        <v/>
      </c>
      <c r="H814" s="460" t="str">
        <f t="shared" ca="1" si="178"/>
        <v/>
      </c>
      <c r="I814" s="460" t="str">
        <f t="shared" ca="1" si="178"/>
        <v/>
      </c>
      <c r="J814" s="460" t="str">
        <f t="shared" ca="1" si="178"/>
        <v/>
      </c>
      <c r="K814" s="460" t="str">
        <f t="shared" ca="1" si="178"/>
        <v/>
      </c>
      <c r="L814" s="460" t="str">
        <f t="shared" ca="1" si="178"/>
        <v/>
      </c>
      <c r="M814" s="460" t="str">
        <f t="shared" ca="1" si="178"/>
        <v/>
      </c>
      <c r="N814" s="460" t="str">
        <f t="shared" ca="1" si="178"/>
        <v/>
      </c>
      <c r="O814" s="461" t="str">
        <f t="shared" ca="1" si="178"/>
        <v/>
      </c>
      <c r="P814" s="474" t="str">
        <f t="shared" ca="1" si="178"/>
        <v/>
      </c>
      <c r="Q814" s="475" t="str">
        <f t="shared" ca="1" si="178"/>
        <v/>
      </c>
      <c r="R814" s="476">
        <f ca="1">IF(OR($BG$2=0,$AR814=""),,IF($AR814="本月合计",IF(ROW()=$BG$3,SUM($R$6:$R813),SUM(INDIRECT("$R$"&amp;OFFSET($AU$3,,MATCH(ROW(),$AU$3:$BF$3,)-2)+2&amp;":$R"&amp;ROW()-1))),IF($AR814="本年累计",SUMIF($AR$6:$AR814,"本月合计",$R$6:$R813),INDEX(凭证录入!L:L,$AR814))))</f>
        <v>0</v>
      </c>
      <c r="S814" s="459" t="str">
        <f t="shared" ca="1" si="179"/>
        <v/>
      </c>
      <c r="T814" s="460" t="str">
        <f t="shared" ca="1" si="179"/>
        <v/>
      </c>
      <c r="U814" s="460" t="str">
        <f t="shared" ca="1" si="179"/>
        <v/>
      </c>
      <c r="V814" s="460" t="str">
        <f t="shared" ca="1" si="179"/>
        <v/>
      </c>
      <c r="W814" s="460" t="str">
        <f t="shared" ca="1" si="179"/>
        <v/>
      </c>
      <c r="X814" s="460" t="str">
        <f t="shared" ca="1" si="179"/>
        <v/>
      </c>
      <c r="Y814" s="460" t="str">
        <f t="shared" ca="1" si="179"/>
        <v/>
      </c>
      <c r="Z814" s="460" t="str">
        <f t="shared" ca="1" si="179"/>
        <v/>
      </c>
      <c r="AA814" s="461" t="str">
        <f t="shared" ca="1" si="179"/>
        <v/>
      </c>
      <c r="AB814" s="474" t="str">
        <f t="shared" ca="1" si="179"/>
        <v/>
      </c>
      <c r="AC814" s="475" t="str">
        <f t="shared" ca="1" si="179"/>
        <v/>
      </c>
      <c r="AD814" s="477" t="str">
        <f t="shared" ca="1" si="172"/>
        <v/>
      </c>
      <c r="AE814" s="478">
        <f t="shared" ca="1" si="173"/>
        <v>0</v>
      </c>
      <c r="AF814" s="459" t="str">
        <f t="shared" ca="1" si="177"/>
        <v/>
      </c>
      <c r="AG814" s="460" t="str">
        <f t="shared" ca="1" si="177"/>
        <v/>
      </c>
      <c r="AH814" s="460" t="str">
        <f t="shared" ca="1" si="177"/>
        <v/>
      </c>
      <c r="AI814" s="460" t="str">
        <f t="shared" ca="1" si="177"/>
        <v/>
      </c>
      <c r="AJ814" s="460" t="str">
        <f t="shared" ca="1" si="177"/>
        <v/>
      </c>
      <c r="AK814" s="460" t="str">
        <f t="shared" ca="1" si="177"/>
        <v/>
      </c>
      <c r="AL814" s="460" t="str">
        <f t="shared" ca="1" si="177"/>
        <v/>
      </c>
      <c r="AM814" s="460" t="str">
        <f t="shared" ca="1" si="177"/>
        <v/>
      </c>
      <c r="AN814" s="461" t="str">
        <f t="shared" ca="1" si="177"/>
        <v/>
      </c>
      <c r="AO814" s="474" t="str">
        <f t="shared" ca="1" si="177"/>
        <v/>
      </c>
      <c r="AP814" s="475" t="str">
        <f t="shared" ca="1" si="177"/>
        <v/>
      </c>
      <c r="AQ814" s="479" t="str">
        <f t="array" aca="1" ref="AQ814" ca="1">IF(ROW()-5&lt;=COUNTIF(科目编号,$AR$2),SMALL(IF(科目编号=$AR$2,ROW(科目编号),""),ROW()-5),"")</f>
        <v/>
      </c>
      <c r="AR814" s="480" t="str">
        <f ca="1">IF($BG$2=0,"",IF(AR813="本月合计","本年累计",IF(OR(ROW()=$AU$3,ROW()=$AV$3,ROW()=$AW$3,ROW()=$AX$3,ROW()=$AY$3,ROW()=$AZ$3,ROW()=$BA$3,ROW()=$BB$3,ROW()=$BC$3,ROW()=$BD$3,ROW()=$BE$3,ROW()=$BF$3),"本月合计",IF(ROW()&lt;7,$AQ$6,OFFSET($AQ$6,COUNT($AR$6:AR813),0)))))</f>
        <v/>
      </c>
    </row>
    <row r="815" spans="1:44">
      <c r="A815" s="469" t="str">
        <f ca="1">IFERROR(INDEX(凭证录入!A:A,$AR815),"")</f>
        <v/>
      </c>
      <c r="B815" s="469" t="str">
        <f ca="1">IFERROR(INDEX(凭证录入!B:B,$AR815),"")</f>
        <v/>
      </c>
      <c r="C815" s="470" t="str">
        <f ca="1">IFERROR(INDEX(凭证录入!G:G,$AR815),"")</f>
        <v/>
      </c>
      <c r="D815" s="471" t="str">
        <f ca="1">IFERROR(INDEX(凭证录入!F:F,$AR815),"")</f>
        <v/>
      </c>
      <c r="E815" s="472" t="str">
        <f ca="1">IFERROR(INDEX(凭证录入!H:H,$AR815),$AR815)</f>
        <v/>
      </c>
      <c r="F815" s="473">
        <f ca="1">IF(OR($BG$2=0,$AR815=""),,IF($AR815="本月合计",IF(ROW()=$BG$3,SUM($F$6:$F814),SUM(INDIRECT("$F$"&amp;OFFSET($AU$3,,MATCH(ROW(),$AU$3:$BF$3,)-2)+2&amp;":$E"&amp;ROW()-1))),IF($AR815="本年累计",SUMIF($AR$6:$AR815,"本月合计",$F$6:$F814),INDEX(凭证录入!K:K,$AR815))))</f>
        <v>0</v>
      </c>
      <c r="G815" s="459" t="str">
        <f t="shared" ca="1" si="178"/>
        <v/>
      </c>
      <c r="H815" s="460" t="str">
        <f t="shared" ca="1" si="178"/>
        <v/>
      </c>
      <c r="I815" s="460" t="str">
        <f t="shared" ca="1" si="178"/>
        <v/>
      </c>
      <c r="J815" s="460" t="str">
        <f t="shared" ca="1" si="178"/>
        <v/>
      </c>
      <c r="K815" s="460" t="str">
        <f t="shared" ca="1" si="178"/>
        <v/>
      </c>
      <c r="L815" s="460" t="str">
        <f t="shared" ca="1" si="178"/>
        <v/>
      </c>
      <c r="M815" s="460" t="str">
        <f t="shared" ca="1" si="178"/>
        <v/>
      </c>
      <c r="N815" s="460" t="str">
        <f t="shared" ca="1" si="178"/>
        <v/>
      </c>
      <c r="O815" s="461" t="str">
        <f t="shared" ca="1" si="178"/>
        <v/>
      </c>
      <c r="P815" s="474" t="str">
        <f t="shared" ca="1" si="178"/>
        <v/>
      </c>
      <c r="Q815" s="475" t="str">
        <f t="shared" ca="1" si="178"/>
        <v/>
      </c>
      <c r="R815" s="476">
        <f ca="1">IF(OR($BG$2=0,$AR815=""),,IF($AR815="本月合计",IF(ROW()=$BG$3,SUM($R$6:$R814),SUM(INDIRECT("$R$"&amp;OFFSET($AU$3,,MATCH(ROW(),$AU$3:$BF$3,)-2)+2&amp;":$R"&amp;ROW()-1))),IF($AR815="本年累计",SUMIF($AR$6:$AR815,"本月合计",$R$6:$R814),INDEX(凭证录入!L:L,$AR815))))</f>
        <v>0</v>
      </c>
      <c r="S815" s="459" t="str">
        <f t="shared" ca="1" si="179"/>
        <v/>
      </c>
      <c r="T815" s="460" t="str">
        <f t="shared" ca="1" si="179"/>
        <v/>
      </c>
      <c r="U815" s="460" t="str">
        <f t="shared" ca="1" si="179"/>
        <v/>
      </c>
      <c r="V815" s="460" t="str">
        <f t="shared" ca="1" si="179"/>
        <v/>
      </c>
      <c r="W815" s="460" t="str">
        <f t="shared" ca="1" si="179"/>
        <v/>
      </c>
      <c r="X815" s="460" t="str">
        <f t="shared" ca="1" si="179"/>
        <v/>
      </c>
      <c r="Y815" s="460" t="str">
        <f t="shared" ca="1" si="179"/>
        <v/>
      </c>
      <c r="Z815" s="460" t="str">
        <f t="shared" ca="1" si="179"/>
        <v/>
      </c>
      <c r="AA815" s="461" t="str">
        <f t="shared" ca="1" si="179"/>
        <v/>
      </c>
      <c r="AB815" s="474" t="str">
        <f t="shared" ca="1" si="179"/>
        <v/>
      </c>
      <c r="AC815" s="475" t="str">
        <f t="shared" ca="1" si="179"/>
        <v/>
      </c>
      <c r="AD815" s="477" t="str">
        <f t="shared" ca="1" si="172"/>
        <v/>
      </c>
      <c r="AE815" s="478">
        <f t="shared" ca="1" si="173"/>
        <v>0</v>
      </c>
      <c r="AF815" s="459" t="str">
        <f t="shared" ca="1" si="177"/>
        <v/>
      </c>
      <c r="AG815" s="460" t="str">
        <f t="shared" ca="1" si="177"/>
        <v/>
      </c>
      <c r="AH815" s="460" t="str">
        <f t="shared" ca="1" si="177"/>
        <v/>
      </c>
      <c r="AI815" s="460" t="str">
        <f t="shared" ca="1" si="177"/>
        <v/>
      </c>
      <c r="AJ815" s="460" t="str">
        <f t="shared" ca="1" si="177"/>
        <v/>
      </c>
      <c r="AK815" s="460" t="str">
        <f t="shared" ca="1" si="177"/>
        <v/>
      </c>
      <c r="AL815" s="460" t="str">
        <f t="shared" ca="1" si="177"/>
        <v/>
      </c>
      <c r="AM815" s="460" t="str">
        <f t="shared" ca="1" si="177"/>
        <v/>
      </c>
      <c r="AN815" s="461" t="str">
        <f t="shared" ca="1" si="177"/>
        <v/>
      </c>
      <c r="AO815" s="474" t="str">
        <f t="shared" ca="1" si="177"/>
        <v/>
      </c>
      <c r="AP815" s="475" t="str">
        <f t="shared" ca="1" si="177"/>
        <v/>
      </c>
      <c r="AQ815" s="479" t="str">
        <f t="array" aca="1" ref="AQ815" ca="1">IF(ROW()-5&lt;=COUNTIF(科目编号,$AR$2),SMALL(IF(科目编号=$AR$2,ROW(科目编号),""),ROW()-5),"")</f>
        <v/>
      </c>
      <c r="AR815" s="480" t="str">
        <f ca="1">IF($BG$2=0,"",IF(AR814="本月合计","本年累计",IF(OR(ROW()=$AU$3,ROW()=$AV$3,ROW()=$AW$3,ROW()=$AX$3,ROW()=$AY$3,ROW()=$AZ$3,ROW()=$BA$3,ROW()=$BB$3,ROW()=$BC$3,ROW()=$BD$3,ROW()=$BE$3,ROW()=$BF$3),"本月合计",IF(ROW()&lt;7,$AQ$6,OFFSET($AQ$6,COUNT($AR$6:AR814),0)))))</f>
        <v/>
      </c>
    </row>
    <row r="816" spans="1:44">
      <c r="A816" s="469" t="str">
        <f ca="1">IFERROR(INDEX(凭证录入!A:A,$AR816),"")</f>
        <v/>
      </c>
      <c r="B816" s="469" t="str">
        <f ca="1">IFERROR(INDEX(凭证录入!B:B,$AR816),"")</f>
        <v/>
      </c>
      <c r="C816" s="470" t="str">
        <f ca="1">IFERROR(INDEX(凭证录入!G:G,$AR816),"")</f>
        <v/>
      </c>
      <c r="D816" s="471" t="str">
        <f ca="1">IFERROR(INDEX(凭证录入!F:F,$AR816),"")</f>
        <v/>
      </c>
      <c r="E816" s="472" t="str">
        <f ca="1">IFERROR(INDEX(凭证录入!H:H,$AR816),$AR816)</f>
        <v/>
      </c>
      <c r="F816" s="473">
        <f ca="1">IF(OR($BG$2=0,$AR816=""),,IF($AR816="本月合计",IF(ROW()=$BG$3,SUM($F$6:$F815),SUM(INDIRECT("$F$"&amp;OFFSET($AU$3,,MATCH(ROW(),$AU$3:$BF$3,)-2)+2&amp;":$E"&amp;ROW()-1))),IF($AR816="本年累计",SUMIF($AR$6:$AR816,"本月合计",$F$6:$F815),INDEX(凭证录入!K:K,$AR816))))</f>
        <v>0</v>
      </c>
      <c r="G816" s="459" t="str">
        <f t="shared" ca="1" si="178"/>
        <v/>
      </c>
      <c r="H816" s="460" t="str">
        <f t="shared" ca="1" si="178"/>
        <v/>
      </c>
      <c r="I816" s="460" t="str">
        <f t="shared" ca="1" si="178"/>
        <v/>
      </c>
      <c r="J816" s="460" t="str">
        <f t="shared" ca="1" si="178"/>
        <v/>
      </c>
      <c r="K816" s="460" t="str">
        <f t="shared" ca="1" si="178"/>
        <v/>
      </c>
      <c r="L816" s="460" t="str">
        <f t="shared" ca="1" si="178"/>
        <v/>
      </c>
      <c r="M816" s="460" t="str">
        <f t="shared" ca="1" si="178"/>
        <v/>
      </c>
      <c r="N816" s="460" t="str">
        <f t="shared" ca="1" si="178"/>
        <v/>
      </c>
      <c r="O816" s="461" t="str">
        <f t="shared" ca="1" si="178"/>
        <v/>
      </c>
      <c r="P816" s="474" t="str">
        <f t="shared" ca="1" si="178"/>
        <v/>
      </c>
      <c r="Q816" s="475" t="str">
        <f t="shared" ca="1" si="178"/>
        <v/>
      </c>
      <c r="R816" s="476">
        <f ca="1">IF(OR($BG$2=0,$AR816=""),,IF($AR816="本月合计",IF(ROW()=$BG$3,SUM($R$6:$R815),SUM(INDIRECT("$R$"&amp;OFFSET($AU$3,,MATCH(ROW(),$AU$3:$BF$3,)-2)+2&amp;":$R"&amp;ROW()-1))),IF($AR816="本年累计",SUMIF($AR$6:$AR816,"本月合计",$R$6:$R815),INDEX(凭证录入!L:L,$AR816))))</f>
        <v>0</v>
      </c>
      <c r="S816" s="459" t="str">
        <f t="shared" ca="1" si="179"/>
        <v/>
      </c>
      <c r="T816" s="460" t="str">
        <f t="shared" ca="1" si="179"/>
        <v/>
      </c>
      <c r="U816" s="460" t="str">
        <f t="shared" ca="1" si="179"/>
        <v/>
      </c>
      <c r="V816" s="460" t="str">
        <f t="shared" ca="1" si="179"/>
        <v/>
      </c>
      <c r="W816" s="460" t="str">
        <f t="shared" ca="1" si="179"/>
        <v/>
      </c>
      <c r="X816" s="460" t="str">
        <f t="shared" ca="1" si="179"/>
        <v/>
      </c>
      <c r="Y816" s="460" t="str">
        <f t="shared" ca="1" si="179"/>
        <v/>
      </c>
      <c r="Z816" s="460" t="str">
        <f t="shared" ca="1" si="179"/>
        <v/>
      </c>
      <c r="AA816" s="461" t="str">
        <f t="shared" ca="1" si="179"/>
        <v/>
      </c>
      <c r="AB816" s="474" t="str">
        <f t="shared" ca="1" si="179"/>
        <v/>
      </c>
      <c r="AC816" s="475" t="str">
        <f t="shared" ca="1" si="179"/>
        <v/>
      </c>
      <c r="AD816" s="477" t="str">
        <f t="shared" ca="1" si="172"/>
        <v/>
      </c>
      <c r="AE816" s="478">
        <f t="shared" ca="1" si="173"/>
        <v>0</v>
      </c>
      <c r="AF816" s="459" t="str">
        <f t="shared" ca="1" si="177"/>
        <v/>
      </c>
      <c r="AG816" s="460" t="str">
        <f t="shared" ca="1" si="177"/>
        <v/>
      </c>
      <c r="AH816" s="460" t="str">
        <f t="shared" ca="1" si="177"/>
        <v/>
      </c>
      <c r="AI816" s="460" t="str">
        <f t="shared" ca="1" si="177"/>
        <v/>
      </c>
      <c r="AJ816" s="460" t="str">
        <f t="shared" ca="1" si="177"/>
        <v/>
      </c>
      <c r="AK816" s="460" t="str">
        <f t="shared" ca="1" si="177"/>
        <v/>
      </c>
      <c r="AL816" s="460" t="str">
        <f t="shared" ca="1" si="177"/>
        <v/>
      </c>
      <c r="AM816" s="460" t="str">
        <f t="shared" ca="1" si="177"/>
        <v/>
      </c>
      <c r="AN816" s="461" t="str">
        <f t="shared" ca="1" si="177"/>
        <v/>
      </c>
      <c r="AO816" s="474" t="str">
        <f t="shared" ca="1" si="177"/>
        <v/>
      </c>
      <c r="AP816" s="475" t="str">
        <f t="shared" ca="1" si="177"/>
        <v/>
      </c>
      <c r="AQ816" s="479" t="str">
        <f t="array" aca="1" ref="AQ816" ca="1">IF(ROW()-5&lt;=COUNTIF(科目编号,$AR$2),SMALL(IF(科目编号=$AR$2,ROW(科目编号),""),ROW()-5),"")</f>
        <v/>
      </c>
      <c r="AR816" s="480" t="str">
        <f ca="1">IF($BG$2=0,"",IF(AR815="本月合计","本年累计",IF(OR(ROW()=$AU$3,ROW()=$AV$3,ROW()=$AW$3,ROW()=$AX$3,ROW()=$AY$3,ROW()=$AZ$3,ROW()=$BA$3,ROW()=$BB$3,ROW()=$BC$3,ROW()=$BD$3,ROW()=$BE$3,ROW()=$BF$3),"本月合计",IF(ROW()&lt;7,$AQ$6,OFFSET($AQ$6,COUNT($AR$6:AR815),0)))))</f>
        <v/>
      </c>
    </row>
    <row r="817" spans="1:44">
      <c r="A817" s="469" t="str">
        <f ca="1">IFERROR(INDEX(凭证录入!A:A,$AR817),"")</f>
        <v/>
      </c>
      <c r="B817" s="469" t="str">
        <f ca="1">IFERROR(INDEX(凭证录入!B:B,$AR817),"")</f>
        <v/>
      </c>
      <c r="C817" s="470" t="str">
        <f ca="1">IFERROR(INDEX(凭证录入!G:G,$AR817),"")</f>
        <v/>
      </c>
      <c r="D817" s="471" t="str">
        <f ca="1">IFERROR(INDEX(凭证录入!F:F,$AR817),"")</f>
        <v/>
      </c>
      <c r="E817" s="472" t="str">
        <f ca="1">IFERROR(INDEX(凭证录入!H:H,$AR817),$AR817)</f>
        <v/>
      </c>
      <c r="F817" s="473">
        <f ca="1">IF(OR($BG$2=0,$AR817=""),,IF($AR817="本月合计",IF(ROW()=$BG$3,SUM($F$6:$F816),SUM(INDIRECT("$F$"&amp;OFFSET($AU$3,,MATCH(ROW(),$AU$3:$BF$3,)-2)+2&amp;":$E"&amp;ROW()-1))),IF($AR817="本年累计",SUMIF($AR$6:$AR817,"本月合计",$F$6:$F816),INDEX(凭证录入!K:K,$AR817))))</f>
        <v>0</v>
      </c>
      <c r="G817" s="459" t="str">
        <f t="shared" ca="1" si="178"/>
        <v/>
      </c>
      <c r="H817" s="460" t="str">
        <f t="shared" ca="1" si="178"/>
        <v/>
      </c>
      <c r="I817" s="460" t="str">
        <f t="shared" ca="1" si="178"/>
        <v/>
      </c>
      <c r="J817" s="460" t="str">
        <f t="shared" ca="1" si="178"/>
        <v/>
      </c>
      <c r="K817" s="460" t="str">
        <f t="shared" ca="1" si="178"/>
        <v/>
      </c>
      <c r="L817" s="460" t="str">
        <f t="shared" ca="1" si="178"/>
        <v/>
      </c>
      <c r="M817" s="460" t="str">
        <f t="shared" ca="1" si="178"/>
        <v/>
      </c>
      <c r="N817" s="460" t="str">
        <f t="shared" ca="1" si="178"/>
        <v/>
      </c>
      <c r="O817" s="461" t="str">
        <f t="shared" ca="1" si="178"/>
        <v/>
      </c>
      <c r="P817" s="474" t="str">
        <f t="shared" ca="1" si="178"/>
        <v/>
      </c>
      <c r="Q817" s="475" t="str">
        <f t="shared" ca="1" si="178"/>
        <v/>
      </c>
      <c r="R817" s="476">
        <f ca="1">IF(OR($BG$2=0,$AR817=""),,IF($AR817="本月合计",IF(ROW()=$BG$3,SUM($R$6:$R816),SUM(INDIRECT("$R$"&amp;OFFSET($AU$3,,MATCH(ROW(),$AU$3:$BF$3,)-2)+2&amp;":$R"&amp;ROW()-1))),IF($AR817="本年累计",SUMIF($AR$6:$AR817,"本月合计",$R$6:$R816),INDEX(凭证录入!L:L,$AR817))))</f>
        <v>0</v>
      </c>
      <c r="S817" s="459" t="str">
        <f t="shared" ca="1" si="179"/>
        <v/>
      </c>
      <c r="T817" s="460" t="str">
        <f t="shared" ca="1" si="179"/>
        <v/>
      </c>
      <c r="U817" s="460" t="str">
        <f t="shared" ca="1" si="179"/>
        <v/>
      </c>
      <c r="V817" s="460" t="str">
        <f t="shared" ca="1" si="179"/>
        <v/>
      </c>
      <c r="W817" s="460" t="str">
        <f t="shared" ca="1" si="179"/>
        <v/>
      </c>
      <c r="X817" s="460" t="str">
        <f t="shared" ca="1" si="179"/>
        <v/>
      </c>
      <c r="Y817" s="460" t="str">
        <f t="shared" ca="1" si="179"/>
        <v/>
      </c>
      <c r="Z817" s="460" t="str">
        <f t="shared" ca="1" si="179"/>
        <v/>
      </c>
      <c r="AA817" s="461" t="str">
        <f t="shared" ca="1" si="179"/>
        <v/>
      </c>
      <c r="AB817" s="474" t="str">
        <f t="shared" ca="1" si="179"/>
        <v/>
      </c>
      <c r="AC817" s="475" t="str">
        <f t="shared" ca="1" si="179"/>
        <v/>
      </c>
      <c r="AD817" s="477" t="str">
        <f t="shared" ca="1" si="172"/>
        <v/>
      </c>
      <c r="AE817" s="478">
        <f t="shared" ca="1" si="173"/>
        <v>0</v>
      </c>
      <c r="AF817" s="459" t="str">
        <f t="shared" ca="1" si="177"/>
        <v/>
      </c>
      <c r="AG817" s="460" t="str">
        <f t="shared" ca="1" si="177"/>
        <v/>
      </c>
      <c r="AH817" s="460" t="str">
        <f t="shared" ca="1" si="177"/>
        <v/>
      </c>
      <c r="AI817" s="460" t="str">
        <f t="shared" ca="1" si="177"/>
        <v/>
      </c>
      <c r="AJ817" s="460" t="str">
        <f t="shared" ca="1" si="177"/>
        <v/>
      </c>
      <c r="AK817" s="460" t="str">
        <f t="shared" ca="1" si="177"/>
        <v/>
      </c>
      <c r="AL817" s="460" t="str">
        <f t="shared" ca="1" si="177"/>
        <v/>
      </c>
      <c r="AM817" s="460" t="str">
        <f t="shared" ca="1" si="177"/>
        <v/>
      </c>
      <c r="AN817" s="461" t="str">
        <f t="shared" ca="1" si="177"/>
        <v/>
      </c>
      <c r="AO817" s="474" t="str">
        <f t="shared" ca="1" si="177"/>
        <v/>
      </c>
      <c r="AP817" s="475" t="str">
        <f t="shared" ca="1" si="177"/>
        <v/>
      </c>
      <c r="AQ817" s="479" t="str">
        <f t="array" aca="1" ref="AQ817" ca="1">IF(ROW()-5&lt;=COUNTIF(科目编号,$AR$2),SMALL(IF(科目编号=$AR$2,ROW(科目编号),""),ROW()-5),"")</f>
        <v/>
      </c>
      <c r="AR817" s="480" t="str">
        <f ca="1">IF($BG$2=0,"",IF(AR816="本月合计","本年累计",IF(OR(ROW()=$AU$3,ROW()=$AV$3,ROW()=$AW$3,ROW()=$AX$3,ROW()=$AY$3,ROW()=$AZ$3,ROW()=$BA$3,ROW()=$BB$3,ROW()=$BC$3,ROW()=$BD$3,ROW()=$BE$3,ROW()=$BF$3),"本月合计",IF(ROW()&lt;7,$AQ$6,OFFSET($AQ$6,COUNT($AR$6:AR816),0)))))</f>
        <v/>
      </c>
    </row>
    <row r="818" spans="1:44">
      <c r="A818" s="469" t="str">
        <f ca="1">IFERROR(INDEX(凭证录入!A:A,$AR818),"")</f>
        <v/>
      </c>
      <c r="B818" s="469" t="str">
        <f ca="1">IFERROR(INDEX(凭证录入!B:B,$AR818),"")</f>
        <v/>
      </c>
      <c r="C818" s="470" t="str">
        <f ca="1">IFERROR(INDEX(凭证录入!G:G,$AR818),"")</f>
        <v/>
      </c>
      <c r="D818" s="471" t="str">
        <f ca="1">IFERROR(INDEX(凭证录入!F:F,$AR818),"")</f>
        <v/>
      </c>
      <c r="E818" s="472" t="str">
        <f ca="1">IFERROR(INDEX(凭证录入!H:H,$AR818),$AR818)</f>
        <v/>
      </c>
      <c r="F818" s="473">
        <f ca="1">IF(OR($BG$2=0,$AR818=""),,IF($AR818="本月合计",IF(ROW()=$BG$3,SUM($F$6:$F817),SUM(INDIRECT("$F$"&amp;OFFSET($AU$3,,MATCH(ROW(),$AU$3:$BF$3,)-2)+2&amp;":$E"&amp;ROW()-1))),IF($AR818="本年累计",SUMIF($AR$6:$AR818,"本月合计",$F$6:$F817),INDEX(凭证录入!K:K,$AR818))))</f>
        <v>0</v>
      </c>
      <c r="G818" s="459" t="str">
        <f t="shared" ca="1" si="178"/>
        <v/>
      </c>
      <c r="H818" s="460" t="str">
        <f t="shared" ca="1" si="178"/>
        <v/>
      </c>
      <c r="I818" s="460" t="str">
        <f t="shared" ca="1" si="178"/>
        <v/>
      </c>
      <c r="J818" s="460" t="str">
        <f t="shared" ca="1" si="178"/>
        <v/>
      </c>
      <c r="K818" s="460" t="str">
        <f t="shared" ca="1" si="178"/>
        <v/>
      </c>
      <c r="L818" s="460" t="str">
        <f t="shared" ca="1" si="178"/>
        <v/>
      </c>
      <c r="M818" s="460" t="str">
        <f t="shared" ca="1" si="178"/>
        <v/>
      </c>
      <c r="N818" s="460" t="str">
        <f t="shared" ca="1" si="178"/>
        <v/>
      </c>
      <c r="O818" s="461" t="str">
        <f t="shared" ca="1" si="178"/>
        <v/>
      </c>
      <c r="P818" s="474" t="str">
        <f t="shared" ca="1" si="178"/>
        <v/>
      </c>
      <c r="Q818" s="475" t="str">
        <f t="shared" ca="1" si="178"/>
        <v/>
      </c>
      <c r="R818" s="476">
        <f ca="1">IF(OR($BG$2=0,$AR818=""),,IF($AR818="本月合计",IF(ROW()=$BG$3,SUM($R$6:$R817),SUM(INDIRECT("$R$"&amp;OFFSET($AU$3,,MATCH(ROW(),$AU$3:$BF$3,)-2)+2&amp;":$R"&amp;ROW()-1))),IF($AR818="本年累计",SUMIF($AR$6:$AR818,"本月合计",$R$6:$R817),INDEX(凭证录入!L:L,$AR818))))</f>
        <v>0</v>
      </c>
      <c r="S818" s="459" t="str">
        <f t="shared" ca="1" si="179"/>
        <v/>
      </c>
      <c r="T818" s="460" t="str">
        <f t="shared" ca="1" si="179"/>
        <v/>
      </c>
      <c r="U818" s="460" t="str">
        <f t="shared" ca="1" si="179"/>
        <v/>
      </c>
      <c r="V818" s="460" t="str">
        <f t="shared" ca="1" si="179"/>
        <v/>
      </c>
      <c r="W818" s="460" t="str">
        <f t="shared" ca="1" si="179"/>
        <v/>
      </c>
      <c r="X818" s="460" t="str">
        <f t="shared" ca="1" si="179"/>
        <v/>
      </c>
      <c r="Y818" s="460" t="str">
        <f t="shared" ca="1" si="179"/>
        <v/>
      </c>
      <c r="Z818" s="460" t="str">
        <f t="shared" ca="1" si="179"/>
        <v/>
      </c>
      <c r="AA818" s="461" t="str">
        <f t="shared" ca="1" si="179"/>
        <v/>
      </c>
      <c r="AB818" s="474" t="str">
        <f t="shared" ca="1" si="179"/>
        <v/>
      </c>
      <c r="AC818" s="475" t="str">
        <f t="shared" ca="1" si="179"/>
        <v/>
      </c>
      <c r="AD818" s="477" t="str">
        <f t="shared" ca="1" si="172"/>
        <v/>
      </c>
      <c r="AE818" s="478">
        <f t="shared" ca="1" si="173"/>
        <v>0</v>
      </c>
      <c r="AF818" s="459" t="str">
        <f t="shared" ca="1" si="177"/>
        <v/>
      </c>
      <c r="AG818" s="460" t="str">
        <f t="shared" ca="1" si="177"/>
        <v/>
      </c>
      <c r="AH818" s="460" t="str">
        <f t="shared" ca="1" si="177"/>
        <v/>
      </c>
      <c r="AI818" s="460" t="str">
        <f t="shared" ca="1" si="177"/>
        <v/>
      </c>
      <c r="AJ818" s="460" t="str">
        <f t="shared" ca="1" si="177"/>
        <v/>
      </c>
      <c r="AK818" s="460" t="str">
        <f t="shared" ca="1" si="177"/>
        <v/>
      </c>
      <c r="AL818" s="460" t="str">
        <f t="shared" ca="1" si="177"/>
        <v/>
      </c>
      <c r="AM818" s="460" t="str">
        <f t="shared" ca="1" si="177"/>
        <v/>
      </c>
      <c r="AN818" s="461" t="str">
        <f t="shared" ca="1" si="177"/>
        <v/>
      </c>
      <c r="AO818" s="474" t="str">
        <f t="shared" ca="1" si="177"/>
        <v/>
      </c>
      <c r="AP818" s="475" t="str">
        <f t="shared" ca="1" si="177"/>
        <v/>
      </c>
      <c r="AQ818" s="479" t="str">
        <f t="array" aca="1" ref="AQ818" ca="1">IF(ROW()-5&lt;=COUNTIF(科目编号,$AR$2),SMALL(IF(科目编号=$AR$2,ROW(科目编号),""),ROW()-5),"")</f>
        <v/>
      </c>
      <c r="AR818" s="480" t="str">
        <f ca="1">IF($BG$2=0,"",IF(AR817="本月合计","本年累计",IF(OR(ROW()=$AU$3,ROW()=$AV$3,ROW()=$AW$3,ROW()=$AX$3,ROW()=$AY$3,ROW()=$AZ$3,ROW()=$BA$3,ROW()=$BB$3,ROW()=$BC$3,ROW()=$BD$3,ROW()=$BE$3,ROW()=$BF$3),"本月合计",IF(ROW()&lt;7,$AQ$6,OFFSET($AQ$6,COUNT($AR$6:AR817),0)))))</f>
        <v/>
      </c>
    </row>
    <row r="819" spans="1:44">
      <c r="A819" s="469" t="str">
        <f ca="1">IFERROR(INDEX(凭证录入!A:A,$AR819),"")</f>
        <v/>
      </c>
      <c r="B819" s="469" t="str">
        <f ca="1">IFERROR(INDEX(凭证录入!B:B,$AR819),"")</f>
        <v/>
      </c>
      <c r="C819" s="470" t="str">
        <f ca="1">IFERROR(INDEX(凭证录入!G:G,$AR819),"")</f>
        <v/>
      </c>
      <c r="D819" s="471" t="str">
        <f ca="1">IFERROR(INDEX(凭证录入!F:F,$AR819),"")</f>
        <v/>
      </c>
      <c r="E819" s="472" t="str">
        <f ca="1">IFERROR(INDEX(凭证录入!H:H,$AR819),$AR819)</f>
        <v/>
      </c>
      <c r="F819" s="473">
        <f ca="1">IF(OR($BG$2=0,$AR819=""),,IF($AR819="本月合计",IF(ROW()=$BG$3,SUM($F$6:$F818),SUM(INDIRECT("$F$"&amp;OFFSET($AU$3,,MATCH(ROW(),$AU$3:$BF$3,)-2)+2&amp;":$E"&amp;ROW()-1))),IF($AR819="本年累计",SUMIF($AR$6:$AR819,"本月合计",$F$6:$F818),INDEX(凭证录入!K:K,$AR819))))</f>
        <v>0</v>
      </c>
      <c r="G819" s="459" t="str">
        <f t="shared" ca="1" si="178"/>
        <v/>
      </c>
      <c r="H819" s="460" t="str">
        <f t="shared" ca="1" si="178"/>
        <v/>
      </c>
      <c r="I819" s="460" t="str">
        <f t="shared" ca="1" si="178"/>
        <v/>
      </c>
      <c r="J819" s="460" t="str">
        <f t="shared" ca="1" si="178"/>
        <v/>
      </c>
      <c r="K819" s="460" t="str">
        <f t="shared" ca="1" si="178"/>
        <v/>
      </c>
      <c r="L819" s="460" t="str">
        <f t="shared" ca="1" si="178"/>
        <v/>
      </c>
      <c r="M819" s="460" t="str">
        <f t="shared" ca="1" si="178"/>
        <v/>
      </c>
      <c r="N819" s="460" t="str">
        <f t="shared" ca="1" si="178"/>
        <v/>
      </c>
      <c r="O819" s="461" t="str">
        <f t="shared" ca="1" si="178"/>
        <v/>
      </c>
      <c r="P819" s="474" t="str">
        <f t="shared" ca="1" si="178"/>
        <v/>
      </c>
      <c r="Q819" s="475" t="str">
        <f t="shared" ca="1" si="178"/>
        <v/>
      </c>
      <c r="R819" s="476">
        <f ca="1">IF(OR($BG$2=0,$AR819=""),,IF($AR819="本月合计",IF(ROW()=$BG$3,SUM($R$6:$R818),SUM(INDIRECT("$R$"&amp;OFFSET($AU$3,,MATCH(ROW(),$AU$3:$BF$3,)-2)+2&amp;":$R"&amp;ROW()-1))),IF($AR819="本年累计",SUMIF($AR$6:$AR819,"本月合计",$R$6:$R818),INDEX(凭证录入!L:L,$AR819))))</f>
        <v>0</v>
      </c>
      <c r="S819" s="459" t="str">
        <f t="shared" ca="1" si="179"/>
        <v/>
      </c>
      <c r="T819" s="460" t="str">
        <f t="shared" ca="1" si="179"/>
        <v/>
      </c>
      <c r="U819" s="460" t="str">
        <f t="shared" ca="1" si="179"/>
        <v/>
      </c>
      <c r="V819" s="460" t="str">
        <f t="shared" ca="1" si="179"/>
        <v/>
      </c>
      <c r="W819" s="460" t="str">
        <f t="shared" ca="1" si="179"/>
        <v/>
      </c>
      <c r="X819" s="460" t="str">
        <f t="shared" ca="1" si="179"/>
        <v/>
      </c>
      <c r="Y819" s="460" t="str">
        <f t="shared" ca="1" si="179"/>
        <v/>
      </c>
      <c r="Z819" s="460" t="str">
        <f t="shared" ca="1" si="179"/>
        <v/>
      </c>
      <c r="AA819" s="461" t="str">
        <f t="shared" ca="1" si="179"/>
        <v/>
      </c>
      <c r="AB819" s="474" t="str">
        <f t="shared" ca="1" si="179"/>
        <v/>
      </c>
      <c r="AC819" s="475" t="str">
        <f t="shared" ca="1" si="179"/>
        <v/>
      </c>
      <c r="AD819" s="477" t="str">
        <f t="shared" ca="1" si="172"/>
        <v/>
      </c>
      <c r="AE819" s="478">
        <f t="shared" ca="1" si="173"/>
        <v>0</v>
      </c>
      <c r="AF819" s="459" t="str">
        <f t="shared" ca="1" si="177"/>
        <v/>
      </c>
      <c r="AG819" s="460" t="str">
        <f t="shared" ca="1" si="177"/>
        <v/>
      </c>
      <c r="AH819" s="460" t="str">
        <f t="shared" ca="1" si="177"/>
        <v/>
      </c>
      <c r="AI819" s="460" t="str">
        <f t="shared" ca="1" si="177"/>
        <v/>
      </c>
      <c r="AJ819" s="460" t="str">
        <f t="shared" ca="1" si="177"/>
        <v/>
      </c>
      <c r="AK819" s="460" t="str">
        <f t="shared" ca="1" si="177"/>
        <v/>
      </c>
      <c r="AL819" s="460" t="str">
        <f t="shared" ca="1" si="177"/>
        <v/>
      </c>
      <c r="AM819" s="460" t="str">
        <f t="shared" ca="1" si="177"/>
        <v/>
      </c>
      <c r="AN819" s="461" t="str">
        <f t="shared" ca="1" si="177"/>
        <v/>
      </c>
      <c r="AO819" s="474" t="str">
        <f t="shared" ca="1" si="177"/>
        <v/>
      </c>
      <c r="AP819" s="475" t="str">
        <f t="shared" ca="1" si="177"/>
        <v/>
      </c>
      <c r="AQ819" s="479" t="str">
        <f t="array" aca="1" ref="AQ819" ca="1">IF(ROW()-5&lt;=COUNTIF(科目编号,$AR$2),SMALL(IF(科目编号=$AR$2,ROW(科目编号),""),ROW()-5),"")</f>
        <v/>
      </c>
      <c r="AR819" s="480" t="str">
        <f ca="1">IF($BG$2=0,"",IF(AR818="本月合计","本年累计",IF(OR(ROW()=$AU$3,ROW()=$AV$3,ROW()=$AW$3,ROW()=$AX$3,ROW()=$AY$3,ROW()=$AZ$3,ROW()=$BA$3,ROW()=$BB$3,ROW()=$BC$3,ROW()=$BD$3,ROW()=$BE$3,ROW()=$BF$3),"本月合计",IF(ROW()&lt;7,$AQ$6,OFFSET($AQ$6,COUNT($AR$6:AR818),0)))))</f>
        <v/>
      </c>
    </row>
    <row r="820" spans="1:44">
      <c r="A820" s="469" t="str">
        <f ca="1">IFERROR(INDEX(凭证录入!A:A,$AR820),"")</f>
        <v/>
      </c>
      <c r="B820" s="469" t="str">
        <f ca="1">IFERROR(INDEX(凭证录入!B:B,$AR820),"")</f>
        <v/>
      </c>
      <c r="C820" s="470" t="str">
        <f ca="1">IFERROR(INDEX(凭证录入!G:G,$AR820),"")</f>
        <v/>
      </c>
      <c r="D820" s="471" t="str">
        <f ca="1">IFERROR(INDEX(凭证录入!F:F,$AR820),"")</f>
        <v/>
      </c>
      <c r="E820" s="472" t="str">
        <f ca="1">IFERROR(INDEX(凭证录入!H:H,$AR820),$AR820)</f>
        <v/>
      </c>
      <c r="F820" s="473">
        <f ca="1">IF(OR($BG$2=0,$AR820=""),,IF($AR820="本月合计",IF(ROW()=$BG$3,SUM($F$6:$F819),SUM(INDIRECT("$F$"&amp;OFFSET($AU$3,,MATCH(ROW(),$AU$3:$BF$3,)-2)+2&amp;":$E"&amp;ROW()-1))),IF($AR820="本年累计",SUMIF($AR$6:$AR820,"本月合计",$F$6:$F819),INDEX(凭证录入!K:K,$AR820))))</f>
        <v>0</v>
      </c>
      <c r="G820" s="459" t="str">
        <f t="shared" ca="1" si="178"/>
        <v/>
      </c>
      <c r="H820" s="460" t="str">
        <f t="shared" ca="1" si="178"/>
        <v/>
      </c>
      <c r="I820" s="460" t="str">
        <f t="shared" ca="1" si="178"/>
        <v/>
      </c>
      <c r="J820" s="460" t="str">
        <f t="shared" ca="1" si="178"/>
        <v/>
      </c>
      <c r="K820" s="460" t="str">
        <f t="shared" ca="1" si="178"/>
        <v/>
      </c>
      <c r="L820" s="460" t="str">
        <f t="shared" ca="1" si="178"/>
        <v/>
      </c>
      <c r="M820" s="460" t="str">
        <f t="shared" ca="1" si="178"/>
        <v/>
      </c>
      <c r="N820" s="460" t="str">
        <f t="shared" ca="1" si="178"/>
        <v/>
      </c>
      <c r="O820" s="461" t="str">
        <f t="shared" ca="1" si="178"/>
        <v/>
      </c>
      <c r="P820" s="474" t="str">
        <f t="shared" ca="1" si="178"/>
        <v/>
      </c>
      <c r="Q820" s="475" t="str">
        <f t="shared" ca="1" si="178"/>
        <v/>
      </c>
      <c r="R820" s="476">
        <f ca="1">IF(OR($BG$2=0,$AR820=""),,IF($AR820="本月合计",IF(ROW()=$BG$3,SUM($R$6:$R819),SUM(INDIRECT("$R$"&amp;OFFSET($AU$3,,MATCH(ROW(),$AU$3:$BF$3,)-2)+2&amp;":$R"&amp;ROW()-1))),IF($AR820="本年累计",SUMIF($AR$6:$AR820,"本月合计",$R$6:$R819),INDEX(凭证录入!L:L,$AR820))))</f>
        <v>0</v>
      </c>
      <c r="S820" s="459" t="str">
        <f t="shared" ca="1" si="179"/>
        <v/>
      </c>
      <c r="T820" s="460" t="str">
        <f t="shared" ca="1" si="179"/>
        <v/>
      </c>
      <c r="U820" s="460" t="str">
        <f t="shared" ca="1" si="179"/>
        <v/>
      </c>
      <c r="V820" s="460" t="str">
        <f t="shared" ca="1" si="179"/>
        <v/>
      </c>
      <c r="W820" s="460" t="str">
        <f t="shared" ca="1" si="179"/>
        <v/>
      </c>
      <c r="X820" s="460" t="str">
        <f t="shared" ca="1" si="179"/>
        <v/>
      </c>
      <c r="Y820" s="460" t="str">
        <f t="shared" ca="1" si="179"/>
        <v/>
      </c>
      <c r="Z820" s="460" t="str">
        <f t="shared" ca="1" si="179"/>
        <v/>
      </c>
      <c r="AA820" s="461" t="str">
        <f t="shared" ca="1" si="179"/>
        <v/>
      </c>
      <c r="AB820" s="474" t="str">
        <f t="shared" ca="1" si="179"/>
        <v/>
      </c>
      <c r="AC820" s="475" t="str">
        <f t="shared" ca="1" si="179"/>
        <v/>
      </c>
      <c r="AD820" s="477" t="str">
        <f t="shared" ca="1" si="172"/>
        <v/>
      </c>
      <c r="AE820" s="478">
        <f t="shared" ca="1" si="173"/>
        <v>0</v>
      </c>
      <c r="AF820" s="459" t="str">
        <f t="shared" ca="1" si="177"/>
        <v/>
      </c>
      <c r="AG820" s="460" t="str">
        <f t="shared" ca="1" si="177"/>
        <v/>
      </c>
      <c r="AH820" s="460" t="str">
        <f t="shared" ca="1" si="177"/>
        <v/>
      </c>
      <c r="AI820" s="460" t="str">
        <f t="shared" ca="1" si="177"/>
        <v/>
      </c>
      <c r="AJ820" s="460" t="str">
        <f t="shared" ca="1" si="177"/>
        <v/>
      </c>
      <c r="AK820" s="460" t="str">
        <f t="shared" ca="1" si="177"/>
        <v/>
      </c>
      <c r="AL820" s="460" t="str">
        <f t="shared" ca="1" si="177"/>
        <v/>
      </c>
      <c r="AM820" s="460" t="str">
        <f t="shared" ca="1" si="177"/>
        <v/>
      </c>
      <c r="AN820" s="461" t="str">
        <f t="shared" ca="1" si="177"/>
        <v/>
      </c>
      <c r="AO820" s="474" t="str">
        <f t="shared" ca="1" si="177"/>
        <v/>
      </c>
      <c r="AP820" s="475" t="str">
        <f t="shared" ca="1" si="177"/>
        <v/>
      </c>
      <c r="AQ820" s="479" t="str">
        <f t="array" aca="1" ref="AQ820" ca="1">IF(ROW()-5&lt;=COUNTIF(科目编号,$AR$2),SMALL(IF(科目编号=$AR$2,ROW(科目编号),""),ROW()-5),"")</f>
        <v/>
      </c>
      <c r="AR820" s="480" t="str">
        <f ca="1">IF($BG$2=0,"",IF(AR819="本月合计","本年累计",IF(OR(ROW()=$AU$3,ROW()=$AV$3,ROW()=$AW$3,ROW()=$AX$3,ROW()=$AY$3,ROW()=$AZ$3,ROW()=$BA$3,ROW()=$BB$3,ROW()=$BC$3,ROW()=$BD$3,ROW()=$BE$3,ROW()=$BF$3),"本月合计",IF(ROW()&lt;7,$AQ$6,OFFSET($AQ$6,COUNT($AR$6:AR819),0)))))</f>
        <v/>
      </c>
    </row>
    <row r="821" spans="1:44">
      <c r="A821" s="469" t="str">
        <f ca="1">IFERROR(INDEX(凭证录入!A:A,$AR821),"")</f>
        <v/>
      </c>
      <c r="B821" s="469" t="str">
        <f ca="1">IFERROR(INDEX(凭证录入!B:B,$AR821),"")</f>
        <v/>
      </c>
      <c r="C821" s="470" t="str">
        <f ca="1">IFERROR(INDEX(凭证录入!G:G,$AR821),"")</f>
        <v/>
      </c>
      <c r="D821" s="471" t="str">
        <f ca="1">IFERROR(INDEX(凭证录入!F:F,$AR821),"")</f>
        <v/>
      </c>
      <c r="E821" s="472" t="str">
        <f ca="1">IFERROR(INDEX(凭证录入!H:H,$AR821),$AR821)</f>
        <v/>
      </c>
      <c r="F821" s="473">
        <f ca="1">IF(OR($BG$2=0,$AR821=""),,IF($AR821="本月合计",IF(ROW()=$BG$3,SUM($F$6:$F820),SUM(INDIRECT("$F$"&amp;OFFSET($AU$3,,MATCH(ROW(),$AU$3:$BF$3,)-2)+2&amp;":$E"&amp;ROW()-1))),IF($AR821="本年累计",SUMIF($AR$6:$AR821,"本月合计",$F$6:$F820),INDEX(凭证录入!K:K,$AR821))))</f>
        <v>0</v>
      </c>
      <c r="G821" s="459" t="str">
        <f t="shared" ca="1" si="178"/>
        <v/>
      </c>
      <c r="H821" s="460" t="str">
        <f t="shared" ca="1" si="178"/>
        <v/>
      </c>
      <c r="I821" s="460" t="str">
        <f t="shared" ca="1" si="178"/>
        <v/>
      </c>
      <c r="J821" s="460" t="str">
        <f t="shared" ca="1" si="178"/>
        <v/>
      </c>
      <c r="K821" s="460" t="str">
        <f t="shared" ca="1" si="178"/>
        <v/>
      </c>
      <c r="L821" s="460" t="str">
        <f t="shared" ca="1" si="178"/>
        <v/>
      </c>
      <c r="M821" s="460" t="str">
        <f t="shared" ca="1" si="178"/>
        <v/>
      </c>
      <c r="N821" s="460" t="str">
        <f t="shared" ca="1" si="178"/>
        <v/>
      </c>
      <c r="O821" s="461" t="str">
        <f t="shared" ca="1" si="178"/>
        <v/>
      </c>
      <c r="P821" s="474" t="str">
        <f t="shared" ca="1" si="178"/>
        <v/>
      </c>
      <c r="Q821" s="475" t="str">
        <f t="shared" ca="1" si="178"/>
        <v/>
      </c>
      <c r="R821" s="476">
        <f ca="1">IF(OR($BG$2=0,$AR821=""),,IF($AR821="本月合计",IF(ROW()=$BG$3,SUM($R$6:$R820),SUM(INDIRECT("$R$"&amp;OFFSET($AU$3,,MATCH(ROW(),$AU$3:$BF$3,)-2)+2&amp;":$R"&amp;ROW()-1))),IF($AR821="本年累计",SUMIF($AR$6:$AR821,"本月合计",$R$6:$R820),INDEX(凭证录入!L:L,$AR821))))</f>
        <v>0</v>
      </c>
      <c r="S821" s="459" t="str">
        <f t="shared" ca="1" si="179"/>
        <v/>
      </c>
      <c r="T821" s="460" t="str">
        <f t="shared" ca="1" si="179"/>
        <v/>
      </c>
      <c r="U821" s="460" t="str">
        <f t="shared" ca="1" si="179"/>
        <v/>
      </c>
      <c r="V821" s="460" t="str">
        <f t="shared" ca="1" si="179"/>
        <v/>
      </c>
      <c r="W821" s="460" t="str">
        <f t="shared" ca="1" si="179"/>
        <v/>
      </c>
      <c r="X821" s="460" t="str">
        <f t="shared" ca="1" si="179"/>
        <v/>
      </c>
      <c r="Y821" s="460" t="str">
        <f t="shared" ca="1" si="179"/>
        <v/>
      </c>
      <c r="Z821" s="460" t="str">
        <f t="shared" ca="1" si="179"/>
        <v/>
      </c>
      <c r="AA821" s="461" t="str">
        <f t="shared" ca="1" si="179"/>
        <v/>
      </c>
      <c r="AB821" s="474" t="str">
        <f t="shared" ca="1" si="179"/>
        <v/>
      </c>
      <c r="AC821" s="475" t="str">
        <f t="shared" ca="1" si="179"/>
        <v/>
      </c>
      <c r="AD821" s="477" t="str">
        <f t="shared" ca="1" si="172"/>
        <v/>
      </c>
      <c r="AE821" s="478">
        <f t="shared" ca="1" si="173"/>
        <v>0</v>
      </c>
      <c r="AF821" s="459" t="str">
        <f t="shared" ref="AF821:AP836" ca="1" si="180">LEFT(RIGHT(TEXT($AE821/1%," ￥0; ￥-0;"),43-COLUMN()))</f>
        <v/>
      </c>
      <c r="AG821" s="460" t="str">
        <f t="shared" ca="1" si="180"/>
        <v/>
      </c>
      <c r="AH821" s="460" t="str">
        <f t="shared" ca="1" si="180"/>
        <v/>
      </c>
      <c r="AI821" s="460" t="str">
        <f t="shared" ca="1" si="180"/>
        <v/>
      </c>
      <c r="AJ821" s="460" t="str">
        <f t="shared" ca="1" si="180"/>
        <v/>
      </c>
      <c r="AK821" s="460" t="str">
        <f t="shared" ca="1" si="180"/>
        <v/>
      </c>
      <c r="AL821" s="460" t="str">
        <f t="shared" ca="1" si="180"/>
        <v/>
      </c>
      <c r="AM821" s="460" t="str">
        <f t="shared" ca="1" si="180"/>
        <v/>
      </c>
      <c r="AN821" s="461" t="str">
        <f t="shared" ca="1" si="180"/>
        <v/>
      </c>
      <c r="AO821" s="474" t="str">
        <f t="shared" ca="1" si="180"/>
        <v/>
      </c>
      <c r="AP821" s="475" t="str">
        <f t="shared" ca="1" si="180"/>
        <v/>
      </c>
      <c r="AQ821" s="479" t="str">
        <f t="array" aca="1" ref="AQ821" ca="1">IF(ROW()-5&lt;=COUNTIF(科目编号,$AR$2),SMALL(IF(科目编号=$AR$2,ROW(科目编号),""),ROW()-5),"")</f>
        <v/>
      </c>
      <c r="AR821" s="480" t="str">
        <f ca="1">IF($BG$2=0,"",IF(AR820="本月合计","本年累计",IF(OR(ROW()=$AU$3,ROW()=$AV$3,ROW()=$AW$3,ROW()=$AX$3,ROW()=$AY$3,ROW()=$AZ$3,ROW()=$BA$3,ROW()=$BB$3,ROW()=$BC$3,ROW()=$BD$3,ROW()=$BE$3,ROW()=$BF$3),"本月合计",IF(ROW()&lt;7,$AQ$6,OFFSET($AQ$6,COUNT($AR$6:AR820),0)))))</f>
        <v/>
      </c>
    </row>
    <row r="822" spans="1:44">
      <c r="A822" s="469" t="str">
        <f ca="1">IFERROR(INDEX(凭证录入!A:A,$AR822),"")</f>
        <v/>
      </c>
      <c r="B822" s="469" t="str">
        <f ca="1">IFERROR(INDEX(凭证录入!B:B,$AR822),"")</f>
        <v/>
      </c>
      <c r="C822" s="470" t="str">
        <f ca="1">IFERROR(INDEX(凭证录入!G:G,$AR822),"")</f>
        <v/>
      </c>
      <c r="D822" s="471" t="str">
        <f ca="1">IFERROR(INDEX(凭证录入!F:F,$AR822),"")</f>
        <v/>
      </c>
      <c r="E822" s="472" t="str">
        <f ca="1">IFERROR(INDEX(凭证录入!H:H,$AR822),$AR822)</f>
        <v/>
      </c>
      <c r="F822" s="473">
        <f ca="1">IF(OR($BG$2=0,$AR822=""),,IF($AR822="本月合计",IF(ROW()=$BG$3,SUM($F$6:$F821),SUM(INDIRECT("$F$"&amp;OFFSET($AU$3,,MATCH(ROW(),$AU$3:$BF$3,)-2)+2&amp;":$E"&amp;ROW()-1))),IF($AR822="本年累计",SUMIF($AR$6:$AR822,"本月合计",$F$6:$F821),INDEX(凭证录入!K:K,$AR822))))</f>
        <v>0</v>
      </c>
      <c r="G822" s="459" t="str">
        <f t="shared" ref="G822:Q837" ca="1" si="181">LEFT(RIGHT(TEXT($F822/1%," ￥0; ￥-0;"),18-COLUMN()))</f>
        <v/>
      </c>
      <c r="H822" s="460" t="str">
        <f t="shared" ca="1" si="181"/>
        <v/>
      </c>
      <c r="I822" s="460" t="str">
        <f t="shared" ca="1" si="181"/>
        <v/>
      </c>
      <c r="J822" s="460" t="str">
        <f t="shared" ca="1" si="181"/>
        <v/>
      </c>
      <c r="K822" s="460" t="str">
        <f t="shared" ca="1" si="181"/>
        <v/>
      </c>
      <c r="L822" s="460" t="str">
        <f t="shared" ca="1" si="181"/>
        <v/>
      </c>
      <c r="M822" s="460" t="str">
        <f t="shared" ca="1" si="181"/>
        <v/>
      </c>
      <c r="N822" s="460" t="str">
        <f t="shared" ca="1" si="181"/>
        <v/>
      </c>
      <c r="O822" s="461" t="str">
        <f t="shared" ca="1" si="181"/>
        <v/>
      </c>
      <c r="P822" s="474" t="str">
        <f t="shared" ca="1" si="181"/>
        <v/>
      </c>
      <c r="Q822" s="475" t="str">
        <f t="shared" ca="1" si="181"/>
        <v/>
      </c>
      <c r="R822" s="476">
        <f ca="1">IF(OR($BG$2=0,$AR822=""),,IF($AR822="本月合计",IF(ROW()=$BG$3,SUM($R$6:$R821),SUM(INDIRECT("$R$"&amp;OFFSET($AU$3,,MATCH(ROW(),$AU$3:$BF$3,)-2)+2&amp;":$R"&amp;ROW()-1))),IF($AR822="本年累计",SUMIF($AR$6:$AR822,"本月合计",$R$6:$R821),INDEX(凭证录入!L:L,$AR822))))</f>
        <v>0</v>
      </c>
      <c r="S822" s="459" t="str">
        <f t="shared" ref="S822:AC837" ca="1" si="182">LEFT(RIGHT(TEXT($R822/1%," ￥0; ￥-0;"),30-COLUMN()))</f>
        <v/>
      </c>
      <c r="T822" s="460" t="str">
        <f t="shared" ca="1" si="182"/>
        <v/>
      </c>
      <c r="U822" s="460" t="str">
        <f t="shared" ca="1" si="182"/>
        <v/>
      </c>
      <c r="V822" s="460" t="str">
        <f t="shared" ca="1" si="182"/>
        <v/>
      </c>
      <c r="W822" s="460" t="str">
        <f t="shared" ca="1" si="182"/>
        <v/>
      </c>
      <c r="X822" s="460" t="str">
        <f t="shared" ca="1" si="182"/>
        <v/>
      </c>
      <c r="Y822" s="460" t="str">
        <f t="shared" ca="1" si="182"/>
        <v/>
      </c>
      <c r="Z822" s="460" t="str">
        <f t="shared" ca="1" si="182"/>
        <v/>
      </c>
      <c r="AA822" s="461" t="str">
        <f t="shared" ca="1" si="182"/>
        <v/>
      </c>
      <c r="AB822" s="474" t="str">
        <f t="shared" ca="1" si="182"/>
        <v/>
      </c>
      <c r="AC822" s="475" t="str">
        <f t="shared" ca="1" si="182"/>
        <v/>
      </c>
      <c r="AD822" s="477" t="str">
        <f t="shared" ca="1" si="172"/>
        <v/>
      </c>
      <c r="AE822" s="478">
        <f t="shared" ca="1" si="173"/>
        <v>0</v>
      </c>
      <c r="AF822" s="459" t="str">
        <f t="shared" ca="1" si="180"/>
        <v/>
      </c>
      <c r="AG822" s="460" t="str">
        <f t="shared" ca="1" si="180"/>
        <v/>
      </c>
      <c r="AH822" s="460" t="str">
        <f t="shared" ca="1" si="180"/>
        <v/>
      </c>
      <c r="AI822" s="460" t="str">
        <f t="shared" ca="1" si="180"/>
        <v/>
      </c>
      <c r="AJ822" s="460" t="str">
        <f t="shared" ca="1" si="180"/>
        <v/>
      </c>
      <c r="AK822" s="460" t="str">
        <f t="shared" ca="1" si="180"/>
        <v/>
      </c>
      <c r="AL822" s="460" t="str">
        <f t="shared" ca="1" si="180"/>
        <v/>
      </c>
      <c r="AM822" s="460" t="str">
        <f t="shared" ca="1" si="180"/>
        <v/>
      </c>
      <c r="AN822" s="461" t="str">
        <f t="shared" ca="1" si="180"/>
        <v/>
      </c>
      <c r="AO822" s="474" t="str">
        <f t="shared" ca="1" si="180"/>
        <v/>
      </c>
      <c r="AP822" s="475" t="str">
        <f t="shared" ca="1" si="180"/>
        <v/>
      </c>
      <c r="AQ822" s="479" t="str">
        <f t="array" aca="1" ref="AQ822" ca="1">IF(ROW()-5&lt;=COUNTIF(科目编号,$AR$2),SMALL(IF(科目编号=$AR$2,ROW(科目编号),""),ROW()-5),"")</f>
        <v/>
      </c>
      <c r="AR822" s="480" t="str">
        <f ca="1">IF($BG$2=0,"",IF(AR821="本月合计","本年累计",IF(OR(ROW()=$AU$3,ROW()=$AV$3,ROW()=$AW$3,ROW()=$AX$3,ROW()=$AY$3,ROW()=$AZ$3,ROW()=$BA$3,ROW()=$BB$3,ROW()=$BC$3,ROW()=$BD$3,ROW()=$BE$3,ROW()=$BF$3),"本月合计",IF(ROW()&lt;7,$AQ$6,OFFSET($AQ$6,COUNT($AR$6:AR821),0)))))</f>
        <v/>
      </c>
    </row>
    <row r="823" spans="1:44">
      <c r="A823" s="469" t="str">
        <f ca="1">IFERROR(INDEX(凭证录入!A:A,$AR823),"")</f>
        <v/>
      </c>
      <c r="B823" s="469" t="str">
        <f ca="1">IFERROR(INDEX(凭证录入!B:B,$AR823),"")</f>
        <v/>
      </c>
      <c r="C823" s="470" t="str">
        <f ca="1">IFERROR(INDEX(凭证录入!G:G,$AR823),"")</f>
        <v/>
      </c>
      <c r="D823" s="471" t="str">
        <f ca="1">IFERROR(INDEX(凭证录入!F:F,$AR823),"")</f>
        <v/>
      </c>
      <c r="E823" s="472" t="str">
        <f ca="1">IFERROR(INDEX(凭证录入!H:H,$AR823),$AR823)</f>
        <v/>
      </c>
      <c r="F823" s="473">
        <f ca="1">IF(OR($BG$2=0,$AR823=""),,IF($AR823="本月合计",IF(ROW()=$BG$3,SUM($F$6:$F822),SUM(INDIRECT("$F$"&amp;OFFSET($AU$3,,MATCH(ROW(),$AU$3:$BF$3,)-2)+2&amp;":$E"&amp;ROW()-1))),IF($AR823="本年累计",SUMIF($AR$6:$AR823,"本月合计",$F$6:$F822),INDEX(凭证录入!K:K,$AR823))))</f>
        <v>0</v>
      </c>
      <c r="G823" s="459" t="str">
        <f t="shared" ca="1" si="181"/>
        <v/>
      </c>
      <c r="H823" s="460" t="str">
        <f t="shared" ca="1" si="181"/>
        <v/>
      </c>
      <c r="I823" s="460" t="str">
        <f t="shared" ca="1" si="181"/>
        <v/>
      </c>
      <c r="J823" s="460" t="str">
        <f t="shared" ca="1" si="181"/>
        <v/>
      </c>
      <c r="K823" s="460" t="str">
        <f t="shared" ca="1" si="181"/>
        <v/>
      </c>
      <c r="L823" s="460" t="str">
        <f t="shared" ca="1" si="181"/>
        <v/>
      </c>
      <c r="M823" s="460" t="str">
        <f t="shared" ca="1" si="181"/>
        <v/>
      </c>
      <c r="N823" s="460" t="str">
        <f t="shared" ca="1" si="181"/>
        <v/>
      </c>
      <c r="O823" s="461" t="str">
        <f t="shared" ca="1" si="181"/>
        <v/>
      </c>
      <c r="P823" s="474" t="str">
        <f t="shared" ca="1" si="181"/>
        <v/>
      </c>
      <c r="Q823" s="475" t="str">
        <f t="shared" ca="1" si="181"/>
        <v/>
      </c>
      <c r="R823" s="476">
        <f ca="1">IF(OR($BG$2=0,$AR823=""),,IF($AR823="本月合计",IF(ROW()=$BG$3,SUM($R$6:$R822),SUM(INDIRECT("$R$"&amp;OFFSET($AU$3,,MATCH(ROW(),$AU$3:$BF$3,)-2)+2&amp;":$R"&amp;ROW()-1))),IF($AR823="本年累计",SUMIF($AR$6:$AR823,"本月合计",$R$6:$R822),INDEX(凭证录入!L:L,$AR823))))</f>
        <v>0</v>
      </c>
      <c r="S823" s="459" t="str">
        <f t="shared" ca="1" si="182"/>
        <v/>
      </c>
      <c r="T823" s="460" t="str">
        <f t="shared" ca="1" si="182"/>
        <v/>
      </c>
      <c r="U823" s="460" t="str">
        <f t="shared" ca="1" si="182"/>
        <v/>
      </c>
      <c r="V823" s="460" t="str">
        <f t="shared" ca="1" si="182"/>
        <v/>
      </c>
      <c r="W823" s="460" t="str">
        <f t="shared" ca="1" si="182"/>
        <v/>
      </c>
      <c r="X823" s="460" t="str">
        <f t="shared" ca="1" si="182"/>
        <v/>
      </c>
      <c r="Y823" s="460" t="str">
        <f t="shared" ca="1" si="182"/>
        <v/>
      </c>
      <c r="Z823" s="460" t="str">
        <f t="shared" ca="1" si="182"/>
        <v/>
      </c>
      <c r="AA823" s="461" t="str">
        <f t="shared" ca="1" si="182"/>
        <v/>
      </c>
      <c r="AB823" s="474" t="str">
        <f t="shared" ca="1" si="182"/>
        <v/>
      </c>
      <c r="AC823" s="475" t="str">
        <f t="shared" ca="1" si="182"/>
        <v/>
      </c>
      <c r="AD823" s="477" t="str">
        <f t="shared" ca="1" si="172"/>
        <v/>
      </c>
      <c r="AE823" s="478">
        <f t="shared" ca="1" si="173"/>
        <v>0</v>
      </c>
      <c r="AF823" s="459" t="str">
        <f t="shared" ca="1" si="180"/>
        <v/>
      </c>
      <c r="AG823" s="460" t="str">
        <f t="shared" ca="1" si="180"/>
        <v/>
      </c>
      <c r="AH823" s="460" t="str">
        <f t="shared" ca="1" si="180"/>
        <v/>
      </c>
      <c r="AI823" s="460" t="str">
        <f t="shared" ca="1" si="180"/>
        <v/>
      </c>
      <c r="AJ823" s="460" t="str">
        <f t="shared" ca="1" si="180"/>
        <v/>
      </c>
      <c r="AK823" s="460" t="str">
        <f t="shared" ca="1" si="180"/>
        <v/>
      </c>
      <c r="AL823" s="460" t="str">
        <f t="shared" ca="1" si="180"/>
        <v/>
      </c>
      <c r="AM823" s="460" t="str">
        <f t="shared" ca="1" si="180"/>
        <v/>
      </c>
      <c r="AN823" s="461" t="str">
        <f t="shared" ca="1" si="180"/>
        <v/>
      </c>
      <c r="AO823" s="474" t="str">
        <f t="shared" ca="1" si="180"/>
        <v/>
      </c>
      <c r="AP823" s="475" t="str">
        <f t="shared" ca="1" si="180"/>
        <v/>
      </c>
      <c r="AQ823" s="479" t="str">
        <f t="array" aca="1" ref="AQ823" ca="1">IF(ROW()-5&lt;=COUNTIF(科目编号,$AR$2),SMALL(IF(科目编号=$AR$2,ROW(科目编号),""),ROW()-5),"")</f>
        <v/>
      </c>
      <c r="AR823" s="480" t="str">
        <f ca="1">IF($BG$2=0,"",IF(AR822="本月合计","本年累计",IF(OR(ROW()=$AU$3,ROW()=$AV$3,ROW()=$AW$3,ROW()=$AX$3,ROW()=$AY$3,ROW()=$AZ$3,ROW()=$BA$3,ROW()=$BB$3,ROW()=$BC$3,ROW()=$BD$3,ROW()=$BE$3,ROW()=$BF$3),"本月合计",IF(ROW()&lt;7,$AQ$6,OFFSET($AQ$6,COUNT($AR$6:AR822),0)))))</f>
        <v/>
      </c>
    </row>
    <row r="824" spans="1:44">
      <c r="A824" s="469" t="str">
        <f ca="1">IFERROR(INDEX(凭证录入!A:A,$AR824),"")</f>
        <v/>
      </c>
      <c r="B824" s="469" t="str">
        <f ca="1">IFERROR(INDEX(凭证录入!B:B,$AR824),"")</f>
        <v/>
      </c>
      <c r="C824" s="470" t="str">
        <f ca="1">IFERROR(INDEX(凭证录入!G:G,$AR824),"")</f>
        <v/>
      </c>
      <c r="D824" s="471" t="str">
        <f ca="1">IFERROR(INDEX(凭证录入!F:F,$AR824),"")</f>
        <v/>
      </c>
      <c r="E824" s="472" t="str">
        <f ca="1">IFERROR(INDEX(凭证录入!H:H,$AR824),$AR824)</f>
        <v/>
      </c>
      <c r="F824" s="473">
        <f ca="1">IF(OR($BG$2=0,$AR824=""),,IF($AR824="本月合计",IF(ROW()=$BG$3,SUM($F$6:$F823),SUM(INDIRECT("$F$"&amp;OFFSET($AU$3,,MATCH(ROW(),$AU$3:$BF$3,)-2)+2&amp;":$E"&amp;ROW()-1))),IF($AR824="本年累计",SUMIF($AR$6:$AR824,"本月合计",$F$6:$F823),INDEX(凭证录入!K:K,$AR824))))</f>
        <v>0</v>
      </c>
      <c r="G824" s="459" t="str">
        <f t="shared" ca="1" si="181"/>
        <v/>
      </c>
      <c r="H824" s="460" t="str">
        <f t="shared" ca="1" si="181"/>
        <v/>
      </c>
      <c r="I824" s="460" t="str">
        <f t="shared" ca="1" si="181"/>
        <v/>
      </c>
      <c r="J824" s="460" t="str">
        <f t="shared" ca="1" si="181"/>
        <v/>
      </c>
      <c r="K824" s="460" t="str">
        <f t="shared" ca="1" si="181"/>
        <v/>
      </c>
      <c r="L824" s="460" t="str">
        <f t="shared" ca="1" si="181"/>
        <v/>
      </c>
      <c r="M824" s="460" t="str">
        <f t="shared" ca="1" si="181"/>
        <v/>
      </c>
      <c r="N824" s="460" t="str">
        <f t="shared" ca="1" si="181"/>
        <v/>
      </c>
      <c r="O824" s="461" t="str">
        <f t="shared" ca="1" si="181"/>
        <v/>
      </c>
      <c r="P824" s="474" t="str">
        <f t="shared" ca="1" si="181"/>
        <v/>
      </c>
      <c r="Q824" s="475" t="str">
        <f t="shared" ca="1" si="181"/>
        <v/>
      </c>
      <c r="R824" s="476">
        <f ca="1">IF(OR($BG$2=0,$AR824=""),,IF($AR824="本月合计",IF(ROW()=$BG$3,SUM($R$6:$R823),SUM(INDIRECT("$R$"&amp;OFFSET($AU$3,,MATCH(ROW(),$AU$3:$BF$3,)-2)+2&amp;":$R"&amp;ROW()-1))),IF($AR824="本年累计",SUMIF($AR$6:$AR824,"本月合计",$R$6:$R823),INDEX(凭证录入!L:L,$AR824))))</f>
        <v>0</v>
      </c>
      <c r="S824" s="459" t="str">
        <f t="shared" ca="1" si="182"/>
        <v/>
      </c>
      <c r="T824" s="460" t="str">
        <f t="shared" ca="1" si="182"/>
        <v/>
      </c>
      <c r="U824" s="460" t="str">
        <f t="shared" ca="1" si="182"/>
        <v/>
      </c>
      <c r="V824" s="460" t="str">
        <f t="shared" ca="1" si="182"/>
        <v/>
      </c>
      <c r="W824" s="460" t="str">
        <f t="shared" ca="1" si="182"/>
        <v/>
      </c>
      <c r="X824" s="460" t="str">
        <f t="shared" ca="1" si="182"/>
        <v/>
      </c>
      <c r="Y824" s="460" t="str">
        <f t="shared" ca="1" si="182"/>
        <v/>
      </c>
      <c r="Z824" s="460" t="str">
        <f t="shared" ca="1" si="182"/>
        <v/>
      </c>
      <c r="AA824" s="461" t="str">
        <f t="shared" ca="1" si="182"/>
        <v/>
      </c>
      <c r="AB824" s="474" t="str">
        <f t="shared" ca="1" si="182"/>
        <v/>
      </c>
      <c r="AC824" s="475" t="str">
        <f t="shared" ca="1" si="182"/>
        <v/>
      </c>
      <c r="AD824" s="477" t="str">
        <f t="shared" ca="1" si="172"/>
        <v/>
      </c>
      <c r="AE824" s="478">
        <f t="shared" ca="1" si="173"/>
        <v>0</v>
      </c>
      <c r="AF824" s="459" t="str">
        <f t="shared" ca="1" si="180"/>
        <v/>
      </c>
      <c r="AG824" s="460" t="str">
        <f t="shared" ca="1" si="180"/>
        <v/>
      </c>
      <c r="AH824" s="460" t="str">
        <f t="shared" ca="1" si="180"/>
        <v/>
      </c>
      <c r="AI824" s="460" t="str">
        <f t="shared" ca="1" si="180"/>
        <v/>
      </c>
      <c r="AJ824" s="460" t="str">
        <f t="shared" ca="1" si="180"/>
        <v/>
      </c>
      <c r="AK824" s="460" t="str">
        <f t="shared" ca="1" si="180"/>
        <v/>
      </c>
      <c r="AL824" s="460" t="str">
        <f t="shared" ca="1" si="180"/>
        <v/>
      </c>
      <c r="AM824" s="460" t="str">
        <f t="shared" ca="1" si="180"/>
        <v/>
      </c>
      <c r="AN824" s="461" t="str">
        <f t="shared" ca="1" si="180"/>
        <v/>
      </c>
      <c r="AO824" s="474" t="str">
        <f t="shared" ca="1" si="180"/>
        <v/>
      </c>
      <c r="AP824" s="475" t="str">
        <f t="shared" ca="1" si="180"/>
        <v/>
      </c>
      <c r="AQ824" s="479" t="str">
        <f t="array" aca="1" ref="AQ824" ca="1">IF(ROW()-5&lt;=COUNTIF(科目编号,$AR$2),SMALL(IF(科目编号=$AR$2,ROW(科目编号),""),ROW()-5),"")</f>
        <v/>
      </c>
      <c r="AR824" s="480" t="str">
        <f ca="1">IF($BG$2=0,"",IF(AR823="本月合计","本年累计",IF(OR(ROW()=$AU$3,ROW()=$AV$3,ROW()=$AW$3,ROW()=$AX$3,ROW()=$AY$3,ROW()=$AZ$3,ROW()=$BA$3,ROW()=$BB$3,ROW()=$BC$3,ROW()=$BD$3,ROW()=$BE$3,ROW()=$BF$3),"本月合计",IF(ROW()&lt;7,$AQ$6,OFFSET($AQ$6,COUNT($AR$6:AR823),0)))))</f>
        <v/>
      </c>
    </row>
    <row r="825" spans="1:44">
      <c r="A825" s="469" t="str">
        <f ca="1">IFERROR(INDEX(凭证录入!A:A,$AR825),"")</f>
        <v/>
      </c>
      <c r="B825" s="469" t="str">
        <f ca="1">IFERROR(INDEX(凭证录入!B:B,$AR825),"")</f>
        <v/>
      </c>
      <c r="C825" s="470" t="str">
        <f ca="1">IFERROR(INDEX(凭证录入!G:G,$AR825),"")</f>
        <v/>
      </c>
      <c r="D825" s="471" t="str">
        <f ca="1">IFERROR(INDEX(凭证录入!F:F,$AR825),"")</f>
        <v/>
      </c>
      <c r="E825" s="472" t="str">
        <f ca="1">IFERROR(INDEX(凭证录入!H:H,$AR825),$AR825)</f>
        <v/>
      </c>
      <c r="F825" s="473">
        <f ca="1">IF(OR($BG$2=0,$AR825=""),,IF($AR825="本月合计",IF(ROW()=$BG$3,SUM($F$6:$F824),SUM(INDIRECT("$F$"&amp;OFFSET($AU$3,,MATCH(ROW(),$AU$3:$BF$3,)-2)+2&amp;":$E"&amp;ROW()-1))),IF($AR825="本年累计",SUMIF($AR$6:$AR825,"本月合计",$F$6:$F824),INDEX(凭证录入!K:K,$AR825))))</f>
        <v>0</v>
      </c>
      <c r="G825" s="459" t="str">
        <f t="shared" ca="1" si="181"/>
        <v/>
      </c>
      <c r="H825" s="460" t="str">
        <f t="shared" ca="1" si="181"/>
        <v/>
      </c>
      <c r="I825" s="460" t="str">
        <f t="shared" ca="1" si="181"/>
        <v/>
      </c>
      <c r="J825" s="460" t="str">
        <f t="shared" ca="1" si="181"/>
        <v/>
      </c>
      <c r="K825" s="460" t="str">
        <f t="shared" ca="1" si="181"/>
        <v/>
      </c>
      <c r="L825" s="460" t="str">
        <f t="shared" ca="1" si="181"/>
        <v/>
      </c>
      <c r="M825" s="460" t="str">
        <f t="shared" ca="1" si="181"/>
        <v/>
      </c>
      <c r="N825" s="460" t="str">
        <f t="shared" ca="1" si="181"/>
        <v/>
      </c>
      <c r="O825" s="461" t="str">
        <f t="shared" ca="1" si="181"/>
        <v/>
      </c>
      <c r="P825" s="474" t="str">
        <f t="shared" ca="1" si="181"/>
        <v/>
      </c>
      <c r="Q825" s="475" t="str">
        <f t="shared" ca="1" si="181"/>
        <v/>
      </c>
      <c r="R825" s="476">
        <f ca="1">IF(OR($BG$2=0,$AR825=""),,IF($AR825="本月合计",IF(ROW()=$BG$3,SUM($R$6:$R824),SUM(INDIRECT("$R$"&amp;OFFSET($AU$3,,MATCH(ROW(),$AU$3:$BF$3,)-2)+2&amp;":$R"&amp;ROW()-1))),IF($AR825="本年累计",SUMIF($AR$6:$AR825,"本月合计",$R$6:$R824),INDEX(凭证录入!L:L,$AR825))))</f>
        <v>0</v>
      </c>
      <c r="S825" s="459" t="str">
        <f t="shared" ca="1" si="182"/>
        <v/>
      </c>
      <c r="T825" s="460" t="str">
        <f t="shared" ca="1" si="182"/>
        <v/>
      </c>
      <c r="U825" s="460" t="str">
        <f t="shared" ca="1" si="182"/>
        <v/>
      </c>
      <c r="V825" s="460" t="str">
        <f t="shared" ca="1" si="182"/>
        <v/>
      </c>
      <c r="W825" s="460" t="str">
        <f t="shared" ca="1" si="182"/>
        <v/>
      </c>
      <c r="X825" s="460" t="str">
        <f t="shared" ca="1" si="182"/>
        <v/>
      </c>
      <c r="Y825" s="460" t="str">
        <f t="shared" ca="1" si="182"/>
        <v/>
      </c>
      <c r="Z825" s="460" t="str">
        <f t="shared" ca="1" si="182"/>
        <v/>
      </c>
      <c r="AA825" s="461" t="str">
        <f t="shared" ca="1" si="182"/>
        <v/>
      </c>
      <c r="AB825" s="474" t="str">
        <f t="shared" ca="1" si="182"/>
        <v/>
      </c>
      <c r="AC825" s="475" t="str">
        <f t="shared" ca="1" si="182"/>
        <v/>
      </c>
      <c r="AD825" s="477" t="str">
        <f t="shared" ca="1" si="172"/>
        <v/>
      </c>
      <c r="AE825" s="478">
        <f t="shared" ca="1" si="173"/>
        <v>0</v>
      </c>
      <c r="AF825" s="459" t="str">
        <f t="shared" ca="1" si="180"/>
        <v/>
      </c>
      <c r="AG825" s="460" t="str">
        <f t="shared" ca="1" si="180"/>
        <v/>
      </c>
      <c r="AH825" s="460" t="str">
        <f t="shared" ca="1" si="180"/>
        <v/>
      </c>
      <c r="AI825" s="460" t="str">
        <f t="shared" ca="1" si="180"/>
        <v/>
      </c>
      <c r="AJ825" s="460" t="str">
        <f t="shared" ca="1" si="180"/>
        <v/>
      </c>
      <c r="AK825" s="460" t="str">
        <f t="shared" ca="1" si="180"/>
        <v/>
      </c>
      <c r="AL825" s="460" t="str">
        <f t="shared" ca="1" si="180"/>
        <v/>
      </c>
      <c r="AM825" s="460" t="str">
        <f t="shared" ca="1" si="180"/>
        <v/>
      </c>
      <c r="AN825" s="461" t="str">
        <f t="shared" ca="1" si="180"/>
        <v/>
      </c>
      <c r="AO825" s="474" t="str">
        <f t="shared" ca="1" si="180"/>
        <v/>
      </c>
      <c r="AP825" s="475" t="str">
        <f t="shared" ca="1" si="180"/>
        <v/>
      </c>
      <c r="AQ825" s="479" t="str">
        <f t="array" aca="1" ref="AQ825" ca="1">IF(ROW()-5&lt;=COUNTIF(科目编号,$AR$2),SMALL(IF(科目编号=$AR$2,ROW(科目编号),""),ROW()-5),"")</f>
        <v/>
      </c>
      <c r="AR825" s="480" t="str">
        <f ca="1">IF($BG$2=0,"",IF(AR824="本月合计","本年累计",IF(OR(ROW()=$AU$3,ROW()=$AV$3,ROW()=$AW$3,ROW()=$AX$3,ROW()=$AY$3,ROW()=$AZ$3,ROW()=$BA$3,ROW()=$BB$3,ROW()=$BC$3,ROW()=$BD$3,ROW()=$BE$3,ROW()=$BF$3),"本月合计",IF(ROW()&lt;7,$AQ$6,OFFSET($AQ$6,COUNT($AR$6:AR824),0)))))</f>
        <v/>
      </c>
    </row>
    <row r="826" spans="1:44">
      <c r="A826" s="469" t="str">
        <f ca="1">IFERROR(INDEX(凭证录入!A:A,$AR826),"")</f>
        <v/>
      </c>
      <c r="B826" s="469" t="str">
        <f ca="1">IFERROR(INDEX(凭证录入!B:B,$AR826),"")</f>
        <v/>
      </c>
      <c r="C826" s="470" t="str">
        <f ca="1">IFERROR(INDEX(凭证录入!G:G,$AR826),"")</f>
        <v/>
      </c>
      <c r="D826" s="471" t="str">
        <f ca="1">IFERROR(INDEX(凭证录入!F:F,$AR826),"")</f>
        <v/>
      </c>
      <c r="E826" s="472" t="str">
        <f ca="1">IFERROR(INDEX(凭证录入!H:H,$AR826),$AR826)</f>
        <v/>
      </c>
      <c r="F826" s="473">
        <f ca="1">IF(OR($BG$2=0,$AR826=""),,IF($AR826="本月合计",IF(ROW()=$BG$3,SUM($F$6:$F825),SUM(INDIRECT("$F$"&amp;OFFSET($AU$3,,MATCH(ROW(),$AU$3:$BF$3,)-2)+2&amp;":$E"&amp;ROW()-1))),IF($AR826="本年累计",SUMIF($AR$6:$AR826,"本月合计",$F$6:$F825),INDEX(凭证录入!K:K,$AR826))))</f>
        <v>0</v>
      </c>
      <c r="G826" s="459" t="str">
        <f t="shared" ca="1" si="181"/>
        <v/>
      </c>
      <c r="H826" s="460" t="str">
        <f t="shared" ca="1" si="181"/>
        <v/>
      </c>
      <c r="I826" s="460" t="str">
        <f t="shared" ca="1" si="181"/>
        <v/>
      </c>
      <c r="J826" s="460" t="str">
        <f t="shared" ca="1" si="181"/>
        <v/>
      </c>
      <c r="K826" s="460" t="str">
        <f t="shared" ca="1" si="181"/>
        <v/>
      </c>
      <c r="L826" s="460" t="str">
        <f t="shared" ca="1" si="181"/>
        <v/>
      </c>
      <c r="M826" s="460" t="str">
        <f t="shared" ca="1" si="181"/>
        <v/>
      </c>
      <c r="N826" s="460" t="str">
        <f t="shared" ca="1" si="181"/>
        <v/>
      </c>
      <c r="O826" s="461" t="str">
        <f t="shared" ca="1" si="181"/>
        <v/>
      </c>
      <c r="P826" s="474" t="str">
        <f t="shared" ca="1" si="181"/>
        <v/>
      </c>
      <c r="Q826" s="475" t="str">
        <f t="shared" ca="1" si="181"/>
        <v/>
      </c>
      <c r="R826" s="476">
        <f ca="1">IF(OR($BG$2=0,$AR826=""),,IF($AR826="本月合计",IF(ROW()=$BG$3,SUM($R$6:$R825),SUM(INDIRECT("$R$"&amp;OFFSET($AU$3,,MATCH(ROW(),$AU$3:$BF$3,)-2)+2&amp;":$R"&amp;ROW()-1))),IF($AR826="本年累计",SUMIF($AR$6:$AR826,"本月合计",$R$6:$R825),INDEX(凭证录入!L:L,$AR826))))</f>
        <v>0</v>
      </c>
      <c r="S826" s="459" t="str">
        <f t="shared" ca="1" si="182"/>
        <v/>
      </c>
      <c r="T826" s="460" t="str">
        <f t="shared" ca="1" si="182"/>
        <v/>
      </c>
      <c r="U826" s="460" t="str">
        <f t="shared" ca="1" si="182"/>
        <v/>
      </c>
      <c r="V826" s="460" t="str">
        <f t="shared" ca="1" si="182"/>
        <v/>
      </c>
      <c r="W826" s="460" t="str">
        <f t="shared" ca="1" si="182"/>
        <v/>
      </c>
      <c r="X826" s="460" t="str">
        <f t="shared" ca="1" si="182"/>
        <v/>
      </c>
      <c r="Y826" s="460" t="str">
        <f t="shared" ca="1" si="182"/>
        <v/>
      </c>
      <c r="Z826" s="460" t="str">
        <f t="shared" ca="1" si="182"/>
        <v/>
      </c>
      <c r="AA826" s="461" t="str">
        <f t="shared" ca="1" si="182"/>
        <v/>
      </c>
      <c r="AB826" s="474" t="str">
        <f t="shared" ca="1" si="182"/>
        <v/>
      </c>
      <c r="AC826" s="475" t="str">
        <f t="shared" ca="1" si="182"/>
        <v/>
      </c>
      <c r="AD826" s="477" t="str">
        <f t="shared" ca="1" si="172"/>
        <v/>
      </c>
      <c r="AE826" s="478">
        <f t="shared" ca="1" si="173"/>
        <v>0</v>
      </c>
      <c r="AF826" s="459" t="str">
        <f t="shared" ca="1" si="180"/>
        <v/>
      </c>
      <c r="AG826" s="460" t="str">
        <f t="shared" ca="1" si="180"/>
        <v/>
      </c>
      <c r="AH826" s="460" t="str">
        <f t="shared" ca="1" si="180"/>
        <v/>
      </c>
      <c r="AI826" s="460" t="str">
        <f t="shared" ca="1" si="180"/>
        <v/>
      </c>
      <c r="AJ826" s="460" t="str">
        <f t="shared" ca="1" si="180"/>
        <v/>
      </c>
      <c r="AK826" s="460" t="str">
        <f t="shared" ca="1" si="180"/>
        <v/>
      </c>
      <c r="AL826" s="460" t="str">
        <f t="shared" ca="1" si="180"/>
        <v/>
      </c>
      <c r="AM826" s="460" t="str">
        <f t="shared" ca="1" si="180"/>
        <v/>
      </c>
      <c r="AN826" s="461" t="str">
        <f t="shared" ca="1" si="180"/>
        <v/>
      </c>
      <c r="AO826" s="474" t="str">
        <f t="shared" ca="1" si="180"/>
        <v/>
      </c>
      <c r="AP826" s="475" t="str">
        <f t="shared" ca="1" si="180"/>
        <v/>
      </c>
      <c r="AQ826" s="479" t="str">
        <f t="array" aca="1" ref="AQ826" ca="1">IF(ROW()-5&lt;=COUNTIF(科目编号,$AR$2),SMALL(IF(科目编号=$AR$2,ROW(科目编号),""),ROW()-5),"")</f>
        <v/>
      </c>
      <c r="AR826" s="480" t="str">
        <f ca="1">IF($BG$2=0,"",IF(AR825="本月合计","本年累计",IF(OR(ROW()=$AU$3,ROW()=$AV$3,ROW()=$AW$3,ROW()=$AX$3,ROW()=$AY$3,ROW()=$AZ$3,ROW()=$BA$3,ROW()=$BB$3,ROW()=$BC$3,ROW()=$BD$3,ROW()=$BE$3,ROW()=$BF$3),"本月合计",IF(ROW()&lt;7,$AQ$6,OFFSET($AQ$6,COUNT($AR$6:AR825),0)))))</f>
        <v/>
      </c>
    </row>
    <row r="827" spans="1:44">
      <c r="A827" s="469" t="str">
        <f ca="1">IFERROR(INDEX(凭证录入!A:A,$AR827),"")</f>
        <v/>
      </c>
      <c r="B827" s="469" t="str">
        <f ca="1">IFERROR(INDEX(凭证录入!B:B,$AR827),"")</f>
        <v/>
      </c>
      <c r="C827" s="470" t="str">
        <f ca="1">IFERROR(INDEX(凭证录入!G:G,$AR827),"")</f>
        <v/>
      </c>
      <c r="D827" s="471" t="str">
        <f ca="1">IFERROR(INDEX(凭证录入!F:F,$AR827),"")</f>
        <v/>
      </c>
      <c r="E827" s="472" t="str">
        <f ca="1">IFERROR(INDEX(凭证录入!H:H,$AR827),$AR827)</f>
        <v/>
      </c>
      <c r="F827" s="473">
        <f ca="1">IF(OR($BG$2=0,$AR827=""),,IF($AR827="本月合计",IF(ROW()=$BG$3,SUM($F$6:$F826),SUM(INDIRECT("$F$"&amp;OFFSET($AU$3,,MATCH(ROW(),$AU$3:$BF$3,)-2)+2&amp;":$E"&amp;ROW()-1))),IF($AR827="本年累计",SUMIF($AR$6:$AR827,"本月合计",$F$6:$F826),INDEX(凭证录入!K:K,$AR827))))</f>
        <v>0</v>
      </c>
      <c r="G827" s="459" t="str">
        <f t="shared" ca="1" si="181"/>
        <v/>
      </c>
      <c r="H827" s="460" t="str">
        <f t="shared" ca="1" si="181"/>
        <v/>
      </c>
      <c r="I827" s="460" t="str">
        <f t="shared" ca="1" si="181"/>
        <v/>
      </c>
      <c r="J827" s="460" t="str">
        <f t="shared" ca="1" si="181"/>
        <v/>
      </c>
      <c r="K827" s="460" t="str">
        <f t="shared" ca="1" si="181"/>
        <v/>
      </c>
      <c r="L827" s="460" t="str">
        <f t="shared" ca="1" si="181"/>
        <v/>
      </c>
      <c r="M827" s="460" t="str">
        <f t="shared" ca="1" si="181"/>
        <v/>
      </c>
      <c r="N827" s="460" t="str">
        <f t="shared" ca="1" si="181"/>
        <v/>
      </c>
      <c r="O827" s="461" t="str">
        <f t="shared" ca="1" si="181"/>
        <v/>
      </c>
      <c r="P827" s="474" t="str">
        <f t="shared" ca="1" si="181"/>
        <v/>
      </c>
      <c r="Q827" s="475" t="str">
        <f t="shared" ca="1" si="181"/>
        <v/>
      </c>
      <c r="R827" s="476">
        <f ca="1">IF(OR($BG$2=0,$AR827=""),,IF($AR827="本月合计",IF(ROW()=$BG$3,SUM($R$6:$R826),SUM(INDIRECT("$R$"&amp;OFFSET($AU$3,,MATCH(ROW(),$AU$3:$BF$3,)-2)+2&amp;":$R"&amp;ROW()-1))),IF($AR827="本年累计",SUMIF($AR$6:$AR827,"本月合计",$R$6:$R826),INDEX(凭证录入!L:L,$AR827))))</f>
        <v>0</v>
      </c>
      <c r="S827" s="459" t="str">
        <f t="shared" ca="1" si="182"/>
        <v/>
      </c>
      <c r="T827" s="460" t="str">
        <f t="shared" ca="1" si="182"/>
        <v/>
      </c>
      <c r="U827" s="460" t="str">
        <f t="shared" ca="1" si="182"/>
        <v/>
      </c>
      <c r="V827" s="460" t="str">
        <f t="shared" ca="1" si="182"/>
        <v/>
      </c>
      <c r="W827" s="460" t="str">
        <f t="shared" ca="1" si="182"/>
        <v/>
      </c>
      <c r="X827" s="460" t="str">
        <f t="shared" ca="1" si="182"/>
        <v/>
      </c>
      <c r="Y827" s="460" t="str">
        <f t="shared" ca="1" si="182"/>
        <v/>
      </c>
      <c r="Z827" s="460" t="str">
        <f t="shared" ca="1" si="182"/>
        <v/>
      </c>
      <c r="AA827" s="461" t="str">
        <f t="shared" ca="1" si="182"/>
        <v/>
      </c>
      <c r="AB827" s="474" t="str">
        <f t="shared" ca="1" si="182"/>
        <v/>
      </c>
      <c r="AC827" s="475" t="str">
        <f t="shared" ca="1" si="182"/>
        <v/>
      </c>
      <c r="AD827" s="477" t="str">
        <f t="shared" ca="1" si="172"/>
        <v/>
      </c>
      <c r="AE827" s="478">
        <f t="shared" ca="1" si="173"/>
        <v>0</v>
      </c>
      <c r="AF827" s="459" t="str">
        <f t="shared" ca="1" si="180"/>
        <v/>
      </c>
      <c r="AG827" s="460" t="str">
        <f t="shared" ca="1" si="180"/>
        <v/>
      </c>
      <c r="AH827" s="460" t="str">
        <f t="shared" ca="1" si="180"/>
        <v/>
      </c>
      <c r="AI827" s="460" t="str">
        <f t="shared" ca="1" si="180"/>
        <v/>
      </c>
      <c r="AJ827" s="460" t="str">
        <f t="shared" ca="1" si="180"/>
        <v/>
      </c>
      <c r="AK827" s="460" t="str">
        <f t="shared" ca="1" si="180"/>
        <v/>
      </c>
      <c r="AL827" s="460" t="str">
        <f t="shared" ca="1" si="180"/>
        <v/>
      </c>
      <c r="AM827" s="460" t="str">
        <f t="shared" ca="1" si="180"/>
        <v/>
      </c>
      <c r="AN827" s="461" t="str">
        <f t="shared" ca="1" si="180"/>
        <v/>
      </c>
      <c r="AO827" s="474" t="str">
        <f t="shared" ca="1" si="180"/>
        <v/>
      </c>
      <c r="AP827" s="475" t="str">
        <f t="shared" ca="1" si="180"/>
        <v/>
      </c>
      <c r="AQ827" s="479" t="str">
        <f t="array" aca="1" ref="AQ827" ca="1">IF(ROW()-5&lt;=COUNTIF(科目编号,$AR$2),SMALL(IF(科目编号=$AR$2,ROW(科目编号),""),ROW()-5),"")</f>
        <v/>
      </c>
      <c r="AR827" s="480" t="str">
        <f ca="1">IF($BG$2=0,"",IF(AR826="本月合计","本年累计",IF(OR(ROW()=$AU$3,ROW()=$AV$3,ROW()=$AW$3,ROW()=$AX$3,ROW()=$AY$3,ROW()=$AZ$3,ROW()=$BA$3,ROW()=$BB$3,ROW()=$BC$3,ROW()=$BD$3,ROW()=$BE$3,ROW()=$BF$3),"本月合计",IF(ROW()&lt;7,$AQ$6,OFFSET($AQ$6,COUNT($AR$6:AR826),0)))))</f>
        <v/>
      </c>
    </row>
    <row r="828" spans="1:44">
      <c r="A828" s="469" t="str">
        <f ca="1">IFERROR(INDEX(凭证录入!A:A,$AR828),"")</f>
        <v/>
      </c>
      <c r="B828" s="469" t="str">
        <f ca="1">IFERROR(INDEX(凭证录入!B:B,$AR828),"")</f>
        <v/>
      </c>
      <c r="C828" s="470" t="str">
        <f ca="1">IFERROR(INDEX(凭证录入!G:G,$AR828),"")</f>
        <v/>
      </c>
      <c r="D828" s="471" t="str">
        <f ca="1">IFERROR(INDEX(凭证录入!F:F,$AR828),"")</f>
        <v/>
      </c>
      <c r="E828" s="472" t="str">
        <f ca="1">IFERROR(INDEX(凭证录入!H:H,$AR828),$AR828)</f>
        <v/>
      </c>
      <c r="F828" s="473">
        <f ca="1">IF(OR($BG$2=0,$AR828=""),,IF($AR828="本月合计",IF(ROW()=$BG$3,SUM($F$6:$F827),SUM(INDIRECT("$F$"&amp;OFFSET($AU$3,,MATCH(ROW(),$AU$3:$BF$3,)-2)+2&amp;":$E"&amp;ROW()-1))),IF($AR828="本年累计",SUMIF($AR$6:$AR828,"本月合计",$F$6:$F827),INDEX(凭证录入!K:K,$AR828))))</f>
        <v>0</v>
      </c>
      <c r="G828" s="459" t="str">
        <f t="shared" ca="1" si="181"/>
        <v/>
      </c>
      <c r="H828" s="460" t="str">
        <f t="shared" ca="1" si="181"/>
        <v/>
      </c>
      <c r="I828" s="460" t="str">
        <f t="shared" ca="1" si="181"/>
        <v/>
      </c>
      <c r="J828" s="460" t="str">
        <f t="shared" ca="1" si="181"/>
        <v/>
      </c>
      <c r="K828" s="460" t="str">
        <f t="shared" ca="1" si="181"/>
        <v/>
      </c>
      <c r="L828" s="460" t="str">
        <f t="shared" ca="1" si="181"/>
        <v/>
      </c>
      <c r="M828" s="460" t="str">
        <f t="shared" ca="1" si="181"/>
        <v/>
      </c>
      <c r="N828" s="460" t="str">
        <f t="shared" ca="1" si="181"/>
        <v/>
      </c>
      <c r="O828" s="461" t="str">
        <f t="shared" ca="1" si="181"/>
        <v/>
      </c>
      <c r="P828" s="474" t="str">
        <f t="shared" ca="1" si="181"/>
        <v/>
      </c>
      <c r="Q828" s="475" t="str">
        <f t="shared" ca="1" si="181"/>
        <v/>
      </c>
      <c r="R828" s="476">
        <f ca="1">IF(OR($BG$2=0,$AR828=""),,IF($AR828="本月合计",IF(ROW()=$BG$3,SUM($R$6:$R827),SUM(INDIRECT("$R$"&amp;OFFSET($AU$3,,MATCH(ROW(),$AU$3:$BF$3,)-2)+2&amp;":$R"&amp;ROW()-1))),IF($AR828="本年累计",SUMIF($AR$6:$AR828,"本月合计",$R$6:$R827),INDEX(凭证录入!L:L,$AR828))))</f>
        <v>0</v>
      </c>
      <c r="S828" s="459" t="str">
        <f t="shared" ca="1" si="182"/>
        <v/>
      </c>
      <c r="T828" s="460" t="str">
        <f t="shared" ca="1" si="182"/>
        <v/>
      </c>
      <c r="U828" s="460" t="str">
        <f t="shared" ca="1" si="182"/>
        <v/>
      </c>
      <c r="V828" s="460" t="str">
        <f t="shared" ca="1" si="182"/>
        <v/>
      </c>
      <c r="W828" s="460" t="str">
        <f t="shared" ca="1" si="182"/>
        <v/>
      </c>
      <c r="X828" s="460" t="str">
        <f t="shared" ca="1" si="182"/>
        <v/>
      </c>
      <c r="Y828" s="460" t="str">
        <f t="shared" ca="1" si="182"/>
        <v/>
      </c>
      <c r="Z828" s="460" t="str">
        <f t="shared" ca="1" si="182"/>
        <v/>
      </c>
      <c r="AA828" s="461" t="str">
        <f t="shared" ca="1" si="182"/>
        <v/>
      </c>
      <c r="AB828" s="474" t="str">
        <f t="shared" ca="1" si="182"/>
        <v/>
      </c>
      <c r="AC828" s="475" t="str">
        <f t="shared" ca="1" si="182"/>
        <v/>
      </c>
      <c r="AD828" s="477" t="str">
        <f t="shared" ca="1" si="172"/>
        <v/>
      </c>
      <c r="AE828" s="478">
        <f t="shared" ca="1" si="173"/>
        <v>0</v>
      </c>
      <c r="AF828" s="459" t="str">
        <f t="shared" ca="1" si="180"/>
        <v/>
      </c>
      <c r="AG828" s="460" t="str">
        <f t="shared" ca="1" si="180"/>
        <v/>
      </c>
      <c r="AH828" s="460" t="str">
        <f t="shared" ca="1" si="180"/>
        <v/>
      </c>
      <c r="AI828" s="460" t="str">
        <f t="shared" ca="1" si="180"/>
        <v/>
      </c>
      <c r="AJ828" s="460" t="str">
        <f t="shared" ca="1" si="180"/>
        <v/>
      </c>
      <c r="AK828" s="460" t="str">
        <f t="shared" ca="1" si="180"/>
        <v/>
      </c>
      <c r="AL828" s="460" t="str">
        <f t="shared" ca="1" si="180"/>
        <v/>
      </c>
      <c r="AM828" s="460" t="str">
        <f t="shared" ca="1" si="180"/>
        <v/>
      </c>
      <c r="AN828" s="461" t="str">
        <f t="shared" ca="1" si="180"/>
        <v/>
      </c>
      <c r="AO828" s="474" t="str">
        <f t="shared" ca="1" si="180"/>
        <v/>
      </c>
      <c r="AP828" s="475" t="str">
        <f t="shared" ca="1" si="180"/>
        <v/>
      </c>
      <c r="AQ828" s="479" t="str">
        <f t="array" aca="1" ref="AQ828" ca="1">IF(ROW()-5&lt;=COUNTIF(科目编号,$AR$2),SMALL(IF(科目编号=$AR$2,ROW(科目编号),""),ROW()-5),"")</f>
        <v/>
      </c>
      <c r="AR828" s="480" t="str">
        <f ca="1">IF($BG$2=0,"",IF(AR827="本月合计","本年累计",IF(OR(ROW()=$AU$3,ROW()=$AV$3,ROW()=$AW$3,ROW()=$AX$3,ROW()=$AY$3,ROW()=$AZ$3,ROW()=$BA$3,ROW()=$BB$3,ROW()=$BC$3,ROW()=$BD$3,ROW()=$BE$3,ROW()=$BF$3),"本月合计",IF(ROW()&lt;7,$AQ$6,OFFSET($AQ$6,COUNT($AR$6:AR827),0)))))</f>
        <v/>
      </c>
    </row>
    <row r="829" spans="1:44">
      <c r="A829" s="469" t="str">
        <f ca="1">IFERROR(INDEX(凭证录入!A:A,$AR829),"")</f>
        <v/>
      </c>
      <c r="B829" s="469" t="str">
        <f ca="1">IFERROR(INDEX(凭证录入!B:B,$AR829),"")</f>
        <v/>
      </c>
      <c r="C829" s="470" t="str">
        <f ca="1">IFERROR(INDEX(凭证录入!G:G,$AR829),"")</f>
        <v/>
      </c>
      <c r="D829" s="471" t="str">
        <f ca="1">IFERROR(INDEX(凭证录入!F:F,$AR829),"")</f>
        <v/>
      </c>
      <c r="E829" s="472" t="str">
        <f ca="1">IFERROR(INDEX(凭证录入!H:H,$AR829),$AR829)</f>
        <v/>
      </c>
      <c r="F829" s="473">
        <f ca="1">IF(OR($BG$2=0,$AR829=""),,IF($AR829="本月合计",IF(ROW()=$BG$3,SUM($F$6:$F828),SUM(INDIRECT("$F$"&amp;OFFSET($AU$3,,MATCH(ROW(),$AU$3:$BF$3,)-2)+2&amp;":$E"&amp;ROW()-1))),IF($AR829="本年累计",SUMIF($AR$6:$AR829,"本月合计",$F$6:$F828),INDEX(凭证录入!K:K,$AR829))))</f>
        <v>0</v>
      </c>
      <c r="G829" s="459" t="str">
        <f t="shared" ca="1" si="181"/>
        <v/>
      </c>
      <c r="H829" s="460" t="str">
        <f t="shared" ca="1" si="181"/>
        <v/>
      </c>
      <c r="I829" s="460" t="str">
        <f t="shared" ca="1" si="181"/>
        <v/>
      </c>
      <c r="J829" s="460" t="str">
        <f t="shared" ca="1" si="181"/>
        <v/>
      </c>
      <c r="K829" s="460" t="str">
        <f t="shared" ca="1" si="181"/>
        <v/>
      </c>
      <c r="L829" s="460" t="str">
        <f t="shared" ca="1" si="181"/>
        <v/>
      </c>
      <c r="M829" s="460" t="str">
        <f t="shared" ca="1" si="181"/>
        <v/>
      </c>
      <c r="N829" s="460" t="str">
        <f t="shared" ca="1" si="181"/>
        <v/>
      </c>
      <c r="O829" s="461" t="str">
        <f t="shared" ca="1" si="181"/>
        <v/>
      </c>
      <c r="P829" s="474" t="str">
        <f t="shared" ca="1" si="181"/>
        <v/>
      </c>
      <c r="Q829" s="475" t="str">
        <f t="shared" ca="1" si="181"/>
        <v/>
      </c>
      <c r="R829" s="476">
        <f ca="1">IF(OR($BG$2=0,$AR829=""),,IF($AR829="本月合计",IF(ROW()=$BG$3,SUM($R$6:$R828),SUM(INDIRECT("$R$"&amp;OFFSET($AU$3,,MATCH(ROW(),$AU$3:$BF$3,)-2)+2&amp;":$R"&amp;ROW()-1))),IF($AR829="本年累计",SUMIF($AR$6:$AR829,"本月合计",$R$6:$R828),INDEX(凭证录入!L:L,$AR829))))</f>
        <v>0</v>
      </c>
      <c r="S829" s="459" t="str">
        <f t="shared" ca="1" si="182"/>
        <v/>
      </c>
      <c r="T829" s="460" t="str">
        <f t="shared" ca="1" si="182"/>
        <v/>
      </c>
      <c r="U829" s="460" t="str">
        <f t="shared" ca="1" si="182"/>
        <v/>
      </c>
      <c r="V829" s="460" t="str">
        <f t="shared" ca="1" si="182"/>
        <v/>
      </c>
      <c r="W829" s="460" t="str">
        <f t="shared" ca="1" si="182"/>
        <v/>
      </c>
      <c r="X829" s="460" t="str">
        <f t="shared" ca="1" si="182"/>
        <v/>
      </c>
      <c r="Y829" s="460" t="str">
        <f t="shared" ca="1" si="182"/>
        <v/>
      </c>
      <c r="Z829" s="460" t="str">
        <f t="shared" ca="1" si="182"/>
        <v/>
      </c>
      <c r="AA829" s="461" t="str">
        <f t="shared" ca="1" si="182"/>
        <v/>
      </c>
      <c r="AB829" s="474" t="str">
        <f t="shared" ca="1" si="182"/>
        <v/>
      </c>
      <c r="AC829" s="475" t="str">
        <f t="shared" ca="1" si="182"/>
        <v/>
      </c>
      <c r="AD829" s="477" t="str">
        <f t="shared" ca="1" si="172"/>
        <v/>
      </c>
      <c r="AE829" s="478">
        <f t="shared" ca="1" si="173"/>
        <v>0</v>
      </c>
      <c r="AF829" s="459" t="str">
        <f t="shared" ca="1" si="180"/>
        <v/>
      </c>
      <c r="AG829" s="460" t="str">
        <f t="shared" ca="1" si="180"/>
        <v/>
      </c>
      <c r="AH829" s="460" t="str">
        <f t="shared" ca="1" si="180"/>
        <v/>
      </c>
      <c r="AI829" s="460" t="str">
        <f t="shared" ca="1" si="180"/>
        <v/>
      </c>
      <c r="AJ829" s="460" t="str">
        <f t="shared" ca="1" si="180"/>
        <v/>
      </c>
      <c r="AK829" s="460" t="str">
        <f t="shared" ca="1" si="180"/>
        <v/>
      </c>
      <c r="AL829" s="460" t="str">
        <f t="shared" ca="1" si="180"/>
        <v/>
      </c>
      <c r="AM829" s="460" t="str">
        <f t="shared" ca="1" si="180"/>
        <v/>
      </c>
      <c r="AN829" s="461" t="str">
        <f t="shared" ca="1" si="180"/>
        <v/>
      </c>
      <c r="AO829" s="474" t="str">
        <f t="shared" ca="1" si="180"/>
        <v/>
      </c>
      <c r="AP829" s="475" t="str">
        <f t="shared" ca="1" si="180"/>
        <v/>
      </c>
      <c r="AQ829" s="479" t="str">
        <f t="array" aca="1" ref="AQ829" ca="1">IF(ROW()-5&lt;=COUNTIF(科目编号,$AR$2),SMALL(IF(科目编号=$AR$2,ROW(科目编号),""),ROW()-5),"")</f>
        <v/>
      </c>
      <c r="AR829" s="480" t="str">
        <f ca="1">IF($BG$2=0,"",IF(AR828="本月合计","本年累计",IF(OR(ROW()=$AU$3,ROW()=$AV$3,ROW()=$AW$3,ROW()=$AX$3,ROW()=$AY$3,ROW()=$AZ$3,ROW()=$BA$3,ROW()=$BB$3,ROW()=$BC$3,ROW()=$BD$3,ROW()=$BE$3,ROW()=$BF$3),"本月合计",IF(ROW()&lt;7,$AQ$6,OFFSET($AQ$6,COUNT($AR$6:AR828),0)))))</f>
        <v/>
      </c>
    </row>
    <row r="830" spans="1:44">
      <c r="A830" s="469" t="str">
        <f ca="1">IFERROR(INDEX(凭证录入!A:A,$AR830),"")</f>
        <v/>
      </c>
      <c r="B830" s="469" t="str">
        <f ca="1">IFERROR(INDEX(凭证录入!B:B,$AR830),"")</f>
        <v/>
      </c>
      <c r="C830" s="470" t="str">
        <f ca="1">IFERROR(INDEX(凭证录入!G:G,$AR830),"")</f>
        <v/>
      </c>
      <c r="D830" s="471" t="str">
        <f ca="1">IFERROR(INDEX(凭证录入!F:F,$AR830),"")</f>
        <v/>
      </c>
      <c r="E830" s="472" t="str">
        <f ca="1">IFERROR(INDEX(凭证录入!H:H,$AR830),$AR830)</f>
        <v/>
      </c>
      <c r="F830" s="473">
        <f ca="1">IF(OR($BG$2=0,$AR830=""),,IF($AR830="本月合计",IF(ROW()=$BG$3,SUM($F$6:$F829),SUM(INDIRECT("$F$"&amp;OFFSET($AU$3,,MATCH(ROW(),$AU$3:$BF$3,)-2)+2&amp;":$E"&amp;ROW()-1))),IF($AR830="本年累计",SUMIF($AR$6:$AR830,"本月合计",$F$6:$F829),INDEX(凭证录入!K:K,$AR830))))</f>
        <v>0</v>
      </c>
      <c r="G830" s="459" t="str">
        <f t="shared" ca="1" si="181"/>
        <v/>
      </c>
      <c r="H830" s="460" t="str">
        <f t="shared" ca="1" si="181"/>
        <v/>
      </c>
      <c r="I830" s="460" t="str">
        <f t="shared" ca="1" si="181"/>
        <v/>
      </c>
      <c r="J830" s="460" t="str">
        <f t="shared" ca="1" si="181"/>
        <v/>
      </c>
      <c r="K830" s="460" t="str">
        <f t="shared" ca="1" si="181"/>
        <v/>
      </c>
      <c r="L830" s="460" t="str">
        <f t="shared" ca="1" si="181"/>
        <v/>
      </c>
      <c r="M830" s="460" t="str">
        <f t="shared" ca="1" si="181"/>
        <v/>
      </c>
      <c r="N830" s="460" t="str">
        <f t="shared" ca="1" si="181"/>
        <v/>
      </c>
      <c r="O830" s="461" t="str">
        <f t="shared" ca="1" si="181"/>
        <v/>
      </c>
      <c r="P830" s="474" t="str">
        <f t="shared" ca="1" si="181"/>
        <v/>
      </c>
      <c r="Q830" s="475" t="str">
        <f t="shared" ca="1" si="181"/>
        <v/>
      </c>
      <c r="R830" s="476">
        <f ca="1">IF(OR($BG$2=0,$AR830=""),,IF($AR830="本月合计",IF(ROW()=$BG$3,SUM($R$6:$R829),SUM(INDIRECT("$R$"&amp;OFFSET($AU$3,,MATCH(ROW(),$AU$3:$BF$3,)-2)+2&amp;":$R"&amp;ROW()-1))),IF($AR830="本年累计",SUMIF($AR$6:$AR830,"本月合计",$R$6:$R829),INDEX(凭证录入!L:L,$AR830))))</f>
        <v>0</v>
      </c>
      <c r="S830" s="459" t="str">
        <f t="shared" ca="1" si="182"/>
        <v/>
      </c>
      <c r="T830" s="460" t="str">
        <f t="shared" ca="1" si="182"/>
        <v/>
      </c>
      <c r="U830" s="460" t="str">
        <f t="shared" ca="1" si="182"/>
        <v/>
      </c>
      <c r="V830" s="460" t="str">
        <f t="shared" ca="1" si="182"/>
        <v/>
      </c>
      <c r="W830" s="460" t="str">
        <f t="shared" ca="1" si="182"/>
        <v/>
      </c>
      <c r="X830" s="460" t="str">
        <f t="shared" ca="1" si="182"/>
        <v/>
      </c>
      <c r="Y830" s="460" t="str">
        <f t="shared" ca="1" si="182"/>
        <v/>
      </c>
      <c r="Z830" s="460" t="str">
        <f t="shared" ca="1" si="182"/>
        <v/>
      </c>
      <c r="AA830" s="461" t="str">
        <f t="shared" ca="1" si="182"/>
        <v/>
      </c>
      <c r="AB830" s="474" t="str">
        <f t="shared" ca="1" si="182"/>
        <v/>
      </c>
      <c r="AC830" s="475" t="str">
        <f t="shared" ca="1" si="182"/>
        <v/>
      </c>
      <c r="AD830" s="477" t="str">
        <f t="shared" ca="1" si="172"/>
        <v/>
      </c>
      <c r="AE830" s="478">
        <f t="shared" ca="1" si="173"/>
        <v>0</v>
      </c>
      <c r="AF830" s="459" t="str">
        <f t="shared" ca="1" si="180"/>
        <v/>
      </c>
      <c r="AG830" s="460" t="str">
        <f t="shared" ca="1" si="180"/>
        <v/>
      </c>
      <c r="AH830" s="460" t="str">
        <f t="shared" ca="1" si="180"/>
        <v/>
      </c>
      <c r="AI830" s="460" t="str">
        <f t="shared" ca="1" si="180"/>
        <v/>
      </c>
      <c r="AJ830" s="460" t="str">
        <f t="shared" ca="1" si="180"/>
        <v/>
      </c>
      <c r="AK830" s="460" t="str">
        <f t="shared" ca="1" si="180"/>
        <v/>
      </c>
      <c r="AL830" s="460" t="str">
        <f t="shared" ca="1" si="180"/>
        <v/>
      </c>
      <c r="AM830" s="460" t="str">
        <f t="shared" ca="1" si="180"/>
        <v/>
      </c>
      <c r="AN830" s="461" t="str">
        <f t="shared" ca="1" si="180"/>
        <v/>
      </c>
      <c r="AO830" s="474" t="str">
        <f t="shared" ca="1" si="180"/>
        <v/>
      </c>
      <c r="AP830" s="475" t="str">
        <f t="shared" ca="1" si="180"/>
        <v/>
      </c>
      <c r="AQ830" s="479" t="str">
        <f t="array" aca="1" ref="AQ830" ca="1">IF(ROW()-5&lt;=COUNTIF(科目编号,$AR$2),SMALL(IF(科目编号=$AR$2,ROW(科目编号),""),ROW()-5),"")</f>
        <v/>
      </c>
      <c r="AR830" s="480" t="str">
        <f ca="1">IF($BG$2=0,"",IF(AR829="本月合计","本年累计",IF(OR(ROW()=$AU$3,ROW()=$AV$3,ROW()=$AW$3,ROW()=$AX$3,ROW()=$AY$3,ROW()=$AZ$3,ROW()=$BA$3,ROW()=$BB$3,ROW()=$BC$3,ROW()=$BD$3,ROW()=$BE$3,ROW()=$BF$3),"本月合计",IF(ROW()&lt;7,$AQ$6,OFFSET($AQ$6,COUNT($AR$6:AR829),0)))))</f>
        <v/>
      </c>
    </row>
    <row r="831" spans="1:44">
      <c r="A831" s="469" t="str">
        <f ca="1">IFERROR(INDEX(凭证录入!A:A,$AR831),"")</f>
        <v/>
      </c>
      <c r="B831" s="469" t="str">
        <f ca="1">IFERROR(INDEX(凭证录入!B:B,$AR831),"")</f>
        <v/>
      </c>
      <c r="C831" s="470" t="str">
        <f ca="1">IFERROR(INDEX(凭证录入!G:G,$AR831),"")</f>
        <v/>
      </c>
      <c r="D831" s="471" t="str">
        <f ca="1">IFERROR(INDEX(凭证录入!F:F,$AR831),"")</f>
        <v/>
      </c>
      <c r="E831" s="472" t="str">
        <f ca="1">IFERROR(INDEX(凭证录入!H:H,$AR831),$AR831)</f>
        <v/>
      </c>
      <c r="F831" s="473">
        <f ca="1">IF(OR($BG$2=0,$AR831=""),,IF($AR831="本月合计",IF(ROW()=$BG$3,SUM($F$6:$F830),SUM(INDIRECT("$F$"&amp;OFFSET($AU$3,,MATCH(ROW(),$AU$3:$BF$3,)-2)+2&amp;":$E"&amp;ROW()-1))),IF($AR831="本年累计",SUMIF($AR$6:$AR831,"本月合计",$F$6:$F830),INDEX(凭证录入!K:K,$AR831))))</f>
        <v>0</v>
      </c>
      <c r="G831" s="459" t="str">
        <f t="shared" ca="1" si="181"/>
        <v/>
      </c>
      <c r="H831" s="460" t="str">
        <f t="shared" ca="1" si="181"/>
        <v/>
      </c>
      <c r="I831" s="460" t="str">
        <f t="shared" ca="1" si="181"/>
        <v/>
      </c>
      <c r="J831" s="460" t="str">
        <f t="shared" ca="1" si="181"/>
        <v/>
      </c>
      <c r="K831" s="460" t="str">
        <f t="shared" ca="1" si="181"/>
        <v/>
      </c>
      <c r="L831" s="460" t="str">
        <f t="shared" ca="1" si="181"/>
        <v/>
      </c>
      <c r="M831" s="460" t="str">
        <f t="shared" ca="1" si="181"/>
        <v/>
      </c>
      <c r="N831" s="460" t="str">
        <f t="shared" ca="1" si="181"/>
        <v/>
      </c>
      <c r="O831" s="461" t="str">
        <f t="shared" ca="1" si="181"/>
        <v/>
      </c>
      <c r="P831" s="474" t="str">
        <f t="shared" ca="1" si="181"/>
        <v/>
      </c>
      <c r="Q831" s="475" t="str">
        <f t="shared" ca="1" si="181"/>
        <v/>
      </c>
      <c r="R831" s="476">
        <f ca="1">IF(OR($BG$2=0,$AR831=""),,IF($AR831="本月合计",IF(ROW()=$BG$3,SUM($R$6:$R830),SUM(INDIRECT("$R$"&amp;OFFSET($AU$3,,MATCH(ROW(),$AU$3:$BF$3,)-2)+2&amp;":$R"&amp;ROW()-1))),IF($AR831="本年累计",SUMIF($AR$6:$AR831,"本月合计",$R$6:$R830),INDEX(凭证录入!L:L,$AR831))))</f>
        <v>0</v>
      </c>
      <c r="S831" s="459" t="str">
        <f t="shared" ca="1" si="182"/>
        <v/>
      </c>
      <c r="T831" s="460" t="str">
        <f t="shared" ca="1" si="182"/>
        <v/>
      </c>
      <c r="U831" s="460" t="str">
        <f t="shared" ca="1" si="182"/>
        <v/>
      </c>
      <c r="V831" s="460" t="str">
        <f t="shared" ca="1" si="182"/>
        <v/>
      </c>
      <c r="W831" s="460" t="str">
        <f t="shared" ca="1" si="182"/>
        <v/>
      </c>
      <c r="X831" s="460" t="str">
        <f t="shared" ca="1" si="182"/>
        <v/>
      </c>
      <c r="Y831" s="460" t="str">
        <f t="shared" ca="1" si="182"/>
        <v/>
      </c>
      <c r="Z831" s="460" t="str">
        <f t="shared" ca="1" si="182"/>
        <v/>
      </c>
      <c r="AA831" s="461" t="str">
        <f t="shared" ca="1" si="182"/>
        <v/>
      </c>
      <c r="AB831" s="474" t="str">
        <f t="shared" ca="1" si="182"/>
        <v/>
      </c>
      <c r="AC831" s="475" t="str">
        <f t="shared" ca="1" si="182"/>
        <v/>
      </c>
      <c r="AD831" s="477" t="str">
        <f t="shared" ca="1" si="172"/>
        <v/>
      </c>
      <c r="AE831" s="478">
        <f t="shared" ca="1" si="173"/>
        <v>0</v>
      </c>
      <c r="AF831" s="459" t="str">
        <f t="shared" ca="1" si="180"/>
        <v/>
      </c>
      <c r="AG831" s="460" t="str">
        <f t="shared" ca="1" si="180"/>
        <v/>
      </c>
      <c r="AH831" s="460" t="str">
        <f t="shared" ca="1" si="180"/>
        <v/>
      </c>
      <c r="AI831" s="460" t="str">
        <f t="shared" ca="1" si="180"/>
        <v/>
      </c>
      <c r="AJ831" s="460" t="str">
        <f t="shared" ca="1" si="180"/>
        <v/>
      </c>
      <c r="AK831" s="460" t="str">
        <f t="shared" ca="1" si="180"/>
        <v/>
      </c>
      <c r="AL831" s="460" t="str">
        <f t="shared" ca="1" si="180"/>
        <v/>
      </c>
      <c r="AM831" s="460" t="str">
        <f t="shared" ca="1" si="180"/>
        <v/>
      </c>
      <c r="AN831" s="461" t="str">
        <f t="shared" ca="1" si="180"/>
        <v/>
      </c>
      <c r="AO831" s="474" t="str">
        <f t="shared" ca="1" si="180"/>
        <v/>
      </c>
      <c r="AP831" s="475" t="str">
        <f t="shared" ca="1" si="180"/>
        <v/>
      </c>
      <c r="AQ831" s="479" t="str">
        <f t="array" aca="1" ref="AQ831" ca="1">IF(ROW()-5&lt;=COUNTIF(科目编号,$AR$2),SMALL(IF(科目编号=$AR$2,ROW(科目编号),""),ROW()-5),"")</f>
        <v/>
      </c>
      <c r="AR831" s="480" t="str">
        <f ca="1">IF($BG$2=0,"",IF(AR830="本月合计","本年累计",IF(OR(ROW()=$AU$3,ROW()=$AV$3,ROW()=$AW$3,ROW()=$AX$3,ROW()=$AY$3,ROW()=$AZ$3,ROW()=$BA$3,ROW()=$BB$3,ROW()=$BC$3,ROW()=$BD$3,ROW()=$BE$3,ROW()=$BF$3),"本月合计",IF(ROW()&lt;7,$AQ$6,OFFSET($AQ$6,COUNT($AR$6:AR830),0)))))</f>
        <v/>
      </c>
    </row>
    <row r="832" spans="1:44">
      <c r="A832" s="469" t="str">
        <f ca="1">IFERROR(INDEX(凭证录入!A:A,$AR832),"")</f>
        <v/>
      </c>
      <c r="B832" s="469" t="str">
        <f ca="1">IFERROR(INDEX(凭证录入!B:B,$AR832),"")</f>
        <v/>
      </c>
      <c r="C832" s="470" t="str">
        <f ca="1">IFERROR(INDEX(凭证录入!G:G,$AR832),"")</f>
        <v/>
      </c>
      <c r="D832" s="471" t="str">
        <f ca="1">IFERROR(INDEX(凭证录入!F:F,$AR832),"")</f>
        <v/>
      </c>
      <c r="E832" s="472" t="str">
        <f ca="1">IFERROR(INDEX(凭证录入!H:H,$AR832),$AR832)</f>
        <v/>
      </c>
      <c r="F832" s="473">
        <f ca="1">IF(OR($BG$2=0,$AR832=""),,IF($AR832="本月合计",IF(ROW()=$BG$3,SUM($F$6:$F831),SUM(INDIRECT("$F$"&amp;OFFSET($AU$3,,MATCH(ROW(),$AU$3:$BF$3,)-2)+2&amp;":$E"&amp;ROW()-1))),IF($AR832="本年累计",SUMIF($AR$6:$AR832,"本月合计",$F$6:$F831),INDEX(凭证录入!K:K,$AR832))))</f>
        <v>0</v>
      </c>
      <c r="G832" s="459" t="str">
        <f t="shared" ca="1" si="181"/>
        <v/>
      </c>
      <c r="H832" s="460" t="str">
        <f t="shared" ca="1" si="181"/>
        <v/>
      </c>
      <c r="I832" s="460" t="str">
        <f t="shared" ca="1" si="181"/>
        <v/>
      </c>
      <c r="J832" s="460" t="str">
        <f t="shared" ca="1" si="181"/>
        <v/>
      </c>
      <c r="K832" s="460" t="str">
        <f t="shared" ca="1" si="181"/>
        <v/>
      </c>
      <c r="L832" s="460" t="str">
        <f t="shared" ca="1" si="181"/>
        <v/>
      </c>
      <c r="M832" s="460" t="str">
        <f t="shared" ca="1" si="181"/>
        <v/>
      </c>
      <c r="N832" s="460" t="str">
        <f t="shared" ca="1" si="181"/>
        <v/>
      </c>
      <c r="O832" s="461" t="str">
        <f t="shared" ca="1" si="181"/>
        <v/>
      </c>
      <c r="P832" s="474" t="str">
        <f t="shared" ca="1" si="181"/>
        <v/>
      </c>
      <c r="Q832" s="475" t="str">
        <f t="shared" ca="1" si="181"/>
        <v/>
      </c>
      <c r="R832" s="476">
        <f ca="1">IF(OR($BG$2=0,$AR832=""),,IF($AR832="本月合计",IF(ROW()=$BG$3,SUM($R$6:$R831),SUM(INDIRECT("$R$"&amp;OFFSET($AU$3,,MATCH(ROW(),$AU$3:$BF$3,)-2)+2&amp;":$R"&amp;ROW()-1))),IF($AR832="本年累计",SUMIF($AR$6:$AR832,"本月合计",$R$6:$R831),INDEX(凭证录入!L:L,$AR832))))</f>
        <v>0</v>
      </c>
      <c r="S832" s="459" t="str">
        <f t="shared" ca="1" si="182"/>
        <v/>
      </c>
      <c r="T832" s="460" t="str">
        <f t="shared" ca="1" si="182"/>
        <v/>
      </c>
      <c r="U832" s="460" t="str">
        <f t="shared" ca="1" si="182"/>
        <v/>
      </c>
      <c r="V832" s="460" t="str">
        <f t="shared" ca="1" si="182"/>
        <v/>
      </c>
      <c r="W832" s="460" t="str">
        <f t="shared" ca="1" si="182"/>
        <v/>
      </c>
      <c r="X832" s="460" t="str">
        <f t="shared" ca="1" si="182"/>
        <v/>
      </c>
      <c r="Y832" s="460" t="str">
        <f t="shared" ca="1" si="182"/>
        <v/>
      </c>
      <c r="Z832" s="460" t="str">
        <f t="shared" ca="1" si="182"/>
        <v/>
      </c>
      <c r="AA832" s="461" t="str">
        <f t="shared" ca="1" si="182"/>
        <v/>
      </c>
      <c r="AB832" s="474" t="str">
        <f t="shared" ca="1" si="182"/>
        <v/>
      </c>
      <c r="AC832" s="475" t="str">
        <f t="shared" ca="1" si="182"/>
        <v/>
      </c>
      <c r="AD832" s="477" t="str">
        <f t="shared" ca="1" si="172"/>
        <v/>
      </c>
      <c r="AE832" s="478">
        <f t="shared" ca="1" si="173"/>
        <v>0</v>
      </c>
      <c r="AF832" s="459" t="str">
        <f t="shared" ca="1" si="180"/>
        <v/>
      </c>
      <c r="AG832" s="460" t="str">
        <f t="shared" ca="1" si="180"/>
        <v/>
      </c>
      <c r="AH832" s="460" t="str">
        <f t="shared" ca="1" si="180"/>
        <v/>
      </c>
      <c r="AI832" s="460" t="str">
        <f t="shared" ca="1" si="180"/>
        <v/>
      </c>
      <c r="AJ832" s="460" t="str">
        <f t="shared" ca="1" si="180"/>
        <v/>
      </c>
      <c r="AK832" s="460" t="str">
        <f t="shared" ca="1" si="180"/>
        <v/>
      </c>
      <c r="AL832" s="460" t="str">
        <f t="shared" ca="1" si="180"/>
        <v/>
      </c>
      <c r="AM832" s="460" t="str">
        <f t="shared" ca="1" si="180"/>
        <v/>
      </c>
      <c r="AN832" s="461" t="str">
        <f t="shared" ca="1" si="180"/>
        <v/>
      </c>
      <c r="AO832" s="474" t="str">
        <f t="shared" ca="1" si="180"/>
        <v/>
      </c>
      <c r="AP832" s="475" t="str">
        <f t="shared" ca="1" si="180"/>
        <v/>
      </c>
      <c r="AQ832" s="479" t="str">
        <f t="array" aca="1" ref="AQ832" ca="1">IF(ROW()-5&lt;=COUNTIF(科目编号,$AR$2),SMALL(IF(科目编号=$AR$2,ROW(科目编号),""),ROW()-5),"")</f>
        <v/>
      </c>
      <c r="AR832" s="480" t="str">
        <f ca="1">IF($BG$2=0,"",IF(AR831="本月合计","本年累计",IF(OR(ROW()=$AU$3,ROW()=$AV$3,ROW()=$AW$3,ROW()=$AX$3,ROW()=$AY$3,ROW()=$AZ$3,ROW()=$BA$3,ROW()=$BB$3,ROW()=$BC$3,ROW()=$BD$3,ROW()=$BE$3,ROW()=$BF$3),"本月合计",IF(ROW()&lt;7,$AQ$6,OFFSET($AQ$6,COUNT($AR$6:AR831),0)))))</f>
        <v/>
      </c>
    </row>
    <row r="833" spans="1:44">
      <c r="A833" s="469" t="str">
        <f ca="1">IFERROR(INDEX(凭证录入!A:A,$AR833),"")</f>
        <v/>
      </c>
      <c r="B833" s="469" t="str">
        <f ca="1">IFERROR(INDEX(凭证录入!B:B,$AR833),"")</f>
        <v/>
      </c>
      <c r="C833" s="470" t="str">
        <f ca="1">IFERROR(INDEX(凭证录入!G:G,$AR833),"")</f>
        <v/>
      </c>
      <c r="D833" s="471" t="str">
        <f ca="1">IFERROR(INDEX(凭证录入!F:F,$AR833),"")</f>
        <v/>
      </c>
      <c r="E833" s="472" t="str">
        <f ca="1">IFERROR(INDEX(凭证录入!H:H,$AR833),$AR833)</f>
        <v/>
      </c>
      <c r="F833" s="473">
        <f ca="1">IF(OR($BG$2=0,$AR833=""),,IF($AR833="本月合计",IF(ROW()=$BG$3,SUM($F$6:$F832),SUM(INDIRECT("$F$"&amp;OFFSET($AU$3,,MATCH(ROW(),$AU$3:$BF$3,)-2)+2&amp;":$E"&amp;ROW()-1))),IF($AR833="本年累计",SUMIF($AR$6:$AR833,"本月合计",$F$6:$F832),INDEX(凭证录入!K:K,$AR833))))</f>
        <v>0</v>
      </c>
      <c r="G833" s="459" t="str">
        <f t="shared" ca="1" si="181"/>
        <v/>
      </c>
      <c r="H833" s="460" t="str">
        <f t="shared" ca="1" si="181"/>
        <v/>
      </c>
      <c r="I833" s="460" t="str">
        <f t="shared" ca="1" si="181"/>
        <v/>
      </c>
      <c r="J833" s="460" t="str">
        <f t="shared" ca="1" si="181"/>
        <v/>
      </c>
      <c r="K833" s="460" t="str">
        <f t="shared" ca="1" si="181"/>
        <v/>
      </c>
      <c r="L833" s="460" t="str">
        <f t="shared" ca="1" si="181"/>
        <v/>
      </c>
      <c r="M833" s="460" t="str">
        <f t="shared" ca="1" si="181"/>
        <v/>
      </c>
      <c r="N833" s="460" t="str">
        <f t="shared" ca="1" si="181"/>
        <v/>
      </c>
      <c r="O833" s="461" t="str">
        <f t="shared" ca="1" si="181"/>
        <v/>
      </c>
      <c r="P833" s="474" t="str">
        <f t="shared" ca="1" si="181"/>
        <v/>
      </c>
      <c r="Q833" s="475" t="str">
        <f t="shared" ca="1" si="181"/>
        <v/>
      </c>
      <c r="R833" s="476">
        <f ca="1">IF(OR($BG$2=0,$AR833=""),,IF($AR833="本月合计",IF(ROW()=$BG$3,SUM($R$6:$R832),SUM(INDIRECT("$R$"&amp;OFFSET($AU$3,,MATCH(ROW(),$AU$3:$BF$3,)-2)+2&amp;":$R"&amp;ROW()-1))),IF($AR833="本年累计",SUMIF($AR$6:$AR833,"本月合计",$R$6:$R832),INDEX(凭证录入!L:L,$AR833))))</f>
        <v>0</v>
      </c>
      <c r="S833" s="459" t="str">
        <f t="shared" ca="1" si="182"/>
        <v/>
      </c>
      <c r="T833" s="460" t="str">
        <f t="shared" ca="1" si="182"/>
        <v/>
      </c>
      <c r="U833" s="460" t="str">
        <f t="shared" ca="1" si="182"/>
        <v/>
      </c>
      <c r="V833" s="460" t="str">
        <f t="shared" ca="1" si="182"/>
        <v/>
      </c>
      <c r="W833" s="460" t="str">
        <f t="shared" ca="1" si="182"/>
        <v/>
      </c>
      <c r="X833" s="460" t="str">
        <f t="shared" ca="1" si="182"/>
        <v/>
      </c>
      <c r="Y833" s="460" t="str">
        <f t="shared" ca="1" si="182"/>
        <v/>
      </c>
      <c r="Z833" s="460" t="str">
        <f t="shared" ca="1" si="182"/>
        <v/>
      </c>
      <c r="AA833" s="461" t="str">
        <f t="shared" ca="1" si="182"/>
        <v/>
      </c>
      <c r="AB833" s="474" t="str">
        <f t="shared" ca="1" si="182"/>
        <v/>
      </c>
      <c r="AC833" s="475" t="str">
        <f t="shared" ca="1" si="182"/>
        <v/>
      </c>
      <c r="AD833" s="477" t="str">
        <f t="shared" ca="1" si="172"/>
        <v/>
      </c>
      <c r="AE833" s="478">
        <f t="shared" ca="1" si="173"/>
        <v>0</v>
      </c>
      <c r="AF833" s="459" t="str">
        <f t="shared" ca="1" si="180"/>
        <v/>
      </c>
      <c r="AG833" s="460" t="str">
        <f t="shared" ca="1" si="180"/>
        <v/>
      </c>
      <c r="AH833" s="460" t="str">
        <f t="shared" ca="1" si="180"/>
        <v/>
      </c>
      <c r="AI833" s="460" t="str">
        <f t="shared" ca="1" si="180"/>
        <v/>
      </c>
      <c r="AJ833" s="460" t="str">
        <f t="shared" ca="1" si="180"/>
        <v/>
      </c>
      <c r="AK833" s="460" t="str">
        <f t="shared" ca="1" si="180"/>
        <v/>
      </c>
      <c r="AL833" s="460" t="str">
        <f t="shared" ca="1" si="180"/>
        <v/>
      </c>
      <c r="AM833" s="460" t="str">
        <f t="shared" ca="1" si="180"/>
        <v/>
      </c>
      <c r="AN833" s="461" t="str">
        <f t="shared" ca="1" si="180"/>
        <v/>
      </c>
      <c r="AO833" s="474" t="str">
        <f t="shared" ca="1" si="180"/>
        <v/>
      </c>
      <c r="AP833" s="475" t="str">
        <f t="shared" ca="1" si="180"/>
        <v/>
      </c>
      <c r="AQ833" s="479" t="str">
        <f t="array" aca="1" ref="AQ833" ca="1">IF(ROW()-5&lt;=COUNTIF(科目编号,$AR$2),SMALL(IF(科目编号=$AR$2,ROW(科目编号),""),ROW()-5),"")</f>
        <v/>
      </c>
      <c r="AR833" s="480" t="str">
        <f ca="1">IF($BG$2=0,"",IF(AR832="本月合计","本年累计",IF(OR(ROW()=$AU$3,ROW()=$AV$3,ROW()=$AW$3,ROW()=$AX$3,ROW()=$AY$3,ROW()=$AZ$3,ROW()=$BA$3,ROW()=$BB$3,ROW()=$BC$3,ROW()=$BD$3,ROW()=$BE$3,ROW()=$BF$3),"本月合计",IF(ROW()&lt;7,$AQ$6,OFFSET($AQ$6,COUNT($AR$6:AR832),0)))))</f>
        <v/>
      </c>
    </row>
    <row r="834" spans="1:44">
      <c r="A834" s="469" t="str">
        <f ca="1">IFERROR(INDEX(凭证录入!A:A,$AR834),"")</f>
        <v/>
      </c>
      <c r="B834" s="469" t="str">
        <f ca="1">IFERROR(INDEX(凭证录入!B:B,$AR834),"")</f>
        <v/>
      </c>
      <c r="C834" s="470" t="str">
        <f ca="1">IFERROR(INDEX(凭证录入!G:G,$AR834),"")</f>
        <v/>
      </c>
      <c r="D834" s="471" t="str">
        <f ca="1">IFERROR(INDEX(凭证录入!F:F,$AR834),"")</f>
        <v/>
      </c>
      <c r="E834" s="472" t="str">
        <f ca="1">IFERROR(INDEX(凭证录入!H:H,$AR834),$AR834)</f>
        <v/>
      </c>
      <c r="F834" s="473">
        <f ca="1">IF(OR($BG$2=0,$AR834=""),,IF($AR834="本月合计",IF(ROW()=$BG$3,SUM($F$6:$F833),SUM(INDIRECT("$F$"&amp;OFFSET($AU$3,,MATCH(ROW(),$AU$3:$BF$3,)-2)+2&amp;":$E"&amp;ROW()-1))),IF($AR834="本年累计",SUMIF($AR$6:$AR834,"本月合计",$F$6:$F833),INDEX(凭证录入!K:K,$AR834))))</f>
        <v>0</v>
      </c>
      <c r="G834" s="459" t="str">
        <f t="shared" ca="1" si="181"/>
        <v/>
      </c>
      <c r="H834" s="460" t="str">
        <f t="shared" ca="1" si="181"/>
        <v/>
      </c>
      <c r="I834" s="460" t="str">
        <f t="shared" ca="1" si="181"/>
        <v/>
      </c>
      <c r="J834" s="460" t="str">
        <f t="shared" ca="1" si="181"/>
        <v/>
      </c>
      <c r="K834" s="460" t="str">
        <f t="shared" ca="1" si="181"/>
        <v/>
      </c>
      <c r="L834" s="460" t="str">
        <f t="shared" ca="1" si="181"/>
        <v/>
      </c>
      <c r="M834" s="460" t="str">
        <f t="shared" ca="1" si="181"/>
        <v/>
      </c>
      <c r="N834" s="460" t="str">
        <f t="shared" ca="1" si="181"/>
        <v/>
      </c>
      <c r="O834" s="461" t="str">
        <f t="shared" ca="1" si="181"/>
        <v/>
      </c>
      <c r="P834" s="474" t="str">
        <f t="shared" ca="1" si="181"/>
        <v/>
      </c>
      <c r="Q834" s="475" t="str">
        <f t="shared" ca="1" si="181"/>
        <v/>
      </c>
      <c r="R834" s="476">
        <f ca="1">IF(OR($BG$2=0,$AR834=""),,IF($AR834="本月合计",IF(ROW()=$BG$3,SUM($R$6:$R833),SUM(INDIRECT("$R$"&amp;OFFSET($AU$3,,MATCH(ROW(),$AU$3:$BF$3,)-2)+2&amp;":$R"&amp;ROW()-1))),IF($AR834="本年累计",SUMIF($AR$6:$AR834,"本月合计",$R$6:$R833),INDEX(凭证录入!L:L,$AR834))))</f>
        <v>0</v>
      </c>
      <c r="S834" s="459" t="str">
        <f t="shared" ca="1" si="182"/>
        <v/>
      </c>
      <c r="T834" s="460" t="str">
        <f t="shared" ca="1" si="182"/>
        <v/>
      </c>
      <c r="U834" s="460" t="str">
        <f t="shared" ca="1" si="182"/>
        <v/>
      </c>
      <c r="V834" s="460" t="str">
        <f t="shared" ca="1" si="182"/>
        <v/>
      </c>
      <c r="W834" s="460" t="str">
        <f t="shared" ca="1" si="182"/>
        <v/>
      </c>
      <c r="X834" s="460" t="str">
        <f t="shared" ca="1" si="182"/>
        <v/>
      </c>
      <c r="Y834" s="460" t="str">
        <f t="shared" ca="1" si="182"/>
        <v/>
      </c>
      <c r="Z834" s="460" t="str">
        <f t="shared" ca="1" si="182"/>
        <v/>
      </c>
      <c r="AA834" s="461" t="str">
        <f t="shared" ca="1" si="182"/>
        <v/>
      </c>
      <c r="AB834" s="474" t="str">
        <f t="shared" ca="1" si="182"/>
        <v/>
      </c>
      <c r="AC834" s="475" t="str">
        <f t="shared" ca="1" si="182"/>
        <v/>
      </c>
      <c r="AD834" s="477" t="str">
        <f t="shared" ca="1" si="172"/>
        <v/>
      </c>
      <c r="AE834" s="478">
        <f t="shared" ca="1" si="173"/>
        <v>0</v>
      </c>
      <c r="AF834" s="459" t="str">
        <f t="shared" ca="1" si="180"/>
        <v/>
      </c>
      <c r="AG834" s="460" t="str">
        <f t="shared" ca="1" si="180"/>
        <v/>
      </c>
      <c r="AH834" s="460" t="str">
        <f t="shared" ca="1" si="180"/>
        <v/>
      </c>
      <c r="AI834" s="460" t="str">
        <f t="shared" ca="1" si="180"/>
        <v/>
      </c>
      <c r="AJ834" s="460" t="str">
        <f t="shared" ca="1" si="180"/>
        <v/>
      </c>
      <c r="AK834" s="460" t="str">
        <f t="shared" ca="1" si="180"/>
        <v/>
      </c>
      <c r="AL834" s="460" t="str">
        <f t="shared" ca="1" si="180"/>
        <v/>
      </c>
      <c r="AM834" s="460" t="str">
        <f t="shared" ca="1" si="180"/>
        <v/>
      </c>
      <c r="AN834" s="461" t="str">
        <f t="shared" ca="1" si="180"/>
        <v/>
      </c>
      <c r="AO834" s="474" t="str">
        <f t="shared" ca="1" si="180"/>
        <v/>
      </c>
      <c r="AP834" s="475" t="str">
        <f t="shared" ca="1" si="180"/>
        <v/>
      </c>
      <c r="AQ834" s="479" t="str">
        <f t="array" aca="1" ref="AQ834" ca="1">IF(ROW()-5&lt;=COUNTIF(科目编号,$AR$2),SMALL(IF(科目编号=$AR$2,ROW(科目编号),""),ROW()-5),"")</f>
        <v/>
      </c>
      <c r="AR834" s="480" t="str">
        <f ca="1">IF($BG$2=0,"",IF(AR833="本月合计","本年累计",IF(OR(ROW()=$AU$3,ROW()=$AV$3,ROW()=$AW$3,ROW()=$AX$3,ROW()=$AY$3,ROW()=$AZ$3,ROW()=$BA$3,ROW()=$BB$3,ROW()=$BC$3,ROW()=$BD$3,ROW()=$BE$3,ROW()=$BF$3),"本月合计",IF(ROW()&lt;7,$AQ$6,OFFSET($AQ$6,COUNT($AR$6:AR833),0)))))</f>
        <v/>
      </c>
    </row>
    <row r="835" spans="1:44">
      <c r="A835" s="469" t="str">
        <f ca="1">IFERROR(INDEX(凭证录入!A:A,$AR835),"")</f>
        <v/>
      </c>
      <c r="B835" s="469" t="str">
        <f ca="1">IFERROR(INDEX(凭证录入!B:B,$AR835),"")</f>
        <v/>
      </c>
      <c r="C835" s="470" t="str">
        <f ca="1">IFERROR(INDEX(凭证录入!G:G,$AR835),"")</f>
        <v/>
      </c>
      <c r="D835" s="471" t="str">
        <f ca="1">IFERROR(INDEX(凭证录入!F:F,$AR835),"")</f>
        <v/>
      </c>
      <c r="E835" s="472" t="str">
        <f ca="1">IFERROR(INDEX(凭证录入!H:H,$AR835),$AR835)</f>
        <v/>
      </c>
      <c r="F835" s="473">
        <f ca="1">IF(OR($BG$2=0,$AR835=""),,IF($AR835="本月合计",IF(ROW()=$BG$3,SUM($F$6:$F834),SUM(INDIRECT("$F$"&amp;OFFSET($AU$3,,MATCH(ROW(),$AU$3:$BF$3,)-2)+2&amp;":$E"&amp;ROW()-1))),IF($AR835="本年累计",SUMIF($AR$6:$AR835,"本月合计",$F$6:$F834),INDEX(凭证录入!K:K,$AR835))))</f>
        <v>0</v>
      </c>
      <c r="G835" s="459" t="str">
        <f t="shared" ca="1" si="181"/>
        <v/>
      </c>
      <c r="H835" s="460" t="str">
        <f t="shared" ca="1" si="181"/>
        <v/>
      </c>
      <c r="I835" s="460" t="str">
        <f t="shared" ca="1" si="181"/>
        <v/>
      </c>
      <c r="J835" s="460" t="str">
        <f t="shared" ca="1" si="181"/>
        <v/>
      </c>
      <c r="K835" s="460" t="str">
        <f t="shared" ca="1" si="181"/>
        <v/>
      </c>
      <c r="L835" s="460" t="str">
        <f t="shared" ca="1" si="181"/>
        <v/>
      </c>
      <c r="M835" s="460" t="str">
        <f t="shared" ca="1" si="181"/>
        <v/>
      </c>
      <c r="N835" s="460" t="str">
        <f t="shared" ca="1" si="181"/>
        <v/>
      </c>
      <c r="O835" s="461" t="str">
        <f t="shared" ca="1" si="181"/>
        <v/>
      </c>
      <c r="P835" s="474" t="str">
        <f t="shared" ca="1" si="181"/>
        <v/>
      </c>
      <c r="Q835" s="475" t="str">
        <f t="shared" ca="1" si="181"/>
        <v/>
      </c>
      <c r="R835" s="476">
        <f ca="1">IF(OR($BG$2=0,$AR835=""),,IF($AR835="本月合计",IF(ROW()=$BG$3,SUM($R$6:$R834),SUM(INDIRECT("$R$"&amp;OFFSET($AU$3,,MATCH(ROW(),$AU$3:$BF$3,)-2)+2&amp;":$R"&amp;ROW()-1))),IF($AR835="本年累计",SUMIF($AR$6:$AR835,"本月合计",$R$6:$R834),INDEX(凭证录入!L:L,$AR835))))</f>
        <v>0</v>
      </c>
      <c r="S835" s="459" t="str">
        <f t="shared" ca="1" si="182"/>
        <v/>
      </c>
      <c r="T835" s="460" t="str">
        <f t="shared" ca="1" si="182"/>
        <v/>
      </c>
      <c r="U835" s="460" t="str">
        <f t="shared" ca="1" si="182"/>
        <v/>
      </c>
      <c r="V835" s="460" t="str">
        <f t="shared" ca="1" si="182"/>
        <v/>
      </c>
      <c r="W835" s="460" t="str">
        <f t="shared" ca="1" si="182"/>
        <v/>
      </c>
      <c r="X835" s="460" t="str">
        <f t="shared" ca="1" si="182"/>
        <v/>
      </c>
      <c r="Y835" s="460" t="str">
        <f t="shared" ca="1" si="182"/>
        <v/>
      </c>
      <c r="Z835" s="460" t="str">
        <f t="shared" ca="1" si="182"/>
        <v/>
      </c>
      <c r="AA835" s="461" t="str">
        <f t="shared" ca="1" si="182"/>
        <v/>
      </c>
      <c r="AB835" s="474" t="str">
        <f t="shared" ca="1" si="182"/>
        <v/>
      </c>
      <c r="AC835" s="475" t="str">
        <f t="shared" ca="1" si="182"/>
        <v/>
      </c>
      <c r="AD835" s="477" t="str">
        <f t="shared" ca="1" si="172"/>
        <v/>
      </c>
      <c r="AE835" s="478">
        <f t="shared" ca="1" si="173"/>
        <v>0</v>
      </c>
      <c r="AF835" s="459" t="str">
        <f t="shared" ca="1" si="180"/>
        <v/>
      </c>
      <c r="AG835" s="460" t="str">
        <f t="shared" ca="1" si="180"/>
        <v/>
      </c>
      <c r="AH835" s="460" t="str">
        <f t="shared" ca="1" si="180"/>
        <v/>
      </c>
      <c r="AI835" s="460" t="str">
        <f t="shared" ca="1" si="180"/>
        <v/>
      </c>
      <c r="AJ835" s="460" t="str">
        <f t="shared" ca="1" si="180"/>
        <v/>
      </c>
      <c r="AK835" s="460" t="str">
        <f t="shared" ca="1" si="180"/>
        <v/>
      </c>
      <c r="AL835" s="460" t="str">
        <f t="shared" ca="1" si="180"/>
        <v/>
      </c>
      <c r="AM835" s="460" t="str">
        <f t="shared" ca="1" si="180"/>
        <v/>
      </c>
      <c r="AN835" s="461" t="str">
        <f t="shared" ca="1" si="180"/>
        <v/>
      </c>
      <c r="AO835" s="474" t="str">
        <f t="shared" ca="1" si="180"/>
        <v/>
      </c>
      <c r="AP835" s="475" t="str">
        <f t="shared" ca="1" si="180"/>
        <v/>
      </c>
      <c r="AQ835" s="479" t="str">
        <f t="array" aca="1" ref="AQ835" ca="1">IF(ROW()-5&lt;=COUNTIF(科目编号,$AR$2),SMALL(IF(科目编号=$AR$2,ROW(科目编号),""),ROW()-5),"")</f>
        <v/>
      </c>
      <c r="AR835" s="480" t="str">
        <f ca="1">IF($BG$2=0,"",IF(AR834="本月合计","本年累计",IF(OR(ROW()=$AU$3,ROW()=$AV$3,ROW()=$AW$3,ROW()=$AX$3,ROW()=$AY$3,ROW()=$AZ$3,ROW()=$BA$3,ROW()=$BB$3,ROW()=$BC$3,ROW()=$BD$3,ROW()=$BE$3,ROW()=$BF$3),"本月合计",IF(ROW()&lt;7,$AQ$6,OFFSET($AQ$6,COUNT($AR$6:AR834),0)))))</f>
        <v/>
      </c>
    </row>
    <row r="836" spans="1:44">
      <c r="A836" s="469" t="str">
        <f ca="1">IFERROR(INDEX(凭证录入!A:A,$AR836),"")</f>
        <v/>
      </c>
      <c r="B836" s="469" t="str">
        <f ca="1">IFERROR(INDEX(凭证录入!B:B,$AR836),"")</f>
        <v/>
      </c>
      <c r="C836" s="470" t="str">
        <f ca="1">IFERROR(INDEX(凭证录入!G:G,$AR836),"")</f>
        <v/>
      </c>
      <c r="D836" s="471" t="str">
        <f ca="1">IFERROR(INDEX(凭证录入!F:F,$AR836),"")</f>
        <v/>
      </c>
      <c r="E836" s="472" t="str">
        <f ca="1">IFERROR(INDEX(凭证录入!H:H,$AR836),$AR836)</f>
        <v/>
      </c>
      <c r="F836" s="473">
        <f ca="1">IF(OR($BG$2=0,$AR836=""),,IF($AR836="本月合计",IF(ROW()=$BG$3,SUM($F$6:$F835),SUM(INDIRECT("$F$"&amp;OFFSET($AU$3,,MATCH(ROW(),$AU$3:$BF$3,)-2)+2&amp;":$E"&amp;ROW()-1))),IF($AR836="本年累计",SUMIF($AR$6:$AR836,"本月合计",$F$6:$F835),INDEX(凭证录入!K:K,$AR836))))</f>
        <v>0</v>
      </c>
      <c r="G836" s="459" t="str">
        <f t="shared" ca="1" si="181"/>
        <v/>
      </c>
      <c r="H836" s="460" t="str">
        <f t="shared" ca="1" si="181"/>
        <v/>
      </c>
      <c r="I836" s="460" t="str">
        <f t="shared" ca="1" si="181"/>
        <v/>
      </c>
      <c r="J836" s="460" t="str">
        <f t="shared" ca="1" si="181"/>
        <v/>
      </c>
      <c r="K836" s="460" t="str">
        <f t="shared" ca="1" si="181"/>
        <v/>
      </c>
      <c r="L836" s="460" t="str">
        <f t="shared" ca="1" si="181"/>
        <v/>
      </c>
      <c r="M836" s="460" t="str">
        <f t="shared" ca="1" si="181"/>
        <v/>
      </c>
      <c r="N836" s="460" t="str">
        <f t="shared" ca="1" si="181"/>
        <v/>
      </c>
      <c r="O836" s="461" t="str">
        <f t="shared" ca="1" si="181"/>
        <v/>
      </c>
      <c r="P836" s="474" t="str">
        <f t="shared" ca="1" si="181"/>
        <v/>
      </c>
      <c r="Q836" s="475" t="str">
        <f t="shared" ca="1" si="181"/>
        <v/>
      </c>
      <c r="R836" s="476">
        <f ca="1">IF(OR($BG$2=0,$AR836=""),,IF($AR836="本月合计",IF(ROW()=$BG$3,SUM($R$6:$R835),SUM(INDIRECT("$R$"&amp;OFFSET($AU$3,,MATCH(ROW(),$AU$3:$BF$3,)-2)+2&amp;":$R"&amp;ROW()-1))),IF($AR836="本年累计",SUMIF($AR$6:$AR836,"本月合计",$R$6:$R835),INDEX(凭证录入!L:L,$AR836))))</f>
        <v>0</v>
      </c>
      <c r="S836" s="459" t="str">
        <f t="shared" ca="1" si="182"/>
        <v/>
      </c>
      <c r="T836" s="460" t="str">
        <f t="shared" ca="1" si="182"/>
        <v/>
      </c>
      <c r="U836" s="460" t="str">
        <f t="shared" ca="1" si="182"/>
        <v/>
      </c>
      <c r="V836" s="460" t="str">
        <f t="shared" ca="1" si="182"/>
        <v/>
      </c>
      <c r="W836" s="460" t="str">
        <f t="shared" ca="1" si="182"/>
        <v/>
      </c>
      <c r="X836" s="460" t="str">
        <f t="shared" ca="1" si="182"/>
        <v/>
      </c>
      <c r="Y836" s="460" t="str">
        <f t="shared" ca="1" si="182"/>
        <v/>
      </c>
      <c r="Z836" s="460" t="str">
        <f t="shared" ca="1" si="182"/>
        <v/>
      </c>
      <c r="AA836" s="461" t="str">
        <f t="shared" ca="1" si="182"/>
        <v/>
      </c>
      <c r="AB836" s="474" t="str">
        <f t="shared" ca="1" si="182"/>
        <v/>
      </c>
      <c r="AC836" s="475" t="str">
        <f t="shared" ca="1" si="182"/>
        <v/>
      </c>
      <c r="AD836" s="477" t="str">
        <f t="shared" ca="1" si="172"/>
        <v/>
      </c>
      <c r="AE836" s="478">
        <f t="shared" ca="1" si="173"/>
        <v>0</v>
      </c>
      <c r="AF836" s="459" t="str">
        <f t="shared" ca="1" si="180"/>
        <v/>
      </c>
      <c r="AG836" s="460" t="str">
        <f t="shared" ca="1" si="180"/>
        <v/>
      </c>
      <c r="AH836" s="460" t="str">
        <f t="shared" ca="1" si="180"/>
        <v/>
      </c>
      <c r="AI836" s="460" t="str">
        <f t="shared" ca="1" si="180"/>
        <v/>
      </c>
      <c r="AJ836" s="460" t="str">
        <f t="shared" ca="1" si="180"/>
        <v/>
      </c>
      <c r="AK836" s="460" t="str">
        <f t="shared" ca="1" si="180"/>
        <v/>
      </c>
      <c r="AL836" s="460" t="str">
        <f t="shared" ca="1" si="180"/>
        <v/>
      </c>
      <c r="AM836" s="460" t="str">
        <f t="shared" ca="1" si="180"/>
        <v/>
      </c>
      <c r="AN836" s="461" t="str">
        <f t="shared" ca="1" si="180"/>
        <v/>
      </c>
      <c r="AO836" s="474" t="str">
        <f t="shared" ca="1" si="180"/>
        <v/>
      </c>
      <c r="AP836" s="475" t="str">
        <f t="shared" ca="1" si="180"/>
        <v/>
      </c>
      <c r="AQ836" s="479" t="str">
        <f t="array" aca="1" ref="AQ836" ca="1">IF(ROW()-5&lt;=COUNTIF(科目编号,$AR$2),SMALL(IF(科目编号=$AR$2,ROW(科目编号),""),ROW()-5),"")</f>
        <v/>
      </c>
      <c r="AR836" s="480" t="str">
        <f ca="1">IF($BG$2=0,"",IF(AR835="本月合计","本年累计",IF(OR(ROW()=$AU$3,ROW()=$AV$3,ROW()=$AW$3,ROW()=$AX$3,ROW()=$AY$3,ROW()=$AZ$3,ROW()=$BA$3,ROW()=$BB$3,ROW()=$BC$3,ROW()=$BD$3,ROW()=$BE$3,ROW()=$BF$3),"本月合计",IF(ROW()&lt;7,$AQ$6,OFFSET($AQ$6,COUNT($AR$6:AR835),0)))))</f>
        <v/>
      </c>
    </row>
    <row r="837" spans="1:44">
      <c r="A837" s="469" t="str">
        <f ca="1">IFERROR(INDEX(凭证录入!A:A,$AR837),"")</f>
        <v/>
      </c>
      <c r="B837" s="469" t="str">
        <f ca="1">IFERROR(INDEX(凭证录入!B:B,$AR837),"")</f>
        <v/>
      </c>
      <c r="C837" s="470" t="str">
        <f ca="1">IFERROR(INDEX(凭证录入!G:G,$AR837),"")</f>
        <v/>
      </c>
      <c r="D837" s="471" t="str">
        <f ca="1">IFERROR(INDEX(凭证录入!F:F,$AR837),"")</f>
        <v/>
      </c>
      <c r="E837" s="472" t="str">
        <f ca="1">IFERROR(INDEX(凭证录入!H:H,$AR837),$AR837)</f>
        <v/>
      </c>
      <c r="F837" s="473">
        <f ca="1">IF(OR($BG$2=0,$AR837=""),,IF($AR837="本月合计",IF(ROW()=$BG$3,SUM($F$6:$F836),SUM(INDIRECT("$F$"&amp;OFFSET($AU$3,,MATCH(ROW(),$AU$3:$BF$3,)-2)+2&amp;":$E"&amp;ROW()-1))),IF($AR837="本年累计",SUMIF($AR$6:$AR837,"本月合计",$F$6:$F836),INDEX(凭证录入!K:K,$AR837))))</f>
        <v>0</v>
      </c>
      <c r="G837" s="459" t="str">
        <f t="shared" ca="1" si="181"/>
        <v/>
      </c>
      <c r="H837" s="460" t="str">
        <f t="shared" ca="1" si="181"/>
        <v/>
      </c>
      <c r="I837" s="460" t="str">
        <f t="shared" ca="1" si="181"/>
        <v/>
      </c>
      <c r="J837" s="460" t="str">
        <f t="shared" ca="1" si="181"/>
        <v/>
      </c>
      <c r="K837" s="460" t="str">
        <f t="shared" ca="1" si="181"/>
        <v/>
      </c>
      <c r="L837" s="460" t="str">
        <f t="shared" ca="1" si="181"/>
        <v/>
      </c>
      <c r="M837" s="460" t="str">
        <f t="shared" ca="1" si="181"/>
        <v/>
      </c>
      <c r="N837" s="460" t="str">
        <f t="shared" ca="1" si="181"/>
        <v/>
      </c>
      <c r="O837" s="461" t="str">
        <f t="shared" ca="1" si="181"/>
        <v/>
      </c>
      <c r="P837" s="474" t="str">
        <f t="shared" ca="1" si="181"/>
        <v/>
      </c>
      <c r="Q837" s="475" t="str">
        <f t="shared" ca="1" si="181"/>
        <v/>
      </c>
      <c r="R837" s="476">
        <f ca="1">IF(OR($BG$2=0,$AR837=""),,IF($AR837="本月合计",IF(ROW()=$BG$3,SUM($R$6:$R836),SUM(INDIRECT("$R$"&amp;OFFSET($AU$3,,MATCH(ROW(),$AU$3:$BF$3,)-2)+2&amp;":$R"&amp;ROW()-1))),IF($AR837="本年累计",SUMIF($AR$6:$AR837,"本月合计",$R$6:$R836),INDEX(凭证录入!L:L,$AR837))))</f>
        <v>0</v>
      </c>
      <c r="S837" s="459" t="str">
        <f t="shared" ca="1" si="182"/>
        <v/>
      </c>
      <c r="T837" s="460" t="str">
        <f t="shared" ca="1" si="182"/>
        <v/>
      </c>
      <c r="U837" s="460" t="str">
        <f t="shared" ca="1" si="182"/>
        <v/>
      </c>
      <c r="V837" s="460" t="str">
        <f t="shared" ca="1" si="182"/>
        <v/>
      </c>
      <c r="W837" s="460" t="str">
        <f t="shared" ca="1" si="182"/>
        <v/>
      </c>
      <c r="X837" s="460" t="str">
        <f t="shared" ca="1" si="182"/>
        <v/>
      </c>
      <c r="Y837" s="460" t="str">
        <f t="shared" ca="1" si="182"/>
        <v/>
      </c>
      <c r="Z837" s="460" t="str">
        <f t="shared" ca="1" si="182"/>
        <v/>
      </c>
      <c r="AA837" s="461" t="str">
        <f t="shared" ca="1" si="182"/>
        <v/>
      </c>
      <c r="AB837" s="474" t="str">
        <f t="shared" ca="1" si="182"/>
        <v/>
      </c>
      <c r="AC837" s="475" t="str">
        <f t="shared" ca="1" si="182"/>
        <v/>
      </c>
      <c r="AD837" s="477" t="str">
        <f t="shared" ca="1" si="172"/>
        <v/>
      </c>
      <c r="AE837" s="478">
        <f t="shared" ca="1" si="173"/>
        <v>0</v>
      </c>
      <c r="AF837" s="459" t="str">
        <f t="shared" ref="AF837:AP852" ca="1" si="183">LEFT(RIGHT(TEXT($AE837/1%," ￥0; ￥-0;"),43-COLUMN()))</f>
        <v/>
      </c>
      <c r="AG837" s="460" t="str">
        <f t="shared" ca="1" si="183"/>
        <v/>
      </c>
      <c r="AH837" s="460" t="str">
        <f t="shared" ca="1" si="183"/>
        <v/>
      </c>
      <c r="AI837" s="460" t="str">
        <f t="shared" ca="1" si="183"/>
        <v/>
      </c>
      <c r="AJ837" s="460" t="str">
        <f t="shared" ca="1" si="183"/>
        <v/>
      </c>
      <c r="AK837" s="460" t="str">
        <f t="shared" ca="1" si="183"/>
        <v/>
      </c>
      <c r="AL837" s="460" t="str">
        <f t="shared" ca="1" si="183"/>
        <v/>
      </c>
      <c r="AM837" s="460" t="str">
        <f t="shared" ca="1" si="183"/>
        <v/>
      </c>
      <c r="AN837" s="461" t="str">
        <f t="shared" ca="1" si="183"/>
        <v/>
      </c>
      <c r="AO837" s="474" t="str">
        <f t="shared" ca="1" si="183"/>
        <v/>
      </c>
      <c r="AP837" s="475" t="str">
        <f t="shared" ca="1" si="183"/>
        <v/>
      </c>
      <c r="AQ837" s="479" t="str">
        <f t="array" aca="1" ref="AQ837" ca="1">IF(ROW()-5&lt;=COUNTIF(科目编号,$AR$2),SMALL(IF(科目编号=$AR$2,ROW(科目编号),""),ROW()-5),"")</f>
        <v/>
      </c>
      <c r="AR837" s="480" t="str">
        <f ca="1">IF($BG$2=0,"",IF(AR836="本月合计","本年累计",IF(OR(ROW()=$AU$3,ROW()=$AV$3,ROW()=$AW$3,ROW()=$AX$3,ROW()=$AY$3,ROW()=$AZ$3,ROW()=$BA$3,ROW()=$BB$3,ROW()=$BC$3,ROW()=$BD$3,ROW()=$BE$3,ROW()=$BF$3),"本月合计",IF(ROW()&lt;7,$AQ$6,OFFSET($AQ$6,COUNT($AR$6:AR836),0)))))</f>
        <v/>
      </c>
    </row>
    <row r="838" spans="1:44">
      <c r="A838" s="469" t="str">
        <f ca="1">IFERROR(INDEX(凭证录入!A:A,$AR838),"")</f>
        <v/>
      </c>
      <c r="B838" s="469" t="str">
        <f ca="1">IFERROR(INDEX(凭证录入!B:B,$AR838),"")</f>
        <v/>
      </c>
      <c r="C838" s="470" t="str">
        <f ca="1">IFERROR(INDEX(凭证录入!G:G,$AR838),"")</f>
        <v/>
      </c>
      <c r="D838" s="471" t="str">
        <f ca="1">IFERROR(INDEX(凭证录入!F:F,$AR838),"")</f>
        <v/>
      </c>
      <c r="E838" s="472" t="str">
        <f ca="1">IFERROR(INDEX(凭证录入!H:H,$AR838),$AR838)</f>
        <v/>
      </c>
      <c r="F838" s="473">
        <f ca="1">IF(OR($BG$2=0,$AR838=""),,IF($AR838="本月合计",IF(ROW()=$BG$3,SUM($F$6:$F837),SUM(INDIRECT("$F$"&amp;OFFSET($AU$3,,MATCH(ROW(),$AU$3:$BF$3,)-2)+2&amp;":$E"&amp;ROW()-1))),IF($AR838="本年累计",SUMIF($AR$6:$AR838,"本月合计",$F$6:$F837),INDEX(凭证录入!K:K,$AR838))))</f>
        <v>0</v>
      </c>
      <c r="G838" s="459" t="str">
        <f t="shared" ref="G838:Q853" ca="1" si="184">LEFT(RIGHT(TEXT($F838/1%," ￥0; ￥-0;"),18-COLUMN()))</f>
        <v/>
      </c>
      <c r="H838" s="460" t="str">
        <f t="shared" ca="1" si="184"/>
        <v/>
      </c>
      <c r="I838" s="460" t="str">
        <f t="shared" ca="1" si="184"/>
        <v/>
      </c>
      <c r="J838" s="460" t="str">
        <f t="shared" ca="1" si="184"/>
        <v/>
      </c>
      <c r="K838" s="460" t="str">
        <f t="shared" ca="1" si="184"/>
        <v/>
      </c>
      <c r="L838" s="460" t="str">
        <f t="shared" ca="1" si="184"/>
        <v/>
      </c>
      <c r="M838" s="460" t="str">
        <f t="shared" ca="1" si="184"/>
        <v/>
      </c>
      <c r="N838" s="460" t="str">
        <f t="shared" ca="1" si="184"/>
        <v/>
      </c>
      <c r="O838" s="461" t="str">
        <f t="shared" ca="1" si="184"/>
        <v/>
      </c>
      <c r="P838" s="474" t="str">
        <f t="shared" ca="1" si="184"/>
        <v/>
      </c>
      <c r="Q838" s="475" t="str">
        <f t="shared" ca="1" si="184"/>
        <v/>
      </c>
      <c r="R838" s="476">
        <f ca="1">IF(OR($BG$2=0,$AR838=""),,IF($AR838="本月合计",IF(ROW()=$BG$3,SUM($R$6:$R837),SUM(INDIRECT("$R$"&amp;OFFSET($AU$3,,MATCH(ROW(),$AU$3:$BF$3,)-2)+2&amp;":$R"&amp;ROW()-1))),IF($AR838="本年累计",SUMIF($AR$6:$AR838,"本月合计",$R$6:$R837),INDEX(凭证录入!L:L,$AR838))))</f>
        <v>0</v>
      </c>
      <c r="S838" s="459" t="str">
        <f t="shared" ref="S838:AC853" ca="1" si="185">LEFT(RIGHT(TEXT($R838/1%," ￥0; ￥-0;"),30-COLUMN()))</f>
        <v/>
      </c>
      <c r="T838" s="460" t="str">
        <f t="shared" ca="1" si="185"/>
        <v/>
      </c>
      <c r="U838" s="460" t="str">
        <f t="shared" ca="1" si="185"/>
        <v/>
      </c>
      <c r="V838" s="460" t="str">
        <f t="shared" ca="1" si="185"/>
        <v/>
      </c>
      <c r="W838" s="460" t="str">
        <f t="shared" ca="1" si="185"/>
        <v/>
      </c>
      <c r="X838" s="460" t="str">
        <f t="shared" ca="1" si="185"/>
        <v/>
      </c>
      <c r="Y838" s="460" t="str">
        <f t="shared" ca="1" si="185"/>
        <v/>
      </c>
      <c r="Z838" s="460" t="str">
        <f t="shared" ca="1" si="185"/>
        <v/>
      </c>
      <c r="AA838" s="461" t="str">
        <f t="shared" ca="1" si="185"/>
        <v/>
      </c>
      <c r="AB838" s="474" t="str">
        <f t="shared" ca="1" si="185"/>
        <v/>
      </c>
      <c r="AC838" s="475" t="str">
        <f t="shared" ca="1" si="185"/>
        <v/>
      </c>
      <c r="AD838" s="477" t="str">
        <f t="shared" ref="AD838:AD901" ca="1" si="186">IF(OR($BG$2=0,$AR838="",$AR838="本月合计",$AR838="本年累计"),"",IF(OR(AND($AD837="",$AE837="",$AD835&lt;&gt;"借",$AD835&lt;&gt;"贷",($F838-$R838)&gt;=0),AND($AD837="",$AE837&lt;&gt;"",$AD835="借",($AE836+$F838-$R838)&gt;=0),AND($AD837="",$AE837&lt;&gt;"",$AD835="贷",(-$AE836+$F838-$R838)&gt;=0),AND($AD837="借",($AE837+$F838-$R838)&gt;=0),AND($AD837="贷",(-$AE837+$F838-$R838)&gt;=0),),"借","贷"))</f>
        <v/>
      </c>
      <c r="AE838" s="478">
        <f t="shared" ref="AE838:AE901" ca="1" si="187">IF(OR($BG$2=0,$AR838=""),,IF(OR($AR838="本月合计",$AR838="本年累计"),$AE837,IF(OR(AD837="借",AND(AD837="",AD836="",AD835="借")),ABS(AE837+F838-R838),ABS(-AE837+F838-R838))))</f>
        <v>0</v>
      </c>
      <c r="AF838" s="459" t="str">
        <f t="shared" ca="1" si="183"/>
        <v/>
      </c>
      <c r="AG838" s="460" t="str">
        <f t="shared" ca="1" si="183"/>
        <v/>
      </c>
      <c r="AH838" s="460" t="str">
        <f t="shared" ca="1" si="183"/>
        <v/>
      </c>
      <c r="AI838" s="460" t="str">
        <f t="shared" ca="1" si="183"/>
        <v/>
      </c>
      <c r="AJ838" s="460" t="str">
        <f t="shared" ca="1" si="183"/>
        <v/>
      </c>
      <c r="AK838" s="460" t="str">
        <f t="shared" ca="1" si="183"/>
        <v/>
      </c>
      <c r="AL838" s="460" t="str">
        <f t="shared" ca="1" si="183"/>
        <v/>
      </c>
      <c r="AM838" s="460" t="str">
        <f t="shared" ca="1" si="183"/>
        <v/>
      </c>
      <c r="AN838" s="461" t="str">
        <f t="shared" ca="1" si="183"/>
        <v/>
      </c>
      <c r="AO838" s="474" t="str">
        <f t="shared" ca="1" si="183"/>
        <v/>
      </c>
      <c r="AP838" s="475" t="str">
        <f t="shared" ca="1" si="183"/>
        <v/>
      </c>
      <c r="AQ838" s="479" t="str">
        <f t="array" aca="1" ref="AQ838" ca="1">IF(ROW()-5&lt;=COUNTIF(科目编号,$AR$2),SMALL(IF(科目编号=$AR$2,ROW(科目编号),""),ROW()-5),"")</f>
        <v/>
      </c>
      <c r="AR838" s="480" t="str">
        <f ca="1">IF($BG$2=0,"",IF(AR837="本月合计","本年累计",IF(OR(ROW()=$AU$3,ROW()=$AV$3,ROW()=$AW$3,ROW()=$AX$3,ROW()=$AY$3,ROW()=$AZ$3,ROW()=$BA$3,ROW()=$BB$3,ROW()=$BC$3,ROW()=$BD$3,ROW()=$BE$3,ROW()=$BF$3),"本月合计",IF(ROW()&lt;7,$AQ$6,OFFSET($AQ$6,COUNT($AR$6:AR837),0)))))</f>
        <v/>
      </c>
    </row>
    <row r="839" spans="1:44">
      <c r="A839" s="469" t="str">
        <f ca="1">IFERROR(INDEX(凭证录入!A:A,$AR839),"")</f>
        <v/>
      </c>
      <c r="B839" s="469" t="str">
        <f ca="1">IFERROR(INDEX(凭证录入!B:B,$AR839),"")</f>
        <v/>
      </c>
      <c r="C839" s="470" t="str">
        <f ca="1">IFERROR(INDEX(凭证录入!G:G,$AR839),"")</f>
        <v/>
      </c>
      <c r="D839" s="471" t="str">
        <f ca="1">IFERROR(INDEX(凭证录入!F:F,$AR839),"")</f>
        <v/>
      </c>
      <c r="E839" s="472" t="str">
        <f ca="1">IFERROR(INDEX(凭证录入!H:H,$AR839),$AR839)</f>
        <v/>
      </c>
      <c r="F839" s="473">
        <f ca="1">IF(OR($BG$2=0,$AR839=""),,IF($AR839="本月合计",IF(ROW()=$BG$3,SUM($F$6:$F838),SUM(INDIRECT("$F$"&amp;OFFSET($AU$3,,MATCH(ROW(),$AU$3:$BF$3,)-2)+2&amp;":$E"&amp;ROW()-1))),IF($AR839="本年累计",SUMIF($AR$6:$AR839,"本月合计",$F$6:$F838),INDEX(凭证录入!K:K,$AR839))))</f>
        <v>0</v>
      </c>
      <c r="G839" s="459" t="str">
        <f t="shared" ca="1" si="184"/>
        <v/>
      </c>
      <c r="H839" s="460" t="str">
        <f t="shared" ca="1" si="184"/>
        <v/>
      </c>
      <c r="I839" s="460" t="str">
        <f t="shared" ca="1" si="184"/>
        <v/>
      </c>
      <c r="J839" s="460" t="str">
        <f t="shared" ca="1" si="184"/>
        <v/>
      </c>
      <c r="K839" s="460" t="str">
        <f t="shared" ca="1" si="184"/>
        <v/>
      </c>
      <c r="L839" s="460" t="str">
        <f t="shared" ca="1" si="184"/>
        <v/>
      </c>
      <c r="M839" s="460" t="str">
        <f t="shared" ca="1" si="184"/>
        <v/>
      </c>
      <c r="N839" s="460" t="str">
        <f t="shared" ca="1" si="184"/>
        <v/>
      </c>
      <c r="O839" s="461" t="str">
        <f t="shared" ca="1" si="184"/>
        <v/>
      </c>
      <c r="P839" s="474" t="str">
        <f t="shared" ca="1" si="184"/>
        <v/>
      </c>
      <c r="Q839" s="475" t="str">
        <f t="shared" ca="1" si="184"/>
        <v/>
      </c>
      <c r="R839" s="476">
        <f ca="1">IF(OR($BG$2=0,$AR839=""),,IF($AR839="本月合计",IF(ROW()=$BG$3,SUM($R$6:$R838),SUM(INDIRECT("$R$"&amp;OFFSET($AU$3,,MATCH(ROW(),$AU$3:$BF$3,)-2)+2&amp;":$R"&amp;ROW()-1))),IF($AR839="本年累计",SUMIF($AR$6:$AR839,"本月合计",$R$6:$R838),INDEX(凭证录入!L:L,$AR839))))</f>
        <v>0</v>
      </c>
      <c r="S839" s="459" t="str">
        <f t="shared" ca="1" si="185"/>
        <v/>
      </c>
      <c r="T839" s="460" t="str">
        <f t="shared" ca="1" si="185"/>
        <v/>
      </c>
      <c r="U839" s="460" t="str">
        <f t="shared" ca="1" si="185"/>
        <v/>
      </c>
      <c r="V839" s="460" t="str">
        <f t="shared" ca="1" si="185"/>
        <v/>
      </c>
      <c r="W839" s="460" t="str">
        <f t="shared" ca="1" si="185"/>
        <v/>
      </c>
      <c r="X839" s="460" t="str">
        <f t="shared" ca="1" si="185"/>
        <v/>
      </c>
      <c r="Y839" s="460" t="str">
        <f t="shared" ca="1" si="185"/>
        <v/>
      </c>
      <c r="Z839" s="460" t="str">
        <f t="shared" ca="1" si="185"/>
        <v/>
      </c>
      <c r="AA839" s="461" t="str">
        <f t="shared" ca="1" si="185"/>
        <v/>
      </c>
      <c r="AB839" s="474" t="str">
        <f t="shared" ca="1" si="185"/>
        <v/>
      </c>
      <c r="AC839" s="475" t="str">
        <f t="shared" ca="1" si="185"/>
        <v/>
      </c>
      <c r="AD839" s="477" t="str">
        <f t="shared" ca="1" si="186"/>
        <v/>
      </c>
      <c r="AE839" s="478">
        <f t="shared" ca="1" si="187"/>
        <v>0</v>
      </c>
      <c r="AF839" s="459" t="str">
        <f t="shared" ca="1" si="183"/>
        <v/>
      </c>
      <c r="AG839" s="460" t="str">
        <f t="shared" ca="1" si="183"/>
        <v/>
      </c>
      <c r="AH839" s="460" t="str">
        <f t="shared" ca="1" si="183"/>
        <v/>
      </c>
      <c r="AI839" s="460" t="str">
        <f t="shared" ca="1" si="183"/>
        <v/>
      </c>
      <c r="AJ839" s="460" t="str">
        <f t="shared" ca="1" si="183"/>
        <v/>
      </c>
      <c r="AK839" s="460" t="str">
        <f t="shared" ca="1" si="183"/>
        <v/>
      </c>
      <c r="AL839" s="460" t="str">
        <f t="shared" ca="1" si="183"/>
        <v/>
      </c>
      <c r="AM839" s="460" t="str">
        <f t="shared" ca="1" si="183"/>
        <v/>
      </c>
      <c r="AN839" s="461" t="str">
        <f t="shared" ca="1" si="183"/>
        <v/>
      </c>
      <c r="AO839" s="474" t="str">
        <f t="shared" ca="1" si="183"/>
        <v/>
      </c>
      <c r="AP839" s="475" t="str">
        <f t="shared" ca="1" si="183"/>
        <v/>
      </c>
      <c r="AQ839" s="479" t="str">
        <f t="array" aca="1" ref="AQ839" ca="1">IF(ROW()-5&lt;=COUNTIF(科目编号,$AR$2),SMALL(IF(科目编号=$AR$2,ROW(科目编号),""),ROW()-5),"")</f>
        <v/>
      </c>
      <c r="AR839" s="480" t="str">
        <f ca="1">IF($BG$2=0,"",IF(AR838="本月合计","本年累计",IF(OR(ROW()=$AU$3,ROW()=$AV$3,ROW()=$AW$3,ROW()=$AX$3,ROW()=$AY$3,ROW()=$AZ$3,ROW()=$BA$3,ROW()=$BB$3,ROW()=$BC$3,ROW()=$BD$3,ROW()=$BE$3,ROW()=$BF$3),"本月合计",IF(ROW()&lt;7,$AQ$6,OFFSET($AQ$6,COUNT($AR$6:AR838),0)))))</f>
        <v/>
      </c>
    </row>
    <row r="840" spans="1:44">
      <c r="A840" s="469" t="str">
        <f ca="1">IFERROR(INDEX(凭证录入!A:A,$AR840),"")</f>
        <v/>
      </c>
      <c r="B840" s="469" t="str">
        <f ca="1">IFERROR(INDEX(凭证录入!B:B,$AR840),"")</f>
        <v/>
      </c>
      <c r="C840" s="470" t="str">
        <f ca="1">IFERROR(INDEX(凭证录入!G:G,$AR840),"")</f>
        <v/>
      </c>
      <c r="D840" s="471" t="str">
        <f ca="1">IFERROR(INDEX(凭证录入!F:F,$AR840),"")</f>
        <v/>
      </c>
      <c r="E840" s="472" t="str">
        <f ca="1">IFERROR(INDEX(凭证录入!H:H,$AR840),$AR840)</f>
        <v/>
      </c>
      <c r="F840" s="473">
        <f ca="1">IF(OR($BG$2=0,$AR840=""),,IF($AR840="本月合计",IF(ROW()=$BG$3,SUM($F$6:$F839),SUM(INDIRECT("$F$"&amp;OFFSET($AU$3,,MATCH(ROW(),$AU$3:$BF$3,)-2)+2&amp;":$E"&amp;ROW()-1))),IF($AR840="本年累计",SUMIF($AR$6:$AR840,"本月合计",$F$6:$F839),INDEX(凭证录入!K:K,$AR840))))</f>
        <v>0</v>
      </c>
      <c r="G840" s="459" t="str">
        <f t="shared" ca="1" si="184"/>
        <v/>
      </c>
      <c r="H840" s="460" t="str">
        <f t="shared" ca="1" si="184"/>
        <v/>
      </c>
      <c r="I840" s="460" t="str">
        <f t="shared" ca="1" si="184"/>
        <v/>
      </c>
      <c r="J840" s="460" t="str">
        <f t="shared" ca="1" si="184"/>
        <v/>
      </c>
      <c r="K840" s="460" t="str">
        <f t="shared" ca="1" si="184"/>
        <v/>
      </c>
      <c r="L840" s="460" t="str">
        <f t="shared" ca="1" si="184"/>
        <v/>
      </c>
      <c r="M840" s="460" t="str">
        <f t="shared" ca="1" si="184"/>
        <v/>
      </c>
      <c r="N840" s="460" t="str">
        <f t="shared" ca="1" si="184"/>
        <v/>
      </c>
      <c r="O840" s="461" t="str">
        <f t="shared" ca="1" si="184"/>
        <v/>
      </c>
      <c r="P840" s="474" t="str">
        <f t="shared" ca="1" si="184"/>
        <v/>
      </c>
      <c r="Q840" s="475" t="str">
        <f t="shared" ca="1" si="184"/>
        <v/>
      </c>
      <c r="R840" s="476">
        <f ca="1">IF(OR($BG$2=0,$AR840=""),,IF($AR840="本月合计",IF(ROW()=$BG$3,SUM($R$6:$R839),SUM(INDIRECT("$R$"&amp;OFFSET($AU$3,,MATCH(ROW(),$AU$3:$BF$3,)-2)+2&amp;":$R"&amp;ROW()-1))),IF($AR840="本年累计",SUMIF($AR$6:$AR840,"本月合计",$R$6:$R839),INDEX(凭证录入!L:L,$AR840))))</f>
        <v>0</v>
      </c>
      <c r="S840" s="459" t="str">
        <f t="shared" ca="1" si="185"/>
        <v/>
      </c>
      <c r="T840" s="460" t="str">
        <f t="shared" ca="1" si="185"/>
        <v/>
      </c>
      <c r="U840" s="460" t="str">
        <f t="shared" ca="1" si="185"/>
        <v/>
      </c>
      <c r="V840" s="460" t="str">
        <f t="shared" ca="1" si="185"/>
        <v/>
      </c>
      <c r="W840" s="460" t="str">
        <f t="shared" ca="1" si="185"/>
        <v/>
      </c>
      <c r="X840" s="460" t="str">
        <f t="shared" ca="1" si="185"/>
        <v/>
      </c>
      <c r="Y840" s="460" t="str">
        <f t="shared" ca="1" si="185"/>
        <v/>
      </c>
      <c r="Z840" s="460" t="str">
        <f t="shared" ca="1" si="185"/>
        <v/>
      </c>
      <c r="AA840" s="461" t="str">
        <f t="shared" ca="1" si="185"/>
        <v/>
      </c>
      <c r="AB840" s="474" t="str">
        <f t="shared" ca="1" si="185"/>
        <v/>
      </c>
      <c r="AC840" s="475" t="str">
        <f t="shared" ca="1" si="185"/>
        <v/>
      </c>
      <c r="AD840" s="477" t="str">
        <f t="shared" ca="1" si="186"/>
        <v/>
      </c>
      <c r="AE840" s="478">
        <f t="shared" ca="1" si="187"/>
        <v>0</v>
      </c>
      <c r="AF840" s="459" t="str">
        <f t="shared" ca="1" si="183"/>
        <v/>
      </c>
      <c r="AG840" s="460" t="str">
        <f t="shared" ca="1" si="183"/>
        <v/>
      </c>
      <c r="AH840" s="460" t="str">
        <f t="shared" ca="1" si="183"/>
        <v/>
      </c>
      <c r="AI840" s="460" t="str">
        <f t="shared" ca="1" si="183"/>
        <v/>
      </c>
      <c r="AJ840" s="460" t="str">
        <f t="shared" ca="1" si="183"/>
        <v/>
      </c>
      <c r="AK840" s="460" t="str">
        <f t="shared" ca="1" si="183"/>
        <v/>
      </c>
      <c r="AL840" s="460" t="str">
        <f t="shared" ca="1" si="183"/>
        <v/>
      </c>
      <c r="AM840" s="460" t="str">
        <f t="shared" ca="1" si="183"/>
        <v/>
      </c>
      <c r="AN840" s="461" t="str">
        <f t="shared" ca="1" si="183"/>
        <v/>
      </c>
      <c r="AO840" s="474" t="str">
        <f t="shared" ca="1" si="183"/>
        <v/>
      </c>
      <c r="AP840" s="475" t="str">
        <f t="shared" ca="1" si="183"/>
        <v/>
      </c>
      <c r="AQ840" s="479" t="str">
        <f t="array" aca="1" ref="AQ840" ca="1">IF(ROW()-5&lt;=COUNTIF(科目编号,$AR$2),SMALL(IF(科目编号=$AR$2,ROW(科目编号),""),ROW()-5),"")</f>
        <v/>
      </c>
      <c r="AR840" s="480" t="str">
        <f ca="1">IF($BG$2=0,"",IF(AR839="本月合计","本年累计",IF(OR(ROW()=$AU$3,ROW()=$AV$3,ROW()=$AW$3,ROW()=$AX$3,ROW()=$AY$3,ROW()=$AZ$3,ROW()=$BA$3,ROW()=$BB$3,ROW()=$BC$3,ROW()=$BD$3,ROW()=$BE$3,ROW()=$BF$3),"本月合计",IF(ROW()&lt;7,$AQ$6,OFFSET($AQ$6,COUNT($AR$6:AR839),0)))))</f>
        <v/>
      </c>
    </row>
    <row r="841" spans="1:44">
      <c r="A841" s="469" t="str">
        <f ca="1">IFERROR(INDEX(凭证录入!A:A,$AR841),"")</f>
        <v/>
      </c>
      <c r="B841" s="469" t="str">
        <f ca="1">IFERROR(INDEX(凭证录入!B:B,$AR841),"")</f>
        <v/>
      </c>
      <c r="C841" s="470" t="str">
        <f ca="1">IFERROR(INDEX(凭证录入!G:G,$AR841),"")</f>
        <v/>
      </c>
      <c r="D841" s="471" t="str">
        <f ca="1">IFERROR(INDEX(凭证录入!F:F,$AR841),"")</f>
        <v/>
      </c>
      <c r="E841" s="472" t="str">
        <f ca="1">IFERROR(INDEX(凭证录入!H:H,$AR841),$AR841)</f>
        <v/>
      </c>
      <c r="F841" s="473">
        <f ca="1">IF(OR($BG$2=0,$AR841=""),,IF($AR841="本月合计",IF(ROW()=$BG$3,SUM($F$6:$F840),SUM(INDIRECT("$F$"&amp;OFFSET($AU$3,,MATCH(ROW(),$AU$3:$BF$3,)-2)+2&amp;":$E"&amp;ROW()-1))),IF($AR841="本年累计",SUMIF($AR$6:$AR841,"本月合计",$F$6:$F840),INDEX(凭证录入!K:K,$AR841))))</f>
        <v>0</v>
      </c>
      <c r="G841" s="459" t="str">
        <f t="shared" ca="1" si="184"/>
        <v/>
      </c>
      <c r="H841" s="460" t="str">
        <f t="shared" ca="1" si="184"/>
        <v/>
      </c>
      <c r="I841" s="460" t="str">
        <f t="shared" ca="1" si="184"/>
        <v/>
      </c>
      <c r="J841" s="460" t="str">
        <f t="shared" ca="1" si="184"/>
        <v/>
      </c>
      <c r="K841" s="460" t="str">
        <f t="shared" ca="1" si="184"/>
        <v/>
      </c>
      <c r="L841" s="460" t="str">
        <f t="shared" ca="1" si="184"/>
        <v/>
      </c>
      <c r="M841" s="460" t="str">
        <f t="shared" ca="1" si="184"/>
        <v/>
      </c>
      <c r="N841" s="460" t="str">
        <f t="shared" ca="1" si="184"/>
        <v/>
      </c>
      <c r="O841" s="461" t="str">
        <f t="shared" ca="1" si="184"/>
        <v/>
      </c>
      <c r="P841" s="474" t="str">
        <f t="shared" ca="1" si="184"/>
        <v/>
      </c>
      <c r="Q841" s="475" t="str">
        <f t="shared" ca="1" si="184"/>
        <v/>
      </c>
      <c r="R841" s="476">
        <f ca="1">IF(OR($BG$2=0,$AR841=""),,IF($AR841="本月合计",IF(ROW()=$BG$3,SUM($R$6:$R840),SUM(INDIRECT("$R$"&amp;OFFSET($AU$3,,MATCH(ROW(),$AU$3:$BF$3,)-2)+2&amp;":$R"&amp;ROW()-1))),IF($AR841="本年累计",SUMIF($AR$6:$AR841,"本月合计",$R$6:$R840),INDEX(凭证录入!L:L,$AR841))))</f>
        <v>0</v>
      </c>
      <c r="S841" s="459" t="str">
        <f t="shared" ca="1" si="185"/>
        <v/>
      </c>
      <c r="T841" s="460" t="str">
        <f t="shared" ca="1" si="185"/>
        <v/>
      </c>
      <c r="U841" s="460" t="str">
        <f t="shared" ca="1" si="185"/>
        <v/>
      </c>
      <c r="V841" s="460" t="str">
        <f t="shared" ca="1" si="185"/>
        <v/>
      </c>
      <c r="W841" s="460" t="str">
        <f t="shared" ca="1" si="185"/>
        <v/>
      </c>
      <c r="X841" s="460" t="str">
        <f t="shared" ca="1" si="185"/>
        <v/>
      </c>
      <c r="Y841" s="460" t="str">
        <f t="shared" ca="1" si="185"/>
        <v/>
      </c>
      <c r="Z841" s="460" t="str">
        <f t="shared" ca="1" si="185"/>
        <v/>
      </c>
      <c r="AA841" s="461" t="str">
        <f t="shared" ca="1" si="185"/>
        <v/>
      </c>
      <c r="AB841" s="474" t="str">
        <f t="shared" ca="1" si="185"/>
        <v/>
      </c>
      <c r="AC841" s="475" t="str">
        <f t="shared" ca="1" si="185"/>
        <v/>
      </c>
      <c r="AD841" s="477" t="str">
        <f t="shared" ca="1" si="186"/>
        <v/>
      </c>
      <c r="AE841" s="478">
        <f t="shared" ca="1" si="187"/>
        <v>0</v>
      </c>
      <c r="AF841" s="459" t="str">
        <f t="shared" ca="1" si="183"/>
        <v/>
      </c>
      <c r="AG841" s="460" t="str">
        <f t="shared" ca="1" si="183"/>
        <v/>
      </c>
      <c r="AH841" s="460" t="str">
        <f t="shared" ca="1" si="183"/>
        <v/>
      </c>
      <c r="AI841" s="460" t="str">
        <f t="shared" ca="1" si="183"/>
        <v/>
      </c>
      <c r="AJ841" s="460" t="str">
        <f t="shared" ca="1" si="183"/>
        <v/>
      </c>
      <c r="AK841" s="460" t="str">
        <f t="shared" ca="1" si="183"/>
        <v/>
      </c>
      <c r="AL841" s="460" t="str">
        <f t="shared" ca="1" si="183"/>
        <v/>
      </c>
      <c r="AM841" s="460" t="str">
        <f t="shared" ca="1" si="183"/>
        <v/>
      </c>
      <c r="AN841" s="461" t="str">
        <f t="shared" ca="1" si="183"/>
        <v/>
      </c>
      <c r="AO841" s="474" t="str">
        <f t="shared" ca="1" si="183"/>
        <v/>
      </c>
      <c r="AP841" s="475" t="str">
        <f t="shared" ca="1" si="183"/>
        <v/>
      </c>
      <c r="AQ841" s="479" t="str">
        <f t="array" aca="1" ref="AQ841" ca="1">IF(ROW()-5&lt;=COUNTIF(科目编号,$AR$2),SMALL(IF(科目编号=$AR$2,ROW(科目编号),""),ROW()-5),"")</f>
        <v/>
      </c>
      <c r="AR841" s="480" t="str">
        <f ca="1">IF($BG$2=0,"",IF(AR840="本月合计","本年累计",IF(OR(ROW()=$AU$3,ROW()=$AV$3,ROW()=$AW$3,ROW()=$AX$3,ROW()=$AY$3,ROW()=$AZ$3,ROW()=$BA$3,ROW()=$BB$3,ROW()=$BC$3,ROW()=$BD$3,ROW()=$BE$3,ROW()=$BF$3),"本月合计",IF(ROW()&lt;7,$AQ$6,OFFSET($AQ$6,COUNT($AR$6:AR840),0)))))</f>
        <v/>
      </c>
    </row>
    <row r="842" spans="1:44">
      <c r="A842" s="469" t="str">
        <f ca="1">IFERROR(INDEX(凭证录入!A:A,$AR842),"")</f>
        <v/>
      </c>
      <c r="B842" s="469" t="str">
        <f ca="1">IFERROR(INDEX(凭证录入!B:B,$AR842),"")</f>
        <v/>
      </c>
      <c r="C842" s="470" t="str">
        <f ca="1">IFERROR(INDEX(凭证录入!G:G,$AR842),"")</f>
        <v/>
      </c>
      <c r="D842" s="471" t="str">
        <f ca="1">IFERROR(INDEX(凭证录入!F:F,$AR842),"")</f>
        <v/>
      </c>
      <c r="E842" s="472" t="str">
        <f ca="1">IFERROR(INDEX(凭证录入!H:H,$AR842),$AR842)</f>
        <v/>
      </c>
      <c r="F842" s="473">
        <f ca="1">IF(OR($BG$2=0,$AR842=""),,IF($AR842="本月合计",IF(ROW()=$BG$3,SUM($F$6:$F841),SUM(INDIRECT("$F$"&amp;OFFSET($AU$3,,MATCH(ROW(),$AU$3:$BF$3,)-2)+2&amp;":$E"&amp;ROW()-1))),IF($AR842="本年累计",SUMIF($AR$6:$AR842,"本月合计",$F$6:$F841),INDEX(凭证录入!K:K,$AR842))))</f>
        <v>0</v>
      </c>
      <c r="G842" s="459" t="str">
        <f t="shared" ca="1" si="184"/>
        <v/>
      </c>
      <c r="H842" s="460" t="str">
        <f t="shared" ca="1" si="184"/>
        <v/>
      </c>
      <c r="I842" s="460" t="str">
        <f t="shared" ca="1" si="184"/>
        <v/>
      </c>
      <c r="J842" s="460" t="str">
        <f t="shared" ca="1" si="184"/>
        <v/>
      </c>
      <c r="K842" s="460" t="str">
        <f t="shared" ca="1" si="184"/>
        <v/>
      </c>
      <c r="L842" s="460" t="str">
        <f t="shared" ca="1" si="184"/>
        <v/>
      </c>
      <c r="M842" s="460" t="str">
        <f t="shared" ca="1" si="184"/>
        <v/>
      </c>
      <c r="N842" s="460" t="str">
        <f t="shared" ca="1" si="184"/>
        <v/>
      </c>
      <c r="O842" s="461" t="str">
        <f t="shared" ca="1" si="184"/>
        <v/>
      </c>
      <c r="P842" s="474" t="str">
        <f t="shared" ca="1" si="184"/>
        <v/>
      </c>
      <c r="Q842" s="475" t="str">
        <f t="shared" ca="1" si="184"/>
        <v/>
      </c>
      <c r="R842" s="476">
        <f ca="1">IF(OR($BG$2=0,$AR842=""),,IF($AR842="本月合计",IF(ROW()=$BG$3,SUM($R$6:$R841),SUM(INDIRECT("$R$"&amp;OFFSET($AU$3,,MATCH(ROW(),$AU$3:$BF$3,)-2)+2&amp;":$R"&amp;ROW()-1))),IF($AR842="本年累计",SUMIF($AR$6:$AR842,"本月合计",$R$6:$R841),INDEX(凭证录入!L:L,$AR842))))</f>
        <v>0</v>
      </c>
      <c r="S842" s="459" t="str">
        <f t="shared" ca="1" si="185"/>
        <v/>
      </c>
      <c r="T842" s="460" t="str">
        <f t="shared" ca="1" si="185"/>
        <v/>
      </c>
      <c r="U842" s="460" t="str">
        <f t="shared" ca="1" si="185"/>
        <v/>
      </c>
      <c r="V842" s="460" t="str">
        <f t="shared" ca="1" si="185"/>
        <v/>
      </c>
      <c r="W842" s="460" t="str">
        <f t="shared" ca="1" si="185"/>
        <v/>
      </c>
      <c r="X842" s="460" t="str">
        <f t="shared" ca="1" si="185"/>
        <v/>
      </c>
      <c r="Y842" s="460" t="str">
        <f t="shared" ca="1" si="185"/>
        <v/>
      </c>
      <c r="Z842" s="460" t="str">
        <f t="shared" ca="1" si="185"/>
        <v/>
      </c>
      <c r="AA842" s="461" t="str">
        <f t="shared" ca="1" si="185"/>
        <v/>
      </c>
      <c r="AB842" s="474" t="str">
        <f t="shared" ca="1" si="185"/>
        <v/>
      </c>
      <c r="AC842" s="475" t="str">
        <f t="shared" ca="1" si="185"/>
        <v/>
      </c>
      <c r="AD842" s="477" t="str">
        <f t="shared" ca="1" si="186"/>
        <v/>
      </c>
      <c r="AE842" s="478">
        <f t="shared" ca="1" si="187"/>
        <v>0</v>
      </c>
      <c r="AF842" s="459" t="str">
        <f t="shared" ca="1" si="183"/>
        <v/>
      </c>
      <c r="AG842" s="460" t="str">
        <f t="shared" ca="1" si="183"/>
        <v/>
      </c>
      <c r="AH842" s="460" t="str">
        <f t="shared" ca="1" si="183"/>
        <v/>
      </c>
      <c r="AI842" s="460" t="str">
        <f t="shared" ca="1" si="183"/>
        <v/>
      </c>
      <c r="AJ842" s="460" t="str">
        <f t="shared" ca="1" si="183"/>
        <v/>
      </c>
      <c r="AK842" s="460" t="str">
        <f t="shared" ca="1" si="183"/>
        <v/>
      </c>
      <c r="AL842" s="460" t="str">
        <f t="shared" ca="1" si="183"/>
        <v/>
      </c>
      <c r="AM842" s="460" t="str">
        <f t="shared" ca="1" si="183"/>
        <v/>
      </c>
      <c r="AN842" s="461" t="str">
        <f t="shared" ca="1" si="183"/>
        <v/>
      </c>
      <c r="AO842" s="474" t="str">
        <f t="shared" ca="1" si="183"/>
        <v/>
      </c>
      <c r="AP842" s="475" t="str">
        <f t="shared" ca="1" si="183"/>
        <v/>
      </c>
      <c r="AQ842" s="479" t="str">
        <f t="array" aca="1" ref="AQ842" ca="1">IF(ROW()-5&lt;=COUNTIF(科目编号,$AR$2),SMALL(IF(科目编号=$AR$2,ROW(科目编号),""),ROW()-5),"")</f>
        <v/>
      </c>
      <c r="AR842" s="480" t="str">
        <f ca="1">IF($BG$2=0,"",IF(AR841="本月合计","本年累计",IF(OR(ROW()=$AU$3,ROW()=$AV$3,ROW()=$AW$3,ROW()=$AX$3,ROW()=$AY$3,ROW()=$AZ$3,ROW()=$BA$3,ROW()=$BB$3,ROW()=$BC$3,ROW()=$BD$3,ROW()=$BE$3,ROW()=$BF$3),"本月合计",IF(ROW()&lt;7,$AQ$6,OFFSET($AQ$6,COUNT($AR$6:AR841),0)))))</f>
        <v/>
      </c>
    </row>
    <row r="843" spans="1:44">
      <c r="A843" s="469" t="str">
        <f ca="1">IFERROR(INDEX(凭证录入!A:A,$AR843),"")</f>
        <v/>
      </c>
      <c r="B843" s="469" t="str">
        <f ca="1">IFERROR(INDEX(凭证录入!B:B,$AR843),"")</f>
        <v/>
      </c>
      <c r="C843" s="470" t="str">
        <f ca="1">IFERROR(INDEX(凭证录入!G:G,$AR843),"")</f>
        <v/>
      </c>
      <c r="D843" s="471" t="str">
        <f ca="1">IFERROR(INDEX(凭证录入!F:F,$AR843),"")</f>
        <v/>
      </c>
      <c r="E843" s="472" t="str">
        <f ca="1">IFERROR(INDEX(凭证录入!H:H,$AR843),$AR843)</f>
        <v/>
      </c>
      <c r="F843" s="473">
        <f ca="1">IF(OR($BG$2=0,$AR843=""),,IF($AR843="本月合计",IF(ROW()=$BG$3,SUM($F$6:$F842),SUM(INDIRECT("$F$"&amp;OFFSET($AU$3,,MATCH(ROW(),$AU$3:$BF$3,)-2)+2&amp;":$E"&amp;ROW()-1))),IF($AR843="本年累计",SUMIF($AR$6:$AR843,"本月合计",$F$6:$F842),INDEX(凭证录入!K:K,$AR843))))</f>
        <v>0</v>
      </c>
      <c r="G843" s="459" t="str">
        <f t="shared" ca="1" si="184"/>
        <v/>
      </c>
      <c r="H843" s="460" t="str">
        <f t="shared" ca="1" si="184"/>
        <v/>
      </c>
      <c r="I843" s="460" t="str">
        <f t="shared" ca="1" si="184"/>
        <v/>
      </c>
      <c r="J843" s="460" t="str">
        <f t="shared" ca="1" si="184"/>
        <v/>
      </c>
      <c r="K843" s="460" t="str">
        <f t="shared" ca="1" si="184"/>
        <v/>
      </c>
      <c r="L843" s="460" t="str">
        <f t="shared" ca="1" si="184"/>
        <v/>
      </c>
      <c r="M843" s="460" t="str">
        <f t="shared" ca="1" si="184"/>
        <v/>
      </c>
      <c r="N843" s="460" t="str">
        <f t="shared" ca="1" si="184"/>
        <v/>
      </c>
      <c r="O843" s="461" t="str">
        <f t="shared" ca="1" si="184"/>
        <v/>
      </c>
      <c r="P843" s="474" t="str">
        <f t="shared" ca="1" si="184"/>
        <v/>
      </c>
      <c r="Q843" s="475" t="str">
        <f t="shared" ca="1" si="184"/>
        <v/>
      </c>
      <c r="R843" s="476">
        <f ca="1">IF(OR($BG$2=0,$AR843=""),,IF($AR843="本月合计",IF(ROW()=$BG$3,SUM($R$6:$R842),SUM(INDIRECT("$R$"&amp;OFFSET($AU$3,,MATCH(ROW(),$AU$3:$BF$3,)-2)+2&amp;":$R"&amp;ROW()-1))),IF($AR843="本年累计",SUMIF($AR$6:$AR843,"本月合计",$R$6:$R842),INDEX(凭证录入!L:L,$AR843))))</f>
        <v>0</v>
      </c>
      <c r="S843" s="459" t="str">
        <f t="shared" ca="1" si="185"/>
        <v/>
      </c>
      <c r="T843" s="460" t="str">
        <f t="shared" ca="1" si="185"/>
        <v/>
      </c>
      <c r="U843" s="460" t="str">
        <f t="shared" ca="1" si="185"/>
        <v/>
      </c>
      <c r="V843" s="460" t="str">
        <f t="shared" ca="1" si="185"/>
        <v/>
      </c>
      <c r="W843" s="460" t="str">
        <f t="shared" ca="1" si="185"/>
        <v/>
      </c>
      <c r="X843" s="460" t="str">
        <f t="shared" ca="1" si="185"/>
        <v/>
      </c>
      <c r="Y843" s="460" t="str">
        <f t="shared" ca="1" si="185"/>
        <v/>
      </c>
      <c r="Z843" s="460" t="str">
        <f t="shared" ca="1" si="185"/>
        <v/>
      </c>
      <c r="AA843" s="461" t="str">
        <f t="shared" ca="1" si="185"/>
        <v/>
      </c>
      <c r="AB843" s="474" t="str">
        <f t="shared" ca="1" si="185"/>
        <v/>
      </c>
      <c r="AC843" s="475" t="str">
        <f t="shared" ca="1" si="185"/>
        <v/>
      </c>
      <c r="AD843" s="477" t="str">
        <f t="shared" ca="1" si="186"/>
        <v/>
      </c>
      <c r="AE843" s="478">
        <f t="shared" ca="1" si="187"/>
        <v>0</v>
      </c>
      <c r="AF843" s="459" t="str">
        <f t="shared" ca="1" si="183"/>
        <v/>
      </c>
      <c r="AG843" s="460" t="str">
        <f t="shared" ca="1" si="183"/>
        <v/>
      </c>
      <c r="AH843" s="460" t="str">
        <f t="shared" ca="1" si="183"/>
        <v/>
      </c>
      <c r="AI843" s="460" t="str">
        <f t="shared" ca="1" si="183"/>
        <v/>
      </c>
      <c r="AJ843" s="460" t="str">
        <f t="shared" ca="1" si="183"/>
        <v/>
      </c>
      <c r="AK843" s="460" t="str">
        <f t="shared" ca="1" si="183"/>
        <v/>
      </c>
      <c r="AL843" s="460" t="str">
        <f t="shared" ca="1" si="183"/>
        <v/>
      </c>
      <c r="AM843" s="460" t="str">
        <f t="shared" ca="1" si="183"/>
        <v/>
      </c>
      <c r="AN843" s="461" t="str">
        <f t="shared" ca="1" si="183"/>
        <v/>
      </c>
      <c r="AO843" s="474" t="str">
        <f t="shared" ca="1" si="183"/>
        <v/>
      </c>
      <c r="AP843" s="475" t="str">
        <f t="shared" ca="1" si="183"/>
        <v/>
      </c>
      <c r="AQ843" s="479" t="str">
        <f t="array" aca="1" ref="AQ843" ca="1">IF(ROW()-5&lt;=COUNTIF(科目编号,$AR$2),SMALL(IF(科目编号=$AR$2,ROW(科目编号),""),ROW()-5),"")</f>
        <v/>
      </c>
      <c r="AR843" s="480" t="str">
        <f ca="1">IF($BG$2=0,"",IF(AR842="本月合计","本年累计",IF(OR(ROW()=$AU$3,ROW()=$AV$3,ROW()=$AW$3,ROW()=$AX$3,ROW()=$AY$3,ROW()=$AZ$3,ROW()=$BA$3,ROW()=$BB$3,ROW()=$BC$3,ROW()=$BD$3,ROW()=$BE$3,ROW()=$BF$3),"本月合计",IF(ROW()&lt;7,$AQ$6,OFFSET($AQ$6,COUNT($AR$6:AR842),0)))))</f>
        <v/>
      </c>
    </row>
    <row r="844" spans="1:44">
      <c r="A844" s="469" t="str">
        <f ca="1">IFERROR(INDEX(凭证录入!A:A,$AR844),"")</f>
        <v/>
      </c>
      <c r="B844" s="469" t="str">
        <f ca="1">IFERROR(INDEX(凭证录入!B:B,$AR844),"")</f>
        <v/>
      </c>
      <c r="C844" s="470" t="str">
        <f ca="1">IFERROR(INDEX(凭证录入!G:G,$AR844),"")</f>
        <v/>
      </c>
      <c r="D844" s="471" t="str">
        <f ca="1">IFERROR(INDEX(凭证录入!F:F,$AR844),"")</f>
        <v/>
      </c>
      <c r="E844" s="472" t="str">
        <f ca="1">IFERROR(INDEX(凭证录入!H:H,$AR844),$AR844)</f>
        <v/>
      </c>
      <c r="F844" s="473">
        <f ca="1">IF(OR($BG$2=0,$AR844=""),,IF($AR844="本月合计",IF(ROW()=$BG$3,SUM($F$6:$F843),SUM(INDIRECT("$F$"&amp;OFFSET($AU$3,,MATCH(ROW(),$AU$3:$BF$3,)-2)+2&amp;":$E"&amp;ROW()-1))),IF($AR844="本年累计",SUMIF($AR$6:$AR844,"本月合计",$F$6:$F843),INDEX(凭证录入!K:K,$AR844))))</f>
        <v>0</v>
      </c>
      <c r="G844" s="459" t="str">
        <f t="shared" ca="1" si="184"/>
        <v/>
      </c>
      <c r="H844" s="460" t="str">
        <f t="shared" ca="1" si="184"/>
        <v/>
      </c>
      <c r="I844" s="460" t="str">
        <f t="shared" ca="1" si="184"/>
        <v/>
      </c>
      <c r="J844" s="460" t="str">
        <f t="shared" ca="1" si="184"/>
        <v/>
      </c>
      <c r="K844" s="460" t="str">
        <f t="shared" ca="1" si="184"/>
        <v/>
      </c>
      <c r="L844" s="460" t="str">
        <f t="shared" ca="1" si="184"/>
        <v/>
      </c>
      <c r="M844" s="460" t="str">
        <f t="shared" ca="1" si="184"/>
        <v/>
      </c>
      <c r="N844" s="460" t="str">
        <f t="shared" ca="1" si="184"/>
        <v/>
      </c>
      <c r="O844" s="461" t="str">
        <f t="shared" ca="1" si="184"/>
        <v/>
      </c>
      <c r="P844" s="474" t="str">
        <f t="shared" ca="1" si="184"/>
        <v/>
      </c>
      <c r="Q844" s="475" t="str">
        <f t="shared" ca="1" si="184"/>
        <v/>
      </c>
      <c r="R844" s="476">
        <f ca="1">IF(OR($BG$2=0,$AR844=""),,IF($AR844="本月合计",IF(ROW()=$BG$3,SUM($R$6:$R843),SUM(INDIRECT("$R$"&amp;OFFSET($AU$3,,MATCH(ROW(),$AU$3:$BF$3,)-2)+2&amp;":$R"&amp;ROW()-1))),IF($AR844="本年累计",SUMIF($AR$6:$AR844,"本月合计",$R$6:$R843),INDEX(凭证录入!L:L,$AR844))))</f>
        <v>0</v>
      </c>
      <c r="S844" s="459" t="str">
        <f t="shared" ca="1" si="185"/>
        <v/>
      </c>
      <c r="T844" s="460" t="str">
        <f t="shared" ca="1" si="185"/>
        <v/>
      </c>
      <c r="U844" s="460" t="str">
        <f t="shared" ca="1" si="185"/>
        <v/>
      </c>
      <c r="V844" s="460" t="str">
        <f t="shared" ca="1" si="185"/>
        <v/>
      </c>
      <c r="W844" s="460" t="str">
        <f t="shared" ca="1" si="185"/>
        <v/>
      </c>
      <c r="X844" s="460" t="str">
        <f t="shared" ca="1" si="185"/>
        <v/>
      </c>
      <c r="Y844" s="460" t="str">
        <f t="shared" ca="1" si="185"/>
        <v/>
      </c>
      <c r="Z844" s="460" t="str">
        <f t="shared" ca="1" si="185"/>
        <v/>
      </c>
      <c r="AA844" s="461" t="str">
        <f t="shared" ca="1" si="185"/>
        <v/>
      </c>
      <c r="AB844" s="474" t="str">
        <f t="shared" ca="1" si="185"/>
        <v/>
      </c>
      <c r="AC844" s="475" t="str">
        <f t="shared" ca="1" si="185"/>
        <v/>
      </c>
      <c r="AD844" s="477" t="str">
        <f t="shared" ca="1" si="186"/>
        <v/>
      </c>
      <c r="AE844" s="478">
        <f t="shared" ca="1" si="187"/>
        <v>0</v>
      </c>
      <c r="AF844" s="459" t="str">
        <f t="shared" ca="1" si="183"/>
        <v/>
      </c>
      <c r="AG844" s="460" t="str">
        <f t="shared" ca="1" si="183"/>
        <v/>
      </c>
      <c r="AH844" s="460" t="str">
        <f t="shared" ca="1" si="183"/>
        <v/>
      </c>
      <c r="AI844" s="460" t="str">
        <f t="shared" ca="1" si="183"/>
        <v/>
      </c>
      <c r="AJ844" s="460" t="str">
        <f t="shared" ca="1" si="183"/>
        <v/>
      </c>
      <c r="AK844" s="460" t="str">
        <f t="shared" ca="1" si="183"/>
        <v/>
      </c>
      <c r="AL844" s="460" t="str">
        <f t="shared" ca="1" si="183"/>
        <v/>
      </c>
      <c r="AM844" s="460" t="str">
        <f t="shared" ca="1" si="183"/>
        <v/>
      </c>
      <c r="AN844" s="461" t="str">
        <f t="shared" ca="1" si="183"/>
        <v/>
      </c>
      <c r="AO844" s="474" t="str">
        <f t="shared" ca="1" si="183"/>
        <v/>
      </c>
      <c r="AP844" s="475" t="str">
        <f t="shared" ca="1" si="183"/>
        <v/>
      </c>
      <c r="AQ844" s="479" t="str">
        <f t="array" aca="1" ref="AQ844" ca="1">IF(ROW()-5&lt;=COUNTIF(科目编号,$AR$2),SMALL(IF(科目编号=$AR$2,ROW(科目编号),""),ROW()-5),"")</f>
        <v/>
      </c>
      <c r="AR844" s="480" t="str">
        <f ca="1">IF($BG$2=0,"",IF(AR843="本月合计","本年累计",IF(OR(ROW()=$AU$3,ROW()=$AV$3,ROW()=$AW$3,ROW()=$AX$3,ROW()=$AY$3,ROW()=$AZ$3,ROW()=$BA$3,ROW()=$BB$3,ROW()=$BC$3,ROW()=$BD$3,ROW()=$BE$3,ROW()=$BF$3),"本月合计",IF(ROW()&lt;7,$AQ$6,OFFSET($AQ$6,COUNT($AR$6:AR843),0)))))</f>
        <v/>
      </c>
    </row>
    <row r="845" spans="1:44">
      <c r="A845" s="469" t="str">
        <f ca="1">IFERROR(INDEX(凭证录入!A:A,$AR845),"")</f>
        <v/>
      </c>
      <c r="B845" s="469" t="str">
        <f ca="1">IFERROR(INDEX(凭证录入!B:B,$AR845),"")</f>
        <v/>
      </c>
      <c r="C845" s="470" t="str">
        <f ca="1">IFERROR(INDEX(凭证录入!G:G,$AR845),"")</f>
        <v/>
      </c>
      <c r="D845" s="471" t="str">
        <f ca="1">IFERROR(INDEX(凭证录入!F:F,$AR845),"")</f>
        <v/>
      </c>
      <c r="E845" s="472" t="str">
        <f ca="1">IFERROR(INDEX(凭证录入!H:H,$AR845),$AR845)</f>
        <v/>
      </c>
      <c r="F845" s="473">
        <f ca="1">IF(OR($BG$2=0,$AR845=""),,IF($AR845="本月合计",IF(ROW()=$BG$3,SUM($F$6:$F844),SUM(INDIRECT("$F$"&amp;OFFSET($AU$3,,MATCH(ROW(),$AU$3:$BF$3,)-2)+2&amp;":$E"&amp;ROW()-1))),IF($AR845="本年累计",SUMIF($AR$6:$AR845,"本月合计",$F$6:$F844),INDEX(凭证录入!K:K,$AR845))))</f>
        <v>0</v>
      </c>
      <c r="G845" s="459" t="str">
        <f t="shared" ca="1" si="184"/>
        <v/>
      </c>
      <c r="H845" s="460" t="str">
        <f t="shared" ca="1" si="184"/>
        <v/>
      </c>
      <c r="I845" s="460" t="str">
        <f t="shared" ca="1" si="184"/>
        <v/>
      </c>
      <c r="J845" s="460" t="str">
        <f t="shared" ca="1" si="184"/>
        <v/>
      </c>
      <c r="K845" s="460" t="str">
        <f t="shared" ca="1" si="184"/>
        <v/>
      </c>
      <c r="L845" s="460" t="str">
        <f t="shared" ca="1" si="184"/>
        <v/>
      </c>
      <c r="M845" s="460" t="str">
        <f t="shared" ca="1" si="184"/>
        <v/>
      </c>
      <c r="N845" s="460" t="str">
        <f t="shared" ca="1" si="184"/>
        <v/>
      </c>
      <c r="O845" s="461" t="str">
        <f t="shared" ca="1" si="184"/>
        <v/>
      </c>
      <c r="P845" s="474" t="str">
        <f t="shared" ca="1" si="184"/>
        <v/>
      </c>
      <c r="Q845" s="475" t="str">
        <f t="shared" ca="1" si="184"/>
        <v/>
      </c>
      <c r="R845" s="476">
        <f ca="1">IF(OR($BG$2=0,$AR845=""),,IF($AR845="本月合计",IF(ROW()=$BG$3,SUM($R$6:$R844),SUM(INDIRECT("$R$"&amp;OFFSET($AU$3,,MATCH(ROW(),$AU$3:$BF$3,)-2)+2&amp;":$R"&amp;ROW()-1))),IF($AR845="本年累计",SUMIF($AR$6:$AR845,"本月合计",$R$6:$R844),INDEX(凭证录入!L:L,$AR845))))</f>
        <v>0</v>
      </c>
      <c r="S845" s="459" t="str">
        <f t="shared" ca="1" si="185"/>
        <v/>
      </c>
      <c r="T845" s="460" t="str">
        <f t="shared" ca="1" si="185"/>
        <v/>
      </c>
      <c r="U845" s="460" t="str">
        <f t="shared" ca="1" si="185"/>
        <v/>
      </c>
      <c r="V845" s="460" t="str">
        <f t="shared" ca="1" si="185"/>
        <v/>
      </c>
      <c r="W845" s="460" t="str">
        <f t="shared" ca="1" si="185"/>
        <v/>
      </c>
      <c r="X845" s="460" t="str">
        <f t="shared" ca="1" si="185"/>
        <v/>
      </c>
      <c r="Y845" s="460" t="str">
        <f t="shared" ca="1" si="185"/>
        <v/>
      </c>
      <c r="Z845" s="460" t="str">
        <f t="shared" ca="1" si="185"/>
        <v/>
      </c>
      <c r="AA845" s="461" t="str">
        <f t="shared" ca="1" si="185"/>
        <v/>
      </c>
      <c r="AB845" s="474" t="str">
        <f t="shared" ca="1" si="185"/>
        <v/>
      </c>
      <c r="AC845" s="475" t="str">
        <f t="shared" ca="1" si="185"/>
        <v/>
      </c>
      <c r="AD845" s="477" t="str">
        <f t="shared" ca="1" si="186"/>
        <v/>
      </c>
      <c r="AE845" s="478">
        <f t="shared" ca="1" si="187"/>
        <v>0</v>
      </c>
      <c r="AF845" s="459" t="str">
        <f t="shared" ca="1" si="183"/>
        <v/>
      </c>
      <c r="AG845" s="460" t="str">
        <f t="shared" ca="1" si="183"/>
        <v/>
      </c>
      <c r="AH845" s="460" t="str">
        <f t="shared" ca="1" si="183"/>
        <v/>
      </c>
      <c r="AI845" s="460" t="str">
        <f t="shared" ca="1" si="183"/>
        <v/>
      </c>
      <c r="AJ845" s="460" t="str">
        <f t="shared" ca="1" si="183"/>
        <v/>
      </c>
      <c r="AK845" s="460" t="str">
        <f t="shared" ca="1" si="183"/>
        <v/>
      </c>
      <c r="AL845" s="460" t="str">
        <f t="shared" ca="1" si="183"/>
        <v/>
      </c>
      <c r="AM845" s="460" t="str">
        <f t="shared" ca="1" si="183"/>
        <v/>
      </c>
      <c r="AN845" s="461" t="str">
        <f t="shared" ca="1" si="183"/>
        <v/>
      </c>
      <c r="AO845" s="474" t="str">
        <f t="shared" ca="1" si="183"/>
        <v/>
      </c>
      <c r="AP845" s="475" t="str">
        <f t="shared" ca="1" si="183"/>
        <v/>
      </c>
      <c r="AQ845" s="479" t="str">
        <f t="array" aca="1" ref="AQ845" ca="1">IF(ROW()-5&lt;=COUNTIF(科目编号,$AR$2),SMALL(IF(科目编号=$AR$2,ROW(科目编号),""),ROW()-5),"")</f>
        <v/>
      </c>
      <c r="AR845" s="480" t="str">
        <f ca="1">IF($BG$2=0,"",IF(AR844="本月合计","本年累计",IF(OR(ROW()=$AU$3,ROW()=$AV$3,ROW()=$AW$3,ROW()=$AX$3,ROW()=$AY$3,ROW()=$AZ$3,ROW()=$BA$3,ROW()=$BB$3,ROW()=$BC$3,ROW()=$BD$3,ROW()=$BE$3,ROW()=$BF$3),"本月合计",IF(ROW()&lt;7,$AQ$6,OFFSET($AQ$6,COUNT($AR$6:AR844),0)))))</f>
        <v/>
      </c>
    </row>
    <row r="846" spans="1:44">
      <c r="A846" s="469" t="str">
        <f ca="1">IFERROR(INDEX(凭证录入!A:A,$AR846),"")</f>
        <v/>
      </c>
      <c r="B846" s="469" t="str">
        <f ca="1">IFERROR(INDEX(凭证录入!B:B,$AR846),"")</f>
        <v/>
      </c>
      <c r="C846" s="470" t="str">
        <f ca="1">IFERROR(INDEX(凭证录入!G:G,$AR846),"")</f>
        <v/>
      </c>
      <c r="D846" s="471" t="str">
        <f ca="1">IFERROR(INDEX(凭证录入!F:F,$AR846),"")</f>
        <v/>
      </c>
      <c r="E846" s="472" t="str">
        <f ca="1">IFERROR(INDEX(凭证录入!H:H,$AR846),$AR846)</f>
        <v/>
      </c>
      <c r="F846" s="473">
        <f ca="1">IF(OR($BG$2=0,$AR846=""),,IF($AR846="本月合计",IF(ROW()=$BG$3,SUM($F$6:$F845),SUM(INDIRECT("$F$"&amp;OFFSET($AU$3,,MATCH(ROW(),$AU$3:$BF$3,)-2)+2&amp;":$E"&amp;ROW()-1))),IF($AR846="本年累计",SUMIF($AR$6:$AR846,"本月合计",$F$6:$F845),INDEX(凭证录入!K:K,$AR846))))</f>
        <v>0</v>
      </c>
      <c r="G846" s="459" t="str">
        <f t="shared" ca="1" si="184"/>
        <v/>
      </c>
      <c r="H846" s="460" t="str">
        <f t="shared" ca="1" si="184"/>
        <v/>
      </c>
      <c r="I846" s="460" t="str">
        <f t="shared" ca="1" si="184"/>
        <v/>
      </c>
      <c r="J846" s="460" t="str">
        <f t="shared" ca="1" si="184"/>
        <v/>
      </c>
      <c r="K846" s="460" t="str">
        <f t="shared" ca="1" si="184"/>
        <v/>
      </c>
      <c r="L846" s="460" t="str">
        <f t="shared" ca="1" si="184"/>
        <v/>
      </c>
      <c r="M846" s="460" t="str">
        <f t="shared" ca="1" si="184"/>
        <v/>
      </c>
      <c r="N846" s="460" t="str">
        <f t="shared" ca="1" si="184"/>
        <v/>
      </c>
      <c r="O846" s="461" t="str">
        <f t="shared" ca="1" si="184"/>
        <v/>
      </c>
      <c r="P846" s="474" t="str">
        <f t="shared" ca="1" si="184"/>
        <v/>
      </c>
      <c r="Q846" s="475" t="str">
        <f t="shared" ca="1" si="184"/>
        <v/>
      </c>
      <c r="R846" s="476">
        <f ca="1">IF(OR($BG$2=0,$AR846=""),,IF($AR846="本月合计",IF(ROW()=$BG$3,SUM($R$6:$R845),SUM(INDIRECT("$R$"&amp;OFFSET($AU$3,,MATCH(ROW(),$AU$3:$BF$3,)-2)+2&amp;":$R"&amp;ROW()-1))),IF($AR846="本年累计",SUMIF($AR$6:$AR846,"本月合计",$R$6:$R845),INDEX(凭证录入!L:L,$AR846))))</f>
        <v>0</v>
      </c>
      <c r="S846" s="459" t="str">
        <f t="shared" ca="1" si="185"/>
        <v/>
      </c>
      <c r="T846" s="460" t="str">
        <f t="shared" ca="1" si="185"/>
        <v/>
      </c>
      <c r="U846" s="460" t="str">
        <f t="shared" ca="1" si="185"/>
        <v/>
      </c>
      <c r="V846" s="460" t="str">
        <f t="shared" ca="1" si="185"/>
        <v/>
      </c>
      <c r="W846" s="460" t="str">
        <f t="shared" ca="1" si="185"/>
        <v/>
      </c>
      <c r="X846" s="460" t="str">
        <f t="shared" ca="1" si="185"/>
        <v/>
      </c>
      <c r="Y846" s="460" t="str">
        <f t="shared" ca="1" si="185"/>
        <v/>
      </c>
      <c r="Z846" s="460" t="str">
        <f t="shared" ca="1" si="185"/>
        <v/>
      </c>
      <c r="AA846" s="461" t="str">
        <f t="shared" ca="1" si="185"/>
        <v/>
      </c>
      <c r="AB846" s="474" t="str">
        <f t="shared" ca="1" si="185"/>
        <v/>
      </c>
      <c r="AC846" s="475" t="str">
        <f t="shared" ca="1" si="185"/>
        <v/>
      </c>
      <c r="AD846" s="477" t="str">
        <f t="shared" ca="1" si="186"/>
        <v/>
      </c>
      <c r="AE846" s="478">
        <f t="shared" ca="1" si="187"/>
        <v>0</v>
      </c>
      <c r="AF846" s="459" t="str">
        <f t="shared" ca="1" si="183"/>
        <v/>
      </c>
      <c r="AG846" s="460" t="str">
        <f t="shared" ca="1" si="183"/>
        <v/>
      </c>
      <c r="AH846" s="460" t="str">
        <f t="shared" ca="1" si="183"/>
        <v/>
      </c>
      <c r="AI846" s="460" t="str">
        <f t="shared" ca="1" si="183"/>
        <v/>
      </c>
      <c r="AJ846" s="460" t="str">
        <f t="shared" ca="1" si="183"/>
        <v/>
      </c>
      <c r="AK846" s="460" t="str">
        <f t="shared" ca="1" si="183"/>
        <v/>
      </c>
      <c r="AL846" s="460" t="str">
        <f t="shared" ca="1" si="183"/>
        <v/>
      </c>
      <c r="AM846" s="460" t="str">
        <f t="shared" ca="1" si="183"/>
        <v/>
      </c>
      <c r="AN846" s="461" t="str">
        <f t="shared" ca="1" si="183"/>
        <v/>
      </c>
      <c r="AO846" s="474" t="str">
        <f t="shared" ca="1" si="183"/>
        <v/>
      </c>
      <c r="AP846" s="475" t="str">
        <f t="shared" ca="1" si="183"/>
        <v/>
      </c>
      <c r="AQ846" s="479" t="str">
        <f t="array" aca="1" ref="AQ846" ca="1">IF(ROW()-5&lt;=COUNTIF(科目编号,$AR$2),SMALL(IF(科目编号=$AR$2,ROW(科目编号),""),ROW()-5),"")</f>
        <v/>
      </c>
      <c r="AR846" s="480" t="str">
        <f ca="1">IF($BG$2=0,"",IF(AR845="本月合计","本年累计",IF(OR(ROW()=$AU$3,ROW()=$AV$3,ROW()=$AW$3,ROW()=$AX$3,ROW()=$AY$3,ROW()=$AZ$3,ROW()=$BA$3,ROW()=$BB$3,ROW()=$BC$3,ROW()=$BD$3,ROW()=$BE$3,ROW()=$BF$3),"本月合计",IF(ROW()&lt;7,$AQ$6,OFFSET($AQ$6,COUNT($AR$6:AR845),0)))))</f>
        <v/>
      </c>
    </row>
    <row r="847" spans="1:44">
      <c r="A847" s="469" t="str">
        <f ca="1">IFERROR(INDEX(凭证录入!A:A,$AR847),"")</f>
        <v/>
      </c>
      <c r="B847" s="469" t="str">
        <f ca="1">IFERROR(INDEX(凭证录入!B:B,$AR847),"")</f>
        <v/>
      </c>
      <c r="C847" s="470" t="str">
        <f ca="1">IFERROR(INDEX(凭证录入!G:G,$AR847),"")</f>
        <v/>
      </c>
      <c r="D847" s="471" t="str">
        <f ca="1">IFERROR(INDEX(凭证录入!F:F,$AR847),"")</f>
        <v/>
      </c>
      <c r="E847" s="472" t="str">
        <f ca="1">IFERROR(INDEX(凭证录入!H:H,$AR847),$AR847)</f>
        <v/>
      </c>
      <c r="F847" s="473">
        <f ca="1">IF(OR($BG$2=0,$AR847=""),,IF($AR847="本月合计",IF(ROW()=$BG$3,SUM($F$6:$F846),SUM(INDIRECT("$F$"&amp;OFFSET($AU$3,,MATCH(ROW(),$AU$3:$BF$3,)-2)+2&amp;":$E"&amp;ROW()-1))),IF($AR847="本年累计",SUMIF($AR$6:$AR847,"本月合计",$F$6:$F846),INDEX(凭证录入!K:K,$AR847))))</f>
        <v>0</v>
      </c>
      <c r="G847" s="459" t="str">
        <f t="shared" ca="1" si="184"/>
        <v/>
      </c>
      <c r="H847" s="460" t="str">
        <f t="shared" ca="1" si="184"/>
        <v/>
      </c>
      <c r="I847" s="460" t="str">
        <f t="shared" ca="1" si="184"/>
        <v/>
      </c>
      <c r="J847" s="460" t="str">
        <f t="shared" ca="1" si="184"/>
        <v/>
      </c>
      <c r="K847" s="460" t="str">
        <f t="shared" ca="1" si="184"/>
        <v/>
      </c>
      <c r="L847" s="460" t="str">
        <f t="shared" ca="1" si="184"/>
        <v/>
      </c>
      <c r="M847" s="460" t="str">
        <f t="shared" ca="1" si="184"/>
        <v/>
      </c>
      <c r="N847" s="460" t="str">
        <f t="shared" ca="1" si="184"/>
        <v/>
      </c>
      <c r="O847" s="461" t="str">
        <f t="shared" ca="1" si="184"/>
        <v/>
      </c>
      <c r="P847" s="474" t="str">
        <f t="shared" ca="1" si="184"/>
        <v/>
      </c>
      <c r="Q847" s="475" t="str">
        <f t="shared" ca="1" si="184"/>
        <v/>
      </c>
      <c r="R847" s="476">
        <f ca="1">IF(OR($BG$2=0,$AR847=""),,IF($AR847="本月合计",IF(ROW()=$BG$3,SUM($R$6:$R846),SUM(INDIRECT("$R$"&amp;OFFSET($AU$3,,MATCH(ROW(),$AU$3:$BF$3,)-2)+2&amp;":$R"&amp;ROW()-1))),IF($AR847="本年累计",SUMIF($AR$6:$AR847,"本月合计",$R$6:$R846),INDEX(凭证录入!L:L,$AR847))))</f>
        <v>0</v>
      </c>
      <c r="S847" s="459" t="str">
        <f t="shared" ca="1" si="185"/>
        <v/>
      </c>
      <c r="T847" s="460" t="str">
        <f t="shared" ca="1" si="185"/>
        <v/>
      </c>
      <c r="U847" s="460" t="str">
        <f t="shared" ca="1" si="185"/>
        <v/>
      </c>
      <c r="V847" s="460" t="str">
        <f t="shared" ca="1" si="185"/>
        <v/>
      </c>
      <c r="W847" s="460" t="str">
        <f t="shared" ca="1" si="185"/>
        <v/>
      </c>
      <c r="X847" s="460" t="str">
        <f t="shared" ca="1" si="185"/>
        <v/>
      </c>
      <c r="Y847" s="460" t="str">
        <f t="shared" ca="1" si="185"/>
        <v/>
      </c>
      <c r="Z847" s="460" t="str">
        <f t="shared" ca="1" si="185"/>
        <v/>
      </c>
      <c r="AA847" s="461" t="str">
        <f t="shared" ca="1" si="185"/>
        <v/>
      </c>
      <c r="AB847" s="474" t="str">
        <f t="shared" ca="1" si="185"/>
        <v/>
      </c>
      <c r="AC847" s="475" t="str">
        <f t="shared" ca="1" si="185"/>
        <v/>
      </c>
      <c r="AD847" s="477" t="str">
        <f t="shared" ca="1" si="186"/>
        <v/>
      </c>
      <c r="AE847" s="478">
        <f t="shared" ca="1" si="187"/>
        <v>0</v>
      </c>
      <c r="AF847" s="459" t="str">
        <f t="shared" ca="1" si="183"/>
        <v/>
      </c>
      <c r="AG847" s="460" t="str">
        <f t="shared" ca="1" si="183"/>
        <v/>
      </c>
      <c r="AH847" s="460" t="str">
        <f t="shared" ca="1" si="183"/>
        <v/>
      </c>
      <c r="AI847" s="460" t="str">
        <f t="shared" ca="1" si="183"/>
        <v/>
      </c>
      <c r="AJ847" s="460" t="str">
        <f t="shared" ca="1" si="183"/>
        <v/>
      </c>
      <c r="AK847" s="460" t="str">
        <f t="shared" ca="1" si="183"/>
        <v/>
      </c>
      <c r="AL847" s="460" t="str">
        <f t="shared" ca="1" si="183"/>
        <v/>
      </c>
      <c r="AM847" s="460" t="str">
        <f t="shared" ca="1" si="183"/>
        <v/>
      </c>
      <c r="AN847" s="461" t="str">
        <f t="shared" ca="1" si="183"/>
        <v/>
      </c>
      <c r="AO847" s="474" t="str">
        <f t="shared" ca="1" si="183"/>
        <v/>
      </c>
      <c r="AP847" s="475" t="str">
        <f t="shared" ca="1" si="183"/>
        <v/>
      </c>
      <c r="AQ847" s="479" t="str">
        <f t="array" aca="1" ref="AQ847" ca="1">IF(ROW()-5&lt;=COUNTIF(科目编号,$AR$2),SMALL(IF(科目编号=$AR$2,ROW(科目编号),""),ROW()-5),"")</f>
        <v/>
      </c>
      <c r="AR847" s="480" t="str">
        <f ca="1">IF($BG$2=0,"",IF(AR846="本月合计","本年累计",IF(OR(ROW()=$AU$3,ROW()=$AV$3,ROW()=$AW$3,ROW()=$AX$3,ROW()=$AY$3,ROW()=$AZ$3,ROW()=$BA$3,ROW()=$BB$3,ROW()=$BC$3,ROW()=$BD$3,ROW()=$BE$3,ROW()=$BF$3),"本月合计",IF(ROW()&lt;7,$AQ$6,OFFSET($AQ$6,COUNT($AR$6:AR846),0)))))</f>
        <v/>
      </c>
    </row>
    <row r="848" spans="1:44">
      <c r="A848" s="469" t="str">
        <f ca="1">IFERROR(INDEX(凭证录入!A:A,$AR848),"")</f>
        <v/>
      </c>
      <c r="B848" s="469" t="str">
        <f ca="1">IFERROR(INDEX(凭证录入!B:B,$AR848),"")</f>
        <v/>
      </c>
      <c r="C848" s="470" t="str">
        <f ca="1">IFERROR(INDEX(凭证录入!G:G,$AR848),"")</f>
        <v/>
      </c>
      <c r="D848" s="471" t="str">
        <f ca="1">IFERROR(INDEX(凭证录入!F:F,$AR848),"")</f>
        <v/>
      </c>
      <c r="E848" s="472" t="str">
        <f ca="1">IFERROR(INDEX(凭证录入!H:H,$AR848),$AR848)</f>
        <v/>
      </c>
      <c r="F848" s="473">
        <f ca="1">IF(OR($BG$2=0,$AR848=""),,IF($AR848="本月合计",IF(ROW()=$BG$3,SUM($F$6:$F847),SUM(INDIRECT("$F$"&amp;OFFSET($AU$3,,MATCH(ROW(),$AU$3:$BF$3,)-2)+2&amp;":$E"&amp;ROW()-1))),IF($AR848="本年累计",SUMIF($AR$6:$AR848,"本月合计",$F$6:$F847),INDEX(凭证录入!K:K,$AR848))))</f>
        <v>0</v>
      </c>
      <c r="G848" s="459" t="str">
        <f t="shared" ca="1" si="184"/>
        <v/>
      </c>
      <c r="H848" s="460" t="str">
        <f t="shared" ca="1" si="184"/>
        <v/>
      </c>
      <c r="I848" s="460" t="str">
        <f t="shared" ca="1" si="184"/>
        <v/>
      </c>
      <c r="J848" s="460" t="str">
        <f t="shared" ca="1" si="184"/>
        <v/>
      </c>
      <c r="K848" s="460" t="str">
        <f t="shared" ca="1" si="184"/>
        <v/>
      </c>
      <c r="L848" s="460" t="str">
        <f t="shared" ca="1" si="184"/>
        <v/>
      </c>
      <c r="M848" s="460" t="str">
        <f t="shared" ca="1" si="184"/>
        <v/>
      </c>
      <c r="N848" s="460" t="str">
        <f t="shared" ca="1" si="184"/>
        <v/>
      </c>
      <c r="O848" s="461" t="str">
        <f t="shared" ca="1" si="184"/>
        <v/>
      </c>
      <c r="P848" s="474" t="str">
        <f t="shared" ca="1" si="184"/>
        <v/>
      </c>
      <c r="Q848" s="475" t="str">
        <f t="shared" ca="1" si="184"/>
        <v/>
      </c>
      <c r="R848" s="476">
        <f ca="1">IF(OR($BG$2=0,$AR848=""),,IF($AR848="本月合计",IF(ROW()=$BG$3,SUM($R$6:$R847),SUM(INDIRECT("$R$"&amp;OFFSET($AU$3,,MATCH(ROW(),$AU$3:$BF$3,)-2)+2&amp;":$R"&amp;ROW()-1))),IF($AR848="本年累计",SUMIF($AR$6:$AR848,"本月合计",$R$6:$R847),INDEX(凭证录入!L:L,$AR848))))</f>
        <v>0</v>
      </c>
      <c r="S848" s="459" t="str">
        <f t="shared" ca="1" si="185"/>
        <v/>
      </c>
      <c r="T848" s="460" t="str">
        <f t="shared" ca="1" si="185"/>
        <v/>
      </c>
      <c r="U848" s="460" t="str">
        <f t="shared" ca="1" si="185"/>
        <v/>
      </c>
      <c r="V848" s="460" t="str">
        <f t="shared" ca="1" si="185"/>
        <v/>
      </c>
      <c r="W848" s="460" t="str">
        <f t="shared" ca="1" si="185"/>
        <v/>
      </c>
      <c r="X848" s="460" t="str">
        <f t="shared" ca="1" si="185"/>
        <v/>
      </c>
      <c r="Y848" s="460" t="str">
        <f t="shared" ca="1" si="185"/>
        <v/>
      </c>
      <c r="Z848" s="460" t="str">
        <f t="shared" ca="1" si="185"/>
        <v/>
      </c>
      <c r="AA848" s="461" t="str">
        <f t="shared" ca="1" si="185"/>
        <v/>
      </c>
      <c r="AB848" s="474" t="str">
        <f t="shared" ca="1" si="185"/>
        <v/>
      </c>
      <c r="AC848" s="475" t="str">
        <f t="shared" ca="1" si="185"/>
        <v/>
      </c>
      <c r="AD848" s="477" t="str">
        <f t="shared" ca="1" si="186"/>
        <v/>
      </c>
      <c r="AE848" s="478">
        <f t="shared" ca="1" si="187"/>
        <v>0</v>
      </c>
      <c r="AF848" s="459" t="str">
        <f t="shared" ca="1" si="183"/>
        <v/>
      </c>
      <c r="AG848" s="460" t="str">
        <f t="shared" ca="1" si="183"/>
        <v/>
      </c>
      <c r="AH848" s="460" t="str">
        <f t="shared" ca="1" si="183"/>
        <v/>
      </c>
      <c r="AI848" s="460" t="str">
        <f t="shared" ca="1" si="183"/>
        <v/>
      </c>
      <c r="AJ848" s="460" t="str">
        <f t="shared" ca="1" si="183"/>
        <v/>
      </c>
      <c r="AK848" s="460" t="str">
        <f t="shared" ca="1" si="183"/>
        <v/>
      </c>
      <c r="AL848" s="460" t="str">
        <f t="shared" ca="1" si="183"/>
        <v/>
      </c>
      <c r="AM848" s="460" t="str">
        <f t="shared" ca="1" si="183"/>
        <v/>
      </c>
      <c r="AN848" s="461" t="str">
        <f t="shared" ca="1" si="183"/>
        <v/>
      </c>
      <c r="AO848" s="474" t="str">
        <f t="shared" ca="1" si="183"/>
        <v/>
      </c>
      <c r="AP848" s="475" t="str">
        <f t="shared" ca="1" si="183"/>
        <v/>
      </c>
      <c r="AQ848" s="479" t="str">
        <f t="array" aca="1" ref="AQ848" ca="1">IF(ROW()-5&lt;=COUNTIF(科目编号,$AR$2),SMALL(IF(科目编号=$AR$2,ROW(科目编号),""),ROW()-5),"")</f>
        <v/>
      </c>
      <c r="AR848" s="480" t="str">
        <f ca="1">IF($BG$2=0,"",IF(AR847="本月合计","本年累计",IF(OR(ROW()=$AU$3,ROW()=$AV$3,ROW()=$AW$3,ROW()=$AX$3,ROW()=$AY$3,ROW()=$AZ$3,ROW()=$BA$3,ROW()=$BB$3,ROW()=$BC$3,ROW()=$BD$3,ROW()=$BE$3,ROW()=$BF$3),"本月合计",IF(ROW()&lt;7,$AQ$6,OFFSET($AQ$6,COUNT($AR$6:AR847),0)))))</f>
        <v/>
      </c>
    </row>
    <row r="849" spans="1:44">
      <c r="A849" s="469" t="str">
        <f ca="1">IFERROR(INDEX(凭证录入!A:A,$AR849),"")</f>
        <v/>
      </c>
      <c r="B849" s="469" t="str">
        <f ca="1">IFERROR(INDEX(凭证录入!B:B,$AR849),"")</f>
        <v/>
      </c>
      <c r="C849" s="470" t="str">
        <f ca="1">IFERROR(INDEX(凭证录入!G:G,$AR849),"")</f>
        <v/>
      </c>
      <c r="D849" s="471" t="str">
        <f ca="1">IFERROR(INDEX(凭证录入!F:F,$AR849),"")</f>
        <v/>
      </c>
      <c r="E849" s="472" t="str">
        <f ca="1">IFERROR(INDEX(凭证录入!H:H,$AR849),$AR849)</f>
        <v/>
      </c>
      <c r="F849" s="473">
        <f ca="1">IF(OR($BG$2=0,$AR849=""),,IF($AR849="本月合计",IF(ROW()=$BG$3,SUM($F$6:$F848),SUM(INDIRECT("$F$"&amp;OFFSET($AU$3,,MATCH(ROW(),$AU$3:$BF$3,)-2)+2&amp;":$E"&amp;ROW()-1))),IF($AR849="本年累计",SUMIF($AR$6:$AR849,"本月合计",$F$6:$F848),INDEX(凭证录入!K:K,$AR849))))</f>
        <v>0</v>
      </c>
      <c r="G849" s="459" t="str">
        <f t="shared" ca="1" si="184"/>
        <v/>
      </c>
      <c r="H849" s="460" t="str">
        <f t="shared" ca="1" si="184"/>
        <v/>
      </c>
      <c r="I849" s="460" t="str">
        <f t="shared" ca="1" si="184"/>
        <v/>
      </c>
      <c r="J849" s="460" t="str">
        <f t="shared" ca="1" si="184"/>
        <v/>
      </c>
      <c r="K849" s="460" t="str">
        <f t="shared" ca="1" si="184"/>
        <v/>
      </c>
      <c r="L849" s="460" t="str">
        <f t="shared" ca="1" si="184"/>
        <v/>
      </c>
      <c r="M849" s="460" t="str">
        <f t="shared" ca="1" si="184"/>
        <v/>
      </c>
      <c r="N849" s="460" t="str">
        <f t="shared" ca="1" si="184"/>
        <v/>
      </c>
      <c r="O849" s="461" t="str">
        <f t="shared" ca="1" si="184"/>
        <v/>
      </c>
      <c r="P849" s="474" t="str">
        <f t="shared" ca="1" si="184"/>
        <v/>
      </c>
      <c r="Q849" s="475" t="str">
        <f t="shared" ca="1" si="184"/>
        <v/>
      </c>
      <c r="R849" s="476">
        <f ca="1">IF(OR($BG$2=0,$AR849=""),,IF($AR849="本月合计",IF(ROW()=$BG$3,SUM($R$6:$R848),SUM(INDIRECT("$R$"&amp;OFFSET($AU$3,,MATCH(ROW(),$AU$3:$BF$3,)-2)+2&amp;":$R"&amp;ROW()-1))),IF($AR849="本年累计",SUMIF($AR$6:$AR849,"本月合计",$R$6:$R848),INDEX(凭证录入!L:L,$AR849))))</f>
        <v>0</v>
      </c>
      <c r="S849" s="459" t="str">
        <f t="shared" ca="1" si="185"/>
        <v/>
      </c>
      <c r="T849" s="460" t="str">
        <f t="shared" ca="1" si="185"/>
        <v/>
      </c>
      <c r="U849" s="460" t="str">
        <f t="shared" ca="1" si="185"/>
        <v/>
      </c>
      <c r="V849" s="460" t="str">
        <f t="shared" ca="1" si="185"/>
        <v/>
      </c>
      <c r="W849" s="460" t="str">
        <f t="shared" ca="1" si="185"/>
        <v/>
      </c>
      <c r="X849" s="460" t="str">
        <f t="shared" ca="1" si="185"/>
        <v/>
      </c>
      <c r="Y849" s="460" t="str">
        <f t="shared" ca="1" si="185"/>
        <v/>
      </c>
      <c r="Z849" s="460" t="str">
        <f t="shared" ca="1" si="185"/>
        <v/>
      </c>
      <c r="AA849" s="461" t="str">
        <f t="shared" ca="1" si="185"/>
        <v/>
      </c>
      <c r="AB849" s="474" t="str">
        <f t="shared" ca="1" si="185"/>
        <v/>
      </c>
      <c r="AC849" s="475" t="str">
        <f t="shared" ca="1" si="185"/>
        <v/>
      </c>
      <c r="AD849" s="477" t="str">
        <f t="shared" ca="1" si="186"/>
        <v/>
      </c>
      <c r="AE849" s="478">
        <f t="shared" ca="1" si="187"/>
        <v>0</v>
      </c>
      <c r="AF849" s="459" t="str">
        <f t="shared" ca="1" si="183"/>
        <v/>
      </c>
      <c r="AG849" s="460" t="str">
        <f t="shared" ca="1" si="183"/>
        <v/>
      </c>
      <c r="AH849" s="460" t="str">
        <f t="shared" ca="1" si="183"/>
        <v/>
      </c>
      <c r="AI849" s="460" t="str">
        <f t="shared" ca="1" si="183"/>
        <v/>
      </c>
      <c r="AJ849" s="460" t="str">
        <f t="shared" ca="1" si="183"/>
        <v/>
      </c>
      <c r="AK849" s="460" t="str">
        <f t="shared" ca="1" si="183"/>
        <v/>
      </c>
      <c r="AL849" s="460" t="str">
        <f t="shared" ca="1" si="183"/>
        <v/>
      </c>
      <c r="AM849" s="460" t="str">
        <f t="shared" ca="1" si="183"/>
        <v/>
      </c>
      <c r="AN849" s="461" t="str">
        <f t="shared" ca="1" si="183"/>
        <v/>
      </c>
      <c r="AO849" s="474" t="str">
        <f t="shared" ca="1" si="183"/>
        <v/>
      </c>
      <c r="AP849" s="475" t="str">
        <f t="shared" ca="1" si="183"/>
        <v/>
      </c>
      <c r="AQ849" s="479" t="str">
        <f t="array" aca="1" ref="AQ849" ca="1">IF(ROW()-5&lt;=COUNTIF(科目编号,$AR$2),SMALL(IF(科目编号=$AR$2,ROW(科目编号),""),ROW()-5),"")</f>
        <v/>
      </c>
      <c r="AR849" s="480" t="str">
        <f ca="1">IF($BG$2=0,"",IF(AR848="本月合计","本年累计",IF(OR(ROW()=$AU$3,ROW()=$AV$3,ROW()=$AW$3,ROW()=$AX$3,ROW()=$AY$3,ROW()=$AZ$3,ROW()=$BA$3,ROW()=$BB$3,ROW()=$BC$3,ROW()=$BD$3,ROW()=$BE$3,ROW()=$BF$3),"本月合计",IF(ROW()&lt;7,$AQ$6,OFFSET($AQ$6,COUNT($AR$6:AR848),0)))))</f>
        <v/>
      </c>
    </row>
    <row r="850" spans="1:44">
      <c r="A850" s="469" t="str">
        <f ca="1">IFERROR(INDEX(凭证录入!A:A,$AR850),"")</f>
        <v/>
      </c>
      <c r="B850" s="469" t="str">
        <f ca="1">IFERROR(INDEX(凭证录入!B:B,$AR850),"")</f>
        <v/>
      </c>
      <c r="C850" s="470" t="str">
        <f ca="1">IFERROR(INDEX(凭证录入!G:G,$AR850),"")</f>
        <v/>
      </c>
      <c r="D850" s="471" t="str">
        <f ca="1">IFERROR(INDEX(凭证录入!F:F,$AR850),"")</f>
        <v/>
      </c>
      <c r="E850" s="472" t="str">
        <f ca="1">IFERROR(INDEX(凭证录入!H:H,$AR850),$AR850)</f>
        <v/>
      </c>
      <c r="F850" s="473">
        <f ca="1">IF(OR($BG$2=0,$AR850=""),,IF($AR850="本月合计",IF(ROW()=$BG$3,SUM($F$6:$F849),SUM(INDIRECT("$F$"&amp;OFFSET($AU$3,,MATCH(ROW(),$AU$3:$BF$3,)-2)+2&amp;":$E"&amp;ROW()-1))),IF($AR850="本年累计",SUMIF($AR$6:$AR850,"本月合计",$F$6:$F849),INDEX(凭证录入!K:K,$AR850))))</f>
        <v>0</v>
      </c>
      <c r="G850" s="459" t="str">
        <f t="shared" ca="1" si="184"/>
        <v/>
      </c>
      <c r="H850" s="460" t="str">
        <f t="shared" ca="1" si="184"/>
        <v/>
      </c>
      <c r="I850" s="460" t="str">
        <f t="shared" ca="1" si="184"/>
        <v/>
      </c>
      <c r="J850" s="460" t="str">
        <f t="shared" ca="1" si="184"/>
        <v/>
      </c>
      <c r="K850" s="460" t="str">
        <f t="shared" ca="1" si="184"/>
        <v/>
      </c>
      <c r="L850" s="460" t="str">
        <f t="shared" ca="1" si="184"/>
        <v/>
      </c>
      <c r="M850" s="460" t="str">
        <f t="shared" ca="1" si="184"/>
        <v/>
      </c>
      <c r="N850" s="460" t="str">
        <f t="shared" ca="1" si="184"/>
        <v/>
      </c>
      <c r="O850" s="461" t="str">
        <f t="shared" ca="1" si="184"/>
        <v/>
      </c>
      <c r="P850" s="474" t="str">
        <f t="shared" ca="1" si="184"/>
        <v/>
      </c>
      <c r="Q850" s="475" t="str">
        <f t="shared" ca="1" si="184"/>
        <v/>
      </c>
      <c r="R850" s="476">
        <f ca="1">IF(OR($BG$2=0,$AR850=""),,IF($AR850="本月合计",IF(ROW()=$BG$3,SUM($R$6:$R849),SUM(INDIRECT("$R$"&amp;OFFSET($AU$3,,MATCH(ROW(),$AU$3:$BF$3,)-2)+2&amp;":$R"&amp;ROW()-1))),IF($AR850="本年累计",SUMIF($AR$6:$AR850,"本月合计",$R$6:$R849),INDEX(凭证录入!L:L,$AR850))))</f>
        <v>0</v>
      </c>
      <c r="S850" s="459" t="str">
        <f t="shared" ca="1" si="185"/>
        <v/>
      </c>
      <c r="T850" s="460" t="str">
        <f t="shared" ca="1" si="185"/>
        <v/>
      </c>
      <c r="U850" s="460" t="str">
        <f t="shared" ca="1" si="185"/>
        <v/>
      </c>
      <c r="V850" s="460" t="str">
        <f t="shared" ca="1" si="185"/>
        <v/>
      </c>
      <c r="W850" s="460" t="str">
        <f t="shared" ca="1" si="185"/>
        <v/>
      </c>
      <c r="X850" s="460" t="str">
        <f t="shared" ca="1" si="185"/>
        <v/>
      </c>
      <c r="Y850" s="460" t="str">
        <f t="shared" ca="1" si="185"/>
        <v/>
      </c>
      <c r="Z850" s="460" t="str">
        <f t="shared" ca="1" si="185"/>
        <v/>
      </c>
      <c r="AA850" s="461" t="str">
        <f t="shared" ca="1" si="185"/>
        <v/>
      </c>
      <c r="AB850" s="474" t="str">
        <f t="shared" ca="1" si="185"/>
        <v/>
      </c>
      <c r="AC850" s="475" t="str">
        <f t="shared" ca="1" si="185"/>
        <v/>
      </c>
      <c r="AD850" s="477" t="str">
        <f t="shared" ca="1" si="186"/>
        <v/>
      </c>
      <c r="AE850" s="478">
        <f t="shared" ca="1" si="187"/>
        <v>0</v>
      </c>
      <c r="AF850" s="459" t="str">
        <f t="shared" ca="1" si="183"/>
        <v/>
      </c>
      <c r="AG850" s="460" t="str">
        <f t="shared" ca="1" si="183"/>
        <v/>
      </c>
      <c r="AH850" s="460" t="str">
        <f t="shared" ca="1" si="183"/>
        <v/>
      </c>
      <c r="AI850" s="460" t="str">
        <f t="shared" ca="1" si="183"/>
        <v/>
      </c>
      <c r="AJ850" s="460" t="str">
        <f t="shared" ca="1" si="183"/>
        <v/>
      </c>
      <c r="AK850" s="460" t="str">
        <f t="shared" ca="1" si="183"/>
        <v/>
      </c>
      <c r="AL850" s="460" t="str">
        <f t="shared" ca="1" si="183"/>
        <v/>
      </c>
      <c r="AM850" s="460" t="str">
        <f t="shared" ca="1" si="183"/>
        <v/>
      </c>
      <c r="AN850" s="461" t="str">
        <f t="shared" ca="1" si="183"/>
        <v/>
      </c>
      <c r="AO850" s="474" t="str">
        <f t="shared" ca="1" si="183"/>
        <v/>
      </c>
      <c r="AP850" s="475" t="str">
        <f t="shared" ca="1" si="183"/>
        <v/>
      </c>
      <c r="AQ850" s="479" t="str">
        <f t="array" aca="1" ref="AQ850" ca="1">IF(ROW()-5&lt;=COUNTIF(科目编号,$AR$2),SMALL(IF(科目编号=$AR$2,ROW(科目编号),""),ROW()-5),"")</f>
        <v/>
      </c>
      <c r="AR850" s="480" t="str">
        <f ca="1">IF($BG$2=0,"",IF(AR849="本月合计","本年累计",IF(OR(ROW()=$AU$3,ROW()=$AV$3,ROW()=$AW$3,ROW()=$AX$3,ROW()=$AY$3,ROW()=$AZ$3,ROW()=$BA$3,ROW()=$BB$3,ROW()=$BC$3,ROW()=$BD$3,ROW()=$BE$3,ROW()=$BF$3),"本月合计",IF(ROW()&lt;7,$AQ$6,OFFSET($AQ$6,COUNT($AR$6:AR849),0)))))</f>
        <v/>
      </c>
    </row>
    <row r="851" spans="1:44">
      <c r="A851" s="469" t="str">
        <f ca="1">IFERROR(INDEX(凭证录入!A:A,$AR851),"")</f>
        <v/>
      </c>
      <c r="B851" s="469" t="str">
        <f ca="1">IFERROR(INDEX(凭证录入!B:B,$AR851),"")</f>
        <v/>
      </c>
      <c r="C851" s="470" t="str">
        <f ca="1">IFERROR(INDEX(凭证录入!G:G,$AR851),"")</f>
        <v/>
      </c>
      <c r="D851" s="471" t="str">
        <f ca="1">IFERROR(INDEX(凭证录入!F:F,$AR851),"")</f>
        <v/>
      </c>
      <c r="E851" s="472" t="str">
        <f ca="1">IFERROR(INDEX(凭证录入!H:H,$AR851),$AR851)</f>
        <v/>
      </c>
      <c r="F851" s="473">
        <f ca="1">IF(OR($BG$2=0,$AR851=""),,IF($AR851="本月合计",IF(ROW()=$BG$3,SUM($F$6:$F850),SUM(INDIRECT("$F$"&amp;OFFSET($AU$3,,MATCH(ROW(),$AU$3:$BF$3,)-2)+2&amp;":$E"&amp;ROW()-1))),IF($AR851="本年累计",SUMIF($AR$6:$AR851,"本月合计",$F$6:$F850),INDEX(凭证录入!K:K,$AR851))))</f>
        <v>0</v>
      </c>
      <c r="G851" s="459" t="str">
        <f t="shared" ca="1" si="184"/>
        <v/>
      </c>
      <c r="H851" s="460" t="str">
        <f t="shared" ca="1" si="184"/>
        <v/>
      </c>
      <c r="I851" s="460" t="str">
        <f t="shared" ca="1" si="184"/>
        <v/>
      </c>
      <c r="J851" s="460" t="str">
        <f t="shared" ca="1" si="184"/>
        <v/>
      </c>
      <c r="K851" s="460" t="str">
        <f t="shared" ca="1" si="184"/>
        <v/>
      </c>
      <c r="L851" s="460" t="str">
        <f t="shared" ca="1" si="184"/>
        <v/>
      </c>
      <c r="M851" s="460" t="str">
        <f t="shared" ca="1" si="184"/>
        <v/>
      </c>
      <c r="N851" s="460" t="str">
        <f t="shared" ca="1" si="184"/>
        <v/>
      </c>
      <c r="O851" s="461" t="str">
        <f t="shared" ca="1" si="184"/>
        <v/>
      </c>
      <c r="P851" s="474" t="str">
        <f t="shared" ca="1" si="184"/>
        <v/>
      </c>
      <c r="Q851" s="475" t="str">
        <f t="shared" ca="1" si="184"/>
        <v/>
      </c>
      <c r="R851" s="476">
        <f ca="1">IF(OR($BG$2=0,$AR851=""),,IF($AR851="本月合计",IF(ROW()=$BG$3,SUM($R$6:$R850),SUM(INDIRECT("$R$"&amp;OFFSET($AU$3,,MATCH(ROW(),$AU$3:$BF$3,)-2)+2&amp;":$R"&amp;ROW()-1))),IF($AR851="本年累计",SUMIF($AR$6:$AR851,"本月合计",$R$6:$R850),INDEX(凭证录入!L:L,$AR851))))</f>
        <v>0</v>
      </c>
      <c r="S851" s="459" t="str">
        <f t="shared" ca="1" si="185"/>
        <v/>
      </c>
      <c r="T851" s="460" t="str">
        <f t="shared" ca="1" si="185"/>
        <v/>
      </c>
      <c r="U851" s="460" t="str">
        <f t="shared" ca="1" si="185"/>
        <v/>
      </c>
      <c r="V851" s="460" t="str">
        <f t="shared" ca="1" si="185"/>
        <v/>
      </c>
      <c r="W851" s="460" t="str">
        <f t="shared" ca="1" si="185"/>
        <v/>
      </c>
      <c r="X851" s="460" t="str">
        <f t="shared" ca="1" si="185"/>
        <v/>
      </c>
      <c r="Y851" s="460" t="str">
        <f t="shared" ca="1" si="185"/>
        <v/>
      </c>
      <c r="Z851" s="460" t="str">
        <f t="shared" ca="1" si="185"/>
        <v/>
      </c>
      <c r="AA851" s="461" t="str">
        <f t="shared" ca="1" si="185"/>
        <v/>
      </c>
      <c r="AB851" s="474" t="str">
        <f t="shared" ca="1" si="185"/>
        <v/>
      </c>
      <c r="AC851" s="475" t="str">
        <f t="shared" ca="1" si="185"/>
        <v/>
      </c>
      <c r="AD851" s="477" t="str">
        <f t="shared" ca="1" si="186"/>
        <v/>
      </c>
      <c r="AE851" s="478">
        <f t="shared" ca="1" si="187"/>
        <v>0</v>
      </c>
      <c r="AF851" s="459" t="str">
        <f t="shared" ca="1" si="183"/>
        <v/>
      </c>
      <c r="AG851" s="460" t="str">
        <f t="shared" ca="1" si="183"/>
        <v/>
      </c>
      <c r="AH851" s="460" t="str">
        <f t="shared" ca="1" si="183"/>
        <v/>
      </c>
      <c r="AI851" s="460" t="str">
        <f t="shared" ca="1" si="183"/>
        <v/>
      </c>
      <c r="AJ851" s="460" t="str">
        <f t="shared" ca="1" si="183"/>
        <v/>
      </c>
      <c r="AK851" s="460" t="str">
        <f t="shared" ca="1" si="183"/>
        <v/>
      </c>
      <c r="AL851" s="460" t="str">
        <f t="shared" ca="1" si="183"/>
        <v/>
      </c>
      <c r="AM851" s="460" t="str">
        <f t="shared" ca="1" si="183"/>
        <v/>
      </c>
      <c r="AN851" s="461" t="str">
        <f t="shared" ca="1" si="183"/>
        <v/>
      </c>
      <c r="AO851" s="474" t="str">
        <f t="shared" ca="1" si="183"/>
        <v/>
      </c>
      <c r="AP851" s="475" t="str">
        <f t="shared" ca="1" si="183"/>
        <v/>
      </c>
      <c r="AQ851" s="479" t="str">
        <f t="array" aca="1" ref="AQ851" ca="1">IF(ROW()-5&lt;=COUNTIF(科目编号,$AR$2),SMALL(IF(科目编号=$AR$2,ROW(科目编号),""),ROW()-5),"")</f>
        <v/>
      </c>
      <c r="AR851" s="480" t="str">
        <f ca="1">IF($BG$2=0,"",IF(AR850="本月合计","本年累计",IF(OR(ROW()=$AU$3,ROW()=$AV$3,ROW()=$AW$3,ROW()=$AX$3,ROW()=$AY$3,ROW()=$AZ$3,ROW()=$BA$3,ROW()=$BB$3,ROW()=$BC$3,ROW()=$BD$3,ROW()=$BE$3,ROW()=$BF$3),"本月合计",IF(ROW()&lt;7,$AQ$6,OFFSET($AQ$6,COUNT($AR$6:AR850),0)))))</f>
        <v/>
      </c>
    </row>
    <row r="852" spans="1:44">
      <c r="A852" s="469" t="str">
        <f ca="1">IFERROR(INDEX(凭证录入!A:A,$AR852),"")</f>
        <v/>
      </c>
      <c r="B852" s="469" t="str">
        <f ca="1">IFERROR(INDEX(凭证录入!B:B,$AR852),"")</f>
        <v/>
      </c>
      <c r="C852" s="470" t="str">
        <f ca="1">IFERROR(INDEX(凭证录入!G:G,$AR852),"")</f>
        <v/>
      </c>
      <c r="D852" s="471" t="str">
        <f ca="1">IFERROR(INDEX(凭证录入!F:F,$AR852),"")</f>
        <v/>
      </c>
      <c r="E852" s="472" t="str">
        <f ca="1">IFERROR(INDEX(凭证录入!H:H,$AR852),$AR852)</f>
        <v/>
      </c>
      <c r="F852" s="473">
        <f ca="1">IF(OR($BG$2=0,$AR852=""),,IF($AR852="本月合计",IF(ROW()=$BG$3,SUM($F$6:$F851),SUM(INDIRECT("$F$"&amp;OFFSET($AU$3,,MATCH(ROW(),$AU$3:$BF$3,)-2)+2&amp;":$E"&amp;ROW()-1))),IF($AR852="本年累计",SUMIF($AR$6:$AR852,"本月合计",$F$6:$F851),INDEX(凭证录入!K:K,$AR852))))</f>
        <v>0</v>
      </c>
      <c r="G852" s="459" t="str">
        <f t="shared" ca="1" si="184"/>
        <v/>
      </c>
      <c r="H852" s="460" t="str">
        <f t="shared" ca="1" si="184"/>
        <v/>
      </c>
      <c r="I852" s="460" t="str">
        <f t="shared" ca="1" si="184"/>
        <v/>
      </c>
      <c r="J852" s="460" t="str">
        <f t="shared" ca="1" si="184"/>
        <v/>
      </c>
      <c r="K852" s="460" t="str">
        <f t="shared" ca="1" si="184"/>
        <v/>
      </c>
      <c r="L852" s="460" t="str">
        <f t="shared" ca="1" si="184"/>
        <v/>
      </c>
      <c r="M852" s="460" t="str">
        <f t="shared" ca="1" si="184"/>
        <v/>
      </c>
      <c r="N852" s="460" t="str">
        <f t="shared" ca="1" si="184"/>
        <v/>
      </c>
      <c r="O852" s="461" t="str">
        <f t="shared" ca="1" si="184"/>
        <v/>
      </c>
      <c r="P852" s="474" t="str">
        <f t="shared" ca="1" si="184"/>
        <v/>
      </c>
      <c r="Q852" s="475" t="str">
        <f t="shared" ca="1" si="184"/>
        <v/>
      </c>
      <c r="R852" s="476">
        <f ca="1">IF(OR($BG$2=0,$AR852=""),,IF($AR852="本月合计",IF(ROW()=$BG$3,SUM($R$6:$R851),SUM(INDIRECT("$R$"&amp;OFFSET($AU$3,,MATCH(ROW(),$AU$3:$BF$3,)-2)+2&amp;":$R"&amp;ROW()-1))),IF($AR852="本年累计",SUMIF($AR$6:$AR852,"本月合计",$R$6:$R851),INDEX(凭证录入!L:L,$AR852))))</f>
        <v>0</v>
      </c>
      <c r="S852" s="459" t="str">
        <f t="shared" ca="1" si="185"/>
        <v/>
      </c>
      <c r="T852" s="460" t="str">
        <f t="shared" ca="1" si="185"/>
        <v/>
      </c>
      <c r="U852" s="460" t="str">
        <f t="shared" ca="1" si="185"/>
        <v/>
      </c>
      <c r="V852" s="460" t="str">
        <f t="shared" ca="1" si="185"/>
        <v/>
      </c>
      <c r="W852" s="460" t="str">
        <f t="shared" ca="1" si="185"/>
        <v/>
      </c>
      <c r="X852" s="460" t="str">
        <f t="shared" ca="1" si="185"/>
        <v/>
      </c>
      <c r="Y852" s="460" t="str">
        <f t="shared" ca="1" si="185"/>
        <v/>
      </c>
      <c r="Z852" s="460" t="str">
        <f t="shared" ca="1" si="185"/>
        <v/>
      </c>
      <c r="AA852" s="461" t="str">
        <f t="shared" ca="1" si="185"/>
        <v/>
      </c>
      <c r="AB852" s="474" t="str">
        <f t="shared" ca="1" si="185"/>
        <v/>
      </c>
      <c r="AC852" s="475" t="str">
        <f t="shared" ca="1" si="185"/>
        <v/>
      </c>
      <c r="AD852" s="477" t="str">
        <f t="shared" ca="1" si="186"/>
        <v/>
      </c>
      <c r="AE852" s="478">
        <f t="shared" ca="1" si="187"/>
        <v>0</v>
      </c>
      <c r="AF852" s="459" t="str">
        <f t="shared" ca="1" si="183"/>
        <v/>
      </c>
      <c r="AG852" s="460" t="str">
        <f t="shared" ca="1" si="183"/>
        <v/>
      </c>
      <c r="AH852" s="460" t="str">
        <f t="shared" ca="1" si="183"/>
        <v/>
      </c>
      <c r="AI852" s="460" t="str">
        <f t="shared" ca="1" si="183"/>
        <v/>
      </c>
      <c r="AJ852" s="460" t="str">
        <f t="shared" ca="1" si="183"/>
        <v/>
      </c>
      <c r="AK852" s="460" t="str">
        <f t="shared" ca="1" si="183"/>
        <v/>
      </c>
      <c r="AL852" s="460" t="str">
        <f t="shared" ca="1" si="183"/>
        <v/>
      </c>
      <c r="AM852" s="460" t="str">
        <f t="shared" ca="1" si="183"/>
        <v/>
      </c>
      <c r="AN852" s="461" t="str">
        <f t="shared" ca="1" si="183"/>
        <v/>
      </c>
      <c r="AO852" s="474" t="str">
        <f t="shared" ca="1" si="183"/>
        <v/>
      </c>
      <c r="AP852" s="475" t="str">
        <f t="shared" ca="1" si="183"/>
        <v/>
      </c>
      <c r="AQ852" s="479" t="str">
        <f t="array" aca="1" ref="AQ852" ca="1">IF(ROW()-5&lt;=COUNTIF(科目编号,$AR$2),SMALL(IF(科目编号=$AR$2,ROW(科目编号),""),ROW()-5),"")</f>
        <v/>
      </c>
      <c r="AR852" s="480" t="str">
        <f ca="1">IF($BG$2=0,"",IF(AR851="本月合计","本年累计",IF(OR(ROW()=$AU$3,ROW()=$AV$3,ROW()=$AW$3,ROW()=$AX$3,ROW()=$AY$3,ROW()=$AZ$3,ROW()=$BA$3,ROW()=$BB$3,ROW()=$BC$3,ROW()=$BD$3,ROW()=$BE$3,ROW()=$BF$3),"本月合计",IF(ROW()&lt;7,$AQ$6,OFFSET($AQ$6,COUNT($AR$6:AR851),0)))))</f>
        <v/>
      </c>
    </row>
    <row r="853" spans="1:44">
      <c r="A853" s="469" t="str">
        <f ca="1">IFERROR(INDEX(凭证录入!A:A,$AR853),"")</f>
        <v/>
      </c>
      <c r="B853" s="469" t="str">
        <f ca="1">IFERROR(INDEX(凭证录入!B:B,$AR853),"")</f>
        <v/>
      </c>
      <c r="C853" s="470" t="str">
        <f ca="1">IFERROR(INDEX(凭证录入!G:G,$AR853),"")</f>
        <v/>
      </c>
      <c r="D853" s="471" t="str">
        <f ca="1">IFERROR(INDEX(凭证录入!F:F,$AR853),"")</f>
        <v/>
      </c>
      <c r="E853" s="472" t="str">
        <f ca="1">IFERROR(INDEX(凭证录入!H:H,$AR853),$AR853)</f>
        <v/>
      </c>
      <c r="F853" s="473">
        <f ca="1">IF(OR($BG$2=0,$AR853=""),,IF($AR853="本月合计",IF(ROW()=$BG$3,SUM($F$6:$F852),SUM(INDIRECT("$F$"&amp;OFFSET($AU$3,,MATCH(ROW(),$AU$3:$BF$3,)-2)+2&amp;":$E"&amp;ROW()-1))),IF($AR853="本年累计",SUMIF($AR$6:$AR853,"本月合计",$F$6:$F852),INDEX(凭证录入!K:K,$AR853))))</f>
        <v>0</v>
      </c>
      <c r="G853" s="459" t="str">
        <f t="shared" ca="1" si="184"/>
        <v/>
      </c>
      <c r="H853" s="460" t="str">
        <f t="shared" ca="1" si="184"/>
        <v/>
      </c>
      <c r="I853" s="460" t="str">
        <f t="shared" ca="1" si="184"/>
        <v/>
      </c>
      <c r="J853" s="460" t="str">
        <f t="shared" ca="1" si="184"/>
        <v/>
      </c>
      <c r="K853" s="460" t="str">
        <f t="shared" ca="1" si="184"/>
        <v/>
      </c>
      <c r="L853" s="460" t="str">
        <f t="shared" ca="1" si="184"/>
        <v/>
      </c>
      <c r="M853" s="460" t="str">
        <f t="shared" ca="1" si="184"/>
        <v/>
      </c>
      <c r="N853" s="460" t="str">
        <f t="shared" ca="1" si="184"/>
        <v/>
      </c>
      <c r="O853" s="461" t="str">
        <f t="shared" ca="1" si="184"/>
        <v/>
      </c>
      <c r="P853" s="474" t="str">
        <f t="shared" ca="1" si="184"/>
        <v/>
      </c>
      <c r="Q853" s="475" t="str">
        <f t="shared" ca="1" si="184"/>
        <v/>
      </c>
      <c r="R853" s="476">
        <f ca="1">IF(OR($BG$2=0,$AR853=""),,IF($AR853="本月合计",IF(ROW()=$BG$3,SUM($R$6:$R852),SUM(INDIRECT("$R$"&amp;OFFSET($AU$3,,MATCH(ROW(),$AU$3:$BF$3,)-2)+2&amp;":$R"&amp;ROW()-1))),IF($AR853="本年累计",SUMIF($AR$6:$AR853,"本月合计",$R$6:$R852),INDEX(凭证录入!L:L,$AR853))))</f>
        <v>0</v>
      </c>
      <c r="S853" s="459" t="str">
        <f t="shared" ca="1" si="185"/>
        <v/>
      </c>
      <c r="T853" s="460" t="str">
        <f t="shared" ca="1" si="185"/>
        <v/>
      </c>
      <c r="U853" s="460" t="str">
        <f t="shared" ca="1" si="185"/>
        <v/>
      </c>
      <c r="V853" s="460" t="str">
        <f t="shared" ca="1" si="185"/>
        <v/>
      </c>
      <c r="W853" s="460" t="str">
        <f t="shared" ca="1" si="185"/>
        <v/>
      </c>
      <c r="X853" s="460" t="str">
        <f t="shared" ca="1" si="185"/>
        <v/>
      </c>
      <c r="Y853" s="460" t="str">
        <f t="shared" ca="1" si="185"/>
        <v/>
      </c>
      <c r="Z853" s="460" t="str">
        <f t="shared" ca="1" si="185"/>
        <v/>
      </c>
      <c r="AA853" s="461" t="str">
        <f t="shared" ca="1" si="185"/>
        <v/>
      </c>
      <c r="AB853" s="474" t="str">
        <f t="shared" ca="1" si="185"/>
        <v/>
      </c>
      <c r="AC853" s="475" t="str">
        <f t="shared" ca="1" si="185"/>
        <v/>
      </c>
      <c r="AD853" s="477" t="str">
        <f t="shared" ca="1" si="186"/>
        <v/>
      </c>
      <c r="AE853" s="478">
        <f t="shared" ca="1" si="187"/>
        <v>0</v>
      </c>
      <c r="AF853" s="459" t="str">
        <f t="shared" ref="AF853:AP868" ca="1" si="188">LEFT(RIGHT(TEXT($AE853/1%," ￥0; ￥-0;"),43-COLUMN()))</f>
        <v/>
      </c>
      <c r="AG853" s="460" t="str">
        <f t="shared" ca="1" si="188"/>
        <v/>
      </c>
      <c r="AH853" s="460" t="str">
        <f t="shared" ca="1" si="188"/>
        <v/>
      </c>
      <c r="AI853" s="460" t="str">
        <f t="shared" ca="1" si="188"/>
        <v/>
      </c>
      <c r="AJ853" s="460" t="str">
        <f t="shared" ca="1" si="188"/>
        <v/>
      </c>
      <c r="AK853" s="460" t="str">
        <f t="shared" ca="1" si="188"/>
        <v/>
      </c>
      <c r="AL853" s="460" t="str">
        <f t="shared" ca="1" si="188"/>
        <v/>
      </c>
      <c r="AM853" s="460" t="str">
        <f t="shared" ca="1" si="188"/>
        <v/>
      </c>
      <c r="AN853" s="461" t="str">
        <f t="shared" ca="1" si="188"/>
        <v/>
      </c>
      <c r="AO853" s="474" t="str">
        <f t="shared" ca="1" si="188"/>
        <v/>
      </c>
      <c r="AP853" s="475" t="str">
        <f t="shared" ca="1" si="188"/>
        <v/>
      </c>
      <c r="AQ853" s="479" t="str">
        <f t="array" aca="1" ref="AQ853" ca="1">IF(ROW()-5&lt;=COUNTIF(科目编号,$AR$2),SMALL(IF(科目编号=$AR$2,ROW(科目编号),""),ROW()-5),"")</f>
        <v/>
      </c>
      <c r="AR853" s="480" t="str">
        <f ca="1">IF($BG$2=0,"",IF(AR852="本月合计","本年累计",IF(OR(ROW()=$AU$3,ROW()=$AV$3,ROW()=$AW$3,ROW()=$AX$3,ROW()=$AY$3,ROW()=$AZ$3,ROW()=$BA$3,ROW()=$BB$3,ROW()=$BC$3,ROW()=$BD$3,ROW()=$BE$3,ROW()=$BF$3),"本月合计",IF(ROW()&lt;7,$AQ$6,OFFSET($AQ$6,COUNT($AR$6:AR852),0)))))</f>
        <v/>
      </c>
    </row>
    <row r="854" spans="1:44">
      <c r="A854" s="469" t="str">
        <f ca="1">IFERROR(INDEX(凭证录入!A:A,$AR854),"")</f>
        <v/>
      </c>
      <c r="B854" s="469" t="str">
        <f ca="1">IFERROR(INDEX(凭证录入!B:B,$AR854),"")</f>
        <v/>
      </c>
      <c r="C854" s="470" t="str">
        <f ca="1">IFERROR(INDEX(凭证录入!G:G,$AR854),"")</f>
        <v/>
      </c>
      <c r="D854" s="471" t="str">
        <f ca="1">IFERROR(INDEX(凭证录入!F:F,$AR854),"")</f>
        <v/>
      </c>
      <c r="E854" s="472" t="str">
        <f ca="1">IFERROR(INDEX(凭证录入!H:H,$AR854),$AR854)</f>
        <v/>
      </c>
      <c r="F854" s="473">
        <f ca="1">IF(OR($BG$2=0,$AR854=""),,IF($AR854="本月合计",IF(ROW()=$BG$3,SUM($F$6:$F853),SUM(INDIRECT("$F$"&amp;OFFSET($AU$3,,MATCH(ROW(),$AU$3:$BF$3,)-2)+2&amp;":$E"&amp;ROW()-1))),IF($AR854="本年累计",SUMIF($AR$6:$AR854,"本月合计",$F$6:$F853),INDEX(凭证录入!K:K,$AR854))))</f>
        <v>0</v>
      </c>
      <c r="G854" s="459" t="str">
        <f t="shared" ref="G854:Q869" ca="1" si="189">LEFT(RIGHT(TEXT($F854/1%," ￥0; ￥-0;"),18-COLUMN()))</f>
        <v/>
      </c>
      <c r="H854" s="460" t="str">
        <f t="shared" ca="1" si="189"/>
        <v/>
      </c>
      <c r="I854" s="460" t="str">
        <f t="shared" ca="1" si="189"/>
        <v/>
      </c>
      <c r="J854" s="460" t="str">
        <f t="shared" ca="1" si="189"/>
        <v/>
      </c>
      <c r="K854" s="460" t="str">
        <f t="shared" ca="1" si="189"/>
        <v/>
      </c>
      <c r="L854" s="460" t="str">
        <f t="shared" ca="1" si="189"/>
        <v/>
      </c>
      <c r="M854" s="460" t="str">
        <f t="shared" ca="1" si="189"/>
        <v/>
      </c>
      <c r="N854" s="460" t="str">
        <f t="shared" ca="1" si="189"/>
        <v/>
      </c>
      <c r="O854" s="461" t="str">
        <f t="shared" ca="1" si="189"/>
        <v/>
      </c>
      <c r="P854" s="474" t="str">
        <f t="shared" ca="1" si="189"/>
        <v/>
      </c>
      <c r="Q854" s="475" t="str">
        <f t="shared" ca="1" si="189"/>
        <v/>
      </c>
      <c r="R854" s="476">
        <f ca="1">IF(OR($BG$2=0,$AR854=""),,IF($AR854="本月合计",IF(ROW()=$BG$3,SUM($R$6:$R853),SUM(INDIRECT("$R$"&amp;OFFSET($AU$3,,MATCH(ROW(),$AU$3:$BF$3,)-2)+2&amp;":$R"&amp;ROW()-1))),IF($AR854="本年累计",SUMIF($AR$6:$AR854,"本月合计",$R$6:$R853),INDEX(凭证录入!L:L,$AR854))))</f>
        <v>0</v>
      </c>
      <c r="S854" s="459" t="str">
        <f t="shared" ref="S854:AC869" ca="1" si="190">LEFT(RIGHT(TEXT($R854/1%," ￥0; ￥-0;"),30-COLUMN()))</f>
        <v/>
      </c>
      <c r="T854" s="460" t="str">
        <f t="shared" ca="1" si="190"/>
        <v/>
      </c>
      <c r="U854" s="460" t="str">
        <f t="shared" ca="1" si="190"/>
        <v/>
      </c>
      <c r="V854" s="460" t="str">
        <f t="shared" ca="1" si="190"/>
        <v/>
      </c>
      <c r="W854" s="460" t="str">
        <f t="shared" ca="1" si="190"/>
        <v/>
      </c>
      <c r="X854" s="460" t="str">
        <f t="shared" ca="1" si="190"/>
        <v/>
      </c>
      <c r="Y854" s="460" t="str">
        <f t="shared" ca="1" si="190"/>
        <v/>
      </c>
      <c r="Z854" s="460" t="str">
        <f t="shared" ca="1" si="190"/>
        <v/>
      </c>
      <c r="AA854" s="461" t="str">
        <f t="shared" ca="1" si="190"/>
        <v/>
      </c>
      <c r="AB854" s="474" t="str">
        <f t="shared" ca="1" si="190"/>
        <v/>
      </c>
      <c r="AC854" s="475" t="str">
        <f t="shared" ca="1" si="190"/>
        <v/>
      </c>
      <c r="AD854" s="477" t="str">
        <f t="shared" ca="1" si="186"/>
        <v/>
      </c>
      <c r="AE854" s="478">
        <f t="shared" ca="1" si="187"/>
        <v>0</v>
      </c>
      <c r="AF854" s="459" t="str">
        <f t="shared" ca="1" si="188"/>
        <v/>
      </c>
      <c r="AG854" s="460" t="str">
        <f t="shared" ca="1" si="188"/>
        <v/>
      </c>
      <c r="AH854" s="460" t="str">
        <f t="shared" ca="1" si="188"/>
        <v/>
      </c>
      <c r="AI854" s="460" t="str">
        <f t="shared" ca="1" si="188"/>
        <v/>
      </c>
      <c r="AJ854" s="460" t="str">
        <f t="shared" ca="1" si="188"/>
        <v/>
      </c>
      <c r="AK854" s="460" t="str">
        <f t="shared" ca="1" si="188"/>
        <v/>
      </c>
      <c r="AL854" s="460" t="str">
        <f t="shared" ca="1" si="188"/>
        <v/>
      </c>
      <c r="AM854" s="460" t="str">
        <f t="shared" ca="1" si="188"/>
        <v/>
      </c>
      <c r="AN854" s="461" t="str">
        <f t="shared" ca="1" si="188"/>
        <v/>
      </c>
      <c r="AO854" s="474" t="str">
        <f t="shared" ca="1" si="188"/>
        <v/>
      </c>
      <c r="AP854" s="475" t="str">
        <f t="shared" ca="1" si="188"/>
        <v/>
      </c>
      <c r="AQ854" s="479" t="str">
        <f t="array" aca="1" ref="AQ854" ca="1">IF(ROW()-5&lt;=COUNTIF(科目编号,$AR$2),SMALL(IF(科目编号=$AR$2,ROW(科目编号),""),ROW()-5),"")</f>
        <v/>
      </c>
      <c r="AR854" s="480" t="str">
        <f ca="1">IF($BG$2=0,"",IF(AR853="本月合计","本年累计",IF(OR(ROW()=$AU$3,ROW()=$AV$3,ROW()=$AW$3,ROW()=$AX$3,ROW()=$AY$3,ROW()=$AZ$3,ROW()=$BA$3,ROW()=$BB$3,ROW()=$BC$3,ROW()=$BD$3,ROW()=$BE$3,ROW()=$BF$3),"本月合计",IF(ROW()&lt;7,$AQ$6,OFFSET($AQ$6,COUNT($AR$6:AR853),0)))))</f>
        <v/>
      </c>
    </row>
    <row r="855" spans="1:44">
      <c r="A855" s="469" t="str">
        <f ca="1">IFERROR(INDEX(凭证录入!A:A,$AR855),"")</f>
        <v/>
      </c>
      <c r="B855" s="469" t="str">
        <f ca="1">IFERROR(INDEX(凭证录入!B:B,$AR855),"")</f>
        <v/>
      </c>
      <c r="C855" s="470" t="str">
        <f ca="1">IFERROR(INDEX(凭证录入!G:G,$AR855),"")</f>
        <v/>
      </c>
      <c r="D855" s="471" t="str">
        <f ca="1">IFERROR(INDEX(凭证录入!F:F,$AR855),"")</f>
        <v/>
      </c>
      <c r="E855" s="472" t="str">
        <f ca="1">IFERROR(INDEX(凭证录入!H:H,$AR855),$AR855)</f>
        <v/>
      </c>
      <c r="F855" s="473">
        <f ca="1">IF(OR($BG$2=0,$AR855=""),,IF($AR855="本月合计",IF(ROW()=$BG$3,SUM($F$6:$F854),SUM(INDIRECT("$F$"&amp;OFFSET($AU$3,,MATCH(ROW(),$AU$3:$BF$3,)-2)+2&amp;":$E"&amp;ROW()-1))),IF($AR855="本年累计",SUMIF($AR$6:$AR855,"本月合计",$F$6:$F854),INDEX(凭证录入!K:K,$AR855))))</f>
        <v>0</v>
      </c>
      <c r="G855" s="459" t="str">
        <f t="shared" ca="1" si="189"/>
        <v/>
      </c>
      <c r="H855" s="460" t="str">
        <f t="shared" ca="1" si="189"/>
        <v/>
      </c>
      <c r="I855" s="460" t="str">
        <f t="shared" ca="1" si="189"/>
        <v/>
      </c>
      <c r="J855" s="460" t="str">
        <f t="shared" ca="1" si="189"/>
        <v/>
      </c>
      <c r="K855" s="460" t="str">
        <f t="shared" ca="1" si="189"/>
        <v/>
      </c>
      <c r="L855" s="460" t="str">
        <f t="shared" ca="1" si="189"/>
        <v/>
      </c>
      <c r="M855" s="460" t="str">
        <f t="shared" ca="1" si="189"/>
        <v/>
      </c>
      <c r="N855" s="460" t="str">
        <f t="shared" ca="1" si="189"/>
        <v/>
      </c>
      <c r="O855" s="461" t="str">
        <f t="shared" ca="1" si="189"/>
        <v/>
      </c>
      <c r="P855" s="474" t="str">
        <f t="shared" ca="1" si="189"/>
        <v/>
      </c>
      <c r="Q855" s="475" t="str">
        <f t="shared" ca="1" si="189"/>
        <v/>
      </c>
      <c r="R855" s="476">
        <f ca="1">IF(OR($BG$2=0,$AR855=""),,IF($AR855="本月合计",IF(ROW()=$BG$3,SUM($R$6:$R854),SUM(INDIRECT("$R$"&amp;OFFSET($AU$3,,MATCH(ROW(),$AU$3:$BF$3,)-2)+2&amp;":$R"&amp;ROW()-1))),IF($AR855="本年累计",SUMIF($AR$6:$AR855,"本月合计",$R$6:$R854),INDEX(凭证录入!L:L,$AR855))))</f>
        <v>0</v>
      </c>
      <c r="S855" s="459" t="str">
        <f t="shared" ca="1" si="190"/>
        <v/>
      </c>
      <c r="T855" s="460" t="str">
        <f t="shared" ca="1" si="190"/>
        <v/>
      </c>
      <c r="U855" s="460" t="str">
        <f t="shared" ca="1" si="190"/>
        <v/>
      </c>
      <c r="V855" s="460" t="str">
        <f t="shared" ca="1" si="190"/>
        <v/>
      </c>
      <c r="W855" s="460" t="str">
        <f t="shared" ca="1" si="190"/>
        <v/>
      </c>
      <c r="X855" s="460" t="str">
        <f t="shared" ca="1" si="190"/>
        <v/>
      </c>
      <c r="Y855" s="460" t="str">
        <f t="shared" ca="1" si="190"/>
        <v/>
      </c>
      <c r="Z855" s="460" t="str">
        <f t="shared" ca="1" si="190"/>
        <v/>
      </c>
      <c r="AA855" s="461" t="str">
        <f t="shared" ca="1" si="190"/>
        <v/>
      </c>
      <c r="AB855" s="474" t="str">
        <f t="shared" ca="1" si="190"/>
        <v/>
      </c>
      <c r="AC855" s="475" t="str">
        <f t="shared" ca="1" si="190"/>
        <v/>
      </c>
      <c r="AD855" s="477" t="str">
        <f t="shared" ca="1" si="186"/>
        <v/>
      </c>
      <c r="AE855" s="478">
        <f t="shared" ca="1" si="187"/>
        <v>0</v>
      </c>
      <c r="AF855" s="459" t="str">
        <f t="shared" ca="1" si="188"/>
        <v/>
      </c>
      <c r="AG855" s="460" t="str">
        <f t="shared" ca="1" si="188"/>
        <v/>
      </c>
      <c r="AH855" s="460" t="str">
        <f t="shared" ca="1" si="188"/>
        <v/>
      </c>
      <c r="AI855" s="460" t="str">
        <f t="shared" ca="1" si="188"/>
        <v/>
      </c>
      <c r="AJ855" s="460" t="str">
        <f t="shared" ca="1" si="188"/>
        <v/>
      </c>
      <c r="AK855" s="460" t="str">
        <f t="shared" ca="1" si="188"/>
        <v/>
      </c>
      <c r="AL855" s="460" t="str">
        <f t="shared" ca="1" si="188"/>
        <v/>
      </c>
      <c r="AM855" s="460" t="str">
        <f t="shared" ca="1" si="188"/>
        <v/>
      </c>
      <c r="AN855" s="461" t="str">
        <f t="shared" ca="1" si="188"/>
        <v/>
      </c>
      <c r="AO855" s="474" t="str">
        <f t="shared" ca="1" si="188"/>
        <v/>
      </c>
      <c r="AP855" s="475" t="str">
        <f t="shared" ca="1" si="188"/>
        <v/>
      </c>
      <c r="AQ855" s="479" t="str">
        <f t="array" aca="1" ref="AQ855" ca="1">IF(ROW()-5&lt;=COUNTIF(科目编号,$AR$2),SMALL(IF(科目编号=$AR$2,ROW(科目编号),""),ROW()-5),"")</f>
        <v/>
      </c>
      <c r="AR855" s="480" t="str">
        <f ca="1">IF($BG$2=0,"",IF(AR854="本月合计","本年累计",IF(OR(ROW()=$AU$3,ROW()=$AV$3,ROW()=$AW$3,ROW()=$AX$3,ROW()=$AY$3,ROW()=$AZ$3,ROW()=$BA$3,ROW()=$BB$3,ROW()=$BC$3,ROW()=$BD$3,ROW()=$BE$3,ROW()=$BF$3),"本月合计",IF(ROW()&lt;7,$AQ$6,OFFSET($AQ$6,COUNT($AR$6:AR854),0)))))</f>
        <v/>
      </c>
    </row>
    <row r="856" spans="1:44">
      <c r="A856" s="469" t="str">
        <f ca="1">IFERROR(INDEX(凭证录入!A:A,$AR856),"")</f>
        <v/>
      </c>
      <c r="B856" s="469" t="str">
        <f ca="1">IFERROR(INDEX(凭证录入!B:B,$AR856),"")</f>
        <v/>
      </c>
      <c r="C856" s="470" t="str">
        <f ca="1">IFERROR(INDEX(凭证录入!G:G,$AR856),"")</f>
        <v/>
      </c>
      <c r="D856" s="471" t="str">
        <f ca="1">IFERROR(INDEX(凭证录入!F:F,$AR856),"")</f>
        <v/>
      </c>
      <c r="E856" s="472" t="str">
        <f ca="1">IFERROR(INDEX(凭证录入!H:H,$AR856),$AR856)</f>
        <v/>
      </c>
      <c r="F856" s="473">
        <f ca="1">IF(OR($BG$2=0,$AR856=""),,IF($AR856="本月合计",IF(ROW()=$BG$3,SUM($F$6:$F855),SUM(INDIRECT("$F$"&amp;OFFSET($AU$3,,MATCH(ROW(),$AU$3:$BF$3,)-2)+2&amp;":$E"&amp;ROW()-1))),IF($AR856="本年累计",SUMIF($AR$6:$AR856,"本月合计",$F$6:$F855),INDEX(凭证录入!K:K,$AR856))))</f>
        <v>0</v>
      </c>
      <c r="G856" s="459" t="str">
        <f t="shared" ca="1" si="189"/>
        <v/>
      </c>
      <c r="H856" s="460" t="str">
        <f t="shared" ca="1" si="189"/>
        <v/>
      </c>
      <c r="I856" s="460" t="str">
        <f t="shared" ca="1" si="189"/>
        <v/>
      </c>
      <c r="J856" s="460" t="str">
        <f t="shared" ca="1" si="189"/>
        <v/>
      </c>
      <c r="K856" s="460" t="str">
        <f t="shared" ca="1" si="189"/>
        <v/>
      </c>
      <c r="L856" s="460" t="str">
        <f t="shared" ca="1" si="189"/>
        <v/>
      </c>
      <c r="M856" s="460" t="str">
        <f t="shared" ca="1" si="189"/>
        <v/>
      </c>
      <c r="N856" s="460" t="str">
        <f t="shared" ca="1" si="189"/>
        <v/>
      </c>
      <c r="O856" s="461" t="str">
        <f t="shared" ca="1" si="189"/>
        <v/>
      </c>
      <c r="P856" s="474" t="str">
        <f t="shared" ca="1" si="189"/>
        <v/>
      </c>
      <c r="Q856" s="475" t="str">
        <f t="shared" ca="1" si="189"/>
        <v/>
      </c>
      <c r="R856" s="476">
        <f ca="1">IF(OR($BG$2=0,$AR856=""),,IF($AR856="本月合计",IF(ROW()=$BG$3,SUM($R$6:$R855),SUM(INDIRECT("$R$"&amp;OFFSET($AU$3,,MATCH(ROW(),$AU$3:$BF$3,)-2)+2&amp;":$R"&amp;ROW()-1))),IF($AR856="本年累计",SUMIF($AR$6:$AR856,"本月合计",$R$6:$R855),INDEX(凭证录入!L:L,$AR856))))</f>
        <v>0</v>
      </c>
      <c r="S856" s="459" t="str">
        <f t="shared" ca="1" si="190"/>
        <v/>
      </c>
      <c r="T856" s="460" t="str">
        <f t="shared" ca="1" si="190"/>
        <v/>
      </c>
      <c r="U856" s="460" t="str">
        <f t="shared" ca="1" si="190"/>
        <v/>
      </c>
      <c r="V856" s="460" t="str">
        <f t="shared" ca="1" si="190"/>
        <v/>
      </c>
      <c r="W856" s="460" t="str">
        <f t="shared" ca="1" si="190"/>
        <v/>
      </c>
      <c r="X856" s="460" t="str">
        <f t="shared" ca="1" si="190"/>
        <v/>
      </c>
      <c r="Y856" s="460" t="str">
        <f t="shared" ca="1" si="190"/>
        <v/>
      </c>
      <c r="Z856" s="460" t="str">
        <f t="shared" ca="1" si="190"/>
        <v/>
      </c>
      <c r="AA856" s="461" t="str">
        <f t="shared" ca="1" si="190"/>
        <v/>
      </c>
      <c r="AB856" s="474" t="str">
        <f t="shared" ca="1" si="190"/>
        <v/>
      </c>
      <c r="AC856" s="475" t="str">
        <f t="shared" ca="1" si="190"/>
        <v/>
      </c>
      <c r="AD856" s="477" t="str">
        <f t="shared" ca="1" si="186"/>
        <v/>
      </c>
      <c r="AE856" s="478">
        <f t="shared" ca="1" si="187"/>
        <v>0</v>
      </c>
      <c r="AF856" s="459" t="str">
        <f t="shared" ca="1" si="188"/>
        <v/>
      </c>
      <c r="AG856" s="460" t="str">
        <f t="shared" ca="1" si="188"/>
        <v/>
      </c>
      <c r="AH856" s="460" t="str">
        <f t="shared" ca="1" si="188"/>
        <v/>
      </c>
      <c r="AI856" s="460" t="str">
        <f t="shared" ca="1" si="188"/>
        <v/>
      </c>
      <c r="AJ856" s="460" t="str">
        <f t="shared" ca="1" si="188"/>
        <v/>
      </c>
      <c r="AK856" s="460" t="str">
        <f t="shared" ca="1" si="188"/>
        <v/>
      </c>
      <c r="AL856" s="460" t="str">
        <f t="shared" ca="1" si="188"/>
        <v/>
      </c>
      <c r="AM856" s="460" t="str">
        <f t="shared" ca="1" si="188"/>
        <v/>
      </c>
      <c r="AN856" s="461" t="str">
        <f t="shared" ca="1" si="188"/>
        <v/>
      </c>
      <c r="AO856" s="474" t="str">
        <f t="shared" ca="1" si="188"/>
        <v/>
      </c>
      <c r="AP856" s="475" t="str">
        <f t="shared" ca="1" si="188"/>
        <v/>
      </c>
      <c r="AQ856" s="479" t="str">
        <f t="array" aca="1" ref="AQ856" ca="1">IF(ROW()-5&lt;=COUNTIF(科目编号,$AR$2),SMALL(IF(科目编号=$AR$2,ROW(科目编号),""),ROW()-5),"")</f>
        <v/>
      </c>
      <c r="AR856" s="480" t="str">
        <f ca="1">IF($BG$2=0,"",IF(AR855="本月合计","本年累计",IF(OR(ROW()=$AU$3,ROW()=$AV$3,ROW()=$AW$3,ROW()=$AX$3,ROW()=$AY$3,ROW()=$AZ$3,ROW()=$BA$3,ROW()=$BB$3,ROW()=$BC$3,ROW()=$BD$3,ROW()=$BE$3,ROW()=$BF$3),"本月合计",IF(ROW()&lt;7,$AQ$6,OFFSET($AQ$6,COUNT($AR$6:AR855),0)))))</f>
        <v/>
      </c>
    </row>
    <row r="857" spans="1:44">
      <c r="A857" s="469" t="str">
        <f ca="1">IFERROR(INDEX(凭证录入!A:A,$AR857),"")</f>
        <v/>
      </c>
      <c r="B857" s="469" t="str">
        <f ca="1">IFERROR(INDEX(凭证录入!B:B,$AR857),"")</f>
        <v/>
      </c>
      <c r="C857" s="470" t="str">
        <f ca="1">IFERROR(INDEX(凭证录入!G:G,$AR857),"")</f>
        <v/>
      </c>
      <c r="D857" s="471" t="str">
        <f ca="1">IFERROR(INDEX(凭证录入!F:F,$AR857),"")</f>
        <v/>
      </c>
      <c r="E857" s="472" t="str">
        <f ca="1">IFERROR(INDEX(凭证录入!H:H,$AR857),$AR857)</f>
        <v/>
      </c>
      <c r="F857" s="473">
        <f ca="1">IF(OR($BG$2=0,$AR857=""),,IF($AR857="本月合计",IF(ROW()=$BG$3,SUM($F$6:$F856),SUM(INDIRECT("$F$"&amp;OFFSET($AU$3,,MATCH(ROW(),$AU$3:$BF$3,)-2)+2&amp;":$E"&amp;ROW()-1))),IF($AR857="本年累计",SUMIF($AR$6:$AR857,"本月合计",$F$6:$F856),INDEX(凭证录入!K:K,$AR857))))</f>
        <v>0</v>
      </c>
      <c r="G857" s="459" t="str">
        <f t="shared" ca="1" si="189"/>
        <v/>
      </c>
      <c r="H857" s="460" t="str">
        <f t="shared" ca="1" si="189"/>
        <v/>
      </c>
      <c r="I857" s="460" t="str">
        <f t="shared" ca="1" si="189"/>
        <v/>
      </c>
      <c r="J857" s="460" t="str">
        <f t="shared" ca="1" si="189"/>
        <v/>
      </c>
      <c r="K857" s="460" t="str">
        <f t="shared" ca="1" si="189"/>
        <v/>
      </c>
      <c r="L857" s="460" t="str">
        <f t="shared" ca="1" si="189"/>
        <v/>
      </c>
      <c r="M857" s="460" t="str">
        <f t="shared" ca="1" si="189"/>
        <v/>
      </c>
      <c r="N857" s="460" t="str">
        <f t="shared" ca="1" si="189"/>
        <v/>
      </c>
      <c r="O857" s="461" t="str">
        <f t="shared" ca="1" si="189"/>
        <v/>
      </c>
      <c r="P857" s="474" t="str">
        <f t="shared" ca="1" si="189"/>
        <v/>
      </c>
      <c r="Q857" s="475" t="str">
        <f t="shared" ca="1" si="189"/>
        <v/>
      </c>
      <c r="R857" s="476">
        <f ca="1">IF(OR($BG$2=0,$AR857=""),,IF($AR857="本月合计",IF(ROW()=$BG$3,SUM($R$6:$R856),SUM(INDIRECT("$R$"&amp;OFFSET($AU$3,,MATCH(ROW(),$AU$3:$BF$3,)-2)+2&amp;":$R"&amp;ROW()-1))),IF($AR857="本年累计",SUMIF($AR$6:$AR857,"本月合计",$R$6:$R856),INDEX(凭证录入!L:L,$AR857))))</f>
        <v>0</v>
      </c>
      <c r="S857" s="459" t="str">
        <f t="shared" ca="1" si="190"/>
        <v/>
      </c>
      <c r="T857" s="460" t="str">
        <f t="shared" ca="1" si="190"/>
        <v/>
      </c>
      <c r="U857" s="460" t="str">
        <f t="shared" ca="1" si="190"/>
        <v/>
      </c>
      <c r="V857" s="460" t="str">
        <f t="shared" ca="1" si="190"/>
        <v/>
      </c>
      <c r="W857" s="460" t="str">
        <f t="shared" ca="1" si="190"/>
        <v/>
      </c>
      <c r="X857" s="460" t="str">
        <f t="shared" ca="1" si="190"/>
        <v/>
      </c>
      <c r="Y857" s="460" t="str">
        <f t="shared" ca="1" si="190"/>
        <v/>
      </c>
      <c r="Z857" s="460" t="str">
        <f t="shared" ca="1" si="190"/>
        <v/>
      </c>
      <c r="AA857" s="461" t="str">
        <f t="shared" ca="1" si="190"/>
        <v/>
      </c>
      <c r="AB857" s="474" t="str">
        <f t="shared" ca="1" si="190"/>
        <v/>
      </c>
      <c r="AC857" s="475" t="str">
        <f t="shared" ca="1" si="190"/>
        <v/>
      </c>
      <c r="AD857" s="477" t="str">
        <f t="shared" ca="1" si="186"/>
        <v/>
      </c>
      <c r="AE857" s="478">
        <f t="shared" ca="1" si="187"/>
        <v>0</v>
      </c>
      <c r="AF857" s="459" t="str">
        <f t="shared" ca="1" si="188"/>
        <v/>
      </c>
      <c r="AG857" s="460" t="str">
        <f t="shared" ca="1" si="188"/>
        <v/>
      </c>
      <c r="AH857" s="460" t="str">
        <f t="shared" ca="1" si="188"/>
        <v/>
      </c>
      <c r="AI857" s="460" t="str">
        <f t="shared" ca="1" si="188"/>
        <v/>
      </c>
      <c r="AJ857" s="460" t="str">
        <f t="shared" ca="1" si="188"/>
        <v/>
      </c>
      <c r="AK857" s="460" t="str">
        <f t="shared" ca="1" si="188"/>
        <v/>
      </c>
      <c r="AL857" s="460" t="str">
        <f t="shared" ca="1" si="188"/>
        <v/>
      </c>
      <c r="AM857" s="460" t="str">
        <f t="shared" ca="1" si="188"/>
        <v/>
      </c>
      <c r="AN857" s="461" t="str">
        <f t="shared" ca="1" si="188"/>
        <v/>
      </c>
      <c r="AO857" s="474" t="str">
        <f t="shared" ca="1" si="188"/>
        <v/>
      </c>
      <c r="AP857" s="475" t="str">
        <f t="shared" ca="1" si="188"/>
        <v/>
      </c>
      <c r="AQ857" s="479" t="str">
        <f t="array" aca="1" ref="AQ857" ca="1">IF(ROW()-5&lt;=COUNTIF(科目编号,$AR$2),SMALL(IF(科目编号=$AR$2,ROW(科目编号),""),ROW()-5),"")</f>
        <v/>
      </c>
      <c r="AR857" s="480" t="str">
        <f ca="1">IF($BG$2=0,"",IF(AR856="本月合计","本年累计",IF(OR(ROW()=$AU$3,ROW()=$AV$3,ROW()=$AW$3,ROW()=$AX$3,ROW()=$AY$3,ROW()=$AZ$3,ROW()=$BA$3,ROW()=$BB$3,ROW()=$BC$3,ROW()=$BD$3,ROW()=$BE$3,ROW()=$BF$3),"本月合计",IF(ROW()&lt;7,$AQ$6,OFFSET($AQ$6,COUNT($AR$6:AR856),0)))))</f>
        <v/>
      </c>
    </row>
    <row r="858" spans="1:44">
      <c r="A858" s="469" t="str">
        <f ca="1">IFERROR(INDEX(凭证录入!A:A,$AR858),"")</f>
        <v/>
      </c>
      <c r="B858" s="469" t="str">
        <f ca="1">IFERROR(INDEX(凭证录入!B:B,$AR858),"")</f>
        <v/>
      </c>
      <c r="C858" s="470" t="str">
        <f ca="1">IFERROR(INDEX(凭证录入!G:G,$AR858),"")</f>
        <v/>
      </c>
      <c r="D858" s="471" t="str">
        <f ca="1">IFERROR(INDEX(凭证录入!F:F,$AR858),"")</f>
        <v/>
      </c>
      <c r="E858" s="472" t="str">
        <f ca="1">IFERROR(INDEX(凭证录入!H:H,$AR858),$AR858)</f>
        <v/>
      </c>
      <c r="F858" s="473">
        <f ca="1">IF(OR($BG$2=0,$AR858=""),,IF($AR858="本月合计",IF(ROW()=$BG$3,SUM($F$6:$F857),SUM(INDIRECT("$F$"&amp;OFFSET($AU$3,,MATCH(ROW(),$AU$3:$BF$3,)-2)+2&amp;":$E"&amp;ROW()-1))),IF($AR858="本年累计",SUMIF($AR$6:$AR858,"本月合计",$F$6:$F857),INDEX(凭证录入!K:K,$AR858))))</f>
        <v>0</v>
      </c>
      <c r="G858" s="459" t="str">
        <f t="shared" ca="1" si="189"/>
        <v/>
      </c>
      <c r="H858" s="460" t="str">
        <f t="shared" ca="1" si="189"/>
        <v/>
      </c>
      <c r="I858" s="460" t="str">
        <f t="shared" ca="1" si="189"/>
        <v/>
      </c>
      <c r="J858" s="460" t="str">
        <f t="shared" ca="1" si="189"/>
        <v/>
      </c>
      <c r="K858" s="460" t="str">
        <f t="shared" ca="1" si="189"/>
        <v/>
      </c>
      <c r="L858" s="460" t="str">
        <f t="shared" ca="1" si="189"/>
        <v/>
      </c>
      <c r="M858" s="460" t="str">
        <f t="shared" ca="1" si="189"/>
        <v/>
      </c>
      <c r="N858" s="460" t="str">
        <f t="shared" ca="1" si="189"/>
        <v/>
      </c>
      <c r="O858" s="461" t="str">
        <f t="shared" ca="1" si="189"/>
        <v/>
      </c>
      <c r="P858" s="474" t="str">
        <f t="shared" ca="1" si="189"/>
        <v/>
      </c>
      <c r="Q858" s="475" t="str">
        <f t="shared" ca="1" si="189"/>
        <v/>
      </c>
      <c r="R858" s="476">
        <f ca="1">IF(OR($BG$2=0,$AR858=""),,IF($AR858="本月合计",IF(ROW()=$BG$3,SUM($R$6:$R857),SUM(INDIRECT("$R$"&amp;OFFSET($AU$3,,MATCH(ROW(),$AU$3:$BF$3,)-2)+2&amp;":$R"&amp;ROW()-1))),IF($AR858="本年累计",SUMIF($AR$6:$AR858,"本月合计",$R$6:$R857),INDEX(凭证录入!L:L,$AR858))))</f>
        <v>0</v>
      </c>
      <c r="S858" s="459" t="str">
        <f t="shared" ca="1" si="190"/>
        <v/>
      </c>
      <c r="T858" s="460" t="str">
        <f t="shared" ca="1" si="190"/>
        <v/>
      </c>
      <c r="U858" s="460" t="str">
        <f t="shared" ca="1" si="190"/>
        <v/>
      </c>
      <c r="V858" s="460" t="str">
        <f t="shared" ca="1" si="190"/>
        <v/>
      </c>
      <c r="W858" s="460" t="str">
        <f t="shared" ca="1" si="190"/>
        <v/>
      </c>
      <c r="X858" s="460" t="str">
        <f t="shared" ca="1" si="190"/>
        <v/>
      </c>
      <c r="Y858" s="460" t="str">
        <f t="shared" ca="1" si="190"/>
        <v/>
      </c>
      <c r="Z858" s="460" t="str">
        <f t="shared" ca="1" si="190"/>
        <v/>
      </c>
      <c r="AA858" s="461" t="str">
        <f t="shared" ca="1" si="190"/>
        <v/>
      </c>
      <c r="AB858" s="474" t="str">
        <f t="shared" ca="1" si="190"/>
        <v/>
      </c>
      <c r="AC858" s="475" t="str">
        <f t="shared" ca="1" si="190"/>
        <v/>
      </c>
      <c r="AD858" s="477" t="str">
        <f t="shared" ca="1" si="186"/>
        <v/>
      </c>
      <c r="AE858" s="478">
        <f t="shared" ca="1" si="187"/>
        <v>0</v>
      </c>
      <c r="AF858" s="459" t="str">
        <f t="shared" ca="1" si="188"/>
        <v/>
      </c>
      <c r="AG858" s="460" t="str">
        <f t="shared" ca="1" si="188"/>
        <v/>
      </c>
      <c r="AH858" s="460" t="str">
        <f t="shared" ca="1" si="188"/>
        <v/>
      </c>
      <c r="AI858" s="460" t="str">
        <f t="shared" ca="1" si="188"/>
        <v/>
      </c>
      <c r="AJ858" s="460" t="str">
        <f t="shared" ca="1" si="188"/>
        <v/>
      </c>
      <c r="AK858" s="460" t="str">
        <f t="shared" ca="1" si="188"/>
        <v/>
      </c>
      <c r="AL858" s="460" t="str">
        <f t="shared" ca="1" si="188"/>
        <v/>
      </c>
      <c r="AM858" s="460" t="str">
        <f t="shared" ca="1" si="188"/>
        <v/>
      </c>
      <c r="AN858" s="461" t="str">
        <f t="shared" ca="1" si="188"/>
        <v/>
      </c>
      <c r="AO858" s="474" t="str">
        <f t="shared" ca="1" si="188"/>
        <v/>
      </c>
      <c r="AP858" s="475" t="str">
        <f t="shared" ca="1" si="188"/>
        <v/>
      </c>
      <c r="AQ858" s="479" t="str">
        <f t="array" aca="1" ref="AQ858" ca="1">IF(ROW()-5&lt;=COUNTIF(科目编号,$AR$2),SMALL(IF(科目编号=$AR$2,ROW(科目编号),""),ROW()-5),"")</f>
        <v/>
      </c>
      <c r="AR858" s="480" t="str">
        <f ca="1">IF($BG$2=0,"",IF(AR857="本月合计","本年累计",IF(OR(ROW()=$AU$3,ROW()=$AV$3,ROW()=$AW$3,ROW()=$AX$3,ROW()=$AY$3,ROW()=$AZ$3,ROW()=$BA$3,ROW()=$BB$3,ROW()=$BC$3,ROW()=$BD$3,ROW()=$BE$3,ROW()=$BF$3),"本月合计",IF(ROW()&lt;7,$AQ$6,OFFSET($AQ$6,COUNT($AR$6:AR857),0)))))</f>
        <v/>
      </c>
    </row>
    <row r="859" spans="1:44">
      <c r="A859" s="469" t="str">
        <f ca="1">IFERROR(INDEX(凭证录入!A:A,$AR859),"")</f>
        <v/>
      </c>
      <c r="B859" s="469" t="str">
        <f ca="1">IFERROR(INDEX(凭证录入!B:B,$AR859),"")</f>
        <v/>
      </c>
      <c r="C859" s="470" t="str">
        <f ca="1">IFERROR(INDEX(凭证录入!G:G,$AR859),"")</f>
        <v/>
      </c>
      <c r="D859" s="471" t="str">
        <f ca="1">IFERROR(INDEX(凭证录入!F:F,$AR859),"")</f>
        <v/>
      </c>
      <c r="E859" s="472" t="str">
        <f ca="1">IFERROR(INDEX(凭证录入!H:H,$AR859),$AR859)</f>
        <v/>
      </c>
      <c r="F859" s="473">
        <f ca="1">IF(OR($BG$2=0,$AR859=""),,IF($AR859="本月合计",IF(ROW()=$BG$3,SUM($F$6:$F858),SUM(INDIRECT("$F$"&amp;OFFSET($AU$3,,MATCH(ROW(),$AU$3:$BF$3,)-2)+2&amp;":$E"&amp;ROW()-1))),IF($AR859="本年累计",SUMIF($AR$6:$AR859,"本月合计",$F$6:$F858),INDEX(凭证录入!K:K,$AR859))))</f>
        <v>0</v>
      </c>
      <c r="G859" s="459" t="str">
        <f t="shared" ca="1" si="189"/>
        <v/>
      </c>
      <c r="H859" s="460" t="str">
        <f t="shared" ca="1" si="189"/>
        <v/>
      </c>
      <c r="I859" s="460" t="str">
        <f t="shared" ca="1" si="189"/>
        <v/>
      </c>
      <c r="J859" s="460" t="str">
        <f t="shared" ca="1" si="189"/>
        <v/>
      </c>
      <c r="K859" s="460" t="str">
        <f t="shared" ca="1" si="189"/>
        <v/>
      </c>
      <c r="L859" s="460" t="str">
        <f t="shared" ca="1" si="189"/>
        <v/>
      </c>
      <c r="M859" s="460" t="str">
        <f t="shared" ca="1" si="189"/>
        <v/>
      </c>
      <c r="N859" s="460" t="str">
        <f t="shared" ca="1" si="189"/>
        <v/>
      </c>
      <c r="O859" s="461" t="str">
        <f t="shared" ca="1" si="189"/>
        <v/>
      </c>
      <c r="P859" s="474" t="str">
        <f t="shared" ca="1" si="189"/>
        <v/>
      </c>
      <c r="Q859" s="475" t="str">
        <f t="shared" ca="1" si="189"/>
        <v/>
      </c>
      <c r="R859" s="476">
        <f ca="1">IF(OR($BG$2=0,$AR859=""),,IF($AR859="本月合计",IF(ROW()=$BG$3,SUM($R$6:$R858),SUM(INDIRECT("$R$"&amp;OFFSET($AU$3,,MATCH(ROW(),$AU$3:$BF$3,)-2)+2&amp;":$R"&amp;ROW()-1))),IF($AR859="本年累计",SUMIF($AR$6:$AR859,"本月合计",$R$6:$R858),INDEX(凭证录入!L:L,$AR859))))</f>
        <v>0</v>
      </c>
      <c r="S859" s="459" t="str">
        <f t="shared" ca="1" si="190"/>
        <v/>
      </c>
      <c r="T859" s="460" t="str">
        <f t="shared" ca="1" si="190"/>
        <v/>
      </c>
      <c r="U859" s="460" t="str">
        <f t="shared" ca="1" si="190"/>
        <v/>
      </c>
      <c r="V859" s="460" t="str">
        <f t="shared" ca="1" si="190"/>
        <v/>
      </c>
      <c r="W859" s="460" t="str">
        <f t="shared" ca="1" si="190"/>
        <v/>
      </c>
      <c r="X859" s="460" t="str">
        <f t="shared" ca="1" si="190"/>
        <v/>
      </c>
      <c r="Y859" s="460" t="str">
        <f t="shared" ca="1" si="190"/>
        <v/>
      </c>
      <c r="Z859" s="460" t="str">
        <f t="shared" ca="1" si="190"/>
        <v/>
      </c>
      <c r="AA859" s="461" t="str">
        <f t="shared" ca="1" si="190"/>
        <v/>
      </c>
      <c r="AB859" s="474" t="str">
        <f t="shared" ca="1" si="190"/>
        <v/>
      </c>
      <c r="AC859" s="475" t="str">
        <f t="shared" ca="1" si="190"/>
        <v/>
      </c>
      <c r="AD859" s="477" t="str">
        <f t="shared" ca="1" si="186"/>
        <v/>
      </c>
      <c r="AE859" s="478">
        <f t="shared" ca="1" si="187"/>
        <v>0</v>
      </c>
      <c r="AF859" s="459" t="str">
        <f t="shared" ca="1" si="188"/>
        <v/>
      </c>
      <c r="AG859" s="460" t="str">
        <f t="shared" ca="1" si="188"/>
        <v/>
      </c>
      <c r="AH859" s="460" t="str">
        <f t="shared" ca="1" si="188"/>
        <v/>
      </c>
      <c r="AI859" s="460" t="str">
        <f t="shared" ca="1" si="188"/>
        <v/>
      </c>
      <c r="AJ859" s="460" t="str">
        <f t="shared" ca="1" si="188"/>
        <v/>
      </c>
      <c r="AK859" s="460" t="str">
        <f t="shared" ca="1" si="188"/>
        <v/>
      </c>
      <c r="AL859" s="460" t="str">
        <f t="shared" ca="1" si="188"/>
        <v/>
      </c>
      <c r="AM859" s="460" t="str">
        <f t="shared" ca="1" si="188"/>
        <v/>
      </c>
      <c r="AN859" s="461" t="str">
        <f t="shared" ca="1" si="188"/>
        <v/>
      </c>
      <c r="AO859" s="474" t="str">
        <f t="shared" ca="1" si="188"/>
        <v/>
      </c>
      <c r="AP859" s="475" t="str">
        <f t="shared" ca="1" si="188"/>
        <v/>
      </c>
      <c r="AQ859" s="479" t="str">
        <f t="array" aca="1" ref="AQ859" ca="1">IF(ROW()-5&lt;=COUNTIF(科目编号,$AR$2),SMALL(IF(科目编号=$AR$2,ROW(科目编号),""),ROW()-5),"")</f>
        <v/>
      </c>
      <c r="AR859" s="480" t="str">
        <f ca="1">IF($BG$2=0,"",IF(AR858="本月合计","本年累计",IF(OR(ROW()=$AU$3,ROW()=$AV$3,ROW()=$AW$3,ROW()=$AX$3,ROW()=$AY$3,ROW()=$AZ$3,ROW()=$BA$3,ROW()=$BB$3,ROW()=$BC$3,ROW()=$BD$3,ROW()=$BE$3,ROW()=$BF$3),"本月合计",IF(ROW()&lt;7,$AQ$6,OFFSET($AQ$6,COUNT($AR$6:AR858),0)))))</f>
        <v/>
      </c>
    </row>
    <row r="860" spans="1:44">
      <c r="A860" s="469" t="str">
        <f ca="1">IFERROR(INDEX(凭证录入!A:A,$AR860),"")</f>
        <v/>
      </c>
      <c r="B860" s="469" t="str">
        <f ca="1">IFERROR(INDEX(凭证录入!B:B,$AR860),"")</f>
        <v/>
      </c>
      <c r="C860" s="470" t="str">
        <f ca="1">IFERROR(INDEX(凭证录入!G:G,$AR860),"")</f>
        <v/>
      </c>
      <c r="D860" s="471" t="str">
        <f ca="1">IFERROR(INDEX(凭证录入!F:F,$AR860),"")</f>
        <v/>
      </c>
      <c r="E860" s="472" t="str">
        <f ca="1">IFERROR(INDEX(凭证录入!H:H,$AR860),$AR860)</f>
        <v/>
      </c>
      <c r="F860" s="473">
        <f ca="1">IF(OR($BG$2=0,$AR860=""),,IF($AR860="本月合计",IF(ROW()=$BG$3,SUM($F$6:$F859),SUM(INDIRECT("$F$"&amp;OFFSET($AU$3,,MATCH(ROW(),$AU$3:$BF$3,)-2)+2&amp;":$E"&amp;ROW()-1))),IF($AR860="本年累计",SUMIF($AR$6:$AR860,"本月合计",$F$6:$F859),INDEX(凭证录入!K:K,$AR860))))</f>
        <v>0</v>
      </c>
      <c r="G860" s="459" t="str">
        <f t="shared" ca="1" si="189"/>
        <v/>
      </c>
      <c r="H860" s="460" t="str">
        <f t="shared" ca="1" si="189"/>
        <v/>
      </c>
      <c r="I860" s="460" t="str">
        <f t="shared" ca="1" si="189"/>
        <v/>
      </c>
      <c r="J860" s="460" t="str">
        <f t="shared" ca="1" si="189"/>
        <v/>
      </c>
      <c r="K860" s="460" t="str">
        <f t="shared" ca="1" si="189"/>
        <v/>
      </c>
      <c r="L860" s="460" t="str">
        <f t="shared" ca="1" si="189"/>
        <v/>
      </c>
      <c r="M860" s="460" t="str">
        <f t="shared" ca="1" si="189"/>
        <v/>
      </c>
      <c r="N860" s="460" t="str">
        <f t="shared" ca="1" si="189"/>
        <v/>
      </c>
      <c r="O860" s="461" t="str">
        <f t="shared" ca="1" si="189"/>
        <v/>
      </c>
      <c r="P860" s="474" t="str">
        <f t="shared" ca="1" si="189"/>
        <v/>
      </c>
      <c r="Q860" s="475" t="str">
        <f t="shared" ca="1" si="189"/>
        <v/>
      </c>
      <c r="R860" s="476">
        <f ca="1">IF(OR($BG$2=0,$AR860=""),,IF($AR860="本月合计",IF(ROW()=$BG$3,SUM($R$6:$R859),SUM(INDIRECT("$R$"&amp;OFFSET($AU$3,,MATCH(ROW(),$AU$3:$BF$3,)-2)+2&amp;":$R"&amp;ROW()-1))),IF($AR860="本年累计",SUMIF($AR$6:$AR860,"本月合计",$R$6:$R859),INDEX(凭证录入!L:L,$AR860))))</f>
        <v>0</v>
      </c>
      <c r="S860" s="459" t="str">
        <f t="shared" ca="1" si="190"/>
        <v/>
      </c>
      <c r="T860" s="460" t="str">
        <f t="shared" ca="1" si="190"/>
        <v/>
      </c>
      <c r="U860" s="460" t="str">
        <f t="shared" ca="1" si="190"/>
        <v/>
      </c>
      <c r="V860" s="460" t="str">
        <f t="shared" ca="1" si="190"/>
        <v/>
      </c>
      <c r="W860" s="460" t="str">
        <f t="shared" ca="1" si="190"/>
        <v/>
      </c>
      <c r="X860" s="460" t="str">
        <f t="shared" ca="1" si="190"/>
        <v/>
      </c>
      <c r="Y860" s="460" t="str">
        <f t="shared" ca="1" si="190"/>
        <v/>
      </c>
      <c r="Z860" s="460" t="str">
        <f t="shared" ca="1" si="190"/>
        <v/>
      </c>
      <c r="AA860" s="461" t="str">
        <f t="shared" ca="1" si="190"/>
        <v/>
      </c>
      <c r="AB860" s="474" t="str">
        <f t="shared" ca="1" si="190"/>
        <v/>
      </c>
      <c r="AC860" s="475" t="str">
        <f t="shared" ca="1" si="190"/>
        <v/>
      </c>
      <c r="AD860" s="477" t="str">
        <f t="shared" ca="1" si="186"/>
        <v/>
      </c>
      <c r="AE860" s="478">
        <f t="shared" ca="1" si="187"/>
        <v>0</v>
      </c>
      <c r="AF860" s="459" t="str">
        <f t="shared" ca="1" si="188"/>
        <v/>
      </c>
      <c r="AG860" s="460" t="str">
        <f t="shared" ca="1" si="188"/>
        <v/>
      </c>
      <c r="AH860" s="460" t="str">
        <f t="shared" ca="1" si="188"/>
        <v/>
      </c>
      <c r="AI860" s="460" t="str">
        <f t="shared" ca="1" si="188"/>
        <v/>
      </c>
      <c r="AJ860" s="460" t="str">
        <f t="shared" ca="1" si="188"/>
        <v/>
      </c>
      <c r="AK860" s="460" t="str">
        <f t="shared" ca="1" si="188"/>
        <v/>
      </c>
      <c r="AL860" s="460" t="str">
        <f t="shared" ca="1" si="188"/>
        <v/>
      </c>
      <c r="AM860" s="460" t="str">
        <f t="shared" ca="1" si="188"/>
        <v/>
      </c>
      <c r="AN860" s="461" t="str">
        <f t="shared" ca="1" si="188"/>
        <v/>
      </c>
      <c r="AO860" s="474" t="str">
        <f t="shared" ca="1" si="188"/>
        <v/>
      </c>
      <c r="AP860" s="475" t="str">
        <f t="shared" ca="1" si="188"/>
        <v/>
      </c>
      <c r="AQ860" s="479" t="str">
        <f t="array" aca="1" ref="AQ860" ca="1">IF(ROW()-5&lt;=COUNTIF(科目编号,$AR$2),SMALL(IF(科目编号=$AR$2,ROW(科目编号),""),ROW()-5),"")</f>
        <v/>
      </c>
      <c r="AR860" s="480" t="str">
        <f ca="1">IF($BG$2=0,"",IF(AR859="本月合计","本年累计",IF(OR(ROW()=$AU$3,ROW()=$AV$3,ROW()=$AW$3,ROW()=$AX$3,ROW()=$AY$3,ROW()=$AZ$3,ROW()=$BA$3,ROW()=$BB$3,ROW()=$BC$3,ROW()=$BD$3,ROW()=$BE$3,ROW()=$BF$3),"本月合计",IF(ROW()&lt;7,$AQ$6,OFFSET($AQ$6,COUNT($AR$6:AR859),0)))))</f>
        <v/>
      </c>
    </row>
    <row r="861" spans="1:44">
      <c r="A861" s="469" t="str">
        <f ca="1">IFERROR(INDEX(凭证录入!A:A,$AR861),"")</f>
        <v/>
      </c>
      <c r="B861" s="469" t="str">
        <f ca="1">IFERROR(INDEX(凭证录入!B:B,$AR861),"")</f>
        <v/>
      </c>
      <c r="C861" s="470" t="str">
        <f ca="1">IFERROR(INDEX(凭证录入!G:G,$AR861),"")</f>
        <v/>
      </c>
      <c r="D861" s="471" t="str">
        <f ca="1">IFERROR(INDEX(凭证录入!F:F,$AR861),"")</f>
        <v/>
      </c>
      <c r="E861" s="472" t="str">
        <f ca="1">IFERROR(INDEX(凭证录入!H:H,$AR861),$AR861)</f>
        <v/>
      </c>
      <c r="F861" s="473">
        <f ca="1">IF(OR($BG$2=0,$AR861=""),,IF($AR861="本月合计",IF(ROW()=$BG$3,SUM($F$6:$F860),SUM(INDIRECT("$F$"&amp;OFFSET($AU$3,,MATCH(ROW(),$AU$3:$BF$3,)-2)+2&amp;":$E"&amp;ROW()-1))),IF($AR861="本年累计",SUMIF($AR$6:$AR861,"本月合计",$F$6:$F860),INDEX(凭证录入!K:K,$AR861))))</f>
        <v>0</v>
      </c>
      <c r="G861" s="459" t="str">
        <f t="shared" ca="1" si="189"/>
        <v/>
      </c>
      <c r="H861" s="460" t="str">
        <f t="shared" ca="1" si="189"/>
        <v/>
      </c>
      <c r="I861" s="460" t="str">
        <f t="shared" ca="1" si="189"/>
        <v/>
      </c>
      <c r="J861" s="460" t="str">
        <f t="shared" ca="1" si="189"/>
        <v/>
      </c>
      <c r="K861" s="460" t="str">
        <f t="shared" ca="1" si="189"/>
        <v/>
      </c>
      <c r="L861" s="460" t="str">
        <f t="shared" ca="1" si="189"/>
        <v/>
      </c>
      <c r="M861" s="460" t="str">
        <f t="shared" ca="1" si="189"/>
        <v/>
      </c>
      <c r="N861" s="460" t="str">
        <f t="shared" ca="1" si="189"/>
        <v/>
      </c>
      <c r="O861" s="461" t="str">
        <f t="shared" ca="1" si="189"/>
        <v/>
      </c>
      <c r="P861" s="474" t="str">
        <f t="shared" ca="1" si="189"/>
        <v/>
      </c>
      <c r="Q861" s="475" t="str">
        <f t="shared" ca="1" si="189"/>
        <v/>
      </c>
      <c r="R861" s="476">
        <f ca="1">IF(OR($BG$2=0,$AR861=""),,IF($AR861="本月合计",IF(ROW()=$BG$3,SUM($R$6:$R860),SUM(INDIRECT("$R$"&amp;OFFSET($AU$3,,MATCH(ROW(),$AU$3:$BF$3,)-2)+2&amp;":$R"&amp;ROW()-1))),IF($AR861="本年累计",SUMIF($AR$6:$AR861,"本月合计",$R$6:$R860),INDEX(凭证录入!L:L,$AR861))))</f>
        <v>0</v>
      </c>
      <c r="S861" s="459" t="str">
        <f t="shared" ca="1" si="190"/>
        <v/>
      </c>
      <c r="T861" s="460" t="str">
        <f t="shared" ca="1" si="190"/>
        <v/>
      </c>
      <c r="U861" s="460" t="str">
        <f t="shared" ca="1" si="190"/>
        <v/>
      </c>
      <c r="V861" s="460" t="str">
        <f t="shared" ca="1" si="190"/>
        <v/>
      </c>
      <c r="W861" s="460" t="str">
        <f t="shared" ca="1" si="190"/>
        <v/>
      </c>
      <c r="X861" s="460" t="str">
        <f t="shared" ca="1" si="190"/>
        <v/>
      </c>
      <c r="Y861" s="460" t="str">
        <f t="shared" ca="1" si="190"/>
        <v/>
      </c>
      <c r="Z861" s="460" t="str">
        <f t="shared" ca="1" si="190"/>
        <v/>
      </c>
      <c r="AA861" s="461" t="str">
        <f t="shared" ca="1" si="190"/>
        <v/>
      </c>
      <c r="AB861" s="474" t="str">
        <f t="shared" ca="1" si="190"/>
        <v/>
      </c>
      <c r="AC861" s="475" t="str">
        <f t="shared" ca="1" si="190"/>
        <v/>
      </c>
      <c r="AD861" s="477" t="str">
        <f t="shared" ca="1" si="186"/>
        <v/>
      </c>
      <c r="AE861" s="478">
        <f t="shared" ca="1" si="187"/>
        <v>0</v>
      </c>
      <c r="AF861" s="459" t="str">
        <f t="shared" ca="1" si="188"/>
        <v/>
      </c>
      <c r="AG861" s="460" t="str">
        <f t="shared" ca="1" si="188"/>
        <v/>
      </c>
      <c r="AH861" s="460" t="str">
        <f t="shared" ca="1" si="188"/>
        <v/>
      </c>
      <c r="AI861" s="460" t="str">
        <f t="shared" ca="1" si="188"/>
        <v/>
      </c>
      <c r="AJ861" s="460" t="str">
        <f t="shared" ca="1" si="188"/>
        <v/>
      </c>
      <c r="AK861" s="460" t="str">
        <f t="shared" ca="1" si="188"/>
        <v/>
      </c>
      <c r="AL861" s="460" t="str">
        <f t="shared" ca="1" si="188"/>
        <v/>
      </c>
      <c r="AM861" s="460" t="str">
        <f t="shared" ca="1" si="188"/>
        <v/>
      </c>
      <c r="AN861" s="461" t="str">
        <f t="shared" ca="1" si="188"/>
        <v/>
      </c>
      <c r="AO861" s="474" t="str">
        <f t="shared" ca="1" si="188"/>
        <v/>
      </c>
      <c r="AP861" s="475" t="str">
        <f t="shared" ca="1" si="188"/>
        <v/>
      </c>
      <c r="AQ861" s="479" t="str">
        <f t="array" aca="1" ref="AQ861" ca="1">IF(ROW()-5&lt;=COUNTIF(科目编号,$AR$2),SMALL(IF(科目编号=$AR$2,ROW(科目编号),""),ROW()-5),"")</f>
        <v/>
      </c>
      <c r="AR861" s="480" t="str">
        <f ca="1">IF($BG$2=0,"",IF(AR860="本月合计","本年累计",IF(OR(ROW()=$AU$3,ROW()=$AV$3,ROW()=$AW$3,ROW()=$AX$3,ROW()=$AY$3,ROW()=$AZ$3,ROW()=$BA$3,ROW()=$BB$3,ROW()=$BC$3,ROW()=$BD$3,ROW()=$BE$3,ROW()=$BF$3),"本月合计",IF(ROW()&lt;7,$AQ$6,OFFSET($AQ$6,COUNT($AR$6:AR860),0)))))</f>
        <v/>
      </c>
    </row>
    <row r="862" spans="1:44">
      <c r="A862" s="469" t="str">
        <f ca="1">IFERROR(INDEX(凭证录入!A:A,$AR862),"")</f>
        <v/>
      </c>
      <c r="B862" s="469" t="str">
        <f ca="1">IFERROR(INDEX(凭证录入!B:B,$AR862),"")</f>
        <v/>
      </c>
      <c r="C862" s="470" t="str">
        <f ca="1">IFERROR(INDEX(凭证录入!G:G,$AR862),"")</f>
        <v/>
      </c>
      <c r="D862" s="471" t="str">
        <f ca="1">IFERROR(INDEX(凭证录入!F:F,$AR862),"")</f>
        <v/>
      </c>
      <c r="E862" s="472" t="str">
        <f ca="1">IFERROR(INDEX(凭证录入!H:H,$AR862),$AR862)</f>
        <v/>
      </c>
      <c r="F862" s="473">
        <f ca="1">IF(OR($BG$2=0,$AR862=""),,IF($AR862="本月合计",IF(ROW()=$BG$3,SUM($F$6:$F861),SUM(INDIRECT("$F$"&amp;OFFSET($AU$3,,MATCH(ROW(),$AU$3:$BF$3,)-2)+2&amp;":$E"&amp;ROW()-1))),IF($AR862="本年累计",SUMIF($AR$6:$AR862,"本月合计",$F$6:$F861),INDEX(凭证录入!K:K,$AR862))))</f>
        <v>0</v>
      </c>
      <c r="G862" s="459" t="str">
        <f t="shared" ca="1" si="189"/>
        <v/>
      </c>
      <c r="H862" s="460" t="str">
        <f t="shared" ca="1" si="189"/>
        <v/>
      </c>
      <c r="I862" s="460" t="str">
        <f t="shared" ca="1" si="189"/>
        <v/>
      </c>
      <c r="J862" s="460" t="str">
        <f t="shared" ca="1" si="189"/>
        <v/>
      </c>
      <c r="K862" s="460" t="str">
        <f t="shared" ca="1" si="189"/>
        <v/>
      </c>
      <c r="L862" s="460" t="str">
        <f t="shared" ca="1" si="189"/>
        <v/>
      </c>
      <c r="M862" s="460" t="str">
        <f t="shared" ca="1" si="189"/>
        <v/>
      </c>
      <c r="N862" s="460" t="str">
        <f t="shared" ca="1" si="189"/>
        <v/>
      </c>
      <c r="O862" s="461" t="str">
        <f t="shared" ca="1" si="189"/>
        <v/>
      </c>
      <c r="P862" s="474" t="str">
        <f t="shared" ca="1" si="189"/>
        <v/>
      </c>
      <c r="Q862" s="475" t="str">
        <f t="shared" ca="1" si="189"/>
        <v/>
      </c>
      <c r="R862" s="476">
        <f ca="1">IF(OR($BG$2=0,$AR862=""),,IF($AR862="本月合计",IF(ROW()=$BG$3,SUM($R$6:$R861),SUM(INDIRECT("$R$"&amp;OFFSET($AU$3,,MATCH(ROW(),$AU$3:$BF$3,)-2)+2&amp;":$R"&amp;ROW()-1))),IF($AR862="本年累计",SUMIF($AR$6:$AR862,"本月合计",$R$6:$R861),INDEX(凭证录入!L:L,$AR862))))</f>
        <v>0</v>
      </c>
      <c r="S862" s="459" t="str">
        <f t="shared" ca="1" si="190"/>
        <v/>
      </c>
      <c r="T862" s="460" t="str">
        <f t="shared" ca="1" si="190"/>
        <v/>
      </c>
      <c r="U862" s="460" t="str">
        <f t="shared" ca="1" si="190"/>
        <v/>
      </c>
      <c r="V862" s="460" t="str">
        <f t="shared" ca="1" si="190"/>
        <v/>
      </c>
      <c r="W862" s="460" t="str">
        <f t="shared" ca="1" si="190"/>
        <v/>
      </c>
      <c r="X862" s="460" t="str">
        <f t="shared" ca="1" si="190"/>
        <v/>
      </c>
      <c r="Y862" s="460" t="str">
        <f t="shared" ca="1" si="190"/>
        <v/>
      </c>
      <c r="Z862" s="460" t="str">
        <f t="shared" ca="1" si="190"/>
        <v/>
      </c>
      <c r="AA862" s="461" t="str">
        <f t="shared" ca="1" si="190"/>
        <v/>
      </c>
      <c r="AB862" s="474" t="str">
        <f t="shared" ca="1" si="190"/>
        <v/>
      </c>
      <c r="AC862" s="475" t="str">
        <f t="shared" ca="1" si="190"/>
        <v/>
      </c>
      <c r="AD862" s="477" t="str">
        <f t="shared" ca="1" si="186"/>
        <v/>
      </c>
      <c r="AE862" s="478">
        <f t="shared" ca="1" si="187"/>
        <v>0</v>
      </c>
      <c r="AF862" s="459" t="str">
        <f t="shared" ca="1" si="188"/>
        <v/>
      </c>
      <c r="AG862" s="460" t="str">
        <f t="shared" ca="1" si="188"/>
        <v/>
      </c>
      <c r="AH862" s="460" t="str">
        <f t="shared" ca="1" si="188"/>
        <v/>
      </c>
      <c r="AI862" s="460" t="str">
        <f t="shared" ca="1" si="188"/>
        <v/>
      </c>
      <c r="AJ862" s="460" t="str">
        <f t="shared" ca="1" si="188"/>
        <v/>
      </c>
      <c r="AK862" s="460" t="str">
        <f t="shared" ca="1" si="188"/>
        <v/>
      </c>
      <c r="AL862" s="460" t="str">
        <f t="shared" ca="1" si="188"/>
        <v/>
      </c>
      <c r="AM862" s="460" t="str">
        <f t="shared" ca="1" si="188"/>
        <v/>
      </c>
      <c r="AN862" s="461" t="str">
        <f t="shared" ca="1" si="188"/>
        <v/>
      </c>
      <c r="AO862" s="474" t="str">
        <f t="shared" ca="1" si="188"/>
        <v/>
      </c>
      <c r="AP862" s="475" t="str">
        <f t="shared" ca="1" si="188"/>
        <v/>
      </c>
      <c r="AQ862" s="479" t="str">
        <f t="array" aca="1" ref="AQ862" ca="1">IF(ROW()-5&lt;=COUNTIF(科目编号,$AR$2),SMALL(IF(科目编号=$AR$2,ROW(科目编号),""),ROW()-5),"")</f>
        <v/>
      </c>
      <c r="AR862" s="480" t="str">
        <f ca="1">IF($BG$2=0,"",IF(AR861="本月合计","本年累计",IF(OR(ROW()=$AU$3,ROW()=$AV$3,ROW()=$AW$3,ROW()=$AX$3,ROW()=$AY$3,ROW()=$AZ$3,ROW()=$BA$3,ROW()=$BB$3,ROW()=$BC$3,ROW()=$BD$3,ROW()=$BE$3,ROW()=$BF$3),"本月合计",IF(ROW()&lt;7,$AQ$6,OFFSET($AQ$6,COUNT($AR$6:AR861),0)))))</f>
        <v/>
      </c>
    </row>
    <row r="863" spans="1:44">
      <c r="A863" s="469" t="str">
        <f ca="1">IFERROR(INDEX(凭证录入!A:A,$AR863),"")</f>
        <v/>
      </c>
      <c r="B863" s="469" t="str">
        <f ca="1">IFERROR(INDEX(凭证录入!B:B,$AR863),"")</f>
        <v/>
      </c>
      <c r="C863" s="470" t="str">
        <f ca="1">IFERROR(INDEX(凭证录入!G:G,$AR863),"")</f>
        <v/>
      </c>
      <c r="D863" s="471" t="str">
        <f ca="1">IFERROR(INDEX(凭证录入!F:F,$AR863),"")</f>
        <v/>
      </c>
      <c r="E863" s="472" t="str">
        <f ca="1">IFERROR(INDEX(凭证录入!H:H,$AR863),$AR863)</f>
        <v/>
      </c>
      <c r="F863" s="473">
        <f ca="1">IF(OR($BG$2=0,$AR863=""),,IF($AR863="本月合计",IF(ROW()=$BG$3,SUM($F$6:$F862),SUM(INDIRECT("$F$"&amp;OFFSET($AU$3,,MATCH(ROW(),$AU$3:$BF$3,)-2)+2&amp;":$E"&amp;ROW()-1))),IF($AR863="本年累计",SUMIF($AR$6:$AR863,"本月合计",$F$6:$F862),INDEX(凭证录入!K:K,$AR863))))</f>
        <v>0</v>
      </c>
      <c r="G863" s="459" t="str">
        <f t="shared" ca="1" si="189"/>
        <v/>
      </c>
      <c r="H863" s="460" t="str">
        <f t="shared" ca="1" si="189"/>
        <v/>
      </c>
      <c r="I863" s="460" t="str">
        <f t="shared" ca="1" si="189"/>
        <v/>
      </c>
      <c r="J863" s="460" t="str">
        <f t="shared" ca="1" si="189"/>
        <v/>
      </c>
      <c r="K863" s="460" t="str">
        <f t="shared" ca="1" si="189"/>
        <v/>
      </c>
      <c r="L863" s="460" t="str">
        <f t="shared" ca="1" si="189"/>
        <v/>
      </c>
      <c r="M863" s="460" t="str">
        <f t="shared" ca="1" si="189"/>
        <v/>
      </c>
      <c r="N863" s="460" t="str">
        <f t="shared" ca="1" si="189"/>
        <v/>
      </c>
      <c r="O863" s="461" t="str">
        <f t="shared" ca="1" si="189"/>
        <v/>
      </c>
      <c r="P863" s="474" t="str">
        <f t="shared" ca="1" si="189"/>
        <v/>
      </c>
      <c r="Q863" s="475" t="str">
        <f t="shared" ca="1" si="189"/>
        <v/>
      </c>
      <c r="R863" s="476">
        <f ca="1">IF(OR($BG$2=0,$AR863=""),,IF($AR863="本月合计",IF(ROW()=$BG$3,SUM($R$6:$R862),SUM(INDIRECT("$R$"&amp;OFFSET($AU$3,,MATCH(ROW(),$AU$3:$BF$3,)-2)+2&amp;":$R"&amp;ROW()-1))),IF($AR863="本年累计",SUMIF($AR$6:$AR863,"本月合计",$R$6:$R862),INDEX(凭证录入!L:L,$AR863))))</f>
        <v>0</v>
      </c>
      <c r="S863" s="459" t="str">
        <f t="shared" ca="1" si="190"/>
        <v/>
      </c>
      <c r="T863" s="460" t="str">
        <f t="shared" ca="1" si="190"/>
        <v/>
      </c>
      <c r="U863" s="460" t="str">
        <f t="shared" ca="1" si="190"/>
        <v/>
      </c>
      <c r="V863" s="460" t="str">
        <f t="shared" ca="1" si="190"/>
        <v/>
      </c>
      <c r="W863" s="460" t="str">
        <f t="shared" ca="1" si="190"/>
        <v/>
      </c>
      <c r="X863" s="460" t="str">
        <f t="shared" ca="1" si="190"/>
        <v/>
      </c>
      <c r="Y863" s="460" t="str">
        <f t="shared" ca="1" si="190"/>
        <v/>
      </c>
      <c r="Z863" s="460" t="str">
        <f t="shared" ca="1" si="190"/>
        <v/>
      </c>
      <c r="AA863" s="461" t="str">
        <f t="shared" ca="1" si="190"/>
        <v/>
      </c>
      <c r="AB863" s="474" t="str">
        <f t="shared" ca="1" si="190"/>
        <v/>
      </c>
      <c r="AC863" s="475" t="str">
        <f t="shared" ca="1" si="190"/>
        <v/>
      </c>
      <c r="AD863" s="477" t="str">
        <f t="shared" ca="1" si="186"/>
        <v/>
      </c>
      <c r="AE863" s="478">
        <f t="shared" ca="1" si="187"/>
        <v>0</v>
      </c>
      <c r="AF863" s="459" t="str">
        <f t="shared" ca="1" si="188"/>
        <v/>
      </c>
      <c r="AG863" s="460" t="str">
        <f t="shared" ca="1" si="188"/>
        <v/>
      </c>
      <c r="AH863" s="460" t="str">
        <f t="shared" ca="1" si="188"/>
        <v/>
      </c>
      <c r="AI863" s="460" t="str">
        <f t="shared" ca="1" si="188"/>
        <v/>
      </c>
      <c r="AJ863" s="460" t="str">
        <f t="shared" ca="1" si="188"/>
        <v/>
      </c>
      <c r="AK863" s="460" t="str">
        <f t="shared" ca="1" si="188"/>
        <v/>
      </c>
      <c r="AL863" s="460" t="str">
        <f t="shared" ca="1" si="188"/>
        <v/>
      </c>
      <c r="AM863" s="460" t="str">
        <f t="shared" ca="1" si="188"/>
        <v/>
      </c>
      <c r="AN863" s="461" t="str">
        <f t="shared" ca="1" si="188"/>
        <v/>
      </c>
      <c r="AO863" s="474" t="str">
        <f t="shared" ca="1" si="188"/>
        <v/>
      </c>
      <c r="AP863" s="475" t="str">
        <f t="shared" ca="1" si="188"/>
        <v/>
      </c>
      <c r="AQ863" s="479" t="str">
        <f t="array" aca="1" ref="AQ863" ca="1">IF(ROW()-5&lt;=COUNTIF(科目编号,$AR$2),SMALL(IF(科目编号=$AR$2,ROW(科目编号),""),ROW()-5),"")</f>
        <v/>
      </c>
      <c r="AR863" s="480" t="str">
        <f ca="1">IF($BG$2=0,"",IF(AR862="本月合计","本年累计",IF(OR(ROW()=$AU$3,ROW()=$AV$3,ROW()=$AW$3,ROW()=$AX$3,ROW()=$AY$3,ROW()=$AZ$3,ROW()=$BA$3,ROW()=$BB$3,ROW()=$BC$3,ROW()=$BD$3,ROW()=$BE$3,ROW()=$BF$3),"本月合计",IF(ROW()&lt;7,$AQ$6,OFFSET($AQ$6,COUNT($AR$6:AR862),0)))))</f>
        <v/>
      </c>
    </row>
    <row r="864" spans="1:44">
      <c r="A864" s="469" t="str">
        <f ca="1">IFERROR(INDEX(凭证录入!A:A,$AR864),"")</f>
        <v/>
      </c>
      <c r="B864" s="469" t="str">
        <f ca="1">IFERROR(INDEX(凭证录入!B:B,$AR864),"")</f>
        <v/>
      </c>
      <c r="C864" s="470" t="str">
        <f ca="1">IFERROR(INDEX(凭证录入!G:G,$AR864),"")</f>
        <v/>
      </c>
      <c r="D864" s="471" t="str">
        <f ca="1">IFERROR(INDEX(凭证录入!F:F,$AR864),"")</f>
        <v/>
      </c>
      <c r="E864" s="472" t="str">
        <f ca="1">IFERROR(INDEX(凭证录入!H:H,$AR864),$AR864)</f>
        <v/>
      </c>
      <c r="F864" s="473">
        <f ca="1">IF(OR($BG$2=0,$AR864=""),,IF($AR864="本月合计",IF(ROW()=$BG$3,SUM($F$6:$F863),SUM(INDIRECT("$F$"&amp;OFFSET($AU$3,,MATCH(ROW(),$AU$3:$BF$3,)-2)+2&amp;":$E"&amp;ROW()-1))),IF($AR864="本年累计",SUMIF($AR$6:$AR864,"本月合计",$F$6:$F863),INDEX(凭证录入!K:K,$AR864))))</f>
        <v>0</v>
      </c>
      <c r="G864" s="459" t="str">
        <f t="shared" ca="1" si="189"/>
        <v/>
      </c>
      <c r="H864" s="460" t="str">
        <f t="shared" ca="1" si="189"/>
        <v/>
      </c>
      <c r="I864" s="460" t="str">
        <f t="shared" ca="1" si="189"/>
        <v/>
      </c>
      <c r="J864" s="460" t="str">
        <f t="shared" ca="1" si="189"/>
        <v/>
      </c>
      <c r="K864" s="460" t="str">
        <f t="shared" ca="1" si="189"/>
        <v/>
      </c>
      <c r="L864" s="460" t="str">
        <f t="shared" ca="1" si="189"/>
        <v/>
      </c>
      <c r="M864" s="460" t="str">
        <f t="shared" ca="1" si="189"/>
        <v/>
      </c>
      <c r="N864" s="460" t="str">
        <f t="shared" ca="1" si="189"/>
        <v/>
      </c>
      <c r="O864" s="461" t="str">
        <f t="shared" ca="1" si="189"/>
        <v/>
      </c>
      <c r="P864" s="474" t="str">
        <f t="shared" ca="1" si="189"/>
        <v/>
      </c>
      <c r="Q864" s="475" t="str">
        <f t="shared" ca="1" si="189"/>
        <v/>
      </c>
      <c r="R864" s="476">
        <f ca="1">IF(OR($BG$2=0,$AR864=""),,IF($AR864="本月合计",IF(ROW()=$BG$3,SUM($R$6:$R863),SUM(INDIRECT("$R$"&amp;OFFSET($AU$3,,MATCH(ROW(),$AU$3:$BF$3,)-2)+2&amp;":$R"&amp;ROW()-1))),IF($AR864="本年累计",SUMIF($AR$6:$AR864,"本月合计",$R$6:$R863),INDEX(凭证录入!L:L,$AR864))))</f>
        <v>0</v>
      </c>
      <c r="S864" s="459" t="str">
        <f t="shared" ca="1" si="190"/>
        <v/>
      </c>
      <c r="T864" s="460" t="str">
        <f t="shared" ca="1" si="190"/>
        <v/>
      </c>
      <c r="U864" s="460" t="str">
        <f t="shared" ca="1" si="190"/>
        <v/>
      </c>
      <c r="V864" s="460" t="str">
        <f t="shared" ca="1" si="190"/>
        <v/>
      </c>
      <c r="W864" s="460" t="str">
        <f t="shared" ca="1" si="190"/>
        <v/>
      </c>
      <c r="X864" s="460" t="str">
        <f t="shared" ca="1" si="190"/>
        <v/>
      </c>
      <c r="Y864" s="460" t="str">
        <f t="shared" ca="1" si="190"/>
        <v/>
      </c>
      <c r="Z864" s="460" t="str">
        <f t="shared" ca="1" si="190"/>
        <v/>
      </c>
      <c r="AA864" s="461" t="str">
        <f t="shared" ca="1" si="190"/>
        <v/>
      </c>
      <c r="AB864" s="474" t="str">
        <f t="shared" ca="1" si="190"/>
        <v/>
      </c>
      <c r="AC864" s="475" t="str">
        <f t="shared" ca="1" si="190"/>
        <v/>
      </c>
      <c r="AD864" s="477" t="str">
        <f t="shared" ca="1" si="186"/>
        <v/>
      </c>
      <c r="AE864" s="478">
        <f t="shared" ca="1" si="187"/>
        <v>0</v>
      </c>
      <c r="AF864" s="459" t="str">
        <f t="shared" ca="1" si="188"/>
        <v/>
      </c>
      <c r="AG864" s="460" t="str">
        <f t="shared" ca="1" si="188"/>
        <v/>
      </c>
      <c r="AH864" s="460" t="str">
        <f t="shared" ca="1" si="188"/>
        <v/>
      </c>
      <c r="AI864" s="460" t="str">
        <f t="shared" ca="1" si="188"/>
        <v/>
      </c>
      <c r="AJ864" s="460" t="str">
        <f t="shared" ca="1" si="188"/>
        <v/>
      </c>
      <c r="AK864" s="460" t="str">
        <f t="shared" ca="1" si="188"/>
        <v/>
      </c>
      <c r="AL864" s="460" t="str">
        <f t="shared" ca="1" si="188"/>
        <v/>
      </c>
      <c r="AM864" s="460" t="str">
        <f t="shared" ca="1" si="188"/>
        <v/>
      </c>
      <c r="AN864" s="461" t="str">
        <f t="shared" ca="1" si="188"/>
        <v/>
      </c>
      <c r="AO864" s="474" t="str">
        <f t="shared" ca="1" si="188"/>
        <v/>
      </c>
      <c r="AP864" s="475" t="str">
        <f t="shared" ca="1" si="188"/>
        <v/>
      </c>
      <c r="AQ864" s="479" t="str">
        <f t="array" aca="1" ref="AQ864" ca="1">IF(ROW()-5&lt;=COUNTIF(科目编号,$AR$2),SMALL(IF(科目编号=$AR$2,ROW(科目编号),""),ROW()-5),"")</f>
        <v/>
      </c>
      <c r="AR864" s="480" t="str">
        <f ca="1">IF($BG$2=0,"",IF(AR863="本月合计","本年累计",IF(OR(ROW()=$AU$3,ROW()=$AV$3,ROW()=$AW$3,ROW()=$AX$3,ROW()=$AY$3,ROW()=$AZ$3,ROW()=$BA$3,ROW()=$BB$3,ROW()=$BC$3,ROW()=$BD$3,ROW()=$BE$3,ROW()=$BF$3),"本月合计",IF(ROW()&lt;7,$AQ$6,OFFSET($AQ$6,COUNT($AR$6:AR863),0)))))</f>
        <v/>
      </c>
    </row>
    <row r="865" spans="1:44">
      <c r="A865" s="469" t="str">
        <f ca="1">IFERROR(INDEX(凭证录入!A:A,$AR865),"")</f>
        <v/>
      </c>
      <c r="B865" s="469" t="str">
        <f ca="1">IFERROR(INDEX(凭证录入!B:B,$AR865),"")</f>
        <v/>
      </c>
      <c r="C865" s="470" t="str">
        <f ca="1">IFERROR(INDEX(凭证录入!G:G,$AR865),"")</f>
        <v/>
      </c>
      <c r="D865" s="471" t="str">
        <f ca="1">IFERROR(INDEX(凭证录入!F:F,$AR865),"")</f>
        <v/>
      </c>
      <c r="E865" s="472" t="str">
        <f ca="1">IFERROR(INDEX(凭证录入!H:H,$AR865),$AR865)</f>
        <v/>
      </c>
      <c r="F865" s="473">
        <f ca="1">IF(OR($BG$2=0,$AR865=""),,IF($AR865="本月合计",IF(ROW()=$BG$3,SUM($F$6:$F864),SUM(INDIRECT("$F$"&amp;OFFSET($AU$3,,MATCH(ROW(),$AU$3:$BF$3,)-2)+2&amp;":$E"&amp;ROW()-1))),IF($AR865="本年累计",SUMIF($AR$6:$AR865,"本月合计",$F$6:$F864),INDEX(凭证录入!K:K,$AR865))))</f>
        <v>0</v>
      </c>
      <c r="G865" s="459" t="str">
        <f t="shared" ca="1" si="189"/>
        <v/>
      </c>
      <c r="H865" s="460" t="str">
        <f t="shared" ca="1" si="189"/>
        <v/>
      </c>
      <c r="I865" s="460" t="str">
        <f t="shared" ca="1" si="189"/>
        <v/>
      </c>
      <c r="J865" s="460" t="str">
        <f t="shared" ca="1" si="189"/>
        <v/>
      </c>
      <c r="K865" s="460" t="str">
        <f t="shared" ca="1" si="189"/>
        <v/>
      </c>
      <c r="L865" s="460" t="str">
        <f t="shared" ca="1" si="189"/>
        <v/>
      </c>
      <c r="M865" s="460" t="str">
        <f t="shared" ca="1" si="189"/>
        <v/>
      </c>
      <c r="N865" s="460" t="str">
        <f t="shared" ca="1" si="189"/>
        <v/>
      </c>
      <c r="O865" s="461" t="str">
        <f t="shared" ca="1" si="189"/>
        <v/>
      </c>
      <c r="P865" s="474" t="str">
        <f t="shared" ca="1" si="189"/>
        <v/>
      </c>
      <c r="Q865" s="475" t="str">
        <f t="shared" ca="1" si="189"/>
        <v/>
      </c>
      <c r="R865" s="476">
        <f ca="1">IF(OR($BG$2=0,$AR865=""),,IF($AR865="本月合计",IF(ROW()=$BG$3,SUM($R$6:$R864),SUM(INDIRECT("$R$"&amp;OFFSET($AU$3,,MATCH(ROW(),$AU$3:$BF$3,)-2)+2&amp;":$R"&amp;ROW()-1))),IF($AR865="本年累计",SUMIF($AR$6:$AR865,"本月合计",$R$6:$R864),INDEX(凭证录入!L:L,$AR865))))</f>
        <v>0</v>
      </c>
      <c r="S865" s="459" t="str">
        <f t="shared" ca="1" si="190"/>
        <v/>
      </c>
      <c r="T865" s="460" t="str">
        <f t="shared" ca="1" si="190"/>
        <v/>
      </c>
      <c r="U865" s="460" t="str">
        <f t="shared" ca="1" si="190"/>
        <v/>
      </c>
      <c r="V865" s="460" t="str">
        <f t="shared" ca="1" si="190"/>
        <v/>
      </c>
      <c r="W865" s="460" t="str">
        <f t="shared" ca="1" si="190"/>
        <v/>
      </c>
      <c r="X865" s="460" t="str">
        <f t="shared" ca="1" si="190"/>
        <v/>
      </c>
      <c r="Y865" s="460" t="str">
        <f t="shared" ca="1" si="190"/>
        <v/>
      </c>
      <c r="Z865" s="460" t="str">
        <f t="shared" ca="1" si="190"/>
        <v/>
      </c>
      <c r="AA865" s="461" t="str">
        <f t="shared" ca="1" si="190"/>
        <v/>
      </c>
      <c r="AB865" s="474" t="str">
        <f t="shared" ca="1" si="190"/>
        <v/>
      </c>
      <c r="AC865" s="475" t="str">
        <f t="shared" ca="1" si="190"/>
        <v/>
      </c>
      <c r="AD865" s="477" t="str">
        <f t="shared" ca="1" si="186"/>
        <v/>
      </c>
      <c r="AE865" s="478">
        <f t="shared" ca="1" si="187"/>
        <v>0</v>
      </c>
      <c r="AF865" s="459" t="str">
        <f t="shared" ca="1" si="188"/>
        <v/>
      </c>
      <c r="AG865" s="460" t="str">
        <f t="shared" ca="1" si="188"/>
        <v/>
      </c>
      <c r="AH865" s="460" t="str">
        <f t="shared" ca="1" si="188"/>
        <v/>
      </c>
      <c r="AI865" s="460" t="str">
        <f t="shared" ca="1" si="188"/>
        <v/>
      </c>
      <c r="AJ865" s="460" t="str">
        <f t="shared" ca="1" si="188"/>
        <v/>
      </c>
      <c r="AK865" s="460" t="str">
        <f t="shared" ca="1" si="188"/>
        <v/>
      </c>
      <c r="AL865" s="460" t="str">
        <f t="shared" ca="1" si="188"/>
        <v/>
      </c>
      <c r="AM865" s="460" t="str">
        <f t="shared" ca="1" si="188"/>
        <v/>
      </c>
      <c r="AN865" s="461" t="str">
        <f t="shared" ca="1" si="188"/>
        <v/>
      </c>
      <c r="AO865" s="474" t="str">
        <f t="shared" ca="1" si="188"/>
        <v/>
      </c>
      <c r="AP865" s="475" t="str">
        <f t="shared" ca="1" si="188"/>
        <v/>
      </c>
      <c r="AQ865" s="479" t="str">
        <f t="array" aca="1" ref="AQ865" ca="1">IF(ROW()-5&lt;=COUNTIF(科目编号,$AR$2),SMALL(IF(科目编号=$AR$2,ROW(科目编号),""),ROW()-5),"")</f>
        <v/>
      </c>
      <c r="AR865" s="480" t="str">
        <f ca="1">IF($BG$2=0,"",IF(AR864="本月合计","本年累计",IF(OR(ROW()=$AU$3,ROW()=$AV$3,ROW()=$AW$3,ROW()=$AX$3,ROW()=$AY$3,ROW()=$AZ$3,ROW()=$BA$3,ROW()=$BB$3,ROW()=$BC$3,ROW()=$BD$3,ROW()=$BE$3,ROW()=$BF$3),"本月合计",IF(ROW()&lt;7,$AQ$6,OFFSET($AQ$6,COUNT($AR$6:AR864),0)))))</f>
        <v/>
      </c>
    </row>
    <row r="866" spans="1:44">
      <c r="A866" s="469" t="str">
        <f ca="1">IFERROR(INDEX(凭证录入!A:A,$AR866),"")</f>
        <v/>
      </c>
      <c r="B866" s="469" t="str">
        <f ca="1">IFERROR(INDEX(凭证录入!B:B,$AR866),"")</f>
        <v/>
      </c>
      <c r="C866" s="470" t="str">
        <f ca="1">IFERROR(INDEX(凭证录入!G:G,$AR866),"")</f>
        <v/>
      </c>
      <c r="D866" s="471" t="str">
        <f ca="1">IFERROR(INDEX(凭证录入!F:F,$AR866),"")</f>
        <v/>
      </c>
      <c r="E866" s="472" t="str">
        <f ca="1">IFERROR(INDEX(凭证录入!H:H,$AR866),$AR866)</f>
        <v/>
      </c>
      <c r="F866" s="473">
        <f ca="1">IF(OR($BG$2=0,$AR866=""),,IF($AR866="本月合计",IF(ROW()=$BG$3,SUM($F$6:$F865),SUM(INDIRECT("$F$"&amp;OFFSET($AU$3,,MATCH(ROW(),$AU$3:$BF$3,)-2)+2&amp;":$E"&amp;ROW()-1))),IF($AR866="本年累计",SUMIF($AR$6:$AR866,"本月合计",$F$6:$F865),INDEX(凭证录入!K:K,$AR866))))</f>
        <v>0</v>
      </c>
      <c r="G866" s="459" t="str">
        <f t="shared" ca="1" si="189"/>
        <v/>
      </c>
      <c r="H866" s="460" t="str">
        <f t="shared" ca="1" si="189"/>
        <v/>
      </c>
      <c r="I866" s="460" t="str">
        <f t="shared" ca="1" si="189"/>
        <v/>
      </c>
      <c r="J866" s="460" t="str">
        <f t="shared" ca="1" si="189"/>
        <v/>
      </c>
      <c r="K866" s="460" t="str">
        <f t="shared" ca="1" si="189"/>
        <v/>
      </c>
      <c r="L866" s="460" t="str">
        <f t="shared" ca="1" si="189"/>
        <v/>
      </c>
      <c r="M866" s="460" t="str">
        <f t="shared" ca="1" si="189"/>
        <v/>
      </c>
      <c r="N866" s="460" t="str">
        <f t="shared" ca="1" si="189"/>
        <v/>
      </c>
      <c r="O866" s="461" t="str">
        <f t="shared" ca="1" si="189"/>
        <v/>
      </c>
      <c r="P866" s="474" t="str">
        <f t="shared" ca="1" si="189"/>
        <v/>
      </c>
      <c r="Q866" s="475" t="str">
        <f t="shared" ca="1" si="189"/>
        <v/>
      </c>
      <c r="R866" s="476">
        <f ca="1">IF(OR($BG$2=0,$AR866=""),,IF($AR866="本月合计",IF(ROW()=$BG$3,SUM($R$6:$R865),SUM(INDIRECT("$R$"&amp;OFFSET($AU$3,,MATCH(ROW(),$AU$3:$BF$3,)-2)+2&amp;":$R"&amp;ROW()-1))),IF($AR866="本年累计",SUMIF($AR$6:$AR866,"本月合计",$R$6:$R865),INDEX(凭证录入!L:L,$AR866))))</f>
        <v>0</v>
      </c>
      <c r="S866" s="459" t="str">
        <f t="shared" ca="1" si="190"/>
        <v/>
      </c>
      <c r="T866" s="460" t="str">
        <f t="shared" ca="1" si="190"/>
        <v/>
      </c>
      <c r="U866" s="460" t="str">
        <f t="shared" ca="1" si="190"/>
        <v/>
      </c>
      <c r="V866" s="460" t="str">
        <f t="shared" ca="1" si="190"/>
        <v/>
      </c>
      <c r="W866" s="460" t="str">
        <f t="shared" ca="1" si="190"/>
        <v/>
      </c>
      <c r="X866" s="460" t="str">
        <f t="shared" ca="1" si="190"/>
        <v/>
      </c>
      <c r="Y866" s="460" t="str">
        <f t="shared" ca="1" si="190"/>
        <v/>
      </c>
      <c r="Z866" s="460" t="str">
        <f t="shared" ca="1" si="190"/>
        <v/>
      </c>
      <c r="AA866" s="461" t="str">
        <f t="shared" ca="1" si="190"/>
        <v/>
      </c>
      <c r="AB866" s="474" t="str">
        <f t="shared" ca="1" si="190"/>
        <v/>
      </c>
      <c r="AC866" s="475" t="str">
        <f t="shared" ca="1" si="190"/>
        <v/>
      </c>
      <c r="AD866" s="477" t="str">
        <f t="shared" ca="1" si="186"/>
        <v/>
      </c>
      <c r="AE866" s="478">
        <f t="shared" ca="1" si="187"/>
        <v>0</v>
      </c>
      <c r="AF866" s="459" t="str">
        <f t="shared" ca="1" si="188"/>
        <v/>
      </c>
      <c r="AG866" s="460" t="str">
        <f t="shared" ca="1" si="188"/>
        <v/>
      </c>
      <c r="AH866" s="460" t="str">
        <f t="shared" ca="1" si="188"/>
        <v/>
      </c>
      <c r="AI866" s="460" t="str">
        <f t="shared" ca="1" si="188"/>
        <v/>
      </c>
      <c r="AJ866" s="460" t="str">
        <f t="shared" ca="1" si="188"/>
        <v/>
      </c>
      <c r="AK866" s="460" t="str">
        <f t="shared" ca="1" si="188"/>
        <v/>
      </c>
      <c r="AL866" s="460" t="str">
        <f t="shared" ca="1" si="188"/>
        <v/>
      </c>
      <c r="AM866" s="460" t="str">
        <f t="shared" ca="1" si="188"/>
        <v/>
      </c>
      <c r="AN866" s="461" t="str">
        <f t="shared" ca="1" si="188"/>
        <v/>
      </c>
      <c r="AO866" s="474" t="str">
        <f t="shared" ca="1" si="188"/>
        <v/>
      </c>
      <c r="AP866" s="475" t="str">
        <f t="shared" ca="1" si="188"/>
        <v/>
      </c>
      <c r="AQ866" s="479" t="str">
        <f t="array" aca="1" ref="AQ866" ca="1">IF(ROW()-5&lt;=COUNTIF(科目编号,$AR$2),SMALL(IF(科目编号=$AR$2,ROW(科目编号),""),ROW()-5),"")</f>
        <v/>
      </c>
      <c r="AR866" s="480" t="str">
        <f ca="1">IF($BG$2=0,"",IF(AR865="本月合计","本年累计",IF(OR(ROW()=$AU$3,ROW()=$AV$3,ROW()=$AW$3,ROW()=$AX$3,ROW()=$AY$3,ROW()=$AZ$3,ROW()=$BA$3,ROW()=$BB$3,ROW()=$BC$3,ROW()=$BD$3,ROW()=$BE$3,ROW()=$BF$3),"本月合计",IF(ROW()&lt;7,$AQ$6,OFFSET($AQ$6,COUNT($AR$6:AR865),0)))))</f>
        <v/>
      </c>
    </row>
    <row r="867" spans="1:44">
      <c r="A867" s="469" t="str">
        <f ca="1">IFERROR(INDEX(凭证录入!A:A,$AR867),"")</f>
        <v/>
      </c>
      <c r="B867" s="469" t="str">
        <f ca="1">IFERROR(INDEX(凭证录入!B:B,$AR867),"")</f>
        <v/>
      </c>
      <c r="C867" s="470" t="str">
        <f ca="1">IFERROR(INDEX(凭证录入!G:G,$AR867),"")</f>
        <v/>
      </c>
      <c r="D867" s="471" t="str">
        <f ca="1">IFERROR(INDEX(凭证录入!F:F,$AR867),"")</f>
        <v/>
      </c>
      <c r="E867" s="472" t="str">
        <f ca="1">IFERROR(INDEX(凭证录入!H:H,$AR867),$AR867)</f>
        <v/>
      </c>
      <c r="F867" s="473">
        <f ca="1">IF(OR($BG$2=0,$AR867=""),,IF($AR867="本月合计",IF(ROW()=$BG$3,SUM($F$6:$F866),SUM(INDIRECT("$F$"&amp;OFFSET($AU$3,,MATCH(ROW(),$AU$3:$BF$3,)-2)+2&amp;":$E"&amp;ROW()-1))),IF($AR867="本年累计",SUMIF($AR$6:$AR867,"本月合计",$F$6:$F866),INDEX(凭证录入!K:K,$AR867))))</f>
        <v>0</v>
      </c>
      <c r="G867" s="459" t="str">
        <f t="shared" ca="1" si="189"/>
        <v/>
      </c>
      <c r="H867" s="460" t="str">
        <f t="shared" ca="1" si="189"/>
        <v/>
      </c>
      <c r="I867" s="460" t="str">
        <f t="shared" ca="1" si="189"/>
        <v/>
      </c>
      <c r="J867" s="460" t="str">
        <f t="shared" ca="1" si="189"/>
        <v/>
      </c>
      <c r="K867" s="460" t="str">
        <f t="shared" ca="1" si="189"/>
        <v/>
      </c>
      <c r="L867" s="460" t="str">
        <f t="shared" ca="1" si="189"/>
        <v/>
      </c>
      <c r="M867" s="460" t="str">
        <f t="shared" ca="1" si="189"/>
        <v/>
      </c>
      <c r="N867" s="460" t="str">
        <f t="shared" ca="1" si="189"/>
        <v/>
      </c>
      <c r="O867" s="461" t="str">
        <f t="shared" ca="1" si="189"/>
        <v/>
      </c>
      <c r="P867" s="474" t="str">
        <f t="shared" ca="1" si="189"/>
        <v/>
      </c>
      <c r="Q867" s="475" t="str">
        <f t="shared" ca="1" si="189"/>
        <v/>
      </c>
      <c r="R867" s="476">
        <f ca="1">IF(OR($BG$2=0,$AR867=""),,IF($AR867="本月合计",IF(ROW()=$BG$3,SUM($R$6:$R866),SUM(INDIRECT("$R$"&amp;OFFSET($AU$3,,MATCH(ROW(),$AU$3:$BF$3,)-2)+2&amp;":$R"&amp;ROW()-1))),IF($AR867="本年累计",SUMIF($AR$6:$AR867,"本月合计",$R$6:$R866),INDEX(凭证录入!L:L,$AR867))))</f>
        <v>0</v>
      </c>
      <c r="S867" s="459" t="str">
        <f t="shared" ca="1" si="190"/>
        <v/>
      </c>
      <c r="T867" s="460" t="str">
        <f t="shared" ca="1" si="190"/>
        <v/>
      </c>
      <c r="U867" s="460" t="str">
        <f t="shared" ca="1" si="190"/>
        <v/>
      </c>
      <c r="V867" s="460" t="str">
        <f t="shared" ca="1" si="190"/>
        <v/>
      </c>
      <c r="W867" s="460" t="str">
        <f t="shared" ca="1" si="190"/>
        <v/>
      </c>
      <c r="X867" s="460" t="str">
        <f t="shared" ca="1" si="190"/>
        <v/>
      </c>
      <c r="Y867" s="460" t="str">
        <f t="shared" ca="1" si="190"/>
        <v/>
      </c>
      <c r="Z867" s="460" t="str">
        <f t="shared" ca="1" si="190"/>
        <v/>
      </c>
      <c r="AA867" s="461" t="str">
        <f t="shared" ca="1" si="190"/>
        <v/>
      </c>
      <c r="AB867" s="474" t="str">
        <f t="shared" ca="1" si="190"/>
        <v/>
      </c>
      <c r="AC867" s="475" t="str">
        <f t="shared" ca="1" si="190"/>
        <v/>
      </c>
      <c r="AD867" s="477" t="str">
        <f t="shared" ca="1" si="186"/>
        <v/>
      </c>
      <c r="AE867" s="478">
        <f t="shared" ca="1" si="187"/>
        <v>0</v>
      </c>
      <c r="AF867" s="459" t="str">
        <f t="shared" ca="1" si="188"/>
        <v/>
      </c>
      <c r="AG867" s="460" t="str">
        <f t="shared" ca="1" si="188"/>
        <v/>
      </c>
      <c r="AH867" s="460" t="str">
        <f t="shared" ca="1" si="188"/>
        <v/>
      </c>
      <c r="AI867" s="460" t="str">
        <f t="shared" ca="1" si="188"/>
        <v/>
      </c>
      <c r="AJ867" s="460" t="str">
        <f t="shared" ca="1" si="188"/>
        <v/>
      </c>
      <c r="AK867" s="460" t="str">
        <f t="shared" ca="1" si="188"/>
        <v/>
      </c>
      <c r="AL867" s="460" t="str">
        <f t="shared" ca="1" si="188"/>
        <v/>
      </c>
      <c r="AM867" s="460" t="str">
        <f t="shared" ca="1" si="188"/>
        <v/>
      </c>
      <c r="AN867" s="461" t="str">
        <f t="shared" ca="1" si="188"/>
        <v/>
      </c>
      <c r="AO867" s="474" t="str">
        <f t="shared" ca="1" si="188"/>
        <v/>
      </c>
      <c r="AP867" s="475" t="str">
        <f t="shared" ca="1" si="188"/>
        <v/>
      </c>
      <c r="AQ867" s="479" t="str">
        <f t="array" aca="1" ref="AQ867" ca="1">IF(ROW()-5&lt;=COUNTIF(科目编号,$AR$2),SMALL(IF(科目编号=$AR$2,ROW(科目编号),""),ROW()-5),"")</f>
        <v/>
      </c>
      <c r="AR867" s="480" t="str">
        <f ca="1">IF($BG$2=0,"",IF(AR866="本月合计","本年累计",IF(OR(ROW()=$AU$3,ROW()=$AV$3,ROW()=$AW$3,ROW()=$AX$3,ROW()=$AY$3,ROW()=$AZ$3,ROW()=$BA$3,ROW()=$BB$3,ROW()=$BC$3,ROW()=$BD$3,ROW()=$BE$3,ROW()=$BF$3),"本月合计",IF(ROW()&lt;7,$AQ$6,OFFSET($AQ$6,COUNT($AR$6:AR866),0)))))</f>
        <v/>
      </c>
    </row>
    <row r="868" spans="1:44">
      <c r="A868" s="469" t="str">
        <f ca="1">IFERROR(INDEX(凭证录入!A:A,$AR868),"")</f>
        <v/>
      </c>
      <c r="B868" s="469" t="str">
        <f ca="1">IFERROR(INDEX(凭证录入!B:B,$AR868),"")</f>
        <v/>
      </c>
      <c r="C868" s="470" t="str">
        <f ca="1">IFERROR(INDEX(凭证录入!G:G,$AR868),"")</f>
        <v/>
      </c>
      <c r="D868" s="471" t="str">
        <f ca="1">IFERROR(INDEX(凭证录入!F:F,$AR868),"")</f>
        <v/>
      </c>
      <c r="E868" s="472" t="str">
        <f ca="1">IFERROR(INDEX(凭证录入!H:H,$AR868),$AR868)</f>
        <v/>
      </c>
      <c r="F868" s="473">
        <f ca="1">IF(OR($BG$2=0,$AR868=""),,IF($AR868="本月合计",IF(ROW()=$BG$3,SUM($F$6:$F867),SUM(INDIRECT("$F$"&amp;OFFSET($AU$3,,MATCH(ROW(),$AU$3:$BF$3,)-2)+2&amp;":$E"&amp;ROW()-1))),IF($AR868="本年累计",SUMIF($AR$6:$AR868,"本月合计",$F$6:$F867),INDEX(凭证录入!K:K,$AR868))))</f>
        <v>0</v>
      </c>
      <c r="G868" s="459" t="str">
        <f t="shared" ca="1" si="189"/>
        <v/>
      </c>
      <c r="H868" s="460" t="str">
        <f t="shared" ca="1" si="189"/>
        <v/>
      </c>
      <c r="I868" s="460" t="str">
        <f t="shared" ca="1" si="189"/>
        <v/>
      </c>
      <c r="J868" s="460" t="str">
        <f t="shared" ca="1" si="189"/>
        <v/>
      </c>
      <c r="K868" s="460" t="str">
        <f t="shared" ca="1" si="189"/>
        <v/>
      </c>
      <c r="L868" s="460" t="str">
        <f t="shared" ca="1" si="189"/>
        <v/>
      </c>
      <c r="M868" s="460" t="str">
        <f t="shared" ca="1" si="189"/>
        <v/>
      </c>
      <c r="N868" s="460" t="str">
        <f t="shared" ca="1" si="189"/>
        <v/>
      </c>
      <c r="O868" s="461" t="str">
        <f t="shared" ca="1" si="189"/>
        <v/>
      </c>
      <c r="P868" s="474" t="str">
        <f t="shared" ca="1" si="189"/>
        <v/>
      </c>
      <c r="Q868" s="475" t="str">
        <f t="shared" ca="1" si="189"/>
        <v/>
      </c>
      <c r="R868" s="476">
        <f ca="1">IF(OR($BG$2=0,$AR868=""),,IF($AR868="本月合计",IF(ROW()=$BG$3,SUM($R$6:$R867),SUM(INDIRECT("$R$"&amp;OFFSET($AU$3,,MATCH(ROW(),$AU$3:$BF$3,)-2)+2&amp;":$R"&amp;ROW()-1))),IF($AR868="本年累计",SUMIF($AR$6:$AR868,"本月合计",$R$6:$R867),INDEX(凭证录入!L:L,$AR868))))</f>
        <v>0</v>
      </c>
      <c r="S868" s="459" t="str">
        <f t="shared" ca="1" si="190"/>
        <v/>
      </c>
      <c r="T868" s="460" t="str">
        <f t="shared" ca="1" si="190"/>
        <v/>
      </c>
      <c r="U868" s="460" t="str">
        <f t="shared" ca="1" si="190"/>
        <v/>
      </c>
      <c r="V868" s="460" t="str">
        <f t="shared" ca="1" si="190"/>
        <v/>
      </c>
      <c r="W868" s="460" t="str">
        <f t="shared" ca="1" si="190"/>
        <v/>
      </c>
      <c r="X868" s="460" t="str">
        <f t="shared" ca="1" si="190"/>
        <v/>
      </c>
      <c r="Y868" s="460" t="str">
        <f t="shared" ca="1" si="190"/>
        <v/>
      </c>
      <c r="Z868" s="460" t="str">
        <f t="shared" ca="1" si="190"/>
        <v/>
      </c>
      <c r="AA868" s="461" t="str">
        <f t="shared" ca="1" si="190"/>
        <v/>
      </c>
      <c r="AB868" s="474" t="str">
        <f t="shared" ca="1" si="190"/>
        <v/>
      </c>
      <c r="AC868" s="475" t="str">
        <f t="shared" ca="1" si="190"/>
        <v/>
      </c>
      <c r="AD868" s="477" t="str">
        <f t="shared" ca="1" si="186"/>
        <v/>
      </c>
      <c r="AE868" s="478">
        <f t="shared" ca="1" si="187"/>
        <v>0</v>
      </c>
      <c r="AF868" s="459" t="str">
        <f t="shared" ca="1" si="188"/>
        <v/>
      </c>
      <c r="AG868" s="460" t="str">
        <f t="shared" ca="1" si="188"/>
        <v/>
      </c>
      <c r="AH868" s="460" t="str">
        <f t="shared" ca="1" si="188"/>
        <v/>
      </c>
      <c r="AI868" s="460" t="str">
        <f t="shared" ca="1" si="188"/>
        <v/>
      </c>
      <c r="AJ868" s="460" t="str">
        <f t="shared" ca="1" si="188"/>
        <v/>
      </c>
      <c r="AK868" s="460" t="str">
        <f t="shared" ca="1" si="188"/>
        <v/>
      </c>
      <c r="AL868" s="460" t="str">
        <f t="shared" ca="1" si="188"/>
        <v/>
      </c>
      <c r="AM868" s="460" t="str">
        <f t="shared" ca="1" si="188"/>
        <v/>
      </c>
      <c r="AN868" s="461" t="str">
        <f t="shared" ca="1" si="188"/>
        <v/>
      </c>
      <c r="AO868" s="474" t="str">
        <f t="shared" ca="1" si="188"/>
        <v/>
      </c>
      <c r="AP868" s="475" t="str">
        <f t="shared" ca="1" si="188"/>
        <v/>
      </c>
      <c r="AQ868" s="479" t="str">
        <f t="array" aca="1" ref="AQ868" ca="1">IF(ROW()-5&lt;=COUNTIF(科目编号,$AR$2),SMALL(IF(科目编号=$AR$2,ROW(科目编号),""),ROW()-5),"")</f>
        <v/>
      </c>
      <c r="AR868" s="480" t="str">
        <f ca="1">IF($BG$2=0,"",IF(AR867="本月合计","本年累计",IF(OR(ROW()=$AU$3,ROW()=$AV$3,ROW()=$AW$3,ROW()=$AX$3,ROW()=$AY$3,ROW()=$AZ$3,ROW()=$BA$3,ROW()=$BB$3,ROW()=$BC$3,ROW()=$BD$3,ROW()=$BE$3,ROW()=$BF$3),"本月合计",IF(ROW()&lt;7,$AQ$6,OFFSET($AQ$6,COUNT($AR$6:AR867),0)))))</f>
        <v/>
      </c>
    </row>
    <row r="869" spans="1:44">
      <c r="A869" s="469" t="str">
        <f ca="1">IFERROR(INDEX(凭证录入!A:A,$AR869),"")</f>
        <v/>
      </c>
      <c r="B869" s="469" t="str">
        <f ca="1">IFERROR(INDEX(凭证录入!B:B,$AR869),"")</f>
        <v/>
      </c>
      <c r="C869" s="470" t="str">
        <f ca="1">IFERROR(INDEX(凭证录入!G:G,$AR869),"")</f>
        <v/>
      </c>
      <c r="D869" s="471" t="str">
        <f ca="1">IFERROR(INDEX(凭证录入!F:F,$AR869),"")</f>
        <v/>
      </c>
      <c r="E869" s="472" t="str">
        <f ca="1">IFERROR(INDEX(凭证录入!H:H,$AR869),$AR869)</f>
        <v/>
      </c>
      <c r="F869" s="473">
        <f ca="1">IF(OR($BG$2=0,$AR869=""),,IF($AR869="本月合计",IF(ROW()=$BG$3,SUM($F$6:$F868),SUM(INDIRECT("$F$"&amp;OFFSET($AU$3,,MATCH(ROW(),$AU$3:$BF$3,)-2)+2&amp;":$E"&amp;ROW()-1))),IF($AR869="本年累计",SUMIF($AR$6:$AR869,"本月合计",$F$6:$F868),INDEX(凭证录入!K:K,$AR869))))</f>
        <v>0</v>
      </c>
      <c r="G869" s="459" t="str">
        <f t="shared" ca="1" si="189"/>
        <v/>
      </c>
      <c r="H869" s="460" t="str">
        <f t="shared" ca="1" si="189"/>
        <v/>
      </c>
      <c r="I869" s="460" t="str">
        <f t="shared" ca="1" si="189"/>
        <v/>
      </c>
      <c r="J869" s="460" t="str">
        <f t="shared" ca="1" si="189"/>
        <v/>
      </c>
      <c r="K869" s="460" t="str">
        <f t="shared" ca="1" si="189"/>
        <v/>
      </c>
      <c r="L869" s="460" t="str">
        <f t="shared" ca="1" si="189"/>
        <v/>
      </c>
      <c r="M869" s="460" t="str">
        <f t="shared" ca="1" si="189"/>
        <v/>
      </c>
      <c r="N869" s="460" t="str">
        <f t="shared" ca="1" si="189"/>
        <v/>
      </c>
      <c r="O869" s="461" t="str">
        <f t="shared" ca="1" si="189"/>
        <v/>
      </c>
      <c r="P869" s="474" t="str">
        <f t="shared" ca="1" si="189"/>
        <v/>
      </c>
      <c r="Q869" s="475" t="str">
        <f t="shared" ca="1" si="189"/>
        <v/>
      </c>
      <c r="R869" s="476">
        <f ca="1">IF(OR($BG$2=0,$AR869=""),,IF($AR869="本月合计",IF(ROW()=$BG$3,SUM($R$6:$R868),SUM(INDIRECT("$R$"&amp;OFFSET($AU$3,,MATCH(ROW(),$AU$3:$BF$3,)-2)+2&amp;":$R"&amp;ROW()-1))),IF($AR869="本年累计",SUMIF($AR$6:$AR869,"本月合计",$R$6:$R868),INDEX(凭证录入!L:L,$AR869))))</f>
        <v>0</v>
      </c>
      <c r="S869" s="459" t="str">
        <f t="shared" ca="1" si="190"/>
        <v/>
      </c>
      <c r="T869" s="460" t="str">
        <f t="shared" ca="1" si="190"/>
        <v/>
      </c>
      <c r="U869" s="460" t="str">
        <f t="shared" ca="1" si="190"/>
        <v/>
      </c>
      <c r="V869" s="460" t="str">
        <f t="shared" ca="1" si="190"/>
        <v/>
      </c>
      <c r="W869" s="460" t="str">
        <f t="shared" ca="1" si="190"/>
        <v/>
      </c>
      <c r="X869" s="460" t="str">
        <f t="shared" ca="1" si="190"/>
        <v/>
      </c>
      <c r="Y869" s="460" t="str">
        <f t="shared" ca="1" si="190"/>
        <v/>
      </c>
      <c r="Z869" s="460" t="str">
        <f t="shared" ca="1" si="190"/>
        <v/>
      </c>
      <c r="AA869" s="461" t="str">
        <f t="shared" ca="1" si="190"/>
        <v/>
      </c>
      <c r="AB869" s="474" t="str">
        <f t="shared" ca="1" si="190"/>
        <v/>
      </c>
      <c r="AC869" s="475" t="str">
        <f t="shared" ca="1" si="190"/>
        <v/>
      </c>
      <c r="AD869" s="477" t="str">
        <f t="shared" ca="1" si="186"/>
        <v/>
      </c>
      <c r="AE869" s="478">
        <f t="shared" ca="1" si="187"/>
        <v>0</v>
      </c>
      <c r="AF869" s="459" t="str">
        <f t="shared" ref="AF869:AP884" ca="1" si="191">LEFT(RIGHT(TEXT($AE869/1%," ￥0; ￥-0;"),43-COLUMN()))</f>
        <v/>
      </c>
      <c r="AG869" s="460" t="str">
        <f t="shared" ca="1" si="191"/>
        <v/>
      </c>
      <c r="AH869" s="460" t="str">
        <f t="shared" ca="1" si="191"/>
        <v/>
      </c>
      <c r="AI869" s="460" t="str">
        <f t="shared" ca="1" si="191"/>
        <v/>
      </c>
      <c r="AJ869" s="460" t="str">
        <f t="shared" ca="1" si="191"/>
        <v/>
      </c>
      <c r="AK869" s="460" t="str">
        <f t="shared" ca="1" si="191"/>
        <v/>
      </c>
      <c r="AL869" s="460" t="str">
        <f t="shared" ca="1" si="191"/>
        <v/>
      </c>
      <c r="AM869" s="460" t="str">
        <f t="shared" ca="1" si="191"/>
        <v/>
      </c>
      <c r="AN869" s="461" t="str">
        <f t="shared" ca="1" si="191"/>
        <v/>
      </c>
      <c r="AO869" s="474" t="str">
        <f t="shared" ca="1" si="191"/>
        <v/>
      </c>
      <c r="AP869" s="475" t="str">
        <f t="shared" ca="1" si="191"/>
        <v/>
      </c>
      <c r="AQ869" s="479" t="str">
        <f t="array" aca="1" ref="AQ869" ca="1">IF(ROW()-5&lt;=COUNTIF(科目编号,$AR$2),SMALL(IF(科目编号=$AR$2,ROW(科目编号),""),ROW()-5),"")</f>
        <v/>
      </c>
      <c r="AR869" s="480" t="str">
        <f ca="1">IF($BG$2=0,"",IF(AR868="本月合计","本年累计",IF(OR(ROW()=$AU$3,ROW()=$AV$3,ROW()=$AW$3,ROW()=$AX$3,ROW()=$AY$3,ROW()=$AZ$3,ROW()=$BA$3,ROW()=$BB$3,ROW()=$BC$3,ROW()=$BD$3,ROW()=$BE$3,ROW()=$BF$3),"本月合计",IF(ROW()&lt;7,$AQ$6,OFFSET($AQ$6,COUNT($AR$6:AR868),0)))))</f>
        <v/>
      </c>
    </row>
    <row r="870" spans="1:44">
      <c r="A870" s="469" t="str">
        <f ca="1">IFERROR(INDEX(凭证录入!A:A,$AR870),"")</f>
        <v/>
      </c>
      <c r="B870" s="469" t="str">
        <f ca="1">IFERROR(INDEX(凭证录入!B:B,$AR870),"")</f>
        <v/>
      </c>
      <c r="C870" s="470" t="str">
        <f ca="1">IFERROR(INDEX(凭证录入!G:G,$AR870),"")</f>
        <v/>
      </c>
      <c r="D870" s="471" t="str">
        <f ca="1">IFERROR(INDEX(凭证录入!F:F,$AR870),"")</f>
        <v/>
      </c>
      <c r="E870" s="472" t="str">
        <f ca="1">IFERROR(INDEX(凭证录入!H:H,$AR870),$AR870)</f>
        <v/>
      </c>
      <c r="F870" s="473">
        <f ca="1">IF(OR($BG$2=0,$AR870=""),,IF($AR870="本月合计",IF(ROW()=$BG$3,SUM($F$6:$F869),SUM(INDIRECT("$F$"&amp;OFFSET($AU$3,,MATCH(ROW(),$AU$3:$BF$3,)-2)+2&amp;":$E"&amp;ROW()-1))),IF($AR870="本年累计",SUMIF($AR$6:$AR870,"本月合计",$F$6:$F869),INDEX(凭证录入!K:K,$AR870))))</f>
        <v>0</v>
      </c>
      <c r="G870" s="459" t="str">
        <f t="shared" ref="G870:Q885" ca="1" si="192">LEFT(RIGHT(TEXT($F870/1%," ￥0; ￥-0;"),18-COLUMN()))</f>
        <v/>
      </c>
      <c r="H870" s="460" t="str">
        <f t="shared" ca="1" si="192"/>
        <v/>
      </c>
      <c r="I870" s="460" t="str">
        <f t="shared" ca="1" si="192"/>
        <v/>
      </c>
      <c r="J870" s="460" t="str">
        <f t="shared" ca="1" si="192"/>
        <v/>
      </c>
      <c r="K870" s="460" t="str">
        <f t="shared" ca="1" si="192"/>
        <v/>
      </c>
      <c r="L870" s="460" t="str">
        <f t="shared" ca="1" si="192"/>
        <v/>
      </c>
      <c r="M870" s="460" t="str">
        <f t="shared" ca="1" si="192"/>
        <v/>
      </c>
      <c r="N870" s="460" t="str">
        <f t="shared" ca="1" si="192"/>
        <v/>
      </c>
      <c r="O870" s="461" t="str">
        <f t="shared" ca="1" si="192"/>
        <v/>
      </c>
      <c r="P870" s="474" t="str">
        <f t="shared" ca="1" si="192"/>
        <v/>
      </c>
      <c r="Q870" s="475" t="str">
        <f t="shared" ca="1" si="192"/>
        <v/>
      </c>
      <c r="R870" s="476">
        <f ca="1">IF(OR($BG$2=0,$AR870=""),,IF($AR870="本月合计",IF(ROW()=$BG$3,SUM($R$6:$R869),SUM(INDIRECT("$R$"&amp;OFFSET($AU$3,,MATCH(ROW(),$AU$3:$BF$3,)-2)+2&amp;":$R"&amp;ROW()-1))),IF($AR870="本年累计",SUMIF($AR$6:$AR870,"本月合计",$R$6:$R869),INDEX(凭证录入!L:L,$AR870))))</f>
        <v>0</v>
      </c>
      <c r="S870" s="459" t="str">
        <f t="shared" ref="S870:AC885" ca="1" si="193">LEFT(RIGHT(TEXT($R870/1%," ￥0; ￥-0;"),30-COLUMN()))</f>
        <v/>
      </c>
      <c r="T870" s="460" t="str">
        <f t="shared" ca="1" si="193"/>
        <v/>
      </c>
      <c r="U870" s="460" t="str">
        <f t="shared" ca="1" si="193"/>
        <v/>
      </c>
      <c r="V870" s="460" t="str">
        <f t="shared" ca="1" si="193"/>
        <v/>
      </c>
      <c r="W870" s="460" t="str">
        <f t="shared" ca="1" si="193"/>
        <v/>
      </c>
      <c r="X870" s="460" t="str">
        <f t="shared" ca="1" si="193"/>
        <v/>
      </c>
      <c r="Y870" s="460" t="str">
        <f t="shared" ca="1" si="193"/>
        <v/>
      </c>
      <c r="Z870" s="460" t="str">
        <f t="shared" ca="1" si="193"/>
        <v/>
      </c>
      <c r="AA870" s="461" t="str">
        <f t="shared" ca="1" si="193"/>
        <v/>
      </c>
      <c r="AB870" s="474" t="str">
        <f t="shared" ca="1" si="193"/>
        <v/>
      </c>
      <c r="AC870" s="475" t="str">
        <f t="shared" ca="1" si="193"/>
        <v/>
      </c>
      <c r="AD870" s="477" t="str">
        <f t="shared" ca="1" si="186"/>
        <v/>
      </c>
      <c r="AE870" s="478">
        <f t="shared" ca="1" si="187"/>
        <v>0</v>
      </c>
      <c r="AF870" s="459" t="str">
        <f t="shared" ca="1" si="191"/>
        <v/>
      </c>
      <c r="AG870" s="460" t="str">
        <f t="shared" ca="1" si="191"/>
        <v/>
      </c>
      <c r="AH870" s="460" t="str">
        <f t="shared" ca="1" si="191"/>
        <v/>
      </c>
      <c r="AI870" s="460" t="str">
        <f t="shared" ca="1" si="191"/>
        <v/>
      </c>
      <c r="AJ870" s="460" t="str">
        <f t="shared" ca="1" si="191"/>
        <v/>
      </c>
      <c r="AK870" s="460" t="str">
        <f t="shared" ca="1" si="191"/>
        <v/>
      </c>
      <c r="AL870" s="460" t="str">
        <f t="shared" ca="1" si="191"/>
        <v/>
      </c>
      <c r="AM870" s="460" t="str">
        <f t="shared" ca="1" si="191"/>
        <v/>
      </c>
      <c r="AN870" s="461" t="str">
        <f t="shared" ca="1" si="191"/>
        <v/>
      </c>
      <c r="AO870" s="474" t="str">
        <f t="shared" ca="1" si="191"/>
        <v/>
      </c>
      <c r="AP870" s="475" t="str">
        <f t="shared" ca="1" si="191"/>
        <v/>
      </c>
      <c r="AQ870" s="479" t="str">
        <f t="array" aca="1" ref="AQ870" ca="1">IF(ROW()-5&lt;=COUNTIF(科目编号,$AR$2),SMALL(IF(科目编号=$AR$2,ROW(科目编号),""),ROW()-5),"")</f>
        <v/>
      </c>
      <c r="AR870" s="480" t="str">
        <f ca="1">IF($BG$2=0,"",IF(AR869="本月合计","本年累计",IF(OR(ROW()=$AU$3,ROW()=$AV$3,ROW()=$AW$3,ROW()=$AX$3,ROW()=$AY$3,ROW()=$AZ$3,ROW()=$BA$3,ROW()=$BB$3,ROW()=$BC$3,ROW()=$BD$3,ROW()=$BE$3,ROW()=$BF$3),"本月合计",IF(ROW()&lt;7,$AQ$6,OFFSET($AQ$6,COUNT($AR$6:AR869),0)))))</f>
        <v/>
      </c>
    </row>
    <row r="871" spans="1:44">
      <c r="A871" s="469" t="str">
        <f ca="1">IFERROR(INDEX(凭证录入!A:A,$AR871),"")</f>
        <v/>
      </c>
      <c r="B871" s="469" t="str">
        <f ca="1">IFERROR(INDEX(凭证录入!B:B,$AR871),"")</f>
        <v/>
      </c>
      <c r="C871" s="470" t="str">
        <f ca="1">IFERROR(INDEX(凭证录入!G:G,$AR871),"")</f>
        <v/>
      </c>
      <c r="D871" s="471" t="str">
        <f ca="1">IFERROR(INDEX(凭证录入!F:F,$AR871),"")</f>
        <v/>
      </c>
      <c r="E871" s="472" t="str">
        <f ca="1">IFERROR(INDEX(凭证录入!H:H,$AR871),$AR871)</f>
        <v/>
      </c>
      <c r="F871" s="473">
        <f ca="1">IF(OR($BG$2=0,$AR871=""),,IF($AR871="本月合计",IF(ROW()=$BG$3,SUM($F$6:$F870),SUM(INDIRECT("$F$"&amp;OFFSET($AU$3,,MATCH(ROW(),$AU$3:$BF$3,)-2)+2&amp;":$E"&amp;ROW()-1))),IF($AR871="本年累计",SUMIF($AR$6:$AR871,"本月合计",$F$6:$F870),INDEX(凭证录入!K:K,$AR871))))</f>
        <v>0</v>
      </c>
      <c r="G871" s="459" t="str">
        <f t="shared" ca="1" si="192"/>
        <v/>
      </c>
      <c r="H871" s="460" t="str">
        <f t="shared" ca="1" si="192"/>
        <v/>
      </c>
      <c r="I871" s="460" t="str">
        <f t="shared" ca="1" si="192"/>
        <v/>
      </c>
      <c r="J871" s="460" t="str">
        <f t="shared" ca="1" si="192"/>
        <v/>
      </c>
      <c r="K871" s="460" t="str">
        <f t="shared" ca="1" si="192"/>
        <v/>
      </c>
      <c r="L871" s="460" t="str">
        <f t="shared" ca="1" si="192"/>
        <v/>
      </c>
      <c r="M871" s="460" t="str">
        <f t="shared" ca="1" si="192"/>
        <v/>
      </c>
      <c r="N871" s="460" t="str">
        <f t="shared" ca="1" si="192"/>
        <v/>
      </c>
      <c r="O871" s="461" t="str">
        <f t="shared" ca="1" si="192"/>
        <v/>
      </c>
      <c r="P871" s="474" t="str">
        <f t="shared" ca="1" si="192"/>
        <v/>
      </c>
      <c r="Q871" s="475" t="str">
        <f t="shared" ca="1" si="192"/>
        <v/>
      </c>
      <c r="R871" s="476">
        <f ca="1">IF(OR($BG$2=0,$AR871=""),,IF($AR871="本月合计",IF(ROW()=$BG$3,SUM($R$6:$R870),SUM(INDIRECT("$R$"&amp;OFFSET($AU$3,,MATCH(ROW(),$AU$3:$BF$3,)-2)+2&amp;":$R"&amp;ROW()-1))),IF($AR871="本年累计",SUMIF($AR$6:$AR871,"本月合计",$R$6:$R870),INDEX(凭证录入!L:L,$AR871))))</f>
        <v>0</v>
      </c>
      <c r="S871" s="459" t="str">
        <f t="shared" ca="1" si="193"/>
        <v/>
      </c>
      <c r="T871" s="460" t="str">
        <f t="shared" ca="1" si="193"/>
        <v/>
      </c>
      <c r="U871" s="460" t="str">
        <f t="shared" ca="1" si="193"/>
        <v/>
      </c>
      <c r="V871" s="460" t="str">
        <f t="shared" ca="1" si="193"/>
        <v/>
      </c>
      <c r="W871" s="460" t="str">
        <f t="shared" ca="1" si="193"/>
        <v/>
      </c>
      <c r="X871" s="460" t="str">
        <f t="shared" ca="1" si="193"/>
        <v/>
      </c>
      <c r="Y871" s="460" t="str">
        <f t="shared" ca="1" si="193"/>
        <v/>
      </c>
      <c r="Z871" s="460" t="str">
        <f t="shared" ca="1" si="193"/>
        <v/>
      </c>
      <c r="AA871" s="461" t="str">
        <f t="shared" ca="1" si="193"/>
        <v/>
      </c>
      <c r="AB871" s="474" t="str">
        <f t="shared" ca="1" si="193"/>
        <v/>
      </c>
      <c r="AC871" s="475" t="str">
        <f t="shared" ca="1" si="193"/>
        <v/>
      </c>
      <c r="AD871" s="477" t="str">
        <f t="shared" ca="1" si="186"/>
        <v/>
      </c>
      <c r="AE871" s="478">
        <f t="shared" ca="1" si="187"/>
        <v>0</v>
      </c>
      <c r="AF871" s="459" t="str">
        <f t="shared" ca="1" si="191"/>
        <v/>
      </c>
      <c r="AG871" s="460" t="str">
        <f t="shared" ca="1" si="191"/>
        <v/>
      </c>
      <c r="AH871" s="460" t="str">
        <f t="shared" ca="1" si="191"/>
        <v/>
      </c>
      <c r="AI871" s="460" t="str">
        <f t="shared" ca="1" si="191"/>
        <v/>
      </c>
      <c r="AJ871" s="460" t="str">
        <f t="shared" ca="1" si="191"/>
        <v/>
      </c>
      <c r="AK871" s="460" t="str">
        <f t="shared" ca="1" si="191"/>
        <v/>
      </c>
      <c r="AL871" s="460" t="str">
        <f t="shared" ca="1" si="191"/>
        <v/>
      </c>
      <c r="AM871" s="460" t="str">
        <f t="shared" ca="1" si="191"/>
        <v/>
      </c>
      <c r="AN871" s="461" t="str">
        <f t="shared" ca="1" si="191"/>
        <v/>
      </c>
      <c r="AO871" s="474" t="str">
        <f t="shared" ca="1" si="191"/>
        <v/>
      </c>
      <c r="AP871" s="475" t="str">
        <f t="shared" ca="1" si="191"/>
        <v/>
      </c>
      <c r="AQ871" s="479" t="str">
        <f t="array" aca="1" ref="AQ871" ca="1">IF(ROW()-5&lt;=COUNTIF(科目编号,$AR$2),SMALL(IF(科目编号=$AR$2,ROW(科目编号),""),ROW()-5),"")</f>
        <v/>
      </c>
      <c r="AR871" s="480" t="str">
        <f ca="1">IF($BG$2=0,"",IF(AR870="本月合计","本年累计",IF(OR(ROW()=$AU$3,ROW()=$AV$3,ROW()=$AW$3,ROW()=$AX$3,ROW()=$AY$3,ROW()=$AZ$3,ROW()=$BA$3,ROW()=$BB$3,ROW()=$BC$3,ROW()=$BD$3,ROW()=$BE$3,ROW()=$BF$3),"本月合计",IF(ROW()&lt;7,$AQ$6,OFFSET($AQ$6,COUNT($AR$6:AR870),0)))))</f>
        <v/>
      </c>
    </row>
    <row r="872" spans="1:44">
      <c r="A872" s="469" t="str">
        <f ca="1">IFERROR(INDEX(凭证录入!A:A,$AR872),"")</f>
        <v/>
      </c>
      <c r="B872" s="469" t="str">
        <f ca="1">IFERROR(INDEX(凭证录入!B:B,$AR872),"")</f>
        <v/>
      </c>
      <c r="C872" s="470" t="str">
        <f ca="1">IFERROR(INDEX(凭证录入!G:G,$AR872),"")</f>
        <v/>
      </c>
      <c r="D872" s="471" t="str">
        <f ca="1">IFERROR(INDEX(凭证录入!F:F,$AR872),"")</f>
        <v/>
      </c>
      <c r="E872" s="472" t="str">
        <f ca="1">IFERROR(INDEX(凭证录入!H:H,$AR872),$AR872)</f>
        <v/>
      </c>
      <c r="F872" s="473">
        <f ca="1">IF(OR($BG$2=0,$AR872=""),,IF($AR872="本月合计",IF(ROW()=$BG$3,SUM($F$6:$F871),SUM(INDIRECT("$F$"&amp;OFFSET($AU$3,,MATCH(ROW(),$AU$3:$BF$3,)-2)+2&amp;":$E"&amp;ROW()-1))),IF($AR872="本年累计",SUMIF($AR$6:$AR872,"本月合计",$F$6:$F871),INDEX(凭证录入!K:K,$AR872))))</f>
        <v>0</v>
      </c>
      <c r="G872" s="459" t="str">
        <f t="shared" ca="1" si="192"/>
        <v/>
      </c>
      <c r="H872" s="460" t="str">
        <f t="shared" ca="1" si="192"/>
        <v/>
      </c>
      <c r="I872" s="460" t="str">
        <f t="shared" ca="1" si="192"/>
        <v/>
      </c>
      <c r="J872" s="460" t="str">
        <f t="shared" ca="1" si="192"/>
        <v/>
      </c>
      <c r="K872" s="460" t="str">
        <f t="shared" ca="1" si="192"/>
        <v/>
      </c>
      <c r="L872" s="460" t="str">
        <f t="shared" ca="1" si="192"/>
        <v/>
      </c>
      <c r="M872" s="460" t="str">
        <f t="shared" ca="1" si="192"/>
        <v/>
      </c>
      <c r="N872" s="460" t="str">
        <f t="shared" ca="1" si="192"/>
        <v/>
      </c>
      <c r="O872" s="461" t="str">
        <f t="shared" ca="1" si="192"/>
        <v/>
      </c>
      <c r="P872" s="474" t="str">
        <f t="shared" ca="1" si="192"/>
        <v/>
      </c>
      <c r="Q872" s="475" t="str">
        <f t="shared" ca="1" si="192"/>
        <v/>
      </c>
      <c r="R872" s="476">
        <f ca="1">IF(OR($BG$2=0,$AR872=""),,IF($AR872="本月合计",IF(ROW()=$BG$3,SUM($R$6:$R871),SUM(INDIRECT("$R$"&amp;OFFSET($AU$3,,MATCH(ROW(),$AU$3:$BF$3,)-2)+2&amp;":$R"&amp;ROW()-1))),IF($AR872="本年累计",SUMIF($AR$6:$AR872,"本月合计",$R$6:$R871),INDEX(凭证录入!L:L,$AR872))))</f>
        <v>0</v>
      </c>
      <c r="S872" s="459" t="str">
        <f t="shared" ca="1" si="193"/>
        <v/>
      </c>
      <c r="T872" s="460" t="str">
        <f t="shared" ca="1" si="193"/>
        <v/>
      </c>
      <c r="U872" s="460" t="str">
        <f t="shared" ca="1" si="193"/>
        <v/>
      </c>
      <c r="V872" s="460" t="str">
        <f t="shared" ca="1" si="193"/>
        <v/>
      </c>
      <c r="W872" s="460" t="str">
        <f t="shared" ca="1" si="193"/>
        <v/>
      </c>
      <c r="X872" s="460" t="str">
        <f t="shared" ca="1" si="193"/>
        <v/>
      </c>
      <c r="Y872" s="460" t="str">
        <f t="shared" ca="1" si="193"/>
        <v/>
      </c>
      <c r="Z872" s="460" t="str">
        <f t="shared" ca="1" si="193"/>
        <v/>
      </c>
      <c r="AA872" s="461" t="str">
        <f t="shared" ca="1" si="193"/>
        <v/>
      </c>
      <c r="AB872" s="474" t="str">
        <f t="shared" ca="1" si="193"/>
        <v/>
      </c>
      <c r="AC872" s="475" t="str">
        <f t="shared" ca="1" si="193"/>
        <v/>
      </c>
      <c r="AD872" s="477" t="str">
        <f t="shared" ca="1" si="186"/>
        <v/>
      </c>
      <c r="AE872" s="478">
        <f t="shared" ca="1" si="187"/>
        <v>0</v>
      </c>
      <c r="AF872" s="459" t="str">
        <f t="shared" ca="1" si="191"/>
        <v/>
      </c>
      <c r="AG872" s="460" t="str">
        <f t="shared" ca="1" si="191"/>
        <v/>
      </c>
      <c r="AH872" s="460" t="str">
        <f t="shared" ca="1" si="191"/>
        <v/>
      </c>
      <c r="AI872" s="460" t="str">
        <f t="shared" ca="1" si="191"/>
        <v/>
      </c>
      <c r="AJ872" s="460" t="str">
        <f t="shared" ca="1" si="191"/>
        <v/>
      </c>
      <c r="AK872" s="460" t="str">
        <f t="shared" ca="1" si="191"/>
        <v/>
      </c>
      <c r="AL872" s="460" t="str">
        <f t="shared" ca="1" si="191"/>
        <v/>
      </c>
      <c r="AM872" s="460" t="str">
        <f t="shared" ca="1" si="191"/>
        <v/>
      </c>
      <c r="AN872" s="461" t="str">
        <f t="shared" ca="1" si="191"/>
        <v/>
      </c>
      <c r="AO872" s="474" t="str">
        <f t="shared" ca="1" si="191"/>
        <v/>
      </c>
      <c r="AP872" s="475" t="str">
        <f t="shared" ca="1" si="191"/>
        <v/>
      </c>
      <c r="AQ872" s="479" t="str">
        <f t="array" aca="1" ref="AQ872" ca="1">IF(ROW()-5&lt;=COUNTIF(科目编号,$AR$2),SMALL(IF(科目编号=$AR$2,ROW(科目编号),""),ROW()-5),"")</f>
        <v/>
      </c>
      <c r="AR872" s="480" t="str">
        <f ca="1">IF($BG$2=0,"",IF(AR871="本月合计","本年累计",IF(OR(ROW()=$AU$3,ROW()=$AV$3,ROW()=$AW$3,ROW()=$AX$3,ROW()=$AY$3,ROW()=$AZ$3,ROW()=$BA$3,ROW()=$BB$3,ROW()=$BC$3,ROW()=$BD$3,ROW()=$BE$3,ROW()=$BF$3),"本月合计",IF(ROW()&lt;7,$AQ$6,OFFSET($AQ$6,COUNT($AR$6:AR871),0)))))</f>
        <v/>
      </c>
    </row>
    <row r="873" spans="1:44">
      <c r="A873" s="469" t="str">
        <f ca="1">IFERROR(INDEX(凭证录入!A:A,$AR873),"")</f>
        <v/>
      </c>
      <c r="B873" s="469" t="str">
        <f ca="1">IFERROR(INDEX(凭证录入!B:B,$AR873),"")</f>
        <v/>
      </c>
      <c r="C873" s="470" t="str">
        <f ca="1">IFERROR(INDEX(凭证录入!G:G,$AR873),"")</f>
        <v/>
      </c>
      <c r="D873" s="471" t="str">
        <f ca="1">IFERROR(INDEX(凭证录入!F:F,$AR873),"")</f>
        <v/>
      </c>
      <c r="E873" s="472" t="str">
        <f ca="1">IFERROR(INDEX(凭证录入!H:H,$AR873),$AR873)</f>
        <v/>
      </c>
      <c r="F873" s="473">
        <f ca="1">IF(OR($BG$2=0,$AR873=""),,IF($AR873="本月合计",IF(ROW()=$BG$3,SUM($F$6:$F872),SUM(INDIRECT("$F$"&amp;OFFSET($AU$3,,MATCH(ROW(),$AU$3:$BF$3,)-2)+2&amp;":$E"&amp;ROW()-1))),IF($AR873="本年累计",SUMIF($AR$6:$AR873,"本月合计",$F$6:$F872),INDEX(凭证录入!K:K,$AR873))))</f>
        <v>0</v>
      </c>
      <c r="G873" s="459" t="str">
        <f t="shared" ca="1" si="192"/>
        <v/>
      </c>
      <c r="H873" s="460" t="str">
        <f t="shared" ca="1" si="192"/>
        <v/>
      </c>
      <c r="I873" s="460" t="str">
        <f t="shared" ca="1" si="192"/>
        <v/>
      </c>
      <c r="J873" s="460" t="str">
        <f t="shared" ca="1" si="192"/>
        <v/>
      </c>
      <c r="K873" s="460" t="str">
        <f t="shared" ca="1" si="192"/>
        <v/>
      </c>
      <c r="L873" s="460" t="str">
        <f t="shared" ca="1" si="192"/>
        <v/>
      </c>
      <c r="M873" s="460" t="str">
        <f t="shared" ca="1" si="192"/>
        <v/>
      </c>
      <c r="N873" s="460" t="str">
        <f t="shared" ca="1" si="192"/>
        <v/>
      </c>
      <c r="O873" s="461" t="str">
        <f t="shared" ca="1" si="192"/>
        <v/>
      </c>
      <c r="P873" s="474" t="str">
        <f t="shared" ca="1" si="192"/>
        <v/>
      </c>
      <c r="Q873" s="475" t="str">
        <f t="shared" ca="1" si="192"/>
        <v/>
      </c>
      <c r="R873" s="476">
        <f ca="1">IF(OR($BG$2=0,$AR873=""),,IF($AR873="本月合计",IF(ROW()=$BG$3,SUM($R$6:$R872),SUM(INDIRECT("$R$"&amp;OFFSET($AU$3,,MATCH(ROW(),$AU$3:$BF$3,)-2)+2&amp;":$R"&amp;ROW()-1))),IF($AR873="本年累计",SUMIF($AR$6:$AR873,"本月合计",$R$6:$R872),INDEX(凭证录入!L:L,$AR873))))</f>
        <v>0</v>
      </c>
      <c r="S873" s="459" t="str">
        <f t="shared" ca="1" si="193"/>
        <v/>
      </c>
      <c r="T873" s="460" t="str">
        <f t="shared" ca="1" si="193"/>
        <v/>
      </c>
      <c r="U873" s="460" t="str">
        <f t="shared" ca="1" si="193"/>
        <v/>
      </c>
      <c r="V873" s="460" t="str">
        <f t="shared" ca="1" si="193"/>
        <v/>
      </c>
      <c r="W873" s="460" t="str">
        <f t="shared" ca="1" si="193"/>
        <v/>
      </c>
      <c r="X873" s="460" t="str">
        <f t="shared" ca="1" si="193"/>
        <v/>
      </c>
      <c r="Y873" s="460" t="str">
        <f t="shared" ca="1" si="193"/>
        <v/>
      </c>
      <c r="Z873" s="460" t="str">
        <f t="shared" ca="1" si="193"/>
        <v/>
      </c>
      <c r="AA873" s="461" t="str">
        <f t="shared" ca="1" si="193"/>
        <v/>
      </c>
      <c r="AB873" s="474" t="str">
        <f t="shared" ca="1" si="193"/>
        <v/>
      </c>
      <c r="AC873" s="475" t="str">
        <f t="shared" ca="1" si="193"/>
        <v/>
      </c>
      <c r="AD873" s="477" t="str">
        <f t="shared" ca="1" si="186"/>
        <v/>
      </c>
      <c r="AE873" s="478">
        <f t="shared" ca="1" si="187"/>
        <v>0</v>
      </c>
      <c r="AF873" s="459" t="str">
        <f t="shared" ca="1" si="191"/>
        <v/>
      </c>
      <c r="AG873" s="460" t="str">
        <f t="shared" ca="1" si="191"/>
        <v/>
      </c>
      <c r="AH873" s="460" t="str">
        <f t="shared" ca="1" si="191"/>
        <v/>
      </c>
      <c r="AI873" s="460" t="str">
        <f t="shared" ca="1" si="191"/>
        <v/>
      </c>
      <c r="AJ873" s="460" t="str">
        <f t="shared" ca="1" si="191"/>
        <v/>
      </c>
      <c r="AK873" s="460" t="str">
        <f t="shared" ca="1" si="191"/>
        <v/>
      </c>
      <c r="AL873" s="460" t="str">
        <f t="shared" ca="1" si="191"/>
        <v/>
      </c>
      <c r="AM873" s="460" t="str">
        <f t="shared" ca="1" si="191"/>
        <v/>
      </c>
      <c r="AN873" s="461" t="str">
        <f t="shared" ca="1" si="191"/>
        <v/>
      </c>
      <c r="AO873" s="474" t="str">
        <f t="shared" ca="1" si="191"/>
        <v/>
      </c>
      <c r="AP873" s="475" t="str">
        <f t="shared" ca="1" si="191"/>
        <v/>
      </c>
      <c r="AQ873" s="479" t="str">
        <f t="array" aca="1" ref="AQ873" ca="1">IF(ROW()-5&lt;=COUNTIF(科目编号,$AR$2),SMALL(IF(科目编号=$AR$2,ROW(科目编号),""),ROW()-5),"")</f>
        <v/>
      </c>
      <c r="AR873" s="480" t="str">
        <f ca="1">IF($BG$2=0,"",IF(AR872="本月合计","本年累计",IF(OR(ROW()=$AU$3,ROW()=$AV$3,ROW()=$AW$3,ROW()=$AX$3,ROW()=$AY$3,ROW()=$AZ$3,ROW()=$BA$3,ROW()=$BB$3,ROW()=$BC$3,ROW()=$BD$3,ROW()=$BE$3,ROW()=$BF$3),"本月合计",IF(ROW()&lt;7,$AQ$6,OFFSET($AQ$6,COUNT($AR$6:AR872),0)))))</f>
        <v/>
      </c>
    </row>
    <row r="874" spans="1:44">
      <c r="A874" s="469" t="str">
        <f ca="1">IFERROR(INDEX(凭证录入!A:A,$AR874),"")</f>
        <v/>
      </c>
      <c r="B874" s="469" t="str">
        <f ca="1">IFERROR(INDEX(凭证录入!B:B,$AR874),"")</f>
        <v/>
      </c>
      <c r="C874" s="470" t="str">
        <f ca="1">IFERROR(INDEX(凭证录入!G:G,$AR874),"")</f>
        <v/>
      </c>
      <c r="D874" s="471" t="str">
        <f ca="1">IFERROR(INDEX(凭证录入!F:F,$AR874),"")</f>
        <v/>
      </c>
      <c r="E874" s="472" t="str">
        <f ca="1">IFERROR(INDEX(凭证录入!H:H,$AR874),$AR874)</f>
        <v/>
      </c>
      <c r="F874" s="473">
        <f ca="1">IF(OR($BG$2=0,$AR874=""),,IF($AR874="本月合计",IF(ROW()=$BG$3,SUM($F$6:$F873),SUM(INDIRECT("$F$"&amp;OFFSET($AU$3,,MATCH(ROW(),$AU$3:$BF$3,)-2)+2&amp;":$E"&amp;ROW()-1))),IF($AR874="本年累计",SUMIF($AR$6:$AR874,"本月合计",$F$6:$F873),INDEX(凭证录入!K:K,$AR874))))</f>
        <v>0</v>
      </c>
      <c r="G874" s="459" t="str">
        <f t="shared" ca="1" si="192"/>
        <v/>
      </c>
      <c r="H874" s="460" t="str">
        <f t="shared" ca="1" si="192"/>
        <v/>
      </c>
      <c r="I874" s="460" t="str">
        <f t="shared" ca="1" si="192"/>
        <v/>
      </c>
      <c r="J874" s="460" t="str">
        <f t="shared" ca="1" si="192"/>
        <v/>
      </c>
      <c r="K874" s="460" t="str">
        <f t="shared" ca="1" si="192"/>
        <v/>
      </c>
      <c r="L874" s="460" t="str">
        <f t="shared" ca="1" si="192"/>
        <v/>
      </c>
      <c r="M874" s="460" t="str">
        <f t="shared" ca="1" si="192"/>
        <v/>
      </c>
      <c r="N874" s="460" t="str">
        <f t="shared" ca="1" si="192"/>
        <v/>
      </c>
      <c r="O874" s="461" t="str">
        <f t="shared" ca="1" si="192"/>
        <v/>
      </c>
      <c r="P874" s="474" t="str">
        <f t="shared" ca="1" si="192"/>
        <v/>
      </c>
      <c r="Q874" s="475" t="str">
        <f t="shared" ca="1" si="192"/>
        <v/>
      </c>
      <c r="R874" s="476">
        <f ca="1">IF(OR($BG$2=0,$AR874=""),,IF($AR874="本月合计",IF(ROW()=$BG$3,SUM($R$6:$R873),SUM(INDIRECT("$R$"&amp;OFFSET($AU$3,,MATCH(ROW(),$AU$3:$BF$3,)-2)+2&amp;":$R"&amp;ROW()-1))),IF($AR874="本年累计",SUMIF($AR$6:$AR874,"本月合计",$R$6:$R873),INDEX(凭证录入!L:L,$AR874))))</f>
        <v>0</v>
      </c>
      <c r="S874" s="459" t="str">
        <f t="shared" ca="1" si="193"/>
        <v/>
      </c>
      <c r="T874" s="460" t="str">
        <f t="shared" ca="1" si="193"/>
        <v/>
      </c>
      <c r="U874" s="460" t="str">
        <f t="shared" ca="1" si="193"/>
        <v/>
      </c>
      <c r="V874" s="460" t="str">
        <f t="shared" ca="1" si="193"/>
        <v/>
      </c>
      <c r="W874" s="460" t="str">
        <f t="shared" ca="1" si="193"/>
        <v/>
      </c>
      <c r="X874" s="460" t="str">
        <f t="shared" ca="1" si="193"/>
        <v/>
      </c>
      <c r="Y874" s="460" t="str">
        <f t="shared" ca="1" si="193"/>
        <v/>
      </c>
      <c r="Z874" s="460" t="str">
        <f t="shared" ca="1" si="193"/>
        <v/>
      </c>
      <c r="AA874" s="461" t="str">
        <f t="shared" ca="1" si="193"/>
        <v/>
      </c>
      <c r="AB874" s="474" t="str">
        <f t="shared" ca="1" si="193"/>
        <v/>
      </c>
      <c r="AC874" s="475" t="str">
        <f t="shared" ca="1" si="193"/>
        <v/>
      </c>
      <c r="AD874" s="477" t="str">
        <f t="shared" ca="1" si="186"/>
        <v/>
      </c>
      <c r="AE874" s="478">
        <f t="shared" ca="1" si="187"/>
        <v>0</v>
      </c>
      <c r="AF874" s="459" t="str">
        <f t="shared" ca="1" si="191"/>
        <v/>
      </c>
      <c r="AG874" s="460" t="str">
        <f t="shared" ca="1" si="191"/>
        <v/>
      </c>
      <c r="AH874" s="460" t="str">
        <f t="shared" ca="1" si="191"/>
        <v/>
      </c>
      <c r="AI874" s="460" t="str">
        <f t="shared" ca="1" si="191"/>
        <v/>
      </c>
      <c r="AJ874" s="460" t="str">
        <f t="shared" ca="1" si="191"/>
        <v/>
      </c>
      <c r="AK874" s="460" t="str">
        <f t="shared" ca="1" si="191"/>
        <v/>
      </c>
      <c r="AL874" s="460" t="str">
        <f t="shared" ca="1" si="191"/>
        <v/>
      </c>
      <c r="AM874" s="460" t="str">
        <f t="shared" ca="1" si="191"/>
        <v/>
      </c>
      <c r="AN874" s="461" t="str">
        <f t="shared" ca="1" si="191"/>
        <v/>
      </c>
      <c r="AO874" s="474" t="str">
        <f t="shared" ca="1" si="191"/>
        <v/>
      </c>
      <c r="AP874" s="475" t="str">
        <f t="shared" ca="1" si="191"/>
        <v/>
      </c>
      <c r="AQ874" s="479" t="str">
        <f t="array" aca="1" ref="AQ874" ca="1">IF(ROW()-5&lt;=COUNTIF(科目编号,$AR$2),SMALL(IF(科目编号=$AR$2,ROW(科目编号),""),ROW()-5),"")</f>
        <v/>
      </c>
      <c r="AR874" s="480" t="str">
        <f ca="1">IF($BG$2=0,"",IF(AR873="本月合计","本年累计",IF(OR(ROW()=$AU$3,ROW()=$AV$3,ROW()=$AW$3,ROW()=$AX$3,ROW()=$AY$3,ROW()=$AZ$3,ROW()=$BA$3,ROW()=$BB$3,ROW()=$BC$3,ROW()=$BD$3,ROW()=$BE$3,ROW()=$BF$3),"本月合计",IF(ROW()&lt;7,$AQ$6,OFFSET($AQ$6,COUNT($AR$6:AR873),0)))))</f>
        <v/>
      </c>
    </row>
    <row r="875" spans="1:44">
      <c r="A875" s="469" t="str">
        <f ca="1">IFERROR(INDEX(凭证录入!A:A,$AR875),"")</f>
        <v/>
      </c>
      <c r="B875" s="469" t="str">
        <f ca="1">IFERROR(INDEX(凭证录入!B:B,$AR875),"")</f>
        <v/>
      </c>
      <c r="C875" s="470" t="str">
        <f ca="1">IFERROR(INDEX(凭证录入!G:G,$AR875),"")</f>
        <v/>
      </c>
      <c r="D875" s="471" t="str">
        <f ca="1">IFERROR(INDEX(凭证录入!F:F,$AR875),"")</f>
        <v/>
      </c>
      <c r="E875" s="472" t="str">
        <f ca="1">IFERROR(INDEX(凭证录入!H:H,$AR875),$AR875)</f>
        <v/>
      </c>
      <c r="F875" s="473">
        <f ca="1">IF(OR($BG$2=0,$AR875=""),,IF($AR875="本月合计",IF(ROW()=$BG$3,SUM($F$6:$F874),SUM(INDIRECT("$F$"&amp;OFFSET($AU$3,,MATCH(ROW(),$AU$3:$BF$3,)-2)+2&amp;":$E"&amp;ROW()-1))),IF($AR875="本年累计",SUMIF($AR$6:$AR875,"本月合计",$F$6:$F874),INDEX(凭证录入!K:K,$AR875))))</f>
        <v>0</v>
      </c>
      <c r="G875" s="459" t="str">
        <f t="shared" ca="1" si="192"/>
        <v/>
      </c>
      <c r="H875" s="460" t="str">
        <f t="shared" ca="1" si="192"/>
        <v/>
      </c>
      <c r="I875" s="460" t="str">
        <f t="shared" ca="1" si="192"/>
        <v/>
      </c>
      <c r="J875" s="460" t="str">
        <f t="shared" ca="1" si="192"/>
        <v/>
      </c>
      <c r="K875" s="460" t="str">
        <f t="shared" ca="1" si="192"/>
        <v/>
      </c>
      <c r="L875" s="460" t="str">
        <f t="shared" ca="1" si="192"/>
        <v/>
      </c>
      <c r="M875" s="460" t="str">
        <f t="shared" ca="1" si="192"/>
        <v/>
      </c>
      <c r="N875" s="460" t="str">
        <f t="shared" ca="1" si="192"/>
        <v/>
      </c>
      <c r="O875" s="461" t="str">
        <f t="shared" ca="1" si="192"/>
        <v/>
      </c>
      <c r="P875" s="474" t="str">
        <f t="shared" ca="1" si="192"/>
        <v/>
      </c>
      <c r="Q875" s="475" t="str">
        <f t="shared" ca="1" si="192"/>
        <v/>
      </c>
      <c r="R875" s="476">
        <f ca="1">IF(OR($BG$2=0,$AR875=""),,IF($AR875="本月合计",IF(ROW()=$BG$3,SUM($R$6:$R874),SUM(INDIRECT("$R$"&amp;OFFSET($AU$3,,MATCH(ROW(),$AU$3:$BF$3,)-2)+2&amp;":$R"&amp;ROW()-1))),IF($AR875="本年累计",SUMIF($AR$6:$AR875,"本月合计",$R$6:$R874),INDEX(凭证录入!L:L,$AR875))))</f>
        <v>0</v>
      </c>
      <c r="S875" s="459" t="str">
        <f t="shared" ca="1" si="193"/>
        <v/>
      </c>
      <c r="T875" s="460" t="str">
        <f t="shared" ca="1" si="193"/>
        <v/>
      </c>
      <c r="U875" s="460" t="str">
        <f t="shared" ca="1" si="193"/>
        <v/>
      </c>
      <c r="V875" s="460" t="str">
        <f t="shared" ca="1" si="193"/>
        <v/>
      </c>
      <c r="W875" s="460" t="str">
        <f t="shared" ca="1" si="193"/>
        <v/>
      </c>
      <c r="X875" s="460" t="str">
        <f t="shared" ca="1" si="193"/>
        <v/>
      </c>
      <c r="Y875" s="460" t="str">
        <f t="shared" ca="1" si="193"/>
        <v/>
      </c>
      <c r="Z875" s="460" t="str">
        <f t="shared" ca="1" si="193"/>
        <v/>
      </c>
      <c r="AA875" s="461" t="str">
        <f t="shared" ca="1" si="193"/>
        <v/>
      </c>
      <c r="AB875" s="474" t="str">
        <f t="shared" ca="1" si="193"/>
        <v/>
      </c>
      <c r="AC875" s="475" t="str">
        <f t="shared" ca="1" si="193"/>
        <v/>
      </c>
      <c r="AD875" s="477" t="str">
        <f t="shared" ca="1" si="186"/>
        <v/>
      </c>
      <c r="AE875" s="478">
        <f t="shared" ca="1" si="187"/>
        <v>0</v>
      </c>
      <c r="AF875" s="459" t="str">
        <f t="shared" ca="1" si="191"/>
        <v/>
      </c>
      <c r="AG875" s="460" t="str">
        <f t="shared" ca="1" si="191"/>
        <v/>
      </c>
      <c r="AH875" s="460" t="str">
        <f t="shared" ca="1" si="191"/>
        <v/>
      </c>
      <c r="AI875" s="460" t="str">
        <f t="shared" ca="1" si="191"/>
        <v/>
      </c>
      <c r="AJ875" s="460" t="str">
        <f t="shared" ca="1" si="191"/>
        <v/>
      </c>
      <c r="AK875" s="460" t="str">
        <f t="shared" ca="1" si="191"/>
        <v/>
      </c>
      <c r="AL875" s="460" t="str">
        <f t="shared" ca="1" si="191"/>
        <v/>
      </c>
      <c r="AM875" s="460" t="str">
        <f t="shared" ca="1" si="191"/>
        <v/>
      </c>
      <c r="AN875" s="461" t="str">
        <f t="shared" ca="1" si="191"/>
        <v/>
      </c>
      <c r="AO875" s="474" t="str">
        <f t="shared" ca="1" si="191"/>
        <v/>
      </c>
      <c r="AP875" s="475" t="str">
        <f t="shared" ca="1" si="191"/>
        <v/>
      </c>
      <c r="AQ875" s="479" t="str">
        <f t="array" aca="1" ref="AQ875" ca="1">IF(ROW()-5&lt;=COUNTIF(科目编号,$AR$2),SMALL(IF(科目编号=$AR$2,ROW(科目编号),""),ROW()-5),"")</f>
        <v/>
      </c>
      <c r="AR875" s="480" t="str">
        <f ca="1">IF($BG$2=0,"",IF(AR874="本月合计","本年累计",IF(OR(ROW()=$AU$3,ROW()=$AV$3,ROW()=$AW$3,ROW()=$AX$3,ROW()=$AY$3,ROW()=$AZ$3,ROW()=$BA$3,ROW()=$BB$3,ROW()=$BC$3,ROW()=$BD$3,ROW()=$BE$3,ROW()=$BF$3),"本月合计",IF(ROW()&lt;7,$AQ$6,OFFSET($AQ$6,COUNT($AR$6:AR874),0)))))</f>
        <v/>
      </c>
    </row>
    <row r="876" spans="1:44">
      <c r="A876" s="469" t="str">
        <f ca="1">IFERROR(INDEX(凭证录入!A:A,$AR876),"")</f>
        <v/>
      </c>
      <c r="B876" s="469" t="str">
        <f ca="1">IFERROR(INDEX(凭证录入!B:B,$AR876),"")</f>
        <v/>
      </c>
      <c r="C876" s="470" t="str">
        <f ca="1">IFERROR(INDEX(凭证录入!G:G,$AR876),"")</f>
        <v/>
      </c>
      <c r="D876" s="471" t="str">
        <f ca="1">IFERROR(INDEX(凭证录入!F:F,$AR876),"")</f>
        <v/>
      </c>
      <c r="E876" s="472" t="str">
        <f ca="1">IFERROR(INDEX(凭证录入!H:H,$AR876),$AR876)</f>
        <v/>
      </c>
      <c r="F876" s="473">
        <f ca="1">IF(OR($BG$2=0,$AR876=""),,IF($AR876="本月合计",IF(ROW()=$BG$3,SUM($F$6:$F875),SUM(INDIRECT("$F$"&amp;OFFSET($AU$3,,MATCH(ROW(),$AU$3:$BF$3,)-2)+2&amp;":$E"&amp;ROW()-1))),IF($AR876="本年累计",SUMIF($AR$6:$AR876,"本月合计",$F$6:$F875),INDEX(凭证录入!K:K,$AR876))))</f>
        <v>0</v>
      </c>
      <c r="G876" s="459" t="str">
        <f t="shared" ca="1" si="192"/>
        <v/>
      </c>
      <c r="H876" s="460" t="str">
        <f t="shared" ca="1" si="192"/>
        <v/>
      </c>
      <c r="I876" s="460" t="str">
        <f t="shared" ca="1" si="192"/>
        <v/>
      </c>
      <c r="J876" s="460" t="str">
        <f t="shared" ca="1" si="192"/>
        <v/>
      </c>
      <c r="K876" s="460" t="str">
        <f t="shared" ca="1" si="192"/>
        <v/>
      </c>
      <c r="L876" s="460" t="str">
        <f t="shared" ca="1" si="192"/>
        <v/>
      </c>
      <c r="M876" s="460" t="str">
        <f t="shared" ca="1" si="192"/>
        <v/>
      </c>
      <c r="N876" s="460" t="str">
        <f t="shared" ca="1" si="192"/>
        <v/>
      </c>
      <c r="O876" s="461" t="str">
        <f t="shared" ca="1" si="192"/>
        <v/>
      </c>
      <c r="P876" s="474" t="str">
        <f t="shared" ca="1" si="192"/>
        <v/>
      </c>
      <c r="Q876" s="475" t="str">
        <f t="shared" ca="1" si="192"/>
        <v/>
      </c>
      <c r="R876" s="476">
        <f ca="1">IF(OR($BG$2=0,$AR876=""),,IF($AR876="本月合计",IF(ROW()=$BG$3,SUM($R$6:$R875),SUM(INDIRECT("$R$"&amp;OFFSET($AU$3,,MATCH(ROW(),$AU$3:$BF$3,)-2)+2&amp;":$R"&amp;ROW()-1))),IF($AR876="本年累计",SUMIF($AR$6:$AR876,"本月合计",$R$6:$R875),INDEX(凭证录入!L:L,$AR876))))</f>
        <v>0</v>
      </c>
      <c r="S876" s="459" t="str">
        <f t="shared" ca="1" si="193"/>
        <v/>
      </c>
      <c r="T876" s="460" t="str">
        <f t="shared" ca="1" si="193"/>
        <v/>
      </c>
      <c r="U876" s="460" t="str">
        <f t="shared" ca="1" si="193"/>
        <v/>
      </c>
      <c r="V876" s="460" t="str">
        <f t="shared" ca="1" si="193"/>
        <v/>
      </c>
      <c r="W876" s="460" t="str">
        <f t="shared" ca="1" si="193"/>
        <v/>
      </c>
      <c r="X876" s="460" t="str">
        <f t="shared" ca="1" si="193"/>
        <v/>
      </c>
      <c r="Y876" s="460" t="str">
        <f t="shared" ca="1" si="193"/>
        <v/>
      </c>
      <c r="Z876" s="460" t="str">
        <f t="shared" ca="1" si="193"/>
        <v/>
      </c>
      <c r="AA876" s="461" t="str">
        <f t="shared" ca="1" si="193"/>
        <v/>
      </c>
      <c r="AB876" s="474" t="str">
        <f t="shared" ca="1" si="193"/>
        <v/>
      </c>
      <c r="AC876" s="475" t="str">
        <f t="shared" ca="1" si="193"/>
        <v/>
      </c>
      <c r="AD876" s="477" t="str">
        <f t="shared" ca="1" si="186"/>
        <v/>
      </c>
      <c r="AE876" s="478">
        <f t="shared" ca="1" si="187"/>
        <v>0</v>
      </c>
      <c r="AF876" s="459" t="str">
        <f t="shared" ca="1" si="191"/>
        <v/>
      </c>
      <c r="AG876" s="460" t="str">
        <f t="shared" ca="1" si="191"/>
        <v/>
      </c>
      <c r="AH876" s="460" t="str">
        <f t="shared" ca="1" si="191"/>
        <v/>
      </c>
      <c r="AI876" s="460" t="str">
        <f t="shared" ca="1" si="191"/>
        <v/>
      </c>
      <c r="AJ876" s="460" t="str">
        <f t="shared" ca="1" si="191"/>
        <v/>
      </c>
      <c r="AK876" s="460" t="str">
        <f t="shared" ca="1" si="191"/>
        <v/>
      </c>
      <c r="AL876" s="460" t="str">
        <f t="shared" ca="1" si="191"/>
        <v/>
      </c>
      <c r="AM876" s="460" t="str">
        <f t="shared" ca="1" si="191"/>
        <v/>
      </c>
      <c r="AN876" s="461" t="str">
        <f t="shared" ca="1" si="191"/>
        <v/>
      </c>
      <c r="AO876" s="474" t="str">
        <f t="shared" ca="1" si="191"/>
        <v/>
      </c>
      <c r="AP876" s="475" t="str">
        <f t="shared" ca="1" si="191"/>
        <v/>
      </c>
      <c r="AQ876" s="479" t="str">
        <f t="array" aca="1" ref="AQ876" ca="1">IF(ROW()-5&lt;=COUNTIF(科目编号,$AR$2),SMALL(IF(科目编号=$AR$2,ROW(科目编号),""),ROW()-5),"")</f>
        <v/>
      </c>
      <c r="AR876" s="480" t="str">
        <f ca="1">IF($BG$2=0,"",IF(AR875="本月合计","本年累计",IF(OR(ROW()=$AU$3,ROW()=$AV$3,ROW()=$AW$3,ROW()=$AX$3,ROW()=$AY$3,ROW()=$AZ$3,ROW()=$BA$3,ROW()=$BB$3,ROW()=$BC$3,ROW()=$BD$3,ROW()=$BE$3,ROW()=$BF$3),"本月合计",IF(ROW()&lt;7,$AQ$6,OFFSET($AQ$6,COUNT($AR$6:AR875),0)))))</f>
        <v/>
      </c>
    </row>
    <row r="877" spans="1:44">
      <c r="A877" s="469" t="str">
        <f ca="1">IFERROR(INDEX(凭证录入!A:A,$AR877),"")</f>
        <v/>
      </c>
      <c r="B877" s="469" t="str">
        <f ca="1">IFERROR(INDEX(凭证录入!B:B,$AR877),"")</f>
        <v/>
      </c>
      <c r="C877" s="470" t="str">
        <f ca="1">IFERROR(INDEX(凭证录入!G:G,$AR877),"")</f>
        <v/>
      </c>
      <c r="D877" s="471" t="str">
        <f ca="1">IFERROR(INDEX(凭证录入!F:F,$AR877),"")</f>
        <v/>
      </c>
      <c r="E877" s="472" t="str">
        <f ca="1">IFERROR(INDEX(凭证录入!H:H,$AR877),$AR877)</f>
        <v/>
      </c>
      <c r="F877" s="473">
        <f ca="1">IF(OR($BG$2=0,$AR877=""),,IF($AR877="本月合计",IF(ROW()=$BG$3,SUM($F$6:$F876),SUM(INDIRECT("$F$"&amp;OFFSET($AU$3,,MATCH(ROW(),$AU$3:$BF$3,)-2)+2&amp;":$E"&amp;ROW()-1))),IF($AR877="本年累计",SUMIF($AR$6:$AR877,"本月合计",$F$6:$F876),INDEX(凭证录入!K:K,$AR877))))</f>
        <v>0</v>
      </c>
      <c r="G877" s="459" t="str">
        <f t="shared" ca="1" si="192"/>
        <v/>
      </c>
      <c r="H877" s="460" t="str">
        <f t="shared" ca="1" si="192"/>
        <v/>
      </c>
      <c r="I877" s="460" t="str">
        <f t="shared" ca="1" si="192"/>
        <v/>
      </c>
      <c r="J877" s="460" t="str">
        <f t="shared" ca="1" si="192"/>
        <v/>
      </c>
      <c r="K877" s="460" t="str">
        <f t="shared" ca="1" si="192"/>
        <v/>
      </c>
      <c r="L877" s="460" t="str">
        <f t="shared" ca="1" si="192"/>
        <v/>
      </c>
      <c r="M877" s="460" t="str">
        <f t="shared" ca="1" si="192"/>
        <v/>
      </c>
      <c r="N877" s="460" t="str">
        <f t="shared" ca="1" si="192"/>
        <v/>
      </c>
      <c r="O877" s="461" t="str">
        <f t="shared" ca="1" si="192"/>
        <v/>
      </c>
      <c r="P877" s="474" t="str">
        <f t="shared" ca="1" si="192"/>
        <v/>
      </c>
      <c r="Q877" s="475" t="str">
        <f t="shared" ca="1" si="192"/>
        <v/>
      </c>
      <c r="R877" s="476">
        <f ca="1">IF(OR($BG$2=0,$AR877=""),,IF($AR877="本月合计",IF(ROW()=$BG$3,SUM($R$6:$R876),SUM(INDIRECT("$R$"&amp;OFFSET($AU$3,,MATCH(ROW(),$AU$3:$BF$3,)-2)+2&amp;":$R"&amp;ROW()-1))),IF($AR877="本年累计",SUMIF($AR$6:$AR877,"本月合计",$R$6:$R876),INDEX(凭证录入!L:L,$AR877))))</f>
        <v>0</v>
      </c>
      <c r="S877" s="459" t="str">
        <f t="shared" ca="1" si="193"/>
        <v/>
      </c>
      <c r="T877" s="460" t="str">
        <f t="shared" ca="1" si="193"/>
        <v/>
      </c>
      <c r="U877" s="460" t="str">
        <f t="shared" ca="1" si="193"/>
        <v/>
      </c>
      <c r="V877" s="460" t="str">
        <f t="shared" ca="1" si="193"/>
        <v/>
      </c>
      <c r="W877" s="460" t="str">
        <f t="shared" ca="1" si="193"/>
        <v/>
      </c>
      <c r="X877" s="460" t="str">
        <f t="shared" ca="1" si="193"/>
        <v/>
      </c>
      <c r="Y877" s="460" t="str">
        <f t="shared" ca="1" si="193"/>
        <v/>
      </c>
      <c r="Z877" s="460" t="str">
        <f t="shared" ca="1" si="193"/>
        <v/>
      </c>
      <c r="AA877" s="461" t="str">
        <f t="shared" ca="1" si="193"/>
        <v/>
      </c>
      <c r="AB877" s="474" t="str">
        <f t="shared" ca="1" si="193"/>
        <v/>
      </c>
      <c r="AC877" s="475" t="str">
        <f t="shared" ca="1" si="193"/>
        <v/>
      </c>
      <c r="AD877" s="477" t="str">
        <f t="shared" ca="1" si="186"/>
        <v/>
      </c>
      <c r="AE877" s="478">
        <f t="shared" ca="1" si="187"/>
        <v>0</v>
      </c>
      <c r="AF877" s="459" t="str">
        <f t="shared" ca="1" si="191"/>
        <v/>
      </c>
      <c r="AG877" s="460" t="str">
        <f t="shared" ca="1" si="191"/>
        <v/>
      </c>
      <c r="AH877" s="460" t="str">
        <f t="shared" ca="1" si="191"/>
        <v/>
      </c>
      <c r="AI877" s="460" t="str">
        <f t="shared" ca="1" si="191"/>
        <v/>
      </c>
      <c r="AJ877" s="460" t="str">
        <f t="shared" ca="1" si="191"/>
        <v/>
      </c>
      <c r="AK877" s="460" t="str">
        <f t="shared" ca="1" si="191"/>
        <v/>
      </c>
      <c r="AL877" s="460" t="str">
        <f t="shared" ca="1" si="191"/>
        <v/>
      </c>
      <c r="AM877" s="460" t="str">
        <f t="shared" ca="1" si="191"/>
        <v/>
      </c>
      <c r="AN877" s="461" t="str">
        <f t="shared" ca="1" si="191"/>
        <v/>
      </c>
      <c r="AO877" s="474" t="str">
        <f t="shared" ca="1" si="191"/>
        <v/>
      </c>
      <c r="AP877" s="475" t="str">
        <f t="shared" ca="1" si="191"/>
        <v/>
      </c>
      <c r="AQ877" s="479" t="str">
        <f t="array" aca="1" ref="AQ877" ca="1">IF(ROW()-5&lt;=COUNTIF(科目编号,$AR$2),SMALL(IF(科目编号=$AR$2,ROW(科目编号),""),ROW()-5),"")</f>
        <v/>
      </c>
      <c r="AR877" s="480" t="str">
        <f ca="1">IF($BG$2=0,"",IF(AR876="本月合计","本年累计",IF(OR(ROW()=$AU$3,ROW()=$AV$3,ROW()=$AW$3,ROW()=$AX$3,ROW()=$AY$3,ROW()=$AZ$3,ROW()=$BA$3,ROW()=$BB$3,ROW()=$BC$3,ROW()=$BD$3,ROW()=$BE$3,ROW()=$BF$3),"本月合计",IF(ROW()&lt;7,$AQ$6,OFFSET($AQ$6,COUNT($AR$6:AR876),0)))))</f>
        <v/>
      </c>
    </row>
    <row r="878" spans="1:44">
      <c r="A878" s="469" t="str">
        <f ca="1">IFERROR(INDEX(凭证录入!A:A,$AR878),"")</f>
        <v/>
      </c>
      <c r="B878" s="469" t="str">
        <f ca="1">IFERROR(INDEX(凭证录入!B:B,$AR878),"")</f>
        <v/>
      </c>
      <c r="C878" s="470" t="str">
        <f ca="1">IFERROR(INDEX(凭证录入!G:G,$AR878),"")</f>
        <v/>
      </c>
      <c r="D878" s="471" t="str">
        <f ca="1">IFERROR(INDEX(凭证录入!F:F,$AR878),"")</f>
        <v/>
      </c>
      <c r="E878" s="472" t="str">
        <f ca="1">IFERROR(INDEX(凭证录入!H:H,$AR878),$AR878)</f>
        <v/>
      </c>
      <c r="F878" s="473">
        <f ca="1">IF(OR($BG$2=0,$AR878=""),,IF($AR878="本月合计",IF(ROW()=$BG$3,SUM($F$6:$F877),SUM(INDIRECT("$F$"&amp;OFFSET($AU$3,,MATCH(ROW(),$AU$3:$BF$3,)-2)+2&amp;":$E"&amp;ROW()-1))),IF($AR878="本年累计",SUMIF($AR$6:$AR878,"本月合计",$F$6:$F877),INDEX(凭证录入!K:K,$AR878))))</f>
        <v>0</v>
      </c>
      <c r="G878" s="459" t="str">
        <f t="shared" ca="1" si="192"/>
        <v/>
      </c>
      <c r="H878" s="460" t="str">
        <f t="shared" ca="1" si="192"/>
        <v/>
      </c>
      <c r="I878" s="460" t="str">
        <f t="shared" ca="1" si="192"/>
        <v/>
      </c>
      <c r="J878" s="460" t="str">
        <f t="shared" ca="1" si="192"/>
        <v/>
      </c>
      <c r="K878" s="460" t="str">
        <f t="shared" ca="1" si="192"/>
        <v/>
      </c>
      <c r="L878" s="460" t="str">
        <f t="shared" ca="1" si="192"/>
        <v/>
      </c>
      <c r="M878" s="460" t="str">
        <f t="shared" ca="1" si="192"/>
        <v/>
      </c>
      <c r="N878" s="460" t="str">
        <f t="shared" ca="1" si="192"/>
        <v/>
      </c>
      <c r="O878" s="461" t="str">
        <f t="shared" ca="1" si="192"/>
        <v/>
      </c>
      <c r="P878" s="474" t="str">
        <f t="shared" ca="1" si="192"/>
        <v/>
      </c>
      <c r="Q878" s="475" t="str">
        <f t="shared" ca="1" si="192"/>
        <v/>
      </c>
      <c r="R878" s="476">
        <f ca="1">IF(OR($BG$2=0,$AR878=""),,IF($AR878="本月合计",IF(ROW()=$BG$3,SUM($R$6:$R877),SUM(INDIRECT("$R$"&amp;OFFSET($AU$3,,MATCH(ROW(),$AU$3:$BF$3,)-2)+2&amp;":$R"&amp;ROW()-1))),IF($AR878="本年累计",SUMIF($AR$6:$AR878,"本月合计",$R$6:$R877),INDEX(凭证录入!L:L,$AR878))))</f>
        <v>0</v>
      </c>
      <c r="S878" s="459" t="str">
        <f t="shared" ca="1" si="193"/>
        <v/>
      </c>
      <c r="T878" s="460" t="str">
        <f t="shared" ca="1" si="193"/>
        <v/>
      </c>
      <c r="U878" s="460" t="str">
        <f t="shared" ca="1" si="193"/>
        <v/>
      </c>
      <c r="V878" s="460" t="str">
        <f t="shared" ca="1" si="193"/>
        <v/>
      </c>
      <c r="W878" s="460" t="str">
        <f t="shared" ca="1" si="193"/>
        <v/>
      </c>
      <c r="X878" s="460" t="str">
        <f t="shared" ca="1" si="193"/>
        <v/>
      </c>
      <c r="Y878" s="460" t="str">
        <f t="shared" ca="1" si="193"/>
        <v/>
      </c>
      <c r="Z878" s="460" t="str">
        <f t="shared" ca="1" si="193"/>
        <v/>
      </c>
      <c r="AA878" s="461" t="str">
        <f t="shared" ca="1" si="193"/>
        <v/>
      </c>
      <c r="AB878" s="474" t="str">
        <f t="shared" ca="1" si="193"/>
        <v/>
      </c>
      <c r="AC878" s="475" t="str">
        <f t="shared" ca="1" si="193"/>
        <v/>
      </c>
      <c r="AD878" s="477" t="str">
        <f t="shared" ca="1" si="186"/>
        <v/>
      </c>
      <c r="AE878" s="478">
        <f t="shared" ca="1" si="187"/>
        <v>0</v>
      </c>
      <c r="AF878" s="459" t="str">
        <f t="shared" ca="1" si="191"/>
        <v/>
      </c>
      <c r="AG878" s="460" t="str">
        <f t="shared" ca="1" si="191"/>
        <v/>
      </c>
      <c r="AH878" s="460" t="str">
        <f t="shared" ca="1" si="191"/>
        <v/>
      </c>
      <c r="AI878" s="460" t="str">
        <f t="shared" ca="1" si="191"/>
        <v/>
      </c>
      <c r="AJ878" s="460" t="str">
        <f t="shared" ca="1" si="191"/>
        <v/>
      </c>
      <c r="AK878" s="460" t="str">
        <f t="shared" ca="1" si="191"/>
        <v/>
      </c>
      <c r="AL878" s="460" t="str">
        <f t="shared" ca="1" si="191"/>
        <v/>
      </c>
      <c r="AM878" s="460" t="str">
        <f t="shared" ca="1" si="191"/>
        <v/>
      </c>
      <c r="AN878" s="461" t="str">
        <f t="shared" ca="1" si="191"/>
        <v/>
      </c>
      <c r="AO878" s="474" t="str">
        <f t="shared" ca="1" si="191"/>
        <v/>
      </c>
      <c r="AP878" s="475" t="str">
        <f t="shared" ca="1" si="191"/>
        <v/>
      </c>
      <c r="AQ878" s="479" t="str">
        <f t="array" aca="1" ref="AQ878" ca="1">IF(ROW()-5&lt;=COUNTIF(科目编号,$AR$2),SMALL(IF(科目编号=$AR$2,ROW(科目编号),""),ROW()-5),"")</f>
        <v/>
      </c>
      <c r="AR878" s="480" t="str">
        <f ca="1">IF($BG$2=0,"",IF(AR877="本月合计","本年累计",IF(OR(ROW()=$AU$3,ROW()=$AV$3,ROW()=$AW$3,ROW()=$AX$3,ROW()=$AY$3,ROW()=$AZ$3,ROW()=$BA$3,ROW()=$BB$3,ROW()=$BC$3,ROW()=$BD$3,ROW()=$BE$3,ROW()=$BF$3),"本月合计",IF(ROW()&lt;7,$AQ$6,OFFSET($AQ$6,COUNT($AR$6:AR877),0)))))</f>
        <v/>
      </c>
    </row>
    <row r="879" spans="1:44">
      <c r="A879" s="469" t="str">
        <f ca="1">IFERROR(INDEX(凭证录入!A:A,$AR879),"")</f>
        <v/>
      </c>
      <c r="B879" s="469" t="str">
        <f ca="1">IFERROR(INDEX(凭证录入!B:B,$AR879),"")</f>
        <v/>
      </c>
      <c r="C879" s="470" t="str">
        <f ca="1">IFERROR(INDEX(凭证录入!G:G,$AR879),"")</f>
        <v/>
      </c>
      <c r="D879" s="471" t="str">
        <f ca="1">IFERROR(INDEX(凭证录入!F:F,$AR879),"")</f>
        <v/>
      </c>
      <c r="E879" s="472" t="str">
        <f ca="1">IFERROR(INDEX(凭证录入!H:H,$AR879),$AR879)</f>
        <v/>
      </c>
      <c r="F879" s="473">
        <f ca="1">IF(OR($BG$2=0,$AR879=""),,IF($AR879="本月合计",IF(ROW()=$BG$3,SUM($F$6:$F878),SUM(INDIRECT("$F$"&amp;OFFSET($AU$3,,MATCH(ROW(),$AU$3:$BF$3,)-2)+2&amp;":$E"&amp;ROW()-1))),IF($AR879="本年累计",SUMIF($AR$6:$AR879,"本月合计",$F$6:$F878),INDEX(凭证录入!K:K,$AR879))))</f>
        <v>0</v>
      </c>
      <c r="G879" s="459" t="str">
        <f t="shared" ca="1" si="192"/>
        <v/>
      </c>
      <c r="H879" s="460" t="str">
        <f t="shared" ca="1" si="192"/>
        <v/>
      </c>
      <c r="I879" s="460" t="str">
        <f t="shared" ca="1" si="192"/>
        <v/>
      </c>
      <c r="J879" s="460" t="str">
        <f t="shared" ca="1" si="192"/>
        <v/>
      </c>
      <c r="K879" s="460" t="str">
        <f t="shared" ca="1" si="192"/>
        <v/>
      </c>
      <c r="L879" s="460" t="str">
        <f t="shared" ca="1" si="192"/>
        <v/>
      </c>
      <c r="M879" s="460" t="str">
        <f t="shared" ca="1" si="192"/>
        <v/>
      </c>
      <c r="N879" s="460" t="str">
        <f t="shared" ca="1" si="192"/>
        <v/>
      </c>
      <c r="O879" s="461" t="str">
        <f t="shared" ca="1" si="192"/>
        <v/>
      </c>
      <c r="P879" s="474" t="str">
        <f t="shared" ca="1" si="192"/>
        <v/>
      </c>
      <c r="Q879" s="475" t="str">
        <f t="shared" ca="1" si="192"/>
        <v/>
      </c>
      <c r="R879" s="476">
        <f ca="1">IF(OR($BG$2=0,$AR879=""),,IF($AR879="本月合计",IF(ROW()=$BG$3,SUM($R$6:$R878),SUM(INDIRECT("$R$"&amp;OFFSET($AU$3,,MATCH(ROW(),$AU$3:$BF$3,)-2)+2&amp;":$R"&amp;ROW()-1))),IF($AR879="本年累计",SUMIF($AR$6:$AR879,"本月合计",$R$6:$R878),INDEX(凭证录入!L:L,$AR879))))</f>
        <v>0</v>
      </c>
      <c r="S879" s="459" t="str">
        <f t="shared" ca="1" si="193"/>
        <v/>
      </c>
      <c r="T879" s="460" t="str">
        <f t="shared" ca="1" si="193"/>
        <v/>
      </c>
      <c r="U879" s="460" t="str">
        <f t="shared" ca="1" si="193"/>
        <v/>
      </c>
      <c r="V879" s="460" t="str">
        <f t="shared" ca="1" si="193"/>
        <v/>
      </c>
      <c r="W879" s="460" t="str">
        <f t="shared" ca="1" si="193"/>
        <v/>
      </c>
      <c r="X879" s="460" t="str">
        <f t="shared" ca="1" si="193"/>
        <v/>
      </c>
      <c r="Y879" s="460" t="str">
        <f t="shared" ca="1" si="193"/>
        <v/>
      </c>
      <c r="Z879" s="460" t="str">
        <f t="shared" ca="1" si="193"/>
        <v/>
      </c>
      <c r="AA879" s="461" t="str">
        <f t="shared" ca="1" si="193"/>
        <v/>
      </c>
      <c r="AB879" s="474" t="str">
        <f t="shared" ca="1" si="193"/>
        <v/>
      </c>
      <c r="AC879" s="475" t="str">
        <f t="shared" ca="1" si="193"/>
        <v/>
      </c>
      <c r="AD879" s="477" t="str">
        <f t="shared" ca="1" si="186"/>
        <v/>
      </c>
      <c r="AE879" s="478">
        <f t="shared" ca="1" si="187"/>
        <v>0</v>
      </c>
      <c r="AF879" s="459" t="str">
        <f t="shared" ca="1" si="191"/>
        <v/>
      </c>
      <c r="AG879" s="460" t="str">
        <f t="shared" ca="1" si="191"/>
        <v/>
      </c>
      <c r="AH879" s="460" t="str">
        <f t="shared" ca="1" si="191"/>
        <v/>
      </c>
      <c r="AI879" s="460" t="str">
        <f t="shared" ca="1" si="191"/>
        <v/>
      </c>
      <c r="AJ879" s="460" t="str">
        <f t="shared" ca="1" si="191"/>
        <v/>
      </c>
      <c r="AK879" s="460" t="str">
        <f t="shared" ca="1" si="191"/>
        <v/>
      </c>
      <c r="AL879" s="460" t="str">
        <f t="shared" ca="1" si="191"/>
        <v/>
      </c>
      <c r="AM879" s="460" t="str">
        <f t="shared" ca="1" si="191"/>
        <v/>
      </c>
      <c r="AN879" s="461" t="str">
        <f t="shared" ca="1" si="191"/>
        <v/>
      </c>
      <c r="AO879" s="474" t="str">
        <f t="shared" ca="1" si="191"/>
        <v/>
      </c>
      <c r="AP879" s="475" t="str">
        <f t="shared" ca="1" si="191"/>
        <v/>
      </c>
      <c r="AQ879" s="479" t="str">
        <f t="array" aca="1" ref="AQ879" ca="1">IF(ROW()-5&lt;=COUNTIF(科目编号,$AR$2),SMALL(IF(科目编号=$AR$2,ROW(科目编号),""),ROW()-5),"")</f>
        <v/>
      </c>
      <c r="AR879" s="480" t="str">
        <f ca="1">IF($BG$2=0,"",IF(AR878="本月合计","本年累计",IF(OR(ROW()=$AU$3,ROW()=$AV$3,ROW()=$AW$3,ROW()=$AX$3,ROW()=$AY$3,ROW()=$AZ$3,ROW()=$BA$3,ROW()=$BB$3,ROW()=$BC$3,ROW()=$BD$3,ROW()=$BE$3,ROW()=$BF$3),"本月合计",IF(ROW()&lt;7,$AQ$6,OFFSET($AQ$6,COUNT($AR$6:AR878),0)))))</f>
        <v/>
      </c>
    </row>
    <row r="880" spans="1:44">
      <c r="A880" s="469" t="str">
        <f ca="1">IFERROR(INDEX(凭证录入!A:A,$AR880),"")</f>
        <v/>
      </c>
      <c r="B880" s="469" t="str">
        <f ca="1">IFERROR(INDEX(凭证录入!B:B,$AR880),"")</f>
        <v/>
      </c>
      <c r="C880" s="470" t="str">
        <f ca="1">IFERROR(INDEX(凭证录入!G:G,$AR880),"")</f>
        <v/>
      </c>
      <c r="D880" s="471" t="str">
        <f ca="1">IFERROR(INDEX(凭证录入!F:F,$AR880),"")</f>
        <v/>
      </c>
      <c r="E880" s="472" t="str">
        <f ca="1">IFERROR(INDEX(凭证录入!H:H,$AR880),$AR880)</f>
        <v/>
      </c>
      <c r="F880" s="473">
        <f ca="1">IF(OR($BG$2=0,$AR880=""),,IF($AR880="本月合计",IF(ROW()=$BG$3,SUM($F$6:$F879),SUM(INDIRECT("$F$"&amp;OFFSET($AU$3,,MATCH(ROW(),$AU$3:$BF$3,)-2)+2&amp;":$E"&amp;ROW()-1))),IF($AR880="本年累计",SUMIF($AR$6:$AR880,"本月合计",$F$6:$F879),INDEX(凭证录入!K:K,$AR880))))</f>
        <v>0</v>
      </c>
      <c r="G880" s="459" t="str">
        <f t="shared" ca="1" si="192"/>
        <v/>
      </c>
      <c r="H880" s="460" t="str">
        <f t="shared" ca="1" si="192"/>
        <v/>
      </c>
      <c r="I880" s="460" t="str">
        <f t="shared" ca="1" si="192"/>
        <v/>
      </c>
      <c r="J880" s="460" t="str">
        <f t="shared" ca="1" si="192"/>
        <v/>
      </c>
      <c r="K880" s="460" t="str">
        <f t="shared" ca="1" si="192"/>
        <v/>
      </c>
      <c r="L880" s="460" t="str">
        <f t="shared" ca="1" si="192"/>
        <v/>
      </c>
      <c r="M880" s="460" t="str">
        <f t="shared" ca="1" si="192"/>
        <v/>
      </c>
      <c r="N880" s="460" t="str">
        <f t="shared" ca="1" si="192"/>
        <v/>
      </c>
      <c r="O880" s="461" t="str">
        <f t="shared" ca="1" si="192"/>
        <v/>
      </c>
      <c r="P880" s="474" t="str">
        <f t="shared" ca="1" si="192"/>
        <v/>
      </c>
      <c r="Q880" s="475" t="str">
        <f t="shared" ca="1" si="192"/>
        <v/>
      </c>
      <c r="R880" s="476">
        <f ca="1">IF(OR($BG$2=0,$AR880=""),,IF($AR880="本月合计",IF(ROW()=$BG$3,SUM($R$6:$R879),SUM(INDIRECT("$R$"&amp;OFFSET($AU$3,,MATCH(ROW(),$AU$3:$BF$3,)-2)+2&amp;":$R"&amp;ROW()-1))),IF($AR880="本年累计",SUMIF($AR$6:$AR880,"本月合计",$R$6:$R879),INDEX(凭证录入!L:L,$AR880))))</f>
        <v>0</v>
      </c>
      <c r="S880" s="459" t="str">
        <f t="shared" ca="1" si="193"/>
        <v/>
      </c>
      <c r="T880" s="460" t="str">
        <f t="shared" ca="1" si="193"/>
        <v/>
      </c>
      <c r="U880" s="460" t="str">
        <f t="shared" ca="1" si="193"/>
        <v/>
      </c>
      <c r="V880" s="460" t="str">
        <f t="shared" ca="1" si="193"/>
        <v/>
      </c>
      <c r="W880" s="460" t="str">
        <f t="shared" ca="1" si="193"/>
        <v/>
      </c>
      <c r="X880" s="460" t="str">
        <f t="shared" ca="1" si="193"/>
        <v/>
      </c>
      <c r="Y880" s="460" t="str">
        <f t="shared" ca="1" si="193"/>
        <v/>
      </c>
      <c r="Z880" s="460" t="str">
        <f t="shared" ca="1" si="193"/>
        <v/>
      </c>
      <c r="AA880" s="461" t="str">
        <f t="shared" ca="1" si="193"/>
        <v/>
      </c>
      <c r="AB880" s="474" t="str">
        <f t="shared" ca="1" si="193"/>
        <v/>
      </c>
      <c r="AC880" s="475" t="str">
        <f t="shared" ca="1" si="193"/>
        <v/>
      </c>
      <c r="AD880" s="477" t="str">
        <f t="shared" ca="1" si="186"/>
        <v/>
      </c>
      <c r="AE880" s="478">
        <f t="shared" ca="1" si="187"/>
        <v>0</v>
      </c>
      <c r="AF880" s="459" t="str">
        <f t="shared" ca="1" si="191"/>
        <v/>
      </c>
      <c r="AG880" s="460" t="str">
        <f t="shared" ca="1" si="191"/>
        <v/>
      </c>
      <c r="AH880" s="460" t="str">
        <f t="shared" ca="1" si="191"/>
        <v/>
      </c>
      <c r="AI880" s="460" t="str">
        <f t="shared" ca="1" si="191"/>
        <v/>
      </c>
      <c r="AJ880" s="460" t="str">
        <f t="shared" ca="1" si="191"/>
        <v/>
      </c>
      <c r="AK880" s="460" t="str">
        <f t="shared" ca="1" si="191"/>
        <v/>
      </c>
      <c r="AL880" s="460" t="str">
        <f t="shared" ca="1" si="191"/>
        <v/>
      </c>
      <c r="AM880" s="460" t="str">
        <f t="shared" ca="1" si="191"/>
        <v/>
      </c>
      <c r="AN880" s="461" t="str">
        <f t="shared" ca="1" si="191"/>
        <v/>
      </c>
      <c r="AO880" s="474" t="str">
        <f t="shared" ca="1" si="191"/>
        <v/>
      </c>
      <c r="AP880" s="475" t="str">
        <f t="shared" ca="1" si="191"/>
        <v/>
      </c>
      <c r="AQ880" s="479" t="str">
        <f t="array" aca="1" ref="AQ880" ca="1">IF(ROW()-5&lt;=COUNTIF(科目编号,$AR$2),SMALL(IF(科目编号=$AR$2,ROW(科目编号),""),ROW()-5),"")</f>
        <v/>
      </c>
      <c r="AR880" s="480" t="str">
        <f ca="1">IF($BG$2=0,"",IF(AR879="本月合计","本年累计",IF(OR(ROW()=$AU$3,ROW()=$AV$3,ROW()=$AW$3,ROW()=$AX$3,ROW()=$AY$3,ROW()=$AZ$3,ROW()=$BA$3,ROW()=$BB$3,ROW()=$BC$3,ROW()=$BD$3,ROW()=$BE$3,ROW()=$BF$3),"本月合计",IF(ROW()&lt;7,$AQ$6,OFFSET($AQ$6,COUNT($AR$6:AR879),0)))))</f>
        <v/>
      </c>
    </row>
    <row r="881" spans="1:44">
      <c r="A881" s="469" t="str">
        <f ca="1">IFERROR(INDEX(凭证录入!A:A,$AR881),"")</f>
        <v/>
      </c>
      <c r="B881" s="469" t="str">
        <f ca="1">IFERROR(INDEX(凭证录入!B:B,$AR881),"")</f>
        <v/>
      </c>
      <c r="C881" s="470" t="str">
        <f ca="1">IFERROR(INDEX(凭证录入!G:G,$AR881),"")</f>
        <v/>
      </c>
      <c r="D881" s="471" t="str">
        <f ca="1">IFERROR(INDEX(凭证录入!F:F,$AR881),"")</f>
        <v/>
      </c>
      <c r="E881" s="472" t="str">
        <f ca="1">IFERROR(INDEX(凭证录入!H:H,$AR881),$AR881)</f>
        <v/>
      </c>
      <c r="F881" s="473">
        <f ca="1">IF(OR($BG$2=0,$AR881=""),,IF($AR881="本月合计",IF(ROW()=$BG$3,SUM($F$6:$F880),SUM(INDIRECT("$F$"&amp;OFFSET($AU$3,,MATCH(ROW(),$AU$3:$BF$3,)-2)+2&amp;":$E"&amp;ROW()-1))),IF($AR881="本年累计",SUMIF($AR$6:$AR881,"本月合计",$F$6:$F880),INDEX(凭证录入!K:K,$AR881))))</f>
        <v>0</v>
      </c>
      <c r="G881" s="459" t="str">
        <f t="shared" ca="1" si="192"/>
        <v/>
      </c>
      <c r="H881" s="460" t="str">
        <f t="shared" ca="1" si="192"/>
        <v/>
      </c>
      <c r="I881" s="460" t="str">
        <f t="shared" ca="1" si="192"/>
        <v/>
      </c>
      <c r="J881" s="460" t="str">
        <f t="shared" ca="1" si="192"/>
        <v/>
      </c>
      <c r="K881" s="460" t="str">
        <f t="shared" ca="1" si="192"/>
        <v/>
      </c>
      <c r="L881" s="460" t="str">
        <f t="shared" ca="1" si="192"/>
        <v/>
      </c>
      <c r="M881" s="460" t="str">
        <f t="shared" ca="1" si="192"/>
        <v/>
      </c>
      <c r="N881" s="460" t="str">
        <f t="shared" ca="1" si="192"/>
        <v/>
      </c>
      <c r="O881" s="461" t="str">
        <f t="shared" ca="1" si="192"/>
        <v/>
      </c>
      <c r="P881" s="474" t="str">
        <f t="shared" ca="1" si="192"/>
        <v/>
      </c>
      <c r="Q881" s="475" t="str">
        <f t="shared" ca="1" si="192"/>
        <v/>
      </c>
      <c r="R881" s="476">
        <f ca="1">IF(OR($BG$2=0,$AR881=""),,IF($AR881="本月合计",IF(ROW()=$BG$3,SUM($R$6:$R880),SUM(INDIRECT("$R$"&amp;OFFSET($AU$3,,MATCH(ROW(),$AU$3:$BF$3,)-2)+2&amp;":$R"&amp;ROW()-1))),IF($AR881="本年累计",SUMIF($AR$6:$AR881,"本月合计",$R$6:$R880),INDEX(凭证录入!L:L,$AR881))))</f>
        <v>0</v>
      </c>
      <c r="S881" s="459" t="str">
        <f t="shared" ca="1" si="193"/>
        <v/>
      </c>
      <c r="T881" s="460" t="str">
        <f t="shared" ca="1" si="193"/>
        <v/>
      </c>
      <c r="U881" s="460" t="str">
        <f t="shared" ca="1" si="193"/>
        <v/>
      </c>
      <c r="V881" s="460" t="str">
        <f t="shared" ca="1" si="193"/>
        <v/>
      </c>
      <c r="W881" s="460" t="str">
        <f t="shared" ca="1" si="193"/>
        <v/>
      </c>
      <c r="X881" s="460" t="str">
        <f t="shared" ca="1" si="193"/>
        <v/>
      </c>
      <c r="Y881" s="460" t="str">
        <f t="shared" ca="1" si="193"/>
        <v/>
      </c>
      <c r="Z881" s="460" t="str">
        <f t="shared" ca="1" si="193"/>
        <v/>
      </c>
      <c r="AA881" s="461" t="str">
        <f t="shared" ca="1" si="193"/>
        <v/>
      </c>
      <c r="AB881" s="474" t="str">
        <f t="shared" ca="1" si="193"/>
        <v/>
      </c>
      <c r="AC881" s="475" t="str">
        <f t="shared" ca="1" si="193"/>
        <v/>
      </c>
      <c r="AD881" s="477" t="str">
        <f t="shared" ca="1" si="186"/>
        <v/>
      </c>
      <c r="AE881" s="478">
        <f t="shared" ca="1" si="187"/>
        <v>0</v>
      </c>
      <c r="AF881" s="459" t="str">
        <f t="shared" ca="1" si="191"/>
        <v/>
      </c>
      <c r="AG881" s="460" t="str">
        <f t="shared" ca="1" si="191"/>
        <v/>
      </c>
      <c r="AH881" s="460" t="str">
        <f t="shared" ca="1" si="191"/>
        <v/>
      </c>
      <c r="AI881" s="460" t="str">
        <f t="shared" ca="1" si="191"/>
        <v/>
      </c>
      <c r="AJ881" s="460" t="str">
        <f t="shared" ca="1" si="191"/>
        <v/>
      </c>
      <c r="AK881" s="460" t="str">
        <f t="shared" ca="1" si="191"/>
        <v/>
      </c>
      <c r="AL881" s="460" t="str">
        <f t="shared" ca="1" si="191"/>
        <v/>
      </c>
      <c r="AM881" s="460" t="str">
        <f t="shared" ca="1" si="191"/>
        <v/>
      </c>
      <c r="AN881" s="461" t="str">
        <f t="shared" ca="1" si="191"/>
        <v/>
      </c>
      <c r="AO881" s="474" t="str">
        <f t="shared" ca="1" si="191"/>
        <v/>
      </c>
      <c r="AP881" s="475" t="str">
        <f t="shared" ca="1" si="191"/>
        <v/>
      </c>
      <c r="AQ881" s="479" t="str">
        <f t="array" aca="1" ref="AQ881" ca="1">IF(ROW()-5&lt;=COUNTIF(科目编号,$AR$2),SMALL(IF(科目编号=$AR$2,ROW(科目编号),""),ROW()-5),"")</f>
        <v/>
      </c>
      <c r="AR881" s="480" t="str">
        <f ca="1">IF($BG$2=0,"",IF(AR880="本月合计","本年累计",IF(OR(ROW()=$AU$3,ROW()=$AV$3,ROW()=$AW$3,ROW()=$AX$3,ROW()=$AY$3,ROW()=$AZ$3,ROW()=$BA$3,ROW()=$BB$3,ROW()=$BC$3,ROW()=$BD$3,ROW()=$BE$3,ROW()=$BF$3),"本月合计",IF(ROW()&lt;7,$AQ$6,OFFSET($AQ$6,COUNT($AR$6:AR880),0)))))</f>
        <v/>
      </c>
    </row>
    <row r="882" spans="1:44">
      <c r="A882" s="469" t="str">
        <f ca="1">IFERROR(INDEX(凭证录入!A:A,$AR882),"")</f>
        <v/>
      </c>
      <c r="B882" s="469" t="str">
        <f ca="1">IFERROR(INDEX(凭证录入!B:B,$AR882),"")</f>
        <v/>
      </c>
      <c r="C882" s="470" t="str">
        <f ca="1">IFERROR(INDEX(凭证录入!G:G,$AR882),"")</f>
        <v/>
      </c>
      <c r="D882" s="471" t="str">
        <f ca="1">IFERROR(INDEX(凭证录入!F:F,$AR882),"")</f>
        <v/>
      </c>
      <c r="E882" s="472" t="str">
        <f ca="1">IFERROR(INDEX(凭证录入!H:H,$AR882),$AR882)</f>
        <v/>
      </c>
      <c r="F882" s="473">
        <f ca="1">IF(OR($BG$2=0,$AR882=""),,IF($AR882="本月合计",IF(ROW()=$BG$3,SUM($F$6:$F881),SUM(INDIRECT("$F$"&amp;OFFSET($AU$3,,MATCH(ROW(),$AU$3:$BF$3,)-2)+2&amp;":$E"&amp;ROW()-1))),IF($AR882="本年累计",SUMIF($AR$6:$AR882,"本月合计",$F$6:$F881),INDEX(凭证录入!K:K,$AR882))))</f>
        <v>0</v>
      </c>
      <c r="G882" s="459" t="str">
        <f t="shared" ca="1" si="192"/>
        <v/>
      </c>
      <c r="H882" s="460" t="str">
        <f t="shared" ca="1" si="192"/>
        <v/>
      </c>
      <c r="I882" s="460" t="str">
        <f t="shared" ca="1" si="192"/>
        <v/>
      </c>
      <c r="J882" s="460" t="str">
        <f t="shared" ca="1" si="192"/>
        <v/>
      </c>
      <c r="K882" s="460" t="str">
        <f t="shared" ca="1" si="192"/>
        <v/>
      </c>
      <c r="L882" s="460" t="str">
        <f t="shared" ca="1" si="192"/>
        <v/>
      </c>
      <c r="M882" s="460" t="str">
        <f t="shared" ca="1" si="192"/>
        <v/>
      </c>
      <c r="N882" s="460" t="str">
        <f t="shared" ca="1" si="192"/>
        <v/>
      </c>
      <c r="O882" s="461" t="str">
        <f t="shared" ca="1" si="192"/>
        <v/>
      </c>
      <c r="P882" s="474" t="str">
        <f t="shared" ca="1" si="192"/>
        <v/>
      </c>
      <c r="Q882" s="475" t="str">
        <f t="shared" ca="1" si="192"/>
        <v/>
      </c>
      <c r="R882" s="476">
        <f ca="1">IF(OR($BG$2=0,$AR882=""),,IF($AR882="本月合计",IF(ROW()=$BG$3,SUM($R$6:$R881),SUM(INDIRECT("$R$"&amp;OFFSET($AU$3,,MATCH(ROW(),$AU$3:$BF$3,)-2)+2&amp;":$R"&amp;ROW()-1))),IF($AR882="本年累计",SUMIF($AR$6:$AR882,"本月合计",$R$6:$R881),INDEX(凭证录入!L:L,$AR882))))</f>
        <v>0</v>
      </c>
      <c r="S882" s="459" t="str">
        <f t="shared" ca="1" si="193"/>
        <v/>
      </c>
      <c r="T882" s="460" t="str">
        <f t="shared" ca="1" si="193"/>
        <v/>
      </c>
      <c r="U882" s="460" t="str">
        <f t="shared" ca="1" si="193"/>
        <v/>
      </c>
      <c r="V882" s="460" t="str">
        <f t="shared" ca="1" si="193"/>
        <v/>
      </c>
      <c r="W882" s="460" t="str">
        <f t="shared" ca="1" si="193"/>
        <v/>
      </c>
      <c r="X882" s="460" t="str">
        <f t="shared" ca="1" si="193"/>
        <v/>
      </c>
      <c r="Y882" s="460" t="str">
        <f t="shared" ca="1" si="193"/>
        <v/>
      </c>
      <c r="Z882" s="460" t="str">
        <f t="shared" ca="1" si="193"/>
        <v/>
      </c>
      <c r="AA882" s="461" t="str">
        <f t="shared" ca="1" si="193"/>
        <v/>
      </c>
      <c r="AB882" s="474" t="str">
        <f t="shared" ca="1" si="193"/>
        <v/>
      </c>
      <c r="AC882" s="475" t="str">
        <f t="shared" ca="1" si="193"/>
        <v/>
      </c>
      <c r="AD882" s="477" t="str">
        <f t="shared" ca="1" si="186"/>
        <v/>
      </c>
      <c r="AE882" s="478">
        <f t="shared" ca="1" si="187"/>
        <v>0</v>
      </c>
      <c r="AF882" s="459" t="str">
        <f t="shared" ca="1" si="191"/>
        <v/>
      </c>
      <c r="AG882" s="460" t="str">
        <f t="shared" ca="1" si="191"/>
        <v/>
      </c>
      <c r="AH882" s="460" t="str">
        <f t="shared" ca="1" si="191"/>
        <v/>
      </c>
      <c r="AI882" s="460" t="str">
        <f t="shared" ca="1" si="191"/>
        <v/>
      </c>
      <c r="AJ882" s="460" t="str">
        <f t="shared" ca="1" si="191"/>
        <v/>
      </c>
      <c r="AK882" s="460" t="str">
        <f t="shared" ca="1" si="191"/>
        <v/>
      </c>
      <c r="AL882" s="460" t="str">
        <f t="shared" ca="1" si="191"/>
        <v/>
      </c>
      <c r="AM882" s="460" t="str">
        <f t="shared" ca="1" si="191"/>
        <v/>
      </c>
      <c r="AN882" s="461" t="str">
        <f t="shared" ca="1" si="191"/>
        <v/>
      </c>
      <c r="AO882" s="474" t="str">
        <f t="shared" ca="1" si="191"/>
        <v/>
      </c>
      <c r="AP882" s="475" t="str">
        <f t="shared" ca="1" si="191"/>
        <v/>
      </c>
      <c r="AQ882" s="479" t="str">
        <f t="array" aca="1" ref="AQ882" ca="1">IF(ROW()-5&lt;=COUNTIF(科目编号,$AR$2),SMALL(IF(科目编号=$AR$2,ROW(科目编号),""),ROW()-5),"")</f>
        <v/>
      </c>
      <c r="AR882" s="480" t="str">
        <f ca="1">IF($BG$2=0,"",IF(AR881="本月合计","本年累计",IF(OR(ROW()=$AU$3,ROW()=$AV$3,ROW()=$AW$3,ROW()=$AX$3,ROW()=$AY$3,ROW()=$AZ$3,ROW()=$BA$3,ROW()=$BB$3,ROW()=$BC$3,ROW()=$BD$3,ROW()=$BE$3,ROW()=$BF$3),"本月合计",IF(ROW()&lt;7,$AQ$6,OFFSET($AQ$6,COUNT($AR$6:AR881),0)))))</f>
        <v/>
      </c>
    </row>
    <row r="883" spans="1:44">
      <c r="A883" s="469" t="str">
        <f ca="1">IFERROR(INDEX(凭证录入!A:A,$AR883),"")</f>
        <v/>
      </c>
      <c r="B883" s="469" t="str">
        <f ca="1">IFERROR(INDEX(凭证录入!B:B,$AR883),"")</f>
        <v/>
      </c>
      <c r="C883" s="470" t="str">
        <f ca="1">IFERROR(INDEX(凭证录入!G:G,$AR883),"")</f>
        <v/>
      </c>
      <c r="D883" s="471" t="str">
        <f ca="1">IFERROR(INDEX(凭证录入!F:F,$AR883),"")</f>
        <v/>
      </c>
      <c r="E883" s="472" t="str">
        <f ca="1">IFERROR(INDEX(凭证录入!H:H,$AR883),$AR883)</f>
        <v/>
      </c>
      <c r="F883" s="473">
        <f ca="1">IF(OR($BG$2=0,$AR883=""),,IF($AR883="本月合计",IF(ROW()=$BG$3,SUM($F$6:$F882),SUM(INDIRECT("$F$"&amp;OFFSET($AU$3,,MATCH(ROW(),$AU$3:$BF$3,)-2)+2&amp;":$E"&amp;ROW()-1))),IF($AR883="本年累计",SUMIF($AR$6:$AR883,"本月合计",$F$6:$F882),INDEX(凭证录入!K:K,$AR883))))</f>
        <v>0</v>
      </c>
      <c r="G883" s="459" t="str">
        <f t="shared" ca="1" si="192"/>
        <v/>
      </c>
      <c r="H883" s="460" t="str">
        <f t="shared" ca="1" si="192"/>
        <v/>
      </c>
      <c r="I883" s="460" t="str">
        <f t="shared" ca="1" si="192"/>
        <v/>
      </c>
      <c r="J883" s="460" t="str">
        <f t="shared" ca="1" si="192"/>
        <v/>
      </c>
      <c r="K883" s="460" t="str">
        <f t="shared" ca="1" si="192"/>
        <v/>
      </c>
      <c r="L883" s="460" t="str">
        <f t="shared" ca="1" si="192"/>
        <v/>
      </c>
      <c r="M883" s="460" t="str">
        <f t="shared" ca="1" si="192"/>
        <v/>
      </c>
      <c r="N883" s="460" t="str">
        <f t="shared" ca="1" si="192"/>
        <v/>
      </c>
      <c r="O883" s="461" t="str">
        <f t="shared" ca="1" si="192"/>
        <v/>
      </c>
      <c r="P883" s="474" t="str">
        <f t="shared" ca="1" si="192"/>
        <v/>
      </c>
      <c r="Q883" s="475" t="str">
        <f t="shared" ca="1" si="192"/>
        <v/>
      </c>
      <c r="R883" s="476">
        <f ca="1">IF(OR($BG$2=0,$AR883=""),,IF($AR883="本月合计",IF(ROW()=$BG$3,SUM($R$6:$R882),SUM(INDIRECT("$R$"&amp;OFFSET($AU$3,,MATCH(ROW(),$AU$3:$BF$3,)-2)+2&amp;":$R"&amp;ROW()-1))),IF($AR883="本年累计",SUMIF($AR$6:$AR883,"本月合计",$R$6:$R882),INDEX(凭证录入!L:L,$AR883))))</f>
        <v>0</v>
      </c>
      <c r="S883" s="459" t="str">
        <f t="shared" ca="1" si="193"/>
        <v/>
      </c>
      <c r="T883" s="460" t="str">
        <f t="shared" ca="1" si="193"/>
        <v/>
      </c>
      <c r="U883" s="460" t="str">
        <f t="shared" ca="1" si="193"/>
        <v/>
      </c>
      <c r="V883" s="460" t="str">
        <f t="shared" ca="1" si="193"/>
        <v/>
      </c>
      <c r="W883" s="460" t="str">
        <f t="shared" ca="1" si="193"/>
        <v/>
      </c>
      <c r="X883" s="460" t="str">
        <f t="shared" ca="1" si="193"/>
        <v/>
      </c>
      <c r="Y883" s="460" t="str">
        <f t="shared" ca="1" si="193"/>
        <v/>
      </c>
      <c r="Z883" s="460" t="str">
        <f t="shared" ca="1" si="193"/>
        <v/>
      </c>
      <c r="AA883" s="461" t="str">
        <f t="shared" ca="1" si="193"/>
        <v/>
      </c>
      <c r="AB883" s="474" t="str">
        <f t="shared" ca="1" si="193"/>
        <v/>
      </c>
      <c r="AC883" s="475" t="str">
        <f t="shared" ca="1" si="193"/>
        <v/>
      </c>
      <c r="AD883" s="477" t="str">
        <f t="shared" ca="1" si="186"/>
        <v/>
      </c>
      <c r="AE883" s="478">
        <f t="shared" ca="1" si="187"/>
        <v>0</v>
      </c>
      <c r="AF883" s="459" t="str">
        <f t="shared" ca="1" si="191"/>
        <v/>
      </c>
      <c r="AG883" s="460" t="str">
        <f t="shared" ca="1" si="191"/>
        <v/>
      </c>
      <c r="AH883" s="460" t="str">
        <f t="shared" ca="1" si="191"/>
        <v/>
      </c>
      <c r="AI883" s="460" t="str">
        <f t="shared" ca="1" si="191"/>
        <v/>
      </c>
      <c r="AJ883" s="460" t="str">
        <f t="shared" ca="1" si="191"/>
        <v/>
      </c>
      <c r="AK883" s="460" t="str">
        <f t="shared" ca="1" si="191"/>
        <v/>
      </c>
      <c r="AL883" s="460" t="str">
        <f t="shared" ca="1" si="191"/>
        <v/>
      </c>
      <c r="AM883" s="460" t="str">
        <f t="shared" ca="1" si="191"/>
        <v/>
      </c>
      <c r="AN883" s="461" t="str">
        <f t="shared" ca="1" si="191"/>
        <v/>
      </c>
      <c r="AO883" s="474" t="str">
        <f t="shared" ca="1" si="191"/>
        <v/>
      </c>
      <c r="AP883" s="475" t="str">
        <f t="shared" ca="1" si="191"/>
        <v/>
      </c>
      <c r="AQ883" s="479" t="str">
        <f t="array" aca="1" ref="AQ883" ca="1">IF(ROW()-5&lt;=COUNTIF(科目编号,$AR$2),SMALL(IF(科目编号=$AR$2,ROW(科目编号),""),ROW()-5),"")</f>
        <v/>
      </c>
      <c r="AR883" s="480" t="str">
        <f ca="1">IF($BG$2=0,"",IF(AR882="本月合计","本年累计",IF(OR(ROW()=$AU$3,ROW()=$AV$3,ROW()=$AW$3,ROW()=$AX$3,ROW()=$AY$3,ROW()=$AZ$3,ROW()=$BA$3,ROW()=$BB$3,ROW()=$BC$3,ROW()=$BD$3,ROW()=$BE$3,ROW()=$BF$3),"本月合计",IF(ROW()&lt;7,$AQ$6,OFFSET($AQ$6,COUNT($AR$6:AR882),0)))))</f>
        <v/>
      </c>
    </row>
    <row r="884" spans="1:44">
      <c r="A884" s="469" t="str">
        <f ca="1">IFERROR(INDEX(凭证录入!A:A,$AR884),"")</f>
        <v/>
      </c>
      <c r="B884" s="469" t="str">
        <f ca="1">IFERROR(INDEX(凭证录入!B:B,$AR884),"")</f>
        <v/>
      </c>
      <c r="C884" s="470" t="str">
        <f ca="1">IFERROR(INDEX(凭证录入!G:G,$AR884),"")</f>
        <v/>
      </c>
      <c r="D884" s="471" t="str">
        <f ca="1">IFERROR(INDEX(凭证录入!F:F,$AR884),"")</f>
        <v/>
      </c>
      <c r="E884" s="472" t="str">
        <f ca="1">IFERROR(INDEX(凭证录入!H:H,$AR884),$AR884)</f>
        <v/>
      </c>
      <c r="F884" s="473">
        <f ca="1">IF(OR($BG$2=0,$AR884=""),,IF($AR884="本月合计",IF(ROW()=$BG$3,SUM($F$6:$F883),SUM(INDIRECT("$F$"&amp;OFFSET($AU$3,,MATCH(ROW(),$AU$3:$BF$3,)-2)+2&amp;":$E"&amp;ROW()-1))),IF($AR884="本年累计",SUMIF($AR$6:$AR884,"本月合计",$F$6:$F883),INDEX(凭证录入!K:K,$AR884))))</f>
        <v>0</v>
      </c>
      <c r="G884" s="459" t="str">
        <f t="shared" ca="1" si="192"/>
        <v/>
      </c>
      <c r="H884" s="460" t="str">
        <f t="shared" ca="1" si="192"/>
        <v/>
      </c>
      <c r="I884" s="460" t="str">
        <f t="shared" ca="1" si="192"/>
        <v/>
      </c>
      <c r="J884" s="460" t="str">
        <f t="shared" ca="1" si="192"/>
        <v/>
      </c>
      <c r="K884" s="460" t="str">
        <f t="shared" ca="1" si="192"/>
        <v/>
      </c>
      <c r="L884" s="460" t="str">
        <f t="shared" ca="1" si="192"/>
        <v/>
      </c>
      <c r="M884" s="460" t="str">
        <f t="shared" ca="1" si="192"/>
        <v/>
      </c>
      <c r="N884" s="460" t="str">
        <f t="shared" ca="1" si="192"/>
        <v/>
      </c>
      <c r="O884" s="461" t="str">
        <f t="shared" ca="1" si="192"/>
        <v/>
      </c>
      <c r="P884" s="474" t="str">
        <f t="shared" ca="1" si="192"/>
        <v/>
      </c>
      <c r="Q884" s="475" t="str">
        <f t="shared" ca="1" si="192"/>
        <v/>
      </c>
      <c r="R884" s="476">
        <f ca="1">IF(OR($BG$2=0,$AR884=""),,IF($AR884="本月合计",IF(ROW()=$BG$3,SUM($R$6:$R883),SUM(INDIRECT("$R$"&amp;OFFSET($AU$3,,MATCH(ROW(),$AU$3:$BF$3,)-2)+2&amp;":$R"&amp;ROW()-1))),IF($AR884="本年累计",SUMIF($AR$6:$AR884,"本月合计",$R$6:$R883),INDEX(凭证录入!L:L,$AR884))))</f>
        <v>0</v>
      </c>
      <c r="S884" s="459" t="str">
        <f t="shared" ca="1" si="193"/>
        <v/>
      </c>
      <c r="T884" s="460" t="str">
        <f t="shared" ca="1" si="193"/>
        <v/>
      </c>
      <c r="U884" s="460" t="str">
        <f t="shared" ca="1" si="193"/>
        <v/>
      </c>
      <c r="V884" s="460" t="str">
        <f t="shared" ca="1" si="193"/>
        <v/>
      </c>
      <c r="W884" s="460" t="str">
        <f t="shared" ca="1" si="193"/>
        <v/>
      </c>
      <c r="X884" s="460" t="str">
        <f t="shared" ca="1" si="193"/>
        <v/>
      </c>
      <c r="Y884" s="460" t="str">
        <f t="shared" ca="1" si="193"/>
        <v/>
      </c>
      <c r="Z884" s="460" t="str">
        <f t="shared" ca="1" si="193"/>
        <v/>
      </c>
      <c r="AA884" s="461" t="str">
        <f t="shared" ca="1" si="193"/>
        <v/>
      </c>
      <c r="AB884" s="474" t="str">
        <f t="shared" ca="1" si="193"/>
        <v/>
      </c>
      <c r="AC884" s="475" t="str">
        <f t="shared" ca="1" si="193"/>
        <v/>
      </c>
      <c r="AD884" s="477" t="str">
        <f t="shared" ca="1" si="186"/>
        <v/>
      </c>
      <c r="AE884" s="478">
        <f t="shared" ca="1" si="187"/>
        <v>0</v>
      </c>
      <c r="AF884" s="459" t="str">
        <f t="shared" ca="1" si="191"/>
        <v/>
      </c>
      <c r="AG884" s="460" t="str">
        <f t="shared" ca="1" si="191"/>
        <v/>
      </c>
      <c r="AH884" s="460" t="str">
        <f t="shared" ca="1" si="191"/>
        <v/>
      </c>
      <c r="AI884" s="460" t="str">
        <f t="shared" ca="1" si="191"/>
        <v/>
      </c>
      <c r="AJ884" s="460" t="str">
        <f t="shared" ca="1" si="191"/>
        <v/>
      </c>
      <c r="AK884" s="460" t="str">
        <f t="shared" ca="1" si="191"/>
        <v/>
      </c>
      <c r="AL884" s="460" t="str">
        <f t="shared" ca="1" si="191"/>
        <v/>
      </c>
      <c r="AM884" s="460" t="str">
        <f t="shared" ca="1" si="191"/>
        <v/>
      </c>
      <c r="AN884" s="461" t="str">
        <f t="shared" ca="1" si="191"/>
        <v/>
      </c>
      <c r="AO884" s="474" t="str">
        <f t="shared" ca="1" si="191"/>
        <v/>
      </c>
      <c r="AP884" s="475" t="str">
        <f t="shared" ca="1" si="191"/>
        <v/>
      </c>
      <c r="AQ884" s="479" t="str">
        <f t="array" aca="1" ref="AQ884" ca="1">IF(ROW()-5&lt;=COUNTIF(科目编号,$AR$2),SMALL(IF(科目编号=$AR$2,ROW(科目编号),""),ROW()-5),"")</f>
        <v/>
      </c>
      <c r="AR884" s="480" t="str">
        <f ca="1">IF($BG$2=0,"",IF(AR883="本月合计","本年累计",IF(OR(ROW()=$AU$3,ROW()=$AV$3,ROW()=$AW$3,ROW()=$AX$3,ROW()=$AY$3,ROW()=$AZ$3,ROW()=$BA$3,ROW()=$BB$3,ROW()=$BC$3,ROW()=$BD$3,ROW()=$BE$3,ROW()=$BF$3),"本月合计",IF(ROW()&lt;7,$AQ$6,OFFSET($AQ$6,COUNT($AR$6:AR883),0)))))</f>
        <v/>
      </c>
    </row>
    <row r="885" spans="1:44">
      <c r="A885" s="469" t="str">
        <f ca="1">IFERROR(INDEX(凭证录入!A:A,$AR885),"")</f>
        <v/>
      </c>
      <c r="B885" s="469" t="str">
        <f ca="1">IFERROR(INDEX(凭证录入!B:B,$AR885),"")</f>
        <v/>
      </c>
      <c r="C885" s="470" t="str">
        <f ca="1">IFERROR(INDEX(凭证录入!G:G,$AR885),"")</f>
        <v/>
      </c>
      <c r="D885" s="471" t="str">
        <f ca="1">IFERROR(INDEX(凭证录入!F:F,$AR885),"")</f>
        <v/>
      </c>
      <c r="E885" s="472" t="str">
        <f ca="1">IFERROR(INDEX(凭证录入!H:H,$AR885),$AR885)</f>
        <v/>
      </c>
      <c r="F885" s="473">
        <f ca="1">IF(OR($BG$2=0,$AR885=""),,IF($AR885="本月合计",IF(ROW()=$BG$3,SUM($F$6:$F884),SUM(INDIRECT("$F$"&amp;OFFSET($AU$3,,MATCH(ROW(),$AU$3:$BF$3,)-2)+2&amp;":$E"&amp;ROW()-1))),IF($AR885="本年累计",SUMIF($AR$6:$AR885,"本月合计",$F$6:$F884),INDEX(凭证录入!K:K,$AR885))))</f>
        <v>0</v>
      </c>
      <c r="G885" s="459" t="str">
        <f t="shared" ca="1" si="192"/>
        <v/>
      </c>
      <c r="H885" s="460" t="str">
        <f t="shared" ca="1" si="192"/>
        <v/>
      </c>
      <c r="I885" s="460" t="str">
        <f t="shared" ca="1" si="192"/>
        <v/>
      </c>
      <c r="J885" s="460" t="str">
        <f t="shared" ca="1" si="192"/>
        <v/>
      </c>
      <c r="K885" s="460" t="str">
        <f t="shared" ca="1" si="192"/>
        <v/>
      </c>
      <c r="L885" s="460" t="str">
        <f t="shared" ca="1" si="192"/>
        <v/>
      </c>
      <c r="M885" s="460" t="str">
        <f t="shared" ca="1" si="192"/>
        <v/>
      </c>
      <c r="N885" s="460" t="str">
        <f t="shared" ca="1" si="192"/>
        <v/>
      </c>
      <c r="O885" s="461" t="str">
        <f t="shared" ca="1" si="192"/>
        <v/>
      </c>
      <c r="P885" s="474" t="str">
        <f t="shared" ca="1" si="192"/>
        <v/>
      </c>
      <c r="Q885" s="475" t="str">
        <f t="shared" ca="1" si="192"/>
        <v/>
      </c>
      <c r="R885" s="476">
        <f ca="1">IF(OR($BG$2=0,$AR885=""),,IF($AR885="本月合计",IF(ROW()=$BG$3,SUM($R$6:$R884),SUM(INDIRECT("$R$"&amp;OFFSET($AU$3,,MATCH(ROW(),$AU$3:$BF$3,)-2)+2&amp;":$R"&amp;ROW()-1))),IF($AR885="本年累计",SUMIF($AR$6:$AR885,"本月合计",$R$6:$R884),INDEX(凭证录入!L:L,$AR885))))</f>
        <v>0</v>
      </c>
      <c r="S885" s="459" t="str">
        <f t="shared" ca="1" si="193"/>
        <v/>
      </c>
      <c r="T885" s="460" t="str">
        <f t="shared" ca="1" si="193"/>
        <v/>
      </c>
      <c r="U885" s="460" t="str">
        <f t="shared" ca="1" si="193"/>
        <v/>
      </c>
      <c r="V885" s="460" t="str">
        <f t="shared" ca="1" si="193"/>
        <v/>
      </c>
      <c r="W885" s="460" t="str">
        <f t="shared" ca="1" si="193"/>
        <v/>
      </c>
      <c r="X885" s="460" t="str">
        <f t="shared" ca="1" si="193"/>
        <v/>
      </c>
      <c r="Y885" s="460" t="str">
        <f t="shared" ca="1" si="193"/>
        <v/>
      </c>
      <c r="Z885" s="460" t="str">
        <f t="shared" ca="1" si="193"/>
        <v/>
      </c>
      <c r="AA885" s="461" t="str">
        <f t="shared" ca="1" si="193"/>
        <v/>
      </c>
      <c r="AB885" s="474" t="str">
        <f t="shared" ca="1" si="193"/>
        <v/>
      </c>
      <c r="AC885" s="475" t="str">
        <f t="shared" ca="1" si="193"/>
        <v/>
      </c>
      <c r="AD885" s="477" t="str">
        <f t="shared" ca="1" si="186"/>
        <v/>
      </c>
      <c r="AE885" s="478">
        <f t="shared" ca="1" si="187"/>
        <v>0</v>
      </c>
      <c r="AF885" s="459" t="str">
        <f t="shared" ref="AF885:AP900" ca="1" si="194">LEFT(RIGHT(TEXT($AE885/1%," ￥0; ￥-0;"),43-COLUMN()))</f>
        <v/>
      </c>
      <c r="AG885" s="460" t="str">
        <f t="shared" ca="1" si="194"/>
        <v/>
      </c>
      <c r="AH885" s="460" t="str">
        <f t="shared" ca="1" si="194"/>
        <v/>
      </c>
      <c r="AI885" s="460" t="str">
        <f t="shared" ca="1" si="194"/>
        <v/>
      </c>
      <c r="AJ885" s="460" t="str">
        <f t="shared" ca="1" si="194"/>
        <v/>
      </c>
      <c r="AK885" s="460" t="str">
        <f t="shared" ca="1" si="194"/>
        <v/>
      </c>
      <c r="AL885" s="460" t="str">
        <f t="shared" ca="1" si="194"/>
        <v/>
      </c>
      <c r="AM885" s="460" t="str">
        <f t="shared" ca="1" si="194"/>
        <v/>
      </c>
      <c r="AN885" s="461" t="str">
        <f t="shared" ca="1" si="194"/>
        <v/>
      </c>
      <c r="AO885" s="474" t="str">
        <f t="shared" ca="1" si="194"/>
        <v/>
      </c>
      <c r="AP885" s="475" t="str">
        <f t="shared" ca="1" si="194"/>
        <v/>
      </c>
      <c r="AQ885" s="479" t="str">
        <f t="array" aca="1" ref="AQ885" ca="1">IF(ROW()-5&lt;=COUNTIF(科目编号,$AR$2),SMALL(IF(科目编号=$AR$2,ROW(科目编号),""),ROW()-5),"")</f>
        <v/>
      </c>
      <c r="AR885" s="480" t="str">
        <f ca="1">IF($BG$2=0,"",IF(AR884="本月合计","本年累计",IF(OR(ROW()=$AU$3,ROW()=$AV$3,ROW()=$AW$3,ROW()=$AX$3,ROW()=$AY$3,ROW()=$AZ$3,ROW()=$BA$3,ROW()=$BB$3,ROW()=$BC$3,ROW()=$BD$3,ROW()=$BE$3,ROW()=$BF$3),"本月合计",IF(ROW()&lt;7,$AQ$6,OFFSET($AQ$6,COUNT($AR$6:AR884),0)))))</f>
        <v/>
      </c>
    </row>
    <row r="886" spans="1:44">
      <c r="A886" s="469" t="str">
        <f ca="1">IFERROR(INDEX(凭证录入!A:A,$AR886),"")</f>
        <v/>
      </c>
      <c r="B886" s="469" t="str">
        <f ca="1">IFERROR(INDEX(凭证录入!B:B,$AR886),"")</f>
        <v/>
      </c>
      <c r="C886" s="470" t="str">
        <f ca="1">IFERROR(INDEX(凭证录入!G:G,$AR886),"")</f>
        <v/>
      </c>
      <c r="D886" s="471" t="str">
        <f ca="1">IFERROR(INDEX(凭证录入!F:F,$AR886),"")</f>
        <v/>
      </c>
      <c r="E886" s="472" t="str">
        <f ca="1">IFERROR(INDEX(凭证录入!H:H,$AR886),$AR886)</f>
        <v/>
      </c>
      <c r="F886" s="473">
        <f ca="1">IF(OR($BG$2=0,$AR886=""),,IF($AR886="本月合计",IF(ROW()=$BG$3,SUM($F$6:$F885),SUM(INDIRECT("$F$"&amp;OFFSET($AU$3,,MATCH(ROW(),$AU$3:$BF$3,)-2)+2&amp;":$E"&amp;ROW()-1))),IF($AR886="本年累计",SUMIF($AR$6:$AR886,"本月合计",$F$6:$F885),INDEX(凭证录入!K:K,$AR886))))</f>
        <v>0</v>
      </c>
      <c r="G886" s="459" t="str">
        <f t="shared" ref="G886:Q901" ca="1" si="195">LEFT(RIGHT(TEXT($F886/1%," ￥0; ￥-0;"),18-COLUMN()))</f>
        <v/>
      </c>
      <c r="H886" s="460" t="str">
        <f t="shared" ca="1" si="195"/>
        <v/>
      </c>
      <c r="I886" s="460" t="str">
        <f t="shared" ca="1" si="195"/>
        <v/>
      </c>
      <c r="J886" s="460" t="str">
        <f t="shared" ca="1" si="195"/>
        <v/>
      </c>
      <c r="K886" s="460" t="str">
        <f t="shared" ca="1" si="195"/>
        <v/>
      </c>
      <c r="L886" s="460" t="str">
        <f t="shared" ca="1" si="195"/>
        <v/>
      </c>
      <c r="M886" s="460" t="str">
        <f t="shared" ca="1" si="195"/>
        <v/>
      </c>
      <c r="N886" s="460" t="str">
        <f t="shared" ca="1" si="195"/>
        <v/>
      </c>
      <c r="O886" s="461" t="str">
        <f t="shared" ca="1" si="195"/>
        <v/>
      </c>
      <c r="P886" s="474" t="str">
        <f t="shared" ca="1" si="195"/>
        <v/>
      </c>
      <c r="Q886" s="475" t="str">
        <f t="shared" ca="1" si="195"/>
        <v/>
      </c>
      <c r="R886" s="476">
        <f ca="1">IF(OR($BG$2=0,$AR886=""),,IF($AR886="本月合计",IF(ROW()=$BG$3,SUM($R$6:$R885),SUM(INDIRECT("$R$"&amp;OFFSET($AU$3,,MATCH(ROW(),$AU$3:$BF$3,)-2)+2&amp;":$R"&amp;ROW()-1))),IF($AR886="本年累计",SUMIF($AR$6:$AR886,"本月合计",$R$6:$R885),INDEX(凭证录入!L:L,$AR886))))</f>
        <v>0</v>
      </c>
      <c r="S886" s="459" t="str">
        <f t="shared" ref="S886:AC901" ca="1" si="196">LEFT(RIGHT(TEXT($R886/1%," ￥0; ￥-0;"),30-COLUMN()))</f>
        <v/>
      </c>
      <c r="T886" s="460" t="str">
        <f t="shared" ca="1" si="196"/>
        <v/>
      </c>
      <c r="U886" s="460" t="str">
        <f t="shared" ca="1" si="196"/>
        <v/>
      </c>
      <c r="V886" s="460" t="str">
        <f t="shared" ca="1" si="196"/>
        <v/>
      </c>
      <c r="W886" s="460" t="str">
        <f t="shared" ca="1" si="196"/>
        <v/>
      </c>
      <c r="X886" s="460" t="str">
        <f t="shared" ca="1" si="196"/>
        <v/>
      </c>
      <c r="Y886" s="460" t="str">
        <f t="shared" ca="1" si="196"/>
        <v/>
      </c>
      <c r="Z886" s="460" t="str">
        <f t="shared" ca="1" si="196"/>
        <v/>
      </c>
      <c r="AA886" s="461" t="str">
        <f t="shared" ca="1" si="196"/>
        <v/>
      </c>
      <c r="AB886" s="474" t="str">
        <f t="shared" ca="1" si="196"/>
        <v/>
      </c>
      <c r="AC886" s="475" t="str">
        <f t="shared" ca="1" si="196"/>
        <v/>
      </c>
      <c r="AD886" s="477" t="str">
        <f t="shared" ca="1" si="186"/>
        <v/>
      </c>
      <c r="AE886" s="478">
        <f t="shared" ca="1" si="187"/>
        <v>0</v>
      </c>
      <c r="AF886" s="459" t="str">
        <f t="shared" ca="1" si="194"/>
        <v/>
      </c>
      <c r="AG886" s="460" t="str">
        <f t="shared" ca="1" si="194"/>
        <v/>
      </c>
      <c r="AH886" s="460" t="str">
        <f t="shared" ca="1" si="194"/>
        <v/>
      </c>
      <c r="AI886" s="460" t="str">
        <f t="shared" ca="1" si="194"/>
        <v/>
      </c>
      <c r="AJ886" s="460" t="str">
        <f t="shared" ca="1" si="194"/>
        <v/>
      </c>
      <c r="AK886" s="460" t="str">
        <f t="shared" ca="1" si="194"/>
        <v/>
      </c>
      <c r="AL886" s="460" t="str">
        <f t="shared" ca="1" si="194"/>
        <v/>
      </c>
      <c r="AM886" s="460" t="str">
        <f t="shared" ca="1" si="194"/>
        <v/>
      </c>
      <c r="AN886" s="461" t="str">
        <f t="shared" ca="1" si="194"/>
        <v/>
      </c>
      <c r="AO886" s="474" t="str">
        <f t="shared" ca="1" si="194"/>
        <v/>
      </c>
      <c r="AP886" s="475" t="str">
        <f t="shared" ca="1" si="194"/>
        <v/>
      </c>
      <c r="AQ886" s="479" t="str">
        <f t="array" aca="1" ref="AQ886" ca="1">IF(ROW()-5&lt;=COUNTIF(科目编号,$AR$2),SMALL(IF(科目编号=$AR$2,ROW(科目编号),""),ROW()-5),"")</f>
        <v/>
      </c>
      <c r="AR886" s="480" t="str">
        <f ca="1">IF($BG$2=0,"",IF(AR885="本月合计","本年累计",IF(OR(ROW()=$AU$3,ROW()=$AV$3,ROW()=$AW$3,ROW()=$AX$3,ROW()=$AY$3,ROW()=$AZ$3,ROW()=$BA$3,ROW()=$BB$3,ROW()=$BC$3,ROW()=$BD$3,ROW()=$BE$3,ROW()=$BF$3),"本月合计",IF(ROW()&lt;7,$AQ$6,OFFSET($AQ$6,COUNT($AR$6:AR885),0)))))</f>
        <v/>
      </c>
    </row>
    <row r="887" spans="1:44">
      <c r="A887" s="469" t="str">
        <f ca="1">IFERROR(INDEX(凭证录入!A:A,$AR887),"")</f>
        <v/>
      </c>
      <c r="B887" s="469" t="str">
        <f ca="1">IFERROR(INDEX(凭证录入!B:B,$AR887),"")</f>
        <v/>
      </c>
      <c r="C887" s="470" t="str">
        <f ca="1">IFERROR(INDEX(凭证录入!G:G,$AR887),"")</f>
        <v/>
      </c>
      <c r="D887" s="471" t="str">
        <f ca="1">IFERROR(INDEX(凭证录入!F:F,$AR887),"")</f>
        <v/>
      </c>
      <c r="E887" s="472" t="str">
        <f ca="1">IFERROR(INDEX(凭证录入!H:H,$AR887),$AR887)</f>
        <v/>
      </c>
      <c r="F887" s="473">
        <f ca="1">IF(OR($BG$2=0,$AR887=""),,IF($AR887="本月合计",IF(ROW()=$BG$3,SUM($F$6:$F886),SUM(INDIRECT("$F$"&amp;OFFSET($AU$3,,MATCH(ROW(),$AU$3:$BF$3,)-2)+2&amp;":$E"&amp;ROW()-1))),IF($AR887="本年累计",SUMIF($AR$6:$AR887,"本月合计",$F$6:$F886),INDEX(凭证录入!K:K,$AR887))))</f>
        <v>0</v>
      </c>
      <c r="G887" s="459" t="str">
        <f t="shared" ca="1" si="195"/>
        <v/>
      </c>
      <c r="H887" s="460" t="str">
        <f t="shared" ca="1" si="195"/>
        <v/>
      </c>
      <c r="I887" s="460" t="str">
        <f t="shared" ca="1" si="195"/>
        <v/>
      </c>
      <c r="J887" s="460" t="str">
        <f t="shared" ca="1" si="195"/>
        <v/>
      </c>
      <c r="K887" s="460" t="str">
        <f t="shared" ca="1" si="195"/>
        <v/>
      </c>
      <c r="L887" s="460" t="str">
        <f t="shared" ca="1" si="195"/>
        <v/>
      </c>
      <c r="M887" s="460" t="str">
        <f t="shared" ca="1" si="195"/>
        <v/>
      </c>
      <c r="N887" s="460" t="str">
        <f t="shared" ca="1" si="195"/>
        <v/>
      </c>
      <c r="O887" s="461" t="str">
        <f t="shared" ca="1" si="195"/>
        <v/>
      </c>
      <c r="P887" s="474" t="str">
        <f t="shared" ca="1" si="195"/>
        <v/>
      </c>
      <c r="Q887" s="475" t="str">
        <f t="shared" ca="1" si="195"/>
        <v/>
      </c>
      <c r="R887" s="476">
        <f ca="1">IF(OR($BG$2=0,$AR887=""),,IF($AR887="本月合计",IF(ROW()=$BG$3,SUM($R$6:$R886),SUM(INDIRECT("$R$"&amp;OFFSET($AU$3,,MATCH(ROW(),$AU$3:$BF$3,)-2)+2&amp;":$R"&amp;ROW()-1))),IF($AR887="本年累计",SUMIF($AR$6:$AR887,"本月合计",$R$6:$R886),INDEX(凭证录入!L:L,$AR887))))</f>
        <v>0</v>
      </c>
      <c r="S887" s="459" t="str">
        <f t="shared" ca="1" si="196"/>
        <v/>
      </c>
      <c r="T887" s="460" t="str">
        <f t="shared" ca="1" si="196"/>
        <v/>
      </c>
      <c r="U887" s="460" t="str">
        <f t="shared" ca="1" si="196"/>
        <v/>
      </c>
      <c r="V887" s="460" t="str">
        <f t="shared" ca="1" si="196"/>
        <v/>
      </c>
      <c r="W887" s="460" t="str">
        <f t="shared" ca="1" si="196"/>
        <v/>
      </c>
      <c r="X887" s="460" t="str">
        <f t="shared" ca="1" si="196"/>
        <v/>
      </c>
      <c r="Y887" s="460" t="str">
        <f t="shared" ca="1" si="196"/>
        <v/>
      </c>
      <c r="Z887" s="460" t="str">
        <f t="shared" ca="1" si="196"/>
        <v/>
      </c>
      <c r="AA887" s="461" t="str">
        <f t="shared" ca="1" si="196"/>
        <v/>
      </c>
      <c r="AB887" s="474" t="str">
        <f t="shared" ca="1" si="196"/>
        <v/>
      </c>
      <c r="AC887" s="475" t="str">
        <f t="shared" ca="1" si="196"/>
        <v/>
      </c>
      <c r="AD887" s="477" t="str">
        <f t="shared" ca="1" si="186"/>
        <v/>
      </c>
      <c r="AE887" s="478">
        <f t="shared" ca="1" si="187"/>
        <v>0</v>
      </c>
      <c r="AF887" s="459" t="str">
        <f t="shared" ca="1" si="194"/>
        <v/>
      </c>
      <c r="AG887" s="460" t="str">
        <f t="shared" ca="1" si="194"/>
        <v/>
      </c>
      <c r="AH887" s="460" t="str">
        <f t="shared" ca="1" si="194"/>
        <v/>
      </c>
      <c r="AI887" s="460" t="str">
        <f t="shared" ca="1" si="194"/>
        <v/>
      </c>
      <c r="AJ887" s="460" t="str">
        <f t="shared" ca="1" si="194"/>
        <v/>
      </c>
      <c r="AK887" s="460" t="str">
        <f t="shared" ca="1" si="194"/>
        <v/>
      </c>
      <c r="AL887" s="460" t="str">
        <f t="shared" ca="1" si="194"/>
        <v/>
      </c>
      <c r="AM887" s="460" t="str">
        <f t="shared" ca="1" si="194"/>
        <v/>
      </c>
      <c r="AN887" s="461" t="str">
        <f t="shared" ca="1" si="194"/>
        <v/>
      </c>
      <c r="AO887" s="474" t="str">
        <f t="shared" ca="1" si="194"/>
        <v/>
      </c>
      <c r="AP887" s="475" t="str">
        <f t="shared" ca="1" si="194"/>
        <v/>
      </c>
      <c r="AQ887" s="479" t="str">
        <f t="array" aca="1" ref="AQ887" ca="1">IF(ROW()-5&lt;=COUNTIF(科目编号,$AR$2),SMALL(IF(科目编号=$AR$2,ROW(科目编号),""),ROW()-5),"")</f>
        <v/>
      </c>
      <c r="AR887" s="480" t="str">
        <f ca="1">IF($BG$2=0,"",IF(AR886="本月合计","本年累计",IF(OR(ROW()=$AU$3,ROW()=$AV$3,ROW()=$AW$3,ROW()=$AX$3,ROW()=$AY$3,ROW()=$AZ$3,ROW()=$BA$3,ROW()=$BB$3,ROW()=$BC$3,ROW()=$BD$3,ROW()=$BE$3,ROW()=$BF$3),"本月合计",IF(ROW()&lt;7,$AQ$6,OFFSET($AQ$6,COUNT($AR$6:AR886),0)))))</f>
        <v/>
      </c>
    </row>
    <row r="888" spans="1:44">
      <c r="A888" s="469" t="str">
        <f ca="1">IFERROR(INDEX(凭证录入!A:A,$AR888),"")</f>
        <v/>
      </c>
      <c r="B888" s="469" t="str">
        <f ca="1">IFERROR(INDEX(凭证录入!B:B,$AR888),"")</f>
        <v/>
      </c>
      <c r="C888" s="470" t="str">
        <f ca="1">IFERROR(INDEX(凭证录入!G:G,$AR888),"")</f>
        <v/>
      </c>
      <c r="D888" s="471" t="str">
        <f ca="1">IFERROR(INDEX(凭证录入!F:F,$AR888),"")</f>
        <v/>
      </c>
      <c r="E888" s="472" t="str">
        <f ca="1">IFERROR(INDEX(凭证录入!H:H,$AR888),$AR888)</f>
        <v/>
      </c>
      <c r="F888" s="473">
        <f ca="1">IF(OR($BG$2=0,$AR888=""),,IF($AR888="本月合计",IF(ROW()=$BG$3,SUM($F$6:$F887),SUM(INDIRECT("$F$"&amp;OFFSET($AU$3,,MATCH(ROW(),$AU$3:$BF$3,)-2)+2&amp;":$E"&amp;ROW()-1))),IF($AR888="本年累计",SUMIF($AR$6:$AR888,"本月合计",$F$6:$F887),INDEX(凭证录入!K:K,$AR888))))</f>
        <v>0</v>
      </c>
      <c r="G888" s="459" t="str">
        <f t="shared" ca="1" si="195"/>
        <v/>
      </c>
      <c r="H888" s="460" t="str">
        <f t="shared" ca="1" si="195"/>
        <v/>
      </c>
      <c r="I888" s="460" t="str">
        <f t="shared" ca="1" si="195"/>
        <v/>
      </c>
      <c r="J888" s="460" t="str">
        <f t="shared" ca="1" si="195"/>
        <v/>
      </c>
      <c r="K888" s="460" t="str">
        <f t="shared" ca="1" si="195"/>
        <v/>
      </c>
      <c r="L888" s="460" t="str">
        <f t="shared" ca="1" si="195"/>
        <v/>
      </c>
      <c r="M888" s="460" t="str">
        <f t="shared" ca="1" si="195"/>
        <v/>
      </c>
      <c r="N888" s="460" t="str">
        <f t="shared" ca="1" si="195"/>
        <v/>
      </c>
      <c r="O888" s="461" t="str">
        <f t="shared" ca="1" si="195"/>
        <v/>
      </c>
      <c r="P888" s="474" t="str">
        <f t="shared" ca="1" si="195"/>
        <v/>
      </c>
      <c r="Q888" s="475" t="str">
        <f t="shared" ca="1" si="195"/>
        <v/>
      </c>
      <c r="R888" s="476">
        <f ca="1">IF(OR($BG$2=0,$AR888=""),,IF($AR888="本月合计",IF(ROW()=$BG$3,SUM($R$6:$R887),SUM(INDIRECT("$R$"&amp;OFFSET($AU$3,,MATCH(ROW(),$AU$3:$BF$3,)-2)+2&amp;":$R"&amp;ROW()-1))),IF($AR888="本年累计",SUMIF($AR$6:$AR888,"本月合计",$R$6:$R887),INDEX(凭证录入!L:L,$AR888))))</f>
        <v>0</v>
      </c>
      <c r="S888" s="459" t="str">
        <f t="shared" ca="1" si="196"/>
        <v/>
      </c>
      <c r="T888" s="460" t="str">
        <f t="shared" ca="1" si="196"/>
        <v/>
      </c>
      <c r="U888" s="460" t="str">
        <f t="shared" ca="1" si="196"/>
        <v/>
      </c>
      <c r="V888" s="460" t="str">
        <f t="shared" ca="1" si="196"/>
        <v/>
      </c>
      <c r="W888" s="460" t="str">
        <f t="shared" ca="1" si="196"/>
        <v/>
      </c>
      <c r="X888" s="460" t="str">
        <f t="shared" ca="1" si="196"/>
        <v/>
      </c>
      <c r="Y888" s="460" t="str">
        <f t="shared" ca="1" si="196"/>
        <v/>
      </c>
      <c r="Z888" s="460" t="str">
        <f t="shared" ca="1" si="196"/>
        <v/>
      </c>
      <c r="AA888" s="461" t="str">
        <f t="shared" ca="1" si="196"/>
        <v/>
      </c>
      <c r="AB888" s="474" t="str">
        <f t="shared" ca="1" si="196"/>
        <v/>
      </c>
      <c r="AC888" s="475" t="str">
        <f t="shared" ca="1" si="196"/>
        <v/>
      </c>
      <c r="AD888" s="477" t="str">
        <f t="shared" ca="1" si="186"/>
        <v/>
      </c>
      <c r="AE888" s="478">
        <f t="shared" ca="1" si="187"/>
        <v>0</v>
      </c>
      <c r="AF888" s="459" t="str">
        <f t="shared" ca="1" si="194"/>
        <v/>
      </c>
      <c r="AG888" s="460" t="str">
        <f t="shared" ca="1" si="194"/>
        <v/>
      </c>
      <c r="AH888" s="460" t="str">
        <f t="shared" ca="1" si="194"/>
        <v/>
      </c>
      <c r="AI888" s="460" t="str">
        <f t="shared" ca="1" si="194"/>
        <v/>
      </c>
      <c r="AJ888" s="460" t="str">
        <f t="shared" ca="1" si="194"/>
        <v/>
      </c>
      <c r="AK888" s="460" t="str">
        <f t="shared" ca="1" si="194"/>
        <v/>
      </c>
      <c r="AL888" s="460" t="str">
        <f t="shared" ca="1" si="194"/>
        <v/>
      </c>
      <c r="AM888" s="460" t="str">
        <f t="shared" ca="1" si="194"/>
        <v/>
      </c>
      <c r="AN888" s="461" t="str">
        <f t="shared" ca="1" si="194"/>
        <v/>
      </c>
      <c r="AO888" s="474" t="str">
        <f t="shared" ca="1" si="194"/>
        <v/>
      </c>
      <c r="AP888" s="475" t="str">
        <f t="shared" ca="1" si="194"/>
        <v/>
      </c>
      <c r="AQ888" s="479" t="str">
        <f t="array" aca="1" ref="AQ888" ca="1">IF(ROW()-5&lt;=COUNTIF(科目编号,$AR$2),SMALL(IF(科目编号=$AR$2,ROW(科目编号),""),ROW()-5),"")</f>
        <v/>
      </c>
      <c r="AR888" s="480" t="str">
        <f ca="1">IF($BG$2=0,"",IF(AR887="本月合计","本年累计",IF(OR(ROW()=$AU$3,ROW()=$AV$3,ROW()=$AW$3,ROW()=$AX$3,ROW()=$AY$3,ROW()=$AZ$3,ROW()=$BA$3,ROW()=$BB$3,ROW()=$BC$3,ROW()=$BD$3,ROW()=$BE$3,ROW()=$BF$3),"本月合计",IF(ROW()&lt;7,$AQ$6,OFFSET($AQ$6,COUNT($AR$6:AR887),0)))))</f>
        <v/>
      </c>
    </row>
    <row r="889" spans="1:44">
      <c r="A889" s="469" t="str">
        <f ca="1">IFERROR(INDEX(凭证录入!A:A,$AR889),"")</f>
        <v/>
      </c>
      <c r="B889" s="469" t="str">
        <f ca="1">IFERROR(INDEX(凭证录入!B:B,$AR889),"")</f>
        <v/>
      </c>
      <c r="C889" s="470" t="str">
        <f ca="1">IFERROR(INDEX(凭证录入!G:G,$AR889),"")</f>
        <v/>
      </c>
      <c r="D889" s="471" t="str">
        <f ca="1">IFERROR(INDEX(凭证录入!F:F,$AR889),"")</f>
        <v/>
      </c>
      <c r="E889" s="472" t="str">
        <f ca="1">IFERROR(INDEX(凭证录入!H:H,$AR889),$AR889)</f>
        <v/>
      </c>
      <c r="F889" s="473">
        <f ca="1">IF(OR($BG$2=0,$AR889=""),,IF($AR889="本月合计",IF(ROW()=$BG$3,SUM($F$6:$F888),SUM(INDIRECT("$F$"&amp;OFFSET($AU$3,,MATCH(ROW(),$AU$3:$BF$3,)-2)+2&amp;":$E"&amp;ROW()-1))),IF($AR889="本年累计",SUMIF($AR$6:$AR889,"本月合计",$F$6:$F888),INDEX(凭证录入!K:K,$AR889))))</f>
        <v>0</v>
      </c>
      <c r="G889" s="459" t="str">
        <f t="shared" ca="1" si="195"/>
        <v/>
      </c>
      <c r="H889" s="460" t="str">
        <f t="shared" ca="1" si="195"/>
        <v/>
      </c>
      <c r="I889" s="460" t="str">
        <f t="shared" ca="1" si="195"/>
        <v/>
      </c>
      <c r="J889" s="460" t="str">
        <f t="shared" ca="1" si="195"/>
        <v/>
      </c>
      <c r="K889" s="460" t="str">
        <f t="shared" ca="1" si="195"/>
        <v/>
      </c>
      <c r="L889" s="460" t="str">
        <f t="shared" ca="1" si="195"/>
        <v/>
      </c>
      <c r="M889" s="460" t="str">
        <f t="shared" ca="1" si="195"/>
        <v/>
      </c>
      <c r="N889" s="460" t="str">
        <f t="shared" ca="1" si="195"/>
        <v/>
      </c>
      <c r="O889" s="461" t="str">
        <f t="shared" ca="1" si="195"/>
        <v/>
      </c>
      <c r="P889" s="474" t="str">
        <f t="shared" ca="1" si="195"/>
        <v/>
      </c>
      <c r="Q889" s="475" t="str">
        <f t="shared" ca="1" si="195"/>
        <v/>
      </c>
      <c r="R889" s="476">
        <f ca="1">IF(OR($BG$2=0,$AR889=""),,IF($AR889="本月合计",IF(ROW()=$BG$3,SUM($R$6:$R888),SUM(INDIRECT("$R$"&amp;OFFSET($AU$3,,MATCH(ROW(),$AU$3:$BF$3,)-2)+2&amp;":$R"&amp;ROW()-1))),IF($AR889="本年累计",SUMIF($AR$6:$AR889,"本月合计",$R$6:$R888),INDEX(凭证录入!L:L,$AR889))))</f>
        <v>0</v>
      </c>
      <c r="S889" s="459" t="str">
        <f t="shared" ca="1" si="196"/>
        <v/>
      </c>
      <c r="T889" s="460" t="str">
        <f t="shared" ca="1" si="196"/>
        <v/>
      </c>
      <c r="U889" s="460" t="str">
        <f t="shared" ca="1" si="196"/>
        <v/>
      </c>
      <c r="V889" s="460" t="str">
        <f t="shared" ca="1" si="196"/>
        <v/>
      </c>
      <c r="W889" s="460" t="str">
        <f t="shared" ca="1" si="196"/>
        <v/>
      </c>
      <c r="X889" s="460" t="str">
        <f t="shared" ca="1" si="196"/>
        <v/>
      </c>
      <c r="Y889" s="460" t="str">
        <f t="shared" ca="1" si="196"/>
        <v/>
      </c>
      <c r="Z889" s="460" t="str">
        <f t="shared" ca="1" si="196"/>
        <v/>
      </c>
      <c r="AA889" s="461" t="str">
        <f t="shared" ca="1" si="196"/>
        <v/>
      </c>
      <c r="AB889" s="474" t="str">
        <f t="shared" ca="1" si="196"/>
        <v/>
      </c>
      <c r="AC889" s="475" t="str">
        <f t="shared" ca="1" si="196"/>
        <v/>
      </c>
      <c r="AD889" s="477" t="str">
        <f t="shared" ca="1" si="186"/>
        <v/>
      </c>
      <c r="AE889" s="478">
        <f t="shared" ca="1" si="187"/>
        <v>0</v>
      </c>
      <c r="AF889" s="459" t="str">
        <f t="shared" ca="1" si="194"/>
        <v/>
      </c>
      <c r="AG889" s="460" t="str">
        <f t="shared" ca="1" si="194"/>
        <v/>
      </c>
      <c r="AH889" s="460" t="str">
        <f t="shared" ca="1" si="194"/>
        <v/>
      </c>
      <c r="AI889" s="460" t="str">
        <f t="shared" ca="1" si="194"/>
        <v/>
      </c>
      <c r="AJ889" s="460" t="str">
        <f t="shared" ca="1" si="194"/>
        <v/>
      </c>
      <c r="AK889" s="460" t="str">
        <f t="shared" ca="1" si="194"/>
        <v/>
      </c>
      <c r="AL889" s="460" t="str">
        <f t="shared" ca="1" si="194"/>
        <v/>
      </c>
      <c r="AM889" s="460" t="str">
        <f t="shared" ca="1" si="194"/>
        <v/>
      </c>
      <c r="AN889" s="461" t="str">
        <f t="shared" ca="1" si="194"/>
        <v/>
      </c>
      <c r="AO889" s="474" t="str">
        <f t="shared" ca="1" si="194"/>
        <v/>
      </c>
      <c r="AP889" s="475" t="str">
        <f t="shared" ca="1" si="194"/>
        <v/>
      </c>
      <c r="AQ889" s="479" t="str">
        <f t="array" aca="1" ref="AQ889" ca="1">IF(ROW()-5&lt;=COUNTIF(科目编号,$AR$2),SMALL(IF(科目编号=$AR$2,ROW(科目编号),""),ROW()-5),"")</f>
        <v/>
      </c>
      <c r="AR889" s="480" t="str">
        <f ca="1">IF($BG$2=0,"",IF(AR888="本月合计","本年累计",IF(OR(ROW()=$AU$3,ROW()=$AV$3,ROW()=$AW$3,ROW()=$AX$3,ROW()=$AY$3,ROW()=$AZ$3,ROW()=$BA$3,ROW()=$BB$3,ROW()=$BC$3,ROW()=$BD$3,ROW()=$BE$3,ROW()=$BF$3),"本月合计",IF(ROW()&lt;7,$AQ$6,OFFSET($AQ$6,COUNT($AR$6:AR888),0)))))</f>
        <v/>
      </c>
    </row>
    <row r="890" spans="1:44">
      <c r="A890" s="469" t="str">
        <f ca="1">IFERROR(INDEX(凭证录入!A:A,$AR890),"")</f>
        <v/>
      </c>
      <c r="B890" s="469" t="str">
        <f ca="1">IFERROR(INDEX(凭证录入!B:B,$AR890),"")</f>
        <v/>
      </c>
      <c r="C890" s="470" t="str">
        <f ca="1">IFERROR(INDEX(凭证录入!G:G,$AR890),"")</f>
        <v/>
      </c>
      <c r="D890" s="471" t="str">
        <f ca="1">IFERROR(INDEX(凭证录入!F:F,$AR890),"")</f>
        <v/>
      </c>
      <c r="E890" s="472" t="str">
        <f ca="1">IFERROR(INDEX(凭证录入!H:H,$AR890),$AR890)</f>
        <v/>
      </c>
      <c r="F890" s="473">
        <f ca="1">IF(OR($BG$2=0,$AR890=""),,IF($AR890="本月合计",IF(ROW()=$BG$3,SUM($F$6:$F889),SUM(INDIRECT("$F$"&amp;OFFSET($AU$3,,MATCH(ROW(),$AU$3:$BF$3,)-2)+2&amp;":$E"&amp;ROW()-1))),IF($AR890="本年累计",SUMIF($AR$6:$AR890,"本月合计",$F$6:$F889),INDEX(凭证录入!K:K,$AR890))))</f>
        <v>0</v>
      </c>
      <c r="G890" s="459" t="str">
        <f t="shared" ca="1" si="195"/>
        <v/>
      </c>
      <c r="H890" s="460" t="str">
        <f t="shared" ca="1" si="195"/>
        <v/>
      </c>
      <c r="I890" s="460" t="str">
        <f t="shared" ca="1" si="195"/>
        <v/>
      </c>
      <c r="J890" s="460" t="str">
        <f t="shared" ca="1" si="195"/>
        <v/>
      </c>
      <c r="K890" s="460" t="str">
        <f t="shared" ca="1" si="195"/>
        <v/>
      </c>
      <c r="L890" s="460" t="str">
        <f t="shared" ca="1" si="195"/>
        <v/>
      </c>
      <c r="M890" s="460" t="str">
        <f t="shared" ca="1" si="195"/>
        <v/>
      </c>
      <c r="N890" s="460" t="str">
        <f t="shared" ca="1" si="195"/>
        <v/>
      </c>
      <c r="O890" s="461" t="str">
        <f t="shared" ca="1" si="195"/>
        <v/>
      </c>
      <c r="P890" s="474" t="str">
        <f t="shared" ca="1" si="195"/>
        <v/>
      </c>
      <c r="Q890" s="475" t="str">
        <f t="shared" ca="1" si="195"/>
        <v/>
      </c>
      <c r="R890" s="476">
        <f ca="1">IF(OR($BG$2=0,$AR890=""),,IF($AR890="本月合计",IF(ROW()=$BG$3,SUM($R$6:$R889),SUM(INDIRECT("$R$"&amp;OFFSET($AU$3,,MATCH(ROW(),$AU$3:$BF$3,)-2)+2&amp;":$R"&amp;ROW()-1))),IF($AR890="本年累计",SUMIF($AR$6:$AR890,"本月合计",$R$6:$R889),INDEX(凭证录入!L:L,$AR890))))</f>
        <v>0</v>
      </c>
      <c r="S890" s="459" t="str">
        <f t="shared" ca="1" si="196"/>
        <v/>
      </c>
      <c r="T890" s="460" t="str">
        <f t="shared" ca="1" si="196"/>
        <v/>
      </c>
      <c r="U890" s="460" t="str">
        <f t="shared" ca="1" si="196"/>
        <v/>
      </c>
      <c r="V890" s="460" t="str">
        <f t="shared" ca="1" si="196"/>
        <v/>
      </c>
      <c r="W890" s="460" t="str">
        <f t="shared" ca="1" si="196"/>
        <v/>
      </c>
      <c r="X890" s="460" t="str">
        <f t="shared" ca="1" si="196"/>
        <v/>
      </c>
      <c r="Y890" s="460" t="str">
        <f t="shared" ca="1" si="196"/>
        <v/>
      </c>
      <c r="Z890" s="460" t="str">
        <f t="shared" ca="1" si="196"/>
        <v/>
      </c>
      <c r="AA890" s="461" t="str">
        <f t="shared" ca="1" si="196"/>
        <v/>
      </c>
      <c r="AB890" s="474" t="str">
        <f t="shared" ca="1" si="196"/>
        <v/>
      </c>
      <c r="AC890" s="475" t="str">
        <f t="shared" ca="1" si="196"/>
        <v/>
      </c>
      <c r="AD890" s="477" t="str">
        <f t="shared" ca="1" si="186"/>
        <v/>
      </c>
      <c r="AE890" s="478">
        <f t="shared" ca="1" si="187"/>
        <v>0</v>
      </c>
      <c r="AF890" s="459" t="str">
        <f t="shared" ca="1" si="194"/>
        <v/>
      </c>
      <c r="AG890" s="460" t="str">
        <f t="shared" ca="1" si="194"/>
        <v/>
      </c>
      <c r="AH890" s="460" t="str">
        <f t="shared" ca="1" si="194"/>
        <v/>
      </c>
      <c r="AI890" s="460" t="str">
        <f t="shared" ca="1" si="194"/>
        <v/>
      </c>
      <c r="AJ890" s="460" t="str">
        <f t="shared" ca="1" si="194"/>
        <v/>
      </c>
      <c r="AK890" s="460" t="str">
        <f t="shared" ca="1" si="194"/>
        <v/>
      </c>
      <c r="AL890" s="460" t="str">
        <f t="shared" ca="1" si="194"/>
        <v/>
      </c>
      <c r="AM890" s="460" t="str">
        <f t="shared" ca="1" si="194"/>
        <v/>
      </c>
      <c r="AN890" s="461" t="str">
        <f t="shared" ca="1" si="194"/>
        <v/>
      </c>
      <c r="AO890" s="474" t="str">
        <f t="shared" ca="1" si="194"/>
        <v/>
      </c>
      <c r="AP890" s="475" t="str">
        <f t="shared" ca="1" si="194"/>
        <v/>
      </c>
      <c r="AQ890" s="479" t="str">
        <f t="array" aca="1" ref="AQ890" ca="1">IF(ROW()-5&lt;=COUNTIF(科目编号,$AR$2),SMALL(IF(科目编号=$AR$2,ROW(科目编号),""),ROW()-5),"")</f>
        <v/>
      </c>
      <c r="AR890" s="480" t="str">
        <f ca="1">IF($BG$2=0,"",IF(AR889="本月合计","本年累计",IF(OR(ROW()=$AU$3,ROW()=$AV$3,ROW()=$AW$3,ROW()=$AX$3,ROW()=$AY$3,ROW()=$AZ$3,ROW()=$BA$3,ROW()=$BB$3,ROW()=$BC$3,ROW()=$BD$3,ROW()=$BE$3,ROW()=$BF$3),"本月合计",IF(ROW()&lt;7,$AQ$6,OFFSET($AQ$6,COUNT($AR$6:AR889),0)))))</f>
        <v/>
      </c>
    </row>
    <row r="891" spans="1:44">
      <c r="A891" s="469" t="str">
        <f ca="1">IFERROR(INDEX(凭证录入!A:A,$AR891),"")</f>
        <v/>
      </c>
      <c r="B891" s="469" t="str">
        <f ca="1">IFERROR(INDEX(凭证录入!B:B,$AR891),"")</f>
        <v/>
      </c>
      <c r="C891" s="470" t="str">
        <f ca="1">IFERROR(INDEX(凭证录入!G:G,$AR891),"")</f>
        <v/>
      </c>
      <c r="D891" s="471" t="str">
        <f ca="1">IFERROR(INDEX(凭证录入!F:F,$AR891),"")</f>
        <v/>
      </c>
      <c r="E891" s="472" t="str">
        <f ca="1">IFERROR(INDEX(凭证录入!H:H,$AR891),$AR891)</f>
        <v/>
      </c>
      <c r="F891" s="473">
        <f ca="1">IF(OR($BG$2=0,$AR891=""),,IF($AR891="本月合计",IF(ROW()=$BG$3,SUM($F$6:$F890),SUM(INDIRECT("$F$"&amp;OFFSET($AU$3,,MATCH(ROW(),$AU$3:$BF$3,)-2)+2&amp;":$E"&amp;ROW()-1))),IF($AR891="本年累计",SUMIF($AR$6:$AR891,"本月合计",$F$6:$F890),INDEX(凭证录入!K:K,$AR891))))</f>
        <v>0</v>
      </c>
      <c r="G891" s="459" t="str">
        <f t="shared" ca="1" si="195"/>
        <v/>
      </c>
      <c r="H891" s="460" t="str">
        <f t="shared" ca="1" si="195"/>
        <v/>
      </c>
      <c r="I891" s="460" t="str">
        <f t="shared" ca="1" si="195"/>
        <v/>
      </c>
      <c r="J891" s="460" t="str">
        <f t="shared" ca="1" si="195"/>
        <v/>
      </c>
      <c r="K891" s="460" t="str">
        <f t="shared" ca="1" si="195"/>
        <v/>
      </c>
      <c r="L891" s="460" t="str">
        <f t="shared" ca="1" si="195"/>
        <v/>
      </c>
      <c r="M891" s="460" t="str">
        <f t="shared" ca="1" si="195"/>
        <v/>
      </c>
      <c r="N891" s="460" t="str">
        <f t="shared" ca="1" si="195"/>
        <v/>
      </c>
      <c r="O891" s="461" t="str">
        <f t="shared" ca="1" si="195"/>
        <v/>
      </c>
      <c r="P891" s="474" t="str">
        <f t="shared" ca="1" si="195"/>
        <v/>
      </c>
      <c r="Q891" s="475" t="str">
        <f t="shared" ca="1" si="195"/>
        <v/>
      </c>
      <c r="R891" s="476">
        <f ca="1">IF(OR($BG$2=0,$AR891=""),,IF($AR891="本月合计",IF(ROW()=$BG$3,SUM($R$6:$R890),SUM(INDIRECT("$R$"&amp;OFFSET($AU$3,,MATCH(ROW(),$AU$3:$BF$3,)-2)+2&amp;":$R"&amp;ROW()-1))),IF($AR891="本年累计",SUMIF($AR$6:$AR891,"本月合计",$R$6:$R890),INDEX(凭证录入!L:L,$AR891))))</f>
        <v>0</v>
      </c>
      <c r="S891" s="459" t="str">
        <f t="shared" ca="1" si="196"/>
        <v/>
      </c>
      <c r="T891" s="460" t="str">
        <f t="shared" ca="1" si="196"/>
        <v/>
      </c>
      <c r="U891" s="460" t="str">
        <f t="shared" ca="1" si="196"/>
        <v/>
      </c>
      <c r="V891" s="460" t="str">
        <f t="shared" ca="1" si="196"/>
        <v/>
      </c>
      <c r="W891" s="460" t="str">
        <f t="shared" ca="1" si="196"/>
        <v/>
      </c>
      <c r="X891" s="460" t="str">
        <f t="shared" ca="1" si="196"/>
        <v/>
      </c>
      <c r="Y891" s="460" t="str">
        <f t="shared" ca="1" si="196"/>
        <v/>
      </c>
      <c r="Z891" s="460" t="str">
        <f t="shared" ca="1" si="196"/>
        <v/>
      </c>
      <c r="AA891" s="461" t="str">
        <f t="shared" ca="1" si="196"/>
        <v/>
      </c>
      <c r="AB891" s="474" t="str">
        <f t="shared" ca="1" si="196"/>
        <v/>
      </c>
      <c r="AC891" s="475" t="str">
        <f t="shared" ca="1" si="196"/>
        <v/>
      </c>
      <c r="AD891" s="477" t="str">
        <f t="shared" ca="1" si="186"/>
        <v/>
      </c>
      <c r="AE891" s="478">
        <f t="shared" ca="1" si="187"/>
        <v>0</v>
      </c>
      <c r="AF891" s="459" t="str">
        <f t="shared" ca="1" si="194"/>
        <v/>
      </c>
      <c r="AG891" s="460" t="str">
        <f t="shared" ca="1" si="194"/>
        <v/>
      </c>
      <c r="AH891" s="460" t="str">
        <f t="shared" ca="1" si="194"/>
        <v/>
      </c>
      <c r="AI891" s="460" t="str">
        <f t="shared" ca="1" si="194"/>
        <v/>
      </c>
      <c r="AJ891" s="460" t="str">
        <f t="shared" ca="1" si="194"/>
        <v/>
      </c>
      <c r="AK891" s="460" t="str">
        <f t="shared" ca="1" si="194"/>
        <v/>
      </c>
      <c r="AL891" s="460" t="str">
        <f t="shared" ca="1" si="194"/>
        <v/>
      </c>
      <c r="AM891" s="460" t="str">
        <f t="shared" ca="1" si="194"/>
        <v/>
      </c>
      <c r="AN891" s="461" t="str">
        <f t="shared" ca="1" si="194"/>
        <v/>
      </c>
      <c r="AO891" s="474" t="str">
        <f t="shared" ca="1" si="194"/>
        <v/>
      </c>
      <c r="AP891" s="475" t="str">
        <f t="shared" ca="1" si="194"/>
        <v/>
      </c>
      <c r="AQ891" s="479" t="str">
        <f t="array" aca="1" ref="AQ891" ca="1">IF(ROW()-5&lt;=COUNTIF(科目编号,$AR$2),SMALL(IF(科目编号=$AR$2,ROW(科目编号),""),ROW()-5),"")</f>
        <v/>
      </c>
      <c r="AR891" s="480" t="str">
        <f ca="1">IF($BG$2=0,"",IF(AR890="本月合计","本年累计",IF(OR(ROW()=$AU$3,ROW()=$AV$3,ROW()=$AW$3,ROW()=$AX$3,ROW()=$AY$3,ROW()=$AZ$3,ROW()=$BA$3,ROW()=$BB$3,ROW()=$BC$3,ROW()=$BD$3,ROW()=$BE$3,ROW()=$BF$3),"本月合计",IF(ROW()&lt;7,$AQ$6,OFFSET($AQ$6,COUNT($AR$6:AR890),0)))))</f>
        <v/>
      </c>
    </row>
    <row r="892" spans="1:44">
      <c r="A892" s="469" t="str">
        <f ca="1">IFERROR(INDEX(凭证录入!A:A,$AR892),"")</f>
        <v/>
      </c>
      <c r="B892" s="469" t="str">
        <f ca="1">IFERROR(INDEX(凭证录入!B:B,$AR892),"")</f>
        <v/>
      </c>
      <c r="C892" s="470" t="str">
        <f ca="1">IFERROR(INDEX(凭证录入!G:G,$AR892),"")</f>
        <v/>
      </c>
      <c r="D892" s="471" t="str">
        <f ca="1">IFERROR(INDEX(凭证录入!F:F,$AR892),"")</f>
        <v/>
      </c>
      <c r="E892" s="472" t="str">
        <f ca="1">IFERROR(INDEX(凭证录入!H:H,$AR892),$AR892)</f>
        <v/>
      </c>
      <c r="F892" s="473">
        <f ca="1">IF(OR($BG$2=0,$AR892=""),,IF($AR892="本月合计",IF(ROW()=$BG$3,SUM($F$6:$F891),SUM(INDIRECT("$F$"&amp;OFFSET($AU$3,,MATCH(ROW(),$AU$3:$BF$3,)-2)+2&amp;":$E"&amp;ROW()-1))),IF($AR892="本年累计",SUMIF($AR$6:$AR892,"本月合计",$F$6:$F891),INDEX(凭证录入!K:K,$AR892))))</f>
        <v>0</v>
      </c>
      <c r="G892" s="459" t="str">
        <f t="shared" ca="1" si="195"/>
        <v/>
      </c>
      <c r="H892" s="460" t="str">
        <f t="shared" ca="1" si="195"/>
        <v/>
      </c>
      <c r="I892" s="460" t="str">
        <f t="shared" ca="1" si="195"/>
        <v/>
      </c>
      <c r="J892" s="460" t="str">
        <f t="shared" ca="1" si="195"/>
        <v/>
      </c>
      <c r="K892" s="460" t="str">
        <f t="shared" ca="1" si="195"/>
        <v/>
      </c>
      <c r="L892" s="460" t="str">
        <f t="shared" ca="1" si="195"/>
        <v/>
      </c>
      <c r="M892" s="460" t="str">
        <f t="shared" ca="1" si="195"/>
        <v/>
      </c>
      <c r="N892" s="460" t="str">
        <f t="shared" ca="1" si="195"/>
        <v/>
      </c>
      <c r="O892" s="461" t="str">
        <f t="shared" ca="1" si="195"/>
        <v/>
      </c>
      <c r="P892" s="474" t="str">
        <f t="shared" ca="1" si="195"/>
        <v/>
      </c>
      <c r="Q892" s="475" t="str">
        <f t="shared" ca="1" si="195"/>
        <v/>
      </c>
      <c r="R892" s="476">
        <f ca="1">IF(OR($BG$2=0,$AR892=""),,IF($AR892="本月合计",IF(ROW()=$BG$3,SUM($R$6:$R891),SUM(INDIRECT("$R$"&amp;OFFSET($AU$3,,MATCH(ROW(),$AU$3:$BF$3,)-2)+2&amp;":$R"&amp;ROW()-1))),IF($AR892="本年累计",SUMIF($AR$6:$AR892,"本月合计",$R$6:$R891),INDEX(凭证录入!L:L,$AR892))))</f>
        <v>0</v>
      </c>
      <c r="S892" s="459" t="str">
        <f t="shared" ca="1" si="196"/>
        <v/>
      </c>
      <c r="T892" s="460" t="str">
        <f t="shared" ca="1" si="196"/>
        <v/>
      </c>
      <c r="U892" s="460" t="str">
        <f t="shared" ca="1" si="196"/>
        <v/>
      </c>
      <c r="V892" s="460" t="str">
        <f t="shared" ca="1" si="196"/>
        <v/>
      </c>
      <c r="W892" s="460" t="str">
        <f t="shared" ca="1" si="196"/>
        <v/>
      </c>
      <c r="X892" s="460" t="str">
        <f t="shared" ca="1" si="196"/>
        <v/>
      </c>
      <c r="Y892" s="460" t="str">
        <f t="shared" ca="1" si="196"/>
        <v/>
      </c>
      <c r="Z892" s="460" t="str">
        <f t="shared" ca="1" si="196"/>
        <v/>
      </c>
      <c r="AA892" s="461" t="str">
        <f t="shared" ca="1" si="196"/>
        <v/>
      </c>
      <c r="AB892" s="474" t="str">
        <f t="shared" ca="1" si="196"/>
        <v/>
      </c>
      <c r="AC892" s="475" t="str">
        <f t="shared" ca="1" si="196"/>
        <v/>
      </c>
      <c r="AD892" s="477" t="str">
        <f t="shared" ca="1" si="186"/>
        <v/>
      </c>
      <c r="AE892" s="478">
        <f t="shared" ca="1" si="187"/>
        <v>0</v>
      </c>
      <c r="AF892" s="459" t="str">
        <f t="shared" ca="1" si="194"/>
        <v/>
      </c>
      <c r="AG892" s="460" t="str">
        <f t="shared" ca="1" si="194"/>
        <v/>
      </c>
      <c r="AH892" s="460" t="str">
        <f t="shared" ca="1" si="194"/>
        <v/>
      </c>
      <c r="AI892" s="460" t="str">
        <f t="shared" ca="1" si="194"/>
        <v/>
      </c>
      <c r="AJ892" s="460" t="str">
        <f t="shared" ca="1" si="194"/>
        <v/>
      </c>
      <c r="AK892" s="460" t="str">
        <f t="shared" ca="1" si="194"/>
        <v/>
      </c>
      <c r="AL892" s="460" t="str">
        <f t="shared" ca="1" si="194"/>
        <v/>
      </c>
      <c r="AM892" s="460" t="str">
        <f t="shared" ca="1" si="194"/>
        <v/>
      </c>
      <c r="AN892" s="461" t="str">
        <f t="shared" ca="1" si="194"/>
        <v/>
      </c>
      <c r="AO892" s="474" t="str">
        <f t="shared" ca="1" si="194"/>
        <v/>
      </c>
      <c r="AP892" s="475" t="str">
        <f t="shared" ca="1" si="194"/>
        <v/>
      </c>
      <c r="AQ892" s="479" t="str">
        <f t="array" aca="1" ref="AQ892" ca="1">IF(ROW()-5&lt;=COUNTIF(科目编号,$AR$2),SMALL(IF(科目编号=$AR$2,ROW(科目编号),""),ROW()-5),"")</f>
        <v/>
      </c>
      <c r="AR892" s="480" t="str">
        <f ca="1">IF($BG$2=0,"",IF(AR891="本月合计","本年累计",IF(OR(ROW()=$AU$3,ROW()=$AV$3,ROW()=$AW$3,ROW()=$AX$3,ROW()=$AY$3,ROW()=$AZ$3,ROW()=$BA$3,ROW()=$BB$3,ROW()=$BC$3,ROW()=$BD$3,ROW()=$BE$3,ROW()=$BF$3),"本月合计",IF(ROW()&lt;7,$AQ$6,OFFSET($AQ$6,COUNT($AR$6:AR891),0)))))</f>
        <v/>
      </c>
    </row>
    <row r="893" spans="1:44">
      <c r="A893" s="469" t="str">
        <f ca="1">IFERROR(INDEX(凭证录入!A:A,$AR893),"")</f>
        <v/>
      </c>
      <c r="B893" s="469" t="str">
        <f ca="1">IFERROR(INDEX(凭证录入!B:B,$AR893),"")</f>
        <v/>
      </c>
      <c r="C893" s="470" t="str">
        <f ca="1">IFERROR(INDEX(凭证录入!G:G,$AR893),"")</f>
        <v/>
      </c>
      <c r="D893" s="471" t="str">
        <f ca="1">IFERROR(INDEX(凭证录入!F:F,$AR893),"")</f>
        <v/>
      </c>
      <c r="E893" s="472" t="str">
        <f ca="1">IFERROR(INDEX(凭证录入!H:H,$AR893),$AR893)</f>
        <v/>
      </c>
      <c r="F893" s="473">
        <f ca="1">IF(OR($BG$2=0,$AR893=""),,IF($AR893="本月合计",IF(ROW()=$BG$3,SUM($F$6:$F892),SUM(INDIRECT("$F$"&amp;OFFSET($AU$3,,MATCH(ROW(),$AU$3:$BF$3,)-2)+2&amp;":$E"&amp;ROW()-1))),IF($AR893="本年累计",SUMIF($AR$6:$AR893,"本月合计",$F$6:$F892),INDEX(凭证录入!K:K,$AR893))))</f>
        <v>0</v>
      </c>
      <c r="G893" s="459" t="str">
        <f t="shared" ca="1" si="195"/>
        <v/>
      </c>
      <c r="H893" s="460" t="str">
        <f t="shared" ca="1" si="195"/>
        <v/>
      </c>
      <c r="I893" s="460" t="str">
        <f t="shared" ca="1" si="195"/>
        <v/>
      </c>
      <c r="J893" s="460" t="str">
        <f t="shared" ca="1" si="195"/>
        <v/>
      </c>
      <c r="K893" s="460" t="str">
        <f t="shared" ca="1" si="195"/>
        <v/>
      </c>
      <c r="L893" s="460" t="str">
        <f t="shared" ca="1" si="195"/>
        <v/>
      </c>
      <c r="M893" s="460" t="str">
        <f t="shared" ca="1" si="195"/>
        <v/>
      </c>
      <c r="N893" s="460" t="str">
        <f t="shared" ca="1" si="195"/>
        <v/>
      </c>
      <c r="O893" s="461" t="str">
        <f t="shared" ca="1" si="195"/>
        <v/>
      </c>
      <c r="P893" s="474" t="str">
        <f t="shared" ca="1" si="195"/>
        <v/>
      </c>
      <c r="Q893" s="475" t="str">
        <f t="shared" ca="1" si="195"/>
        <v/>
      </c>
      <c r="R893" s="476">
        <f ca="1">IF(OR($BG$2=0,$AR893=""),,IF($AR893="本月合计",IF(ROW()=$BG$3,SUM($R$6:$R892),SUM(INDIRECT("$R$"&amp;OFFSET($AU$3,,MATCH(ROW(),$AU$3:$BF$3,)-2)+2&amp;":$R"&amp;ROW()-1))),IF($AR893="本年累计",SUMIF($AR$6:$AR893,"本月合计",$R$6:$R892),INDEX(凭证录入!L:L,$AR893))))</f>
        <v>0</v>
      </c>
      <c r="S893" s="459" t="str">
        <f t="shared" ca="1" si="196"/>
        <v/>
      </c>
      <c r="T893" s="460" t="str">
        <f t="shared" ca="1" si="196"/>
        <v/>
      </c>
      <c r="U893" s="460" t="str">
        <f t="shared" ca="1" si="196"/>
        <v/>
      </c>
      <c r="V893" s="460" t="str">
        <f t="shared" ca="1" si="196"/>
        <v/>
      </c>
      <c r="W893" s="460" t="str">
        <f t="shared" ca="1" si="196"/>
        <v/>
      </c>
      <c r="X893" s="460" t="str">
        <f t="shared" ca="1" si="196"/>
        <v/>
      </c>
      <c r="Y893" s="460" t="str">
        <f t="shared" ca="1" si="196"/>
        <v/>
      </c>
      <c r="Z893" s="460" t="str">
        <f t="shared" ca="1" si="196"/>
        <v/>
      </c>
      <c r="AA893" s="461" t="str">
        <f t="shared" ca="1" si="196"/>
        <v/>
      </c>
      <c r="AB893" s="474" t="str">
        <f t="shared" ca="1" si="196"/>
        <v/>
      </c>
      <c r="AC893" s="475" t="str">
        <f t="shared" ca="1" si="196"/>
        <v/>
      </c>
      <c r="AD893" s="477" t="str">
        <f t="shared" ca="1" si="186"/>
        <v/>
      </c>
      <c r="AE893" s="478">
        <f t="shared" ca="1" si="187"/>
        <v>0</v>
      </c>
      <c r="AF893" s="459" t="str">
        <f t="shared" ca="1" si="194"/>
        <v/>
      </c>
      <c r="AG893" s="460" t="str">
        <f t="shared" ca="1" si="194"/>
        <v/>
      </c>
      <c r="AH893" s="460" t="str">
        <f t="shared" ca="1" si="194"/>
        <v/>
      </c>
      <c r="AI893" s="460" t="str">
        <f t="shared" ca="1" si="194"/>
        <v/>
      </c>
      <c r="AJ893" s="460" t="str">
        <f t="shared" ca="1" si="194"/>
        <v/>
      </c>
      <c r="AK893" s="460" t="str">
        <f t="shared" ca="1" si="194"/>
        <v/>
      </c>
      <c r="AL893" s="460" t="str">
        <f t="shared" ca="1" si="194"/>
        <v/>
      </c>
      <c r="AM893" s="460" t="str">
        <f t="shared" ca="1" si="194"/>
        <v/>
      </c>
      <c r="AN893" s="461" t="str">
        <f t="shared" ca="1" si="194"/>
        <v/>
      </c>
      <c r="AO893" s="474" t="str">
        <f t="shared" ca="1" si="194"/>
        <v/>
      </c>
      <c r="AP893" s="475" t="str">
        <f t="shared" ca="1" si="194"/>
        <v/>
      </c>
      <c r="AQ893" s="479" t="str">
        <f t="array" aca="1" ref="AQ893" ca="1">IF(ROW()-5&lt;=COUNTIF(科目编号,$AR$2),SMALL(IF(科目编号=$AR$2,ROW(科目编号),""),ROW()-5),"")</f>
        <v/>
      </c>
      <c r="AR893" s="480" t="str">
        <f ca="1">IF($BG$2=0,"",IF(AR892="本月合计","本年累计",IF(OR(ROW()=$AU$3,ROW()=$AV$3,ROW()=$AW$3,ROW()=$AX$3,ROW()=$AY$3,ROW()=$AZ$3,ROW()=$BA$3,ROW()=$BB$3,ROW()=$BC$3,ROW()=$BD$3,ROW()=$BE$3,ROW()=$BF$3),"本月合计",IF(ROW()&lt;7,$AQ$6,OFFSET($AQ$6,COUNT($AR$6:AR892),0)))))</f>
        <v/>
      </c>
    </row>
    <row r="894" spans="1:44">
      <c r="A894" s="469" t="str">
        <f ca="1">IFERROR(INDEX(凭证录入!A:A,$AR894),"")</f>
        <v/>
      </c>
      <c r="B894" s="469" t="str">
        <f ca="1">IFERROR(INDEX(凭证录入!B:B,$AR894),"")</f>
        <v/>
      </c>
      <c r="C894" s="470" t="str">
        <f ca="1">IFERROR(INDEX(凭证录入!G:G,$AR894),"")</f>
        <v/>
      </c>
      <c r="D894" s="471" t="str">
        <f ca="1">IFERROR(INDEX(凭证录入!F:F,$AR894),"")</f>
        <v/>
      </c>
      <c r="E894" s="472" t="str">
        <f ca="1">IFERROR(INDEX(凭证录入!H:H,$AR894),$AR894)</f>
        <v/>
      </c>
      <c r="F894" s="473">
        <f ca="1">IF(OR($BG$2=0,$AR894=""),,IF($AR894="本月合计",IF(ROW()=$BG$3,SUM($F$6:$F893),SUM(INDIRECT("$F$"&amp;OFFSET($AU$3,,MATCH(ROW(),$AU$3:$BF$3,)-2)+2&amp;":$E"&amp;ROW()-1))),IF($AR894="本年累计",SUMIF($AR$6:$AR894,"本月合计",$F$6:$F893),INDEX(凭证录入!K:K,$AR894))))</f>
        <v>0</v>
      </c>
      <c r="G894" s="459" t="str">
        <f t="shared" ca="1" si="195"/>
        <v/>
      </c>
      <c r="H894" s="460" t="str">
        <f t="shared" ca="1" si="195"/>
        <v/>
      </c>
      <c r="I894" s="460" t="str">
        <f t="shared" ca="1" si="195"/>
        <v/>
      </c>
      <c r="J894" s="460" t="str">
        <f t="shared" ca="1" si="195"/>
        <v/>
      </c>
      <c r="K894" s="460" t="str">
        <f t="shared" ca="1" si="195"/>
        <v/>
      </c>
      <c r="L894" s="460" t="str">
        <f t="shared" ca="1" si="195"/>
        <v/>
      </c>
      <c r="M894" s="460" t="str">
        <f t="shared" ca="1" si="195"/>
        <v/>
      </c>
      <c r="N894" s="460" t="str">
        <f t="shared" ca="1" si="195"/>
        <v/>
      </c>
      <c r="O894" s="461" t="str">
        <f t="shared" ca="1" si="195"/>
        <v/>
      </c>
      <c r="P894" s="474" t="str">
        <f t="shared" ca="1" si="195"/>
        <v/>
      </c>
      <c r="Q894" s="475" t="str">
        <f t="shared" ca="1" si="195"/>
        <v/>
      </c>
      <c r="R894" s="476">
        <f ca="1">IF(OR($BG$2=0,$AR894=""),,IF($AR894="本月合计",IF(ROW()=$BG$3,SUM($R$6:$R893),SUM(INDIRECT("$R$"&amp;OFFSET($AU$3,,MATCH(ROW(),$AU$3:$BF$3,)-2)+2&amp;":$R"&amp;ROW()-1))),IF($AR894="本年累计",SUMIF($AR$6:$AR894,"本月合计",$R$6:$R893),INDEX(凭证录入!L:L,$AR894))))</f>
        <v>0</v>
      </c>
      <c r="S894" s="459" t="str">
        <f t="shared" ca="1" si="196"/>
        <v/>
      </c>
      <c r="T894" s="460" t="str">
        <f t="shared" ca="1" si="196"/>
        <v/>
      </c>
      <c r="U894" s="460" t="str">
        <f t="shared" ca="1" si="196"/>
        <v/>
      </c>
      <c r="V894" s="460" t="str">
        <f t="shared" ca="1" si="196"/>
        <v/>
      </c>
      <c r="W894" s="460" t="str">
        <f t="shared" ca="1" si="196"/>
        <v/>
      </c>
      <c r="X894" s="460" t="str">
        <f t="shared" ca="1" si="196"/>
        <v/>
      </c>
      <c r="Y894" s="460" t="str">
        <f t="shared" ca="1" si="196"/>
        <v/>
      </c>
      <c r="Z894" s="460" t="str">
        <f t="shared" ca="1" si="196"/>
        <v/>
      </c>
      <c r="AA894" s="461" t="str">
        <f t="shared" ca="1" si="196"/>
        <v/>
      </c>
      <c r="AB894" s="474" t="str">
        <f t="shared" ca="1" si="196"/>
        <v/>
      </c>
      <c r="AC894" s="475" t="str">
        <f t="shared" ca="1" si="196"/>
        <v/>
      </c>
      <c r="AD894" s="477" t="str">
        <f t="shared" ca="1" si="186"/>
        <v/>
      </c>
      <c r="AE894" s="478">
        <f t="shared" ca="1" si="187"/>
        <v>0</v>
      </c>
      <c r="AF894" s="459" t="str">
        <f t="shared" ca="1" si="194"/>
        <v/>
      </c>
      <c r="AG894" s="460" t="str">
        <f t="shared" ca="1" si="194"/>
        <v/>
      </c>
      <c r="AH894" s="460" t="str">
        <f t="shared" ca="1" si="194"/>
        <v/>
      </c>
      <c r="AI894" s="460" t="str">
        <f t="shared" ca="1" si="194"/>
        <v/>
      </c>
      <c r="AJ894" s="460" t="str">
        <f t="shared" ca="1" si="194"/>
        <v/>
      </c>
      <c r="AK894" s="460" t="str">
        <f t="shared" ca="1" si="194"/>
        <v/>
      </c>
      <c r="AL894" s="460" t="str">
        <f t="shared" ca="1" si="194"/>
        <v/>
      </c>
      <c r="AM894" s="460" t="str">
        <f t="shared" ca="1" si="194"/>
        <v/>
      </c>
      <c r="AN894" s="461" t="str">
        <f t="shared" ca="1" si="194"/>
        <v/>
      </c>
      <c r="AO894" s="474" t="str">
        <f t="shared" ca="1" si="194"/>
        <v/>
      </c>
      <c r="AP894" s="475" t="str">
        <f t="shared" ca="1" si="194"/>
        <v/>
      </c>
      <c r="AQ894" s="479" t="str">
        <f t="array" aca="1" ref="AQ894" ca="1">IF(ROW()-5&lt;=COUNTIF(科目编号,$AR$2),SMALL(IF(科目编号=$AR$2,ROW(科目编号),""),ROW()-5),"")</f>
        <v/>
      </c>
      <c r="AR894" s="480" t="str">
        <f ca="1">IF($BG$2=0,"",IF(AR893="本月合计","本年累计",IF(OR(ROW()=$AU$3,ROW()=$AV$3,ROW()=$AW$3,ROW()=$AX$3,ROW()=$AY$3,ROW()=$AZ$3,ROW()=$BA$3,ROW()=$BB$3,ROW()=$BC$3,ROW()=$BD$3,ROW()=$BE$3,ROW()=$BF$3),"本月合计",IF(ROW()&lt;7,$AQ$6,OFFSET($AQ$6,COUNT($AR$6:AR893),0)))))</f>
        <v/>
      </c>
    </row>
    <row r="895" spans="1:44">
      <c r="A895" s="469" t="str">
        <f ca="1">IFERROR(INDEX(凭证录入!A:A,$AR895),"")</f>
        <v/>
      </c>
      <c r="B895" s="469" t="str">
        <f ca="1">IFERROR(INDEX(凭证录入!B:B,$AR895),"")</f>
        <v/>
      </c>
      <c r="C895" s="470" t="str">
        <f ca="1">IFERROR(INDEX(凭证录入!G:G,$AR895),"")</f>
        <v/>
      </c>
      <c r="D895" s="471" t="str">
        <f ca="1">IFERROR(INDEX(凭证录入!F:F,$AR895),"")</f>
        <v/>
      </c>
      <c r="E895" s="472" t="str">
        <f ca="1">IFERROR(INDEX(凭证录入!H:H,$AR895),$AR895)</f>
        <v/>
      </c>
      <c r="F895" s="473">
        <f ca="1">IF(OR($BG$2=0,$AR895=""),,IF($AR895="本月合计",IF(ROW()=$BG$3,SUM($F$6:$F894),SUM(INDIRECT("$F$"&amp;OFFSET($AU$3,,MATCH(ROW(),$AU$3:$BF$3,)-2)+2&amp;":$E"&amp;ROW()-1))),IF($AR895="本年累计",SUMIF($AR$6:$AR895,"本月合计",$F$6:$F894),INDEX(凭证录入!K:K,$AR895))))</f>
        <v>0</v>
      </c>
      <c r="G895" s="459" t="str">
        <f t="shared" ca="1" si="195"/>
        <v/>
      </c>
      <c r="H895" s="460" t="str">
        <f t="shared" ca="1" si="195"/>
        <v/>
      </c>
      <c r="I895" s="460" t="str">
        <f t="shared" ca="1" si="195"/>
        <v/>
      </c>
      <c r="J895" s="460" t="str">
        <f t="shared" ca="1" si="195"/>
        <v/>
      </c>
      <c r="K895" s="460" t="str">
        <f t="shared" ca="1" si="195"/>
        <v/>
      </c>
      <c r="L895" s="460" t="str">
        <f t="shared" ca="1" si="195"/>
        <v/>
      </c>
      <c r="M895" s="460" t="str">
        <f t="shared" ca="1" si="195"/>
        <v/>
      </c>
      <c r="N895" s="460" t="str">
        <f t="shared" ca="1" si="195"/>
        <v/>
      </c>
      <c r="O895" s="461" t="str">
        <f t="shared" ca="1" si="195"/>
        <v/>
      </c>
      <c r="P895" s="474" t="str">
        <f t="shared" ca="1" si="195"/>
        <v/>
      </c>
      <c r="Q895" s="475" t="str">
        <f t="shared" ca="1" si="195"/>
        <v/>
      </c>
      <c r="R895" s="476">
        <f ca="1">IF(OR($BG$2=0,$AR895=""),,IF($AR895="本月合计",IF(ROW()=$BG$3,SUM($R$6:$R894),SUM(INDIRECT("$R$"&amp;OFFSET($AU$3,,MATCH(ROW(),$AU$3:$BF$3,)-2)+2&amp;":$R"&amp;ROW()-1))),IF($AR895="本年累计",SUMIF($AR$6:$AR895,"本月合计",$R$6:$R894),INDEX(凭证录入!L:L,$AR895))))</f>
        <v>0</v>
      </c>
      <c r="S895" s="459" t="str">
        <f t="shared" ca="1" si="196"/>
        <v/>
      </c>
      <c r="T895" s="460" t="str">
        <f t="shared" ca="1" si="196"/>
        <v/>
      </c>
      <c r="U895" s="460" t="str">
        <f t="shared" ca="1" si="196"/>
        <v/>
      </c>
      <c r="V895" s="460" t="str">
        <f t="shared" ca="1" si="196"/>
        <v/>
      </c>
      <c r="W895" s="460" t="str">
        <f t="shared" ca="1" si="196"/>
        <v/>
      </c>
      <c r="X895" s="460" t="str">
        <f t="shared" ca="1" si="196"/>
        <v/>
      </c>
      <c r="Y895" s="460" t="str">
        <f t="shared" ca="1" si="196"/>
        <v/>
      </c>
      <c r="Z895" s="460" t="str">
        <f t="shared" ca="1" si="196"/>
        <v/>
      </c>
      <c r="AA895" s="461" t="str">
        <f t="shared" ca="1" si="196"/>
        <v/>
      </c>
      <c r="AB895" s="474" t="str">
        <f t="shared" ca="1" si="196"/>
        <v/>
      </c>
      <c r="AC895" s="475" t="str">
        <f t="shared" ca="1" si="196"/>
        <v/>
      </c>
      <c r="AD895" s="477" t="str">
        <f t="shared" ca="1" si="186"/>
        <v/>
      </c>
      <c r="AE895" s="478">
        <f t="shared" ca="1" si="187"/>
        <v>0</v>
      </c>
      <c r="AF895" s="459" t="str">
        <f t="shared" ca="1" si="194"/>
        <v/>
      </c>
      <c r="AG895" s="460" t="str">
        <f t="shared" ca="1" si="194"/>
        <v/>
      </c>
      <c r="AH895" s="460" t="str">
        <f t="shared" ca="1" si="194"/>
        <v/>
      </c>
      <c r="AI895" s="460" t="str">
        <f t="shared" ca="1" si="194"/>
        <v/>
      </c>
      <c r="AJ895" s="460" t="str">
        <f t="shared" ca="1" si="194"/>
        <v/>
      </c>
      <c r="AK895" s="460" t="str">
        <f t="shared" ca="1" si="194"/>
        <v/>
      </c>
      <c r="AL895" s="460" t="str">
        <f t="shared" ca="1" si="194"/>
        <v/>
      </c>
      <c r="AM895" s="460" t="str">
        <f t="shared" ca="1" si="194"/>
        <v/>
      </c>
      <c r="AN895" s="461" t="str">
        <f t="shared" ca="1" si="194"/>
        <v/>
      </c>
      <c r="AO895" s="474" t="str">
        <f t="shared" ca="1" si="194"/>
        <v/>
      </c>
      <c r="AP895" s="475" t="str">
        <f t="shared" ca="1" si="194"/>
        <v/>
      </c>
      <c r="AQ895" s="479" t="str">
        <f t="array" aca="1" ref="AQ895" ca="1">IF(ROW()-5&lt;=COUNTIF(科目编号,$AR$2),SMALL(IF(科目编号=$AR$2,ROW(科目编号),""),ROW()-5),"")</f>
        <v/>
      </c>
      <c r="AR895" s="480" t="str">
        <f ca="1">IF($BG$2=0,"",IF(AR894="本月合计","本年累计",IF(OR(ROW()=$AU$3,ROW()=$AV$3,ROW()=$AW$3,ROW()=$AX$3,ROW()=$AY$3,ROW()=$AZ$3,ROW()=$BA$3,ROW()=$BB$3,ROW()=$BC$3,ROW()=$BD$3,ROW()=$BE$3,ROW()=$BF$3),"本月合计",IF(ROW()&lt;7,$AQ$6,OFFSET($AQ$6,COUNT($AR$6:AR894),0)))))</f>
        <v/>
      </c>
    </row>
    <row r="896" spans="1:44">
      <c r="A896" s="469" t="str">
        <f ca="1">IFERROR(INDEX(凭证录入!A:A,$AR896),"")</f>
        <v/>
      </c>
      <c r="B896" s="469" t="str">
        <f ca="1">IFERROR(INDEX(凭证录入!B:B,$AR896),"")</f>
        <v/>
      </c>
      <c r="C896" s="470" t="str">
        <f ca="1">IFERROR(INDEX(凭证录入!G:G,$AR896),"")</f>
        <v/>
      </c>
      <c r="D896" s="471" t="str">
        <f ca="1">IFERROR(INDEX(凭证录入!F:F,$AR896),"")</f>
        <v/>
      </c>
      <c r="E896" s="472" t="str">
        <f ca="1">IFERROR(INDEX(凭证录入!H:H,$AR896),$AR896)</f>
        <v/>
      </c>
      <c r="F896" s="473">
        <f ca="1">IF(OR($BG$2=0,$AR896=""),,IF($AR896="本月合计",IF(ROW()=$BG$3,SUM($F$6:$F895),SUM(INDIRECT("$F$"&amp;OFFSET($AU$3,,MATCH(ROW(),$AU$3:$BF$3,)-2)+2&amp;":$E"&amp;ROW()-1))),IF($AR896="本年累计",SUMIF($AR$6:$AR896,"本月合计",$F$6:$F895),INDEX(凭证录入!K:K,$AR896))))</f>
        <v>0</v>
      </c>
      <c r="G896" s="459" t="str">
        <f t="shared" ca="1" si="195"/>
        <v/>
      </c>
      <c r="H896" s="460" t="str">
        <f t="shared" ca="1" si="195"/>
        <v/>
      </c>
      <c r="I896" s="460" t="str">
        <f t="shared" ca="1" si="195"/>
        <v/>
      </c>
      <c r="J896" s="460" t="str">
        <f t="shared" ca="1" si="195"/>
        <v/>
      </c>
      <c r="K896" s="460" t="str">
        <f t="shared" ca="1" si="195"/>
        <v/>
      </c>
      <c r="L896" s="460" t="str">
        <f t="shared" ca="1" si="195"/>
        <v/>
      </c>
      <c r="M896" s="460" t="str">
        <f t="shared" ca="1" si="195"/>
        <v/>
      </c>
      <c r="N896" s="460" t="str">
        <f t="shared" ca="1" si="195"/>
        <v/>
      </c>
      <c r="O896" s="461" t="str">
        <f t="shared" ca="1" si="195"/>
        <v/>
      </c>
      <c r="P896" s="474" t="str">
        <f t="shared" ca="1" si="195"/>
        <v/>
      </c>
      <c r="Q896" s="475" t="str">
        <f t="shared" ca="1" si="195"/>
        <v/>
      </c>
      <c r="R896" s="476">
        <f ca="1">IF(OR($BG$2=0,$AR896=""),,IF($AR896="本月合计",IF(ROW()=$BG$3,SUM($R$6:$R895),SUM(INDIRECT("$R$"&amp;OFFSET($AU$3,,MATCH(ROW(),$AU$3:$BF$3,)-2)+2&amp;":$R"&amp;ROW()-1))),IF($AR896="本年累计",SUMIF($AR$6:$AR896,"本月合计",$R$6:$R895),INDEX(凭证录入!L:L,$AR896))))</f>
        <v>0</v>
      </c>
      <c r="S896" s="459" t="str">
        <f t="shared" ca="1" si="196"/>
        <v/>
      </c>
      <c r="T896" s="460" t="str">
        <f t="shared" ca="1" si="196"/>
        <v/>
      </c>
      <c r="U896" s="460" t="str">
        <f t="shared" ca="1" si="196"/>
        <v/>
      </c>
      <c r="V896" s="460" t="str">
        <f t="shared" ca="1" si="196"/>
        <v/>
      </c>
      <c r="W896" s="460" t="str">
        <f t="shared" ca="1" si="196"/>
        <v/>
      </c>
      <c r="X896" s="460" t="str">
        <f t="shared" ca="1" si="196"/>
        <v/>
      </c>
      <c r="Y896" s="460" t="str">
        <f t="shared" ca="1" si="196"/>
        <v/>
      </c>
      <c r="Z896" s="460" t="str">
        <f t="shared" ca="1" si="196"/>
        <v/>
      </c>
      <c r="AA896" s="461" t="str">
        <f t="shared" ca="1" si="196"/>
        <v/>
      </c>
      <c r="AB896" s="474" t="str">
        <f t="shared" ca="1" si="196"/>
        <v/>
      </c>
      <c r="AC896" s="475" t="str">
        <f t="shared" ca="1" si="196"/>
        <v/>
      </c>
      <c r="AD896" s="477" t="str">
        <f t="shared" ca="1" si="186"/>
        <v/>
      </c>
      <c r="AE896" s="478">
        <f t="shared" ca="1" si="187"/>
        <v>0</v>
      </c>
      <c r="AF896" s="459" t="str">
        <f t="shared" ca="1" si="194"/>
        <v/>
      </c>
      <c r="AG896" s="460" t="str">
        <f t="shared" ca="1" si="194"/>
        <v/>
      </c>
      <c r="AH896" s="460" t="str">
        <f t="shared" ca="1" si="194"/>
        <v/>
      </c>
      <c r="AI896" s="460" t="str">
        <f t="shared" ca="1" si="194"/>
        <v/>
      </c>
      <c r="AJ896" s="460" t="str">
        <f t="shared" ca="1" si="194"/>
        <v/>
      </c>
      <c r="AK896" s="460" t="str">
        <f t="shared" ca="1" si="194"/>
        <v/>
      </c>
      <c r="AL896" s="460" t="str">
        <f t="shared" ca="1" si="194"/>
        <v/>
      </c>
      <c r="AM896" s="460" t="str">
        <f t="shared" ca="1" si="194"/>
        <v/>
      </c>
      <c r="AN896" s="461" t="str">
        <f t="shared" ca="1" si="194"/>
        <v/>
      </c>
      <c r="AO896" s="474" t="str">
        <f t="shared" ca="1" si="194"/>
        <v/>
      </c>
      <c r="AP896" s="475" t="str">
        <f t="shared" ca="1" si="194"/>
        <v/>
      </c>
      <c r="AQ896" s="479" t="str">
        <f t="array" aca="1" ref="AQ896" ca="1">IF(ROW()-5&lt;=COUNTIF(科目编号,$AR$2),SMALL(IF(科目编号=$AR$2,ROW(科目编号),""),ROW()-5),"")</f>
        <v/>
      </c>
      <c r="AR896" s="480" t="str">
        <f ca="1">IF($BG$2=0,"",IF(AR895="本月合计","本年累计",IF(OR(ROW()=$AU$3,ROW()=$AV$3,ROW()=$AW$3,ROW()=$AX$3,ROW()=$AY$3,ROW()=$AZ$3,ROW()=$BA$3,ROW()=$BB$3,ROW()=$BC$3,ROW()=$BD$3,ROW()=$BE$3,ROW()=$BF$3),"本月合计",IF(ROW()&lt;7,$AQ$6,OFFSET($AQ$6,COUNT($AR$6:AR895),0)))))</f>
        <v/>
      </c>
    </row>
    <row r="897" spans="1:44">
      <c r="A897" s="469" t="str">
        <f ca="1">IFERROR(INDEX(凭证录入!A:A,$AR897),"")</f>
        <v/>
      </c>
      <c r="B897" s="469" t="str">
        <f ca="1">IFERROR(INDEX(凭证录入!B:B,$AR897),"")</f>
        <v/>
      </c>
      <c r="C897" s="470" t="str">
        <f ca="1">IFERROR(INDEX(凭证录入!G:G,$AR897),"")</f>
        <v/>
      </c>
      <c r="D897" s="471" t="str">
        <f ca="1">IFERROR(INDEX(凭证录入!F:F,$AR897),"")</f>
        <v/>
      </c>
      <c r="E897" s="472" t="str">
        <f ca="1">IFERROR(INDEX(凭证录入!H:H,$AR897),$AR897)</f>
        <v/>
      </c>
      <c r="F897" s="473">
        <f ca="1">IF(OR($BG$2=0,$AR897=""),,IF($AR897="本月合计",IF(ROW()=$BG$3,SUM($F$6:$F896),SUM(INDIRECT("$F$"&amp;OFFSET($AU$3,,MATCH(ROW(),$AU$3:$BF$3,)-2)+2&amp;":$E"&amp;ROW()-1))),IF($AR897="本年累计",SUMIF($AR$6:$AR897,"本月合计",$F$6:$F896),INDEX(凭证录入!K:K,$AR897))))</f>
        <v>0</v>
      </c>
      <c r="G897" s="459" t="str">
        <f t="shared" ca="1" si="195"/>
        <v/>
      </c>
      <c r="H897" s="460" t="str">
        <f t="shared" ca="1" si="195"/>
        <v/>
      </c>
      <c r="I897" s="460" t="str">
        <f t="shared" ca="1" si="195"/>
        <v/>
      </c>
      <c r="J897" s="460" t="str">
        <f t="shared" ca="1" si="195"/>
        <v/>
      </c>
      <c r="K897" s="460" t="str">
        <f t="shared" ca="1" si="195"/>
        <v/>
      </c>
      <c r="L897" s="460" t="str">
        <f t="shared" ca="1" si="195"/>
        <v/>
      </c>
      <c r="M897" s="460" t="str">
        <f t="shared" ca="1" si="195"/>
        <v/>
      </c>
      <c r="N897" s="460" t="str">
        <f t="shared" ca="1" si="195"/>
        <v/>
      </c>
      <c r="O897" s="461" t="str">
        <f t="shared" ca="1" si="195"/>
        <v/>
      </c>
      <c r="P897" s="474" t="str">
        <f t="shared" ca="1" si="195"/>
        <v/>
      </c>
      <c r="Q897" s="475" t="str">
        <f t="shared" ca="1" si="195"/>
        <v/>
      </c>
      <c r="R897" s="476">
        <f ca="1">IF(OR($BG$2=0,$AR897=""),,IF($AR897="本月合计",IF(ROW()=$BG$3,SUM($R$6:$R896),SUM(INDIRECT("$R$"&amp;OFFSET($AU$3,,MATCH(ROW(),$AU$3:$BF$3,)-2)+2&amp;":$R"&amp;ROW()-1))),IF($AR897="本年累计",SUMIF($AR$6:$AR897,"本月合计",$R$6:$R896),INDEX(凭证录入!L:L,$AR897))))</f>
        <v>0</v>
      </c>
      <c r="S897" s="459" t="str">
        <f t="shared" ca="1" si="196"/>
        <v/>
      </c>
      <c r="T897" s="460" t="str">
        <f t="shared" ca="1" si="196"/>
        <v/>
      </c>
      <c r="U897" s="460" t="str">
        <f t="shared" ca="1" si="196"/>
        <v/>
      </c>
      <c r="V897" s="460" t="str">
        <f t="shared" ca="1" si="196"/>
        <v/>
      </c>
      <c r="W897" s="460" t="str">
        <f t="shared" ca="1" si="196"/>
        <v/>
      </c>
      <c r="X897" s="460" t="str">
        <f t="shared" ca="1" si="196"/>
        <v/>
      </c>
      <c r="Y897" s="460" t="str">
        <f t="shared" ca="1" si="196"/>
        <v/>
      </c>
      <c r="Z897" s="460" t="str">
        <f t="shared" ca="1" si="196"/>
        <v/>
      </c>
      <c r="AA897" s="461" t="str">
        <f t="shared" ca="1" si="196"/>
        <v/>
      </c>
      <c r="AB897" s="474" t="str">
        <f t="shared" ca="1" si="196"/>
        <v/>
      </c>
      <c r="AC897" s="475" t="str">
        <f t="shared" ca="1" si="196"/>
        <v/>
      </c>
      <c r="AD897" s="477" t="str">
        <f t="shared" ca="1" si="186"/>
        <v/>
      </c>
      <c r="AE897" s="478">
        <f t="shared" ca="1" si="187"/>
        <v>0</v>
      </c>
      <c r="AF897" s="459" t="str">
        <f t="shared" ca="1" si="194"/>
        <v/>
      </c>
      <c r="AG897" s="460" t="str">
        <f t="shared" ca="1" si="194"/>
        <v/>
      </c>
      <c r="AH897" s="460" t="str">
        <f t="shared" ca="1" si="194"/>
        <v/>
      </c>
      <c r="AI897" s="460" t="str">
        <f t="shared" ca="1" si="194"/>
        <v/>
      </c>
      <c r="AJ897" s="460" t="str">
        <f t="shared" ca="1" si="194"/>
        <v/>
      </c>
      <c r="AK897" s="460" t="str">
        <f t="shared" ca="1" si="194"/>
        <v/>
      </c>
      <c r="AL897" s="460" t="str">
        <f t="shared" ca="1" si="194"/>
        <v/>
      </c>
      <c r="AM897" s="460" t="str">
        <f t="shared" ca="1" si="194"/>
        <v/>
      </c>
      <c r="AN897" s="461" t="str">
        <f t="shared" ca="1" si="194"/>
        <v/>
      </c>
      <c r="AO897" s="474" t="str">
        <f t="shared" ca="1" si="194"/>
        <v/>
      </c>
      <c r="AP897" s="475" t="str">
        <f t="shared" ca="1" si="194"/>
        <v/>
      </c>
      <c r="AQ897" s="479" t="str">
        <f t="array" aca="1" ref="AQ897" ca="1">IF(ROW()-5&lt;=COUNTIF(科目编号,$AR$2),SMALL(IF(科目编号=$AR$2,ROW(科目编号),""),ROW()-5),"")</f>
        <v/>
      </c>
      <c r="AR897" s="480" t="str">
        <f ca="1">IF($BG$2=0,"",IF(AR896="本月合计","本年累计",IF(OR(ROW()=$AU$3,ROW()=$AV$3,ROW()=$AW$3,ROW()=$AX$3,ROW()=$AY$3,ROW()=$AZ$3,ROW()=$BA$3,ROW()=$BB$3,ROW()=$BC$3,ROW()=$BD$3,ROW()=$BE$3,ROW()=$BF$3),"本月合计",IF(ROW()&lt;7,$AQ$6,OFFSET($AQ$6,COUNT($AR$6:AR896),0)))))</f>
        <v/>
      </c>
    </row>
    <row r="898" spans="1:44">
      <c r="A898" s="469" t="str">
        <f ca="1">IFERROR(INDEX(凭证录入!A:A,$AR898),"")</f>
        <v/>
      </c>
      <c r="B898" s="469" t="str">
        <f ca="1">IFERROR(INDEX(凭证录入!B:B,$AR898),"")</f>
        <v/>
      </c>
      <c r="C898" s="470" t="str">
        <f ca="1">IFERROR(INDEX(凭证录入!G:G,$AR898),"")</f>
        <v/>
      </c>
      <c r="D898" s="471" t="str">
        <f ca="1">IFERROR(INDEX(凭证录入!F:F,$AR898),"")</f>
        <v/>
      </c>
      <c r="E898" s="472" t="str">
        <f ca="1">IFERROR(INDEX(凭证录入!H:H,$AR898),$AR898)</f>
        <v/>
      </c>
      <c r="F898" s="473">
        <f ca="1">IF(OR($BG$2=0,$AR898=""),,IF($AR898="本月合计",IF(ROW()=$BG$3,SUM($F$6:$F897),SUM(INDIRECT("$F$"&amp;OFFSET($AU$3,,MATCH(ROW(),$AU$3:$BF$3,)-2)+2&amp;":$E"&amp;ROW()-1))),IF($AR898="本年累计",SUMIF($AR$6:$AR898,"本月合计",$F$6:$F897),INDEX(凭证录入!K:K,$AR898))))</f>
        <v>0</v>
      </c>
      <c r="G898" s="459" t="str">
        <f t="shared" ca="1" si="195"/>
        <v/>
      </c>
      <c r="H898" s="460" t="str">
        <f t="shared" ca="1" si="195"/>
        <v/>
      </c>
      <c r="I898" s="460" t="str">
        <f t="shared" ca="1" si="195"/>
        <v/>
      </c>
      <c r="J898" s="460" t="str">
        <f t="shared" ca="1" si="195"/>
        <v/>
      </c>
      <c r="K898" s="460" t="str">
        <f t="shared" ca="1" si="195"/>
        <v/>
      </c>
      <c r="L898" s="460" t="str">
        <f t="shared" ca="1" si="195"/>
        <v/>
      </c>
      <c r="M898" s="460" t="str">
        <f t="shared" ca="1" si="195"/>
        <v/>
      </c>
      <c r="N898" s="460" t="str">
        <f t="shared" ca="1" si="195"/>
        <v/>
      </c>
      <c r="O898" s="461" t="str">
        <f t="shared" ca="1" si="195"/>
        <v/>
      </c>
      <c r="P898" s="474" t="str">
        <f t="shared" ca="1" si="195"/>
        <v/>
      </c>
      <c r="Q898" s="475" t="str">
        <f t="shared" ca="1" si="195"/>
        <v/>
      </c>
      <c r="R898" s="476">
        <f ca="1">IF(OR($BG$2=0,$AR898=""),,IF($AR898="本月合计",IF(ROW()=$BG$3,SUM($R$6:$R897),SUM(INDIRECT("$R$"&amp;OFFSET($AU$3,,MATCH(ROW(),$AU$3:$BF$3,)-2)+2&amp;":$R"&amp;ROW()-1))),IF($AR898="本年累计",SUMIF($AR$6:$AR898,"本月合计",$R$6:$R897),INDEX(凭证录入!L:L,$AR898))))</f>
        <v>0</v>
      </c>
      <c r="S898" s="459" t="str">
        <f t="shared" ca="1" si="196"/>
        <v/>
      </c>
      <c r="T898" s="460" t="str">
        <f t="shared" ca="1" si="196"/>
        <v/>
      </c>
      <c r="U898" s="460" t="str">
        <f t="shared" ca="1" si="196"/>
        <v/>
      </c>
      <c r="V898" s="460" t="str">
        <f t="shared" ca="1" si="196"/>
        <v/>
      </c>
      <c r="W898" s="460" t="str">
        <f t="shared" ca="1" si="196"/>
        <v/>
      </c>
      <c r="X898" s="460" t="str">
        <f t="shared" ca="1" si="196"/>
        <v/>
      </c>
      <c r="Y898" s="460" t="str">
        <f t="shared" ca="1" si="196"/>
        <v/>
      </c>
      <c r="Z898" s="460" t="str">
        <f t="shared" ca="1" si="196"/>
        <v/>
      </c>
      <c r="AA898" s="461" t="str">
        <f t="shared" ca="1" si="196"/>
        <v/>
      </c>
      <c r="AB898" s="474" t="str">
        <f t="shared" ca="1" si="196"/>
        <v/>
      </c>
      <c r="AC898" s="475" t="str">
        <f t="shared" ca="1" si="196"/>
        <v/>
      </c>
      <c r="AD898" s="477" t="str">
        <f t="shared" ca="1" si="186"/>
        <v/>
      </c>
      <c r="AE898" s="478">
        <f t="shared" ca="1" si="187"/>
        <v>0</v>
      </c>
      <c r="AF898" s="459" t="str">
        <f t="shared" ca="1" si="194"/>
        <v/>
      </c>
      <c r="AG898" s="460" t="str">
        <f t="shared" ca="1" si="194"/>
        <v/>
      </c>
      <c r="AH898" s="460" t="str">
        <f t="shared" ca="1" si="194"/>
        <v/>
      </c>
      <c r="AI898" s="460" t="str">
        <f t="shared" ca="1" si="194"/>
        <v/>
      </c>
      <c r="AJ898" s="460" t="str">
        <f t="shared" ca="1" si="194"/>
        <v/>
      </c>
      <c r="AK898" s="460" t="str">
        <f t="shared" ca="1" si="194"/>
        <v/>
      </c>
      <c r="AL898" s="460" t="str">
        <f t="shared" ca="1" si="194"/>
        <v/>
      </c>
      <c r="AM898" s="460" t="str">
        <f t="shared" ca="1" si="194"/>
        <v/>
      </c>
      <c r="AN898" s="461" t="str">
        <f t="shared" ca="1" si="194"/>
        <v/>
      </c>
      <c r="AO898" s="474" t="str">
        <f t="shared" ca="1" si="194"/>
        <v/>
      </c>
      <c r="AP898" s="475" t="str">
        <f t="shared" ca="1" si="194"/>
        <v/>
      </c>
      <c r="AQ898" s="479" t="str">
        <f t="array" aca="1" ref="AQ898" ca="1">IF(ROW()-5&lt;=COUNTIF(科目编号,$AR$2),SMALL(IF(科目编号=$AR$2,ROW(科目编号),""),ROW()-5),"")</f>
        <v/>
      </c>
      <c r="AR898" s="480" t="str">
        <f ca="1">IF($BG$2=0,"",IF(AR897="本月合计","本年累计",IF(OR(ROW()=$AU$3,ROW()=$AV$3,ROW()=$AW$3,ROW()=$AX$3,ROW()=$AY$3,ROW()=$AZ$3,ROW()=$BA$3,ROW()=$BB$3,ROW()=$BC$3,ROW()=$BD$3,ROW()=$BE$3,ROW()=$BF$3),"本月合计",IF(ROW()&lt;7,$AQ$6,OFFSET($AQ$6,COUNT($AR$6:AR897),0)))))</f>
        <v/>
      </c>
    </row>
    <row r="899" spans="1:44">
      <c r="A899" s="469" t="str">
        <f ca="1">IFERROR(INDEX(凭证录入!A:A,$AR899),"")</f>
        <v/>
      </c>
      <c r="B899" s="469" t="str">
        <f ca="1">IFERROR(INDEX(凭证录入!B:B,$AR899),"")</f>
        <v/>
      </c>
      <c r="C899" s="470" t="str">
        <f ca="1">IFERROR(INDEX(凭证录入!G:G,$AR899),"")</f>
        <v/>
      </c>
      <c r="D899" s="471" t="str">
        <f ca="1">IFERROR(INDEX(凭证录入!F:F,$AR899),"")</f>
        <v/>
      </c>
      <c r="E899" s="472" t="str">
        <f ca="1">IFERROR(INDEX(凭证录入!H:H,$AR899),$AR899)</f>
        <v/>
      </c>
      <c r="F899" s="473">
        <f ca="1">IF(OR($BG$2=0,$AR899=""),,IF($AR899="本月合计",IF(ROW()=$BG$3,SUM($F$6:$F898),SUM(INDIRECT("$F$"&amp;OFFSET($AU$3,,MATCH(ROW(),$AU$3:$BF$3,)-2)+2&amp;":$E"&amp;ROW()-1))),IF($AR899="本年累计",SUMIF($AR$6:$AR899,"本月合计",$F$6:$F898),INDEX(凭证录入!K:K,$AR899))))</f>
        <v>0</v>
      </c>
      <c r="G899" s="459" t="str">
        <f t="shared" ca="1" si="195"/>
        <v/>
      </c>
      <c r="H899" s="460" t="str">
        <f t="shared" ca="1" si="195"/>
        <v/>
      </c>
      <c r="I899" s="460" t="str">
        <f t="shared" ca="1" si="195"/>
        <v/>
      </c>
      <c r="J899" s="460" t="str">
        <f t="shared" ca="1" si="195"/>
        <v/>
      </c>
      <c r="K899" s="460" t="str">
        <f t="shared" ca="1" si="195"/>
        <v/>
      </c>
      <c r="L899" s="460" t="str">
        <f t="shared" ca="1" si="195"/>
        <v/>
      </c>
      <c r="M899" s="460" t="str">
        <f t="shared" ca="1" si="195"/>
        <v/>
      </c>
      <c r="N899" s="460" t="str">
        <f t="shared" ca="1" si="195"/>
        <v/>
      </c>
      <c r="O899" s="461" t="str">
        <f t="shared" ca="1" si="195"/>
        <v/>
      </c>
      <c r="P899" s="474" t="str">
        <f t="shared" ca="1" si="195"/>
        <v/>
      </c>
      <c r="Q899" s="475" t="str">
        <f t="shared" ca="1" si="195"/>
        <v/>
      </c>
      <c r="R899" s="476">
        <f ca="1">IF(OR($BG$2=0,$AR899=""),,IF($AR899="本月合计",IF(ROW()=$BG$3,SUM($R$6:$R898),SUM(INDIRECT("$R$"&amp;OFFSET($AU$3,,MATCH(ROW(),$AU$3:$BF$3,)-2)+2&amp;":$R"&amp;ROW()-1))),IF($AR899="本年累计",SUMIF($AR$6:$AR899,"本月合计",$R$6:$R898),INDEX(凭证录入!L:L,$AR899))))</f>
        <v>0</v>
      </c>
      <c r="S899" s="459" t="str">
        <f t="shared" ca="1" si="196"/>
        <v/>
      </c>
      <c r="T899" s="460" t="str">
        <f t="shared" ca="1" si="196"/>
        <v/>
      </c>
      <c r="U899" s="460" t="str">
        <f t="shared" ca="1" si="196"/>
        <v/>
      </c>
      <c r="V899" s="460" t="str">
        <f t="shared" ca="1" si="196"/>
        <v/>
      </c>
      <c r="W899" s="460" t="str">
        <f t="shared" ca="1" si="196"/>
        <v/>
      </c>
      <c r="X899" s="460" t="str">
        <f t="shared" ca="1" si="196"/>
        <v/>
      </c>
      <c r="Y899" s="460" t="str">
        <f t="shared" ca="1" si="196"/>
        <v/>
      </c>
      <c r="Z899" s="460" t="str">
        <f t="shared" ca="1" si="196"/>
        <v/>
      </c>
      <c r="AA899" s="461" t="str">
        <f t="shared" ca="1" si="196"/>
        <v/>
      </c>
      <c r="AB899" s="474" t="str">
        <f t="shared" ca="1" si="196"/>
        <v/>
      </c>
      <c r="AC899" s="475" t="str">
        <f t="shared" ca="1" si="196"/>
        <v/>
      </c>
      <c r="AD899" s="477" t="str">
        <f t="shared" ca="1" si="186"/>
        <v/>
      </c>
      <c r="AE899" s="478">
        <f t="shared" ca="1" si="187"/>
        <v>0</v>
      </c>
      <c r="AF899" s="459" t="str">
        <f t="shared" ca="1" si="194"/>
        <v/>
      </c>
      <c r="AG899" s="460" t="str">
        <f t="shared" ca="1" si="194"/>
        <v/>
      </c>
      <c r="AH899" s="460" t="str">
        <f t="shared" ca="1" si="194"/>
        <v/>
      </c>
      <c r="AI899" s="460" t="str">
        <f t="shared" ca="1" si="194"/>
        <v/>
      </c>
      <c r="AJ899" s="460" t="str">
        <f t="shared" ca="1" si="194"/>
        <v/>
      </c>
      <c r="AK899" s="460" t="str">
        <f t="shared" ca="1" si="194"/>
        <v/>
      </c>
      <c r="AL899" s="460" t="str">
        <f t="shared" ca="1" si="194"/>
        <v/>
      </c>
      <c r="AM899" s="460" t="str">
        <f t="shared" ca="1" si="194"/>
        <v/>
      </c>
      <c r="AN899" s="461" t="str">
        <f t="shared" ca="1" si="194"/>
        <v/>
      </c>
      <c r="AO899" s="474" t="str">
        <f t="shared" ca="1" si="194"/>
        <v/>
      </c>
      <c r="AP899" s="475" t="str">
        <f t="shared" ca="1" si="194"/>
        <v/>
      </c>
      <c r="AQ899" s="479" t="str">
        <f t="array" aca="1" ref="AQ899" ca="1">IF(ROW()-5&lt;=COUNTIF(科目编号,$AR$2),SMALL(IF(科目编号=$AR$2,ROW(科目编号),""),ROW()-5),"")</f>
        <v/>
      </c>
      <c r="AR899" s="480" t="str">
        <f ca="1">IF($BG$2=0,"",IF(AR898="本月合计","本年累计",IF(OR(ROW()=$AU$3,ROW()=$AV$3,ROW()=$AW$3,ROW()=$AX$3,ROW()=$AY$3,ROW()=$AZ$3,ROW()=$BA$3,ROW()=$BB$3,ROW()=$BC$3,ROW()=$BD$3,ROW()=$BE$3,ROW()=$BF$3),"本月合计",IF(ROW()&lt;7,$AQ$6,OFFSET($AQ$6,COUNT($AR$6:AR898),0)))))</f>
        <v/>
      </c>
    </row>
    <row r="900" spans="1:44">
      <c r="A900" s="469" t="str">
        <f ca="1">IFERROR(INDEX(凭证录入!A:A,$AR900),"")</f>
        <v/>
      </c>
      <c r="B900" s="469" t="str">
        <f ca="1">IFERROR(INDEX(凭证录入!B:B,$AR900),"")</f>
        <v/>
      </c>
      <c r="C900" s="470" t="str">
        <f ca="1">IFERROR(INDEX(凭证录入!G:G,$AR900),"")</f>
        <v/>
      </c>
      <c r="D900" s="471" t="str">
        <f ca="1">IFERROR(INDEX(凭证录入!F:F,$AR900),"")</f>
        <v/>
      </c>
      <c r="E900" s="472" t="str">
        <f ca="1">IFERROR(INDEX(凭证录入!H:H,$AR900),$AR900)</f>
        <v/>
      </c>
      <c r="F900" s="473">
        <f ca="1">IF(OR($BG$2=0,$AR900=""),,IF($AR900="本月合计",IF(ROW()=$BG$3,SUM($F$6:$F899),SUM(INDIRECT("$F$"&amp;OFFSET($AU$3,,MATCH(ROW(),$AU$3:$BF$3,)-2)+2&amp;":$E"&amp;ROW()-1))),IF($AR900="本年累计",SUMIF($AR$6:$AR900,"本月合计",$F$6:$F899),INDEX(凭证录入!K:K,$AR900))))</f>
        <v>0</v>
      </c>
      <c r="G900" s="459" t="str">
        <f t="shared" ca="1" si="195"/>
        <v/>
      </c>
      <c r="H900" s="460" t="str">
        <f t="shared" ca="1" si="195"/>
        <v/>
      </c>
      <c r="I900" s="460" t="str">
        <f t="shared" ca="1" si="195"/>
        <v/>
      </c>
      <c r="J900" s="460" t="str">
        <f t="shared" ca="1" si="195"/>
        <v/>
      </c>
      <c r="K900" s="460" t="str">
        <f t="shared" ca="1" si="195"/>
        <v/>
      </c>
      <c r="L900" s="460" t="str">
        <f t="shared" ca="1" si="195"/>
        <v/>
      </c>
      <c r="M900" s="460" t="str">
        <f t="shared" ca="1" si="195"/>
        <v/>
      </c>
      <c r="N900" s="460" t="str">
        <f t="shared" ca="1" si="195"/>
        <v/>
      </c>
      <c r="O900" s="461" t="str">
        <f t="shared" ca="1" si="195"/>
        <v/>
      </c>
      <c r="P900" s="474" t="str">
        <f t="shared" ca="1" si="195"/>
        <v/>
      </c>
      <c r="Q900" s="475" t="str">
        <f t="shared" ca="1" si="195"/>
        <v/>
      </c>
      <c r="R900" s="476">
        <f ca="1">IF(OR($BG$2=0,$AR900=""),,IF($AR900="本月合计",IF(ROW()=$BG$3,SUM($R$6:$R899),SUM(INDIRECT("$R$"&amp;OFFSET($AU$3,,MATCH(ROW(),$AU$3:$BF$3,)-2)+2&amp;":$R"&amp;ROW()-1))),IF($AR900="本年累计",SUMIF($AR$6:$AR900,"本月合计",$R$6:$R899),INDEX(凭证录入!L:L,$AR900))))</f>
        <v>0</v>
      </c>
      <c r="S900" s="459" t="str">
        <f t="shared" ca="1" si="196"/>
        <v/>
      </c>
      <c r="T900" s="460" t="str">
        <f t="shared" ca="1" si="196"/>
        <v/>
      </c>
      <c r="U900" s="460" t="str">
        <f t="shared" ca="1" si="196"/>
        <v/>
      </c>
      <c r="V900" s="460" t="str">
        <f t="shared" ca="1" si="196"/>
        <v/>
      </c>
      <c r="W900" s="460" t="str">
        <f t="shared" ca="1" si="196"/>
        <v/>
      </c>
      <c r="X900" s="460" t="str">
        <f t="shared" ca="1" si="196"/>
        <v/>
      </c>
      <c r="Y900" s="460" t="str">
        <f t="shared" ca="1" si="196"/>
        <v/>
      </c>
      <c r="Z900" s="460" t="str">
        <f t="shared" ca="1" si="196"/>
        <v/>
      </c>
      <c r="AA900" s="461" t="str">
        <f t="shared" ca="1" si="196"/>
        <v/>
      </c>
      <c r="AB900" s="474" t="str">
        <f t="shared" ca="1" si="196"/>
        <v/>
      </c>
      <c r="AC900" s="475" t="str">
        <f t="shared" ca="1" si="196"/>
        <v/>
      </c>
      <c r="AD900" s="477" t="str">
        <f t="shared" ca="1" si="186"/>
        <v/>
      </c>
      <c r="AE900" s="478">
        <f t="shared" ca="1" si="187"/>
        <v>0</v>
      </c>
      <c r="AF900" s="459" t="str">
        <f t="shared" ca="1" si="194"/>
        <v/>
      </c>
      <c r="AG900" s="460" t="str">
        <f t="shared" ca="1" si="194"/>
        <v/>
      </c>
      <c r="AH900" s="460" t="str">
        <f t="shared" ca="1" si="194"/>
        <v/>
      </c>
      <c r="AI900" s="460" t="str">
        <f t="shared" ca="1" si="194"/>
        <v/>
      </c>
      <c r="AJ900" s="460" t="str">
        <f t="shared" ca="1" si="194"/>
        <v/>
      </c>
      <c r="AK900" s="460" t="str">
        <f t="shared" ca="1" si="194"/>
        <v/>
      </c>
      <c r="AL900" s="460" t="str">
        <f t="shared" ca="1" si="194"/>
        <v/>
      </c>
      <c r="AM900" s="460" t="str">
        <f t="shared" ca="1" si="194"/>
        <v/>
      </c>
      <c r="AN900" s="461" t="str">
        <f t="shared" ca="1" si="194"/>
        <v/>
      </c>
      <c r="AO900" s="474" t="str">
        <f t="shared" ca="1" si="194"/>
        <v/>
      </c>
      <c r="AP900" s="475" t="str">
        <f t="shared" ca="1" si="194"/>
        <v/>
      </c>
      <c r="AQ900" s="479" t="str">
        <f t="array" aca="1" ref="AQ900" ca="1">IF(ROW()-5&lt;=COUNTIF(科目编号,$AR$2),SMALL(IF(科目编号=$AR$2,ROW(科目编号),""),ROW()-5),"")</f>
        <v/>
      </c>
      <c r="AR900" s="480" t="str">
        <f ca="1">IF($BG$2=0,"",IF(AR899="本月合计","本年累计",IF(OR(ROW()=$AU$3,ROW()=$AV$3,ROW()=$AW$3,ROW()=$AX$3,ROW()=$AY$3,ROW()=$AZ$3,ROW()=$BA$3,ROW()=$BB$3,ROW()=$BC$3,ROW()=$BD$3,ROW()=$BE$3,ROW()=$BF$3),"本月合计",IF(ROW()&lt;7,$AQ$6,OFFSET($AQ$6,COUNT($AR$6:AR899),0)))))</f>
        <v/>
      </c>
    </row>
    <row r="901" spans="1:44">
      <c r="A901" s="469" t="str">
        <f ca="1">IFERROR(INDEX(凭证录入!A:A,$AR901),"")</f>
        <v/>
      </c>
      <c r="B901" s="469" t="str">
        <f ca="1">IFERROR(INDEX(凭证录入!B:B,$AR901),"")</f>
        <v/>
      </c>
      <c r="C901" s="470" t="str">
        <f ca="1">IFERROR(INDEX(凭证录入!G:G,$AR901),"")</f>
        <v/>
      </c>
      <c r="D901" s="471" t="str">
        <f ca="1">IFERROR(INDEX(凭证录入!F:F,$AR901),"")</f>
        <v/>
      </c>
      <c r="E901" s="472" t="str">
        <f ca="1">IFERROR(INDEX(凭证录入!H:H,$AR901),$AR901)</f>
        <v/>
      </c>
      <c r="F901" s="473">
        <f ca="1">IF(OR($BG$2=0,$AR901=""),,IF($AR901="本月合计",IF(ROW()=$BG$3,SUM($F$6:$F900),SUM(INDIRECT("$F$"&amp;OFFSET($AU$3,,MATCH(ROW(),$AU$3:$BF$3,)-2)+2&amp;":$E"&amp;ROW()-1))),IF($AR901="本年累计",SUMIF($AR$6:$AR901,"本月合计",$F$6:$F900),INDEX(凭证录入!K:K,$AR901))))</f>
        <v>0</v>
      </c>
      <c r="G901" s="459" t="str">
        <f t="shared" ca="1" si="195"/>
        <v/>
      </c>
      <c r="H901" s="460" t="str">
        <f t="shared" ca="1" si="195"/>
        <v/>
      </c>
      <c r="I901" s="460" t="str">
        <f t="shared" ca="1" si="195"/>
        <v/>
      </c>
      <c r="J901" s="460" t="str">
        <f t="shared" ca="1" si="195"/>
        <v/>
      </c>
      <c r="K901" s="460" t="str">
        <f t="shared" ca="1" si="195"/>
        <v/>
      </c>
      <c r="L901" s="460" t="str">
        <f t="shared" ca="1" si="195"/>
        <v/>
      </c>
      <c r="M901" s="460" t="str">
        <f t="shared" ca="1" si="195"/>
        <v/>
      </c>
      <c r="N901" s="460" t="str">
        <f t="shared" ca="1" si="195"/>
        <v/>
      </c>
      <c r="O901" s="461" t="str">
        <f t="shared" ca="1" si="195"/>
        <v/>
      </c>
      <c r="P901" s="474" t="str">
        <f t="shared" ca="1" si="195"/>
        <v/>
      </c>
      <c r="Q901" s="475" t="str">
        <f t="shared" ca="1" si="195"/>
        <v/>
      </c>
      <c r="R901" s="476">
        <f ca="1">IF(OR($BG$2=0,$AR901=""),,IF($AR901="本月合计",IF(ROW()=$BG$3,SUM($R$6:$R900),SUM(INDIRECT("$R$"&amp;OFFSET($AU$3,,MATCH(ROW(),$AU$3:$BF$3,)-2)+2&amp;":$R"&amp;ROW()-1))),IF($AR901="本年累计",SUMIF($AR$6:$AR901,"本月合计",$R$6:$R900),INDEX(凭证录入!L:L,$AR901))))</f>
        <v>0</v>
      </c>
      <c r="S901" s="459" t="str">
        <f t="shared" ca="1" si="196"/>
        <v/>
      </c>
      <c r="T901" s="460" t="str">
        <f t="shared" ca="1" si="196"/>
        <v/>
      </c>
      <c r="U901" s="460" t="str">
        <f t="shared" ca="1" si="196"/>
        <v/>
      </c>
      <c r="V901" s="460" t="str">
        <f t="shared" ca="1" si="196"/>
        <v/>
      </c>
      <c r="W901" s="460" t="str">
        <f t="shared" ca="1" si="196"/>
        <v/>
      </c>
      <c r="X901" s="460" t="str">
        <f t="shared" ca="1" si="196"/>
        <v/>
      </c>
      <c r="Y901" s="460" t="str">
        <f t="shared" ca="1" si="196"/>
        <v/>
      </c>
      <c r="Z901" s="460" t="str">
        <f t="shared" ca="1" si="196"/>
        <v/>
      </c>
      <c r="AA901" s="461" t="str">
        <f t="shared" ca="1" si="196"/>
        <v/>
      </c>
      <c r="AB901" s="474" t="str">
        <f t="shared" ca="1" si="196"/>
        <v/>
      </c>
      <c r="AC901" s="475" t="str">
        <f t="shared" ca="1" si="196"/>
        <v/>
      </c>
      <c r="AD901" s="477" t="str">
        <f t="shared" ca="1" si="186"/>
        <v/>
      </c>
      <c r="AE901" s="478">
        <f t="shared" ca="1" si="187"/>
        <v>0</v>
      </c>
      <c r="AF901" s="459" t="str">
        <f t="shared" ref="AF901:AP916" ca="1" si="197">LEFT(RIGHT(TEXT($AE901/1%," ￥0; ￥-0;"),43-COLUMN()))</f>
        <v/>
      </c>
      <c r="AG901" s="460" t="str">
        <f t="shared" ca="1" si="197"/>
        <v/>
      </c>
      <c r="AH901" s="460" t="str">
        <f t="shared" ca="1" si="197"/>
        <v/>
      </c>
      <c r="AI901" s="460" t="str">
        <f t="shared" ca="1" si="197"/>
        <v/>
      </c>
      <c r="AJ901" s="460" t="str">
        <f t="shared" ca="1" si="197"/>
        <v/>
      </c>
      <c r="AK901" s="460" t="str">
        <f t="shared" ca="1" si="197"/>
        <v/>
      </c>
      <c r="AL901" s="460" t="str">
        <f t="shared" ca="1" si="197"/>
        <v/>
      </c>
      <c r="AM901" s="460" t="str">
        <f t="shared" ca="1" si="197"/>
        <v/>
      </c>
      <c r="AN901" s="461" t="str">
        <f t="shared" ca="1" si="197"/>
        <v/>
      </c>
      <c r="AO901" s="474" t="str">
        <f t="shared" ca="1" si="197"/>
        <v/>
      </c>
      <c r="AP901" s="475" t="str">
        <f t="shared" ca="1" si="197"/>
        <v/>
      </c>
      <c r="AQ901" s="479" t="str">
        <f t="array" aca="1" ref="AQ901" ca="1">IF(ROW()-5&lt;=COUNTIF(科目编号,$AR$2),SMALL(IF(科目编号=$AR$2,ROW(科目编号),""),ROW()-5),"")</f>
        <v/>
      </c>
      <c r="AR901" s="480" t="str">
        <f ca="1">IF($BG$2=0,"",IF(AR900="本月合计","本年累计",IF(OR(ROW()=$AU$3,ROW()=$AV$3,ROW()=$AW$3,ROW()=$AX$3,ROW()=$AY$3,ROW()=$AZ$3,ROW()=$BA$3,ROW()=$BB$3,ROW()=$BC$3,ROW()=$BD$3,ROW()=$BE$3,ROW()=$BF$3),"本月合计",IF(ROW()&lt;7,$AQ$6,OFFSET($AQ$6,COUNT($AR$6:AR900),0)))))</f>
        <v/>
      </c>
    </row>
    <row r="902" spans="1:44">
      <c r="A902" s="469" t="str">
        <f ca="1">IFERROR(INDEX(凭证录入!A:A,$AR902),"")</f>
        <v/>
      </c>
      <c r="B902" s="469" t="str">
        <f ca="1">IFERROR(INDEX(凭证录入!B:B,$AR902),"")</f>
        <v/>
      </c>
      <c r="C902" s="470" t="str">
        <f ca="1">IFERROR(INDEX(凭证录入!G:G,$AR902),"")</f>
        <v/>
      </c>
      <c r="D902" s="471" t="str">
        <f ca="1">IFERROR(INDEX(凭证录入!F:F,$AR902),"")</f>
        <v/>
      </c>
      <c r="E902" s="472" t="str">
        <f ca="1">IFERROR(INDEX(凭证录入!H:H,$AR902),$AR902)</f>
        <v/>
      </c>
      <c r="F902" s="473">
        <f ca="1">IF(OR($BG$2=0,$AR902=""),,IF($AR902="本月合计",IF(ROW()=$BG$3,SUM($F$6:$F901),SUM(INDIRECT("$F$"&amp;OFFSET($AU$3,,MATCH(ROW(),$AU$3:$BF$3,)-2)+2&amp;":$E"&amp;ROW()-1))),IF($AR902="本年累计",SUMIF($AR$6:$AR902,"本月合计",$F$6:$F901),INDEX(凭证录入!K:K,$AR902))))</f>
        <v>0</v>
      </c>
      <c r="G902" s="459" t="str">
        <f t="shared" ref="G902:Q917" ca="1" si="198">LEFT(RIGHT(TEXT($F902/1%," ￥0; ￥-0;"),18-COLUMN()))</f>
        <v/>
      </c>
      <c r="H902" s="460" t="str">
        <f t="shared" ca="1" si="198"/>
        <v/>
      </c>
      <c r="I902" s="460" t="str">
        <f t="shared" ca="1" si="198"/>
        <v/>
      </c>
      <c r="J902" s="460" t="str">
        <f t="shared" ca="1" si="198"/>
        <v/>
      </c>
      <c r="K902" s="460" t="str">
        <f t="shared" ca="1" si="198"/>
        <v/>
      </c>
      <c r="L902" s="460" t="str">
        <f t="shared" ca="1" si="198"/>
        <v/>
      </c>
      <c r="M902" s="460" t="str">
        <f t="shared" ca="1" si="198"/>
        <v/>
      </c>
      <c r="N902" s="460" t="str">
        <f t="shared" ca="1" si="198"/>
        <v/>
      </c>
      <c r="O902" s="461" t="str">
        <f t="shared" ca="1" si="198"/>
        <v/>
      </c>
      <c r="P902" s="474" t="str">
        <f t="shared" ca="1" si="198"/>
        <v/>
      </c>
      <c r="Q902" s="475" t="str">
        <f t="shared" ca="1" si="198"/>
        <v/>
      </c>
      <c r="R902" s="476">
        <f ca="1">IF(OR($BG$2=0,$AR902=""),,IF($AR902="本月合计",IF(ROW()=$BG$3,SUM($R$6:$R901),SUM(INDIRECT("$R$"&amp;OFFSET($AU$3,,MATCH(ROW(),$AU$3:$BF$3,)-2)+2&amp;":$R"&amp;ROW()-1))),IF($AR902="本年累计",SUMIF($AR$6:$AR902,"本月合计",$R$6:$R901),INDEX(凭证录入!L:L,$AR902))))</f>
        <v>0</v>
      </c>
      <c r="S902" s="459" t="str">
        <f t="shared" ref="S902:AC917" ca="1" si="199">LEFT(RIGHT(TEXT($R902/1%," ￥0; ￥-0;"),30-COLUMN()))</f>
        <v/>
      </c>
      <c r="T902" s="460" t="str">
        <f t="shared" ca="1" si="199"/>
        <v/>
      </c>
      <c r="U902" s="460" t="str">
        <f t="shared" ca="1" si="199"/>
        <v/>
      </c>
      <c r="V902" s="460" t="str">
        <f t="shared" ca="1" si="199"/>
        <v/>
      </c>
      <c r="W902" s="460" t="str">
        <f t="shared" ca="1" si="199"/>
        <v/>
      </c>
      <c r="X902" s="460" t="str">
        <f t="shared" ca="1" si="199"/>
        <v/>
      </c>
      <c r="Y902" s="460" t="str">
        <f t="shared" ca="1" si="199"/>
        <v/>
      </c>
      <c r="Z902" s="460" t="str">
        <f t="shared" ca="1" si="199"/>
        <v/>
      </c>
      <c r="AA902" s="461" t="str">
        <f t="shared" ca="1" si="199"/>
        <v/>
      </c>
      <c r="AB902" s="474" t="str">
        <f t="shared" ca="1" si="199"/>
        <v/>
      </c>
      <c r="AC902" s="475" t="str">
        <f t="shared" ca="1" si="199"/>
        <v/>
      </c>
      <c r="AD902" s="477" t="str">
        <f t="shared" ref="AD902:AD965" ca="1" si="200">IF(OR($BG$2=0,$AR902="",$AR902="本月合计",$AR902="本年累计"),"",IF(OR(AND($AD901="",$AE901="",$AD899&lt;&gt;"借",$AD899&lt;&gt;"贷",($F902-$R902)&gt;=0),AND($AD901="",$AE901&lt;&gt;"",$AD899="借",($AE900+$F902-$R902)&gt;=0),AND($AD901="",$AE901&lt;&gt;"",$AD899="贷",(-$AE900+$F902-$R902)&gt;=0),AND($AD901="借",($AE901+$F902-$R902)&gt;=0),AND($AD901="贷",(-$AE901+$F902-$R902)&gt;=0),),"借","贷"))</f>
        <v/>
      </c>
      <c r="AE902" s="478">
        <f t="shared" ref="AE902:AE965" ca="1" si="201">IF(OR($BG$2=0,$AR902=""),,IF(OR($AR902="本月合计",$AR902="本年累计"),$AE901,IF(OR(AD901="借",AND(AD901="",AD900="",AD899="借")),ABS(AE901+F902-R902),ABS(-AE901+F902-R902))))</f>
        <v>0</v>
      </c>
      <c r="AF902" s="459" t="str">
        <f t="shared" ca="1" si="197"/>
        <v/>
      </c>
      <c r="AG902" s="460" t="str">
        <f t="shared" ca="1" si="197"/>
        <v/>
      </c>
      <c r="AH902" s="460" t="str">
        <f t="shared" ca="1" si="197"/>
        <v/>
      </c>
      <c r="AI902" s="460" t="str">
        <f t="shared" ca="1" si="197"/>
        <v/>
      </c>
      <c r="AJ902" s="460" t="str">
        <f t="shared" ca="1" si="197"/>
        <v/>
      </c>
      <c r="AK902" s="460" t="str">
        <f t="shared" ca="1" si="197"/>
        <v/>
      </c>
      <c r="AL902" s="460" t="str">
        <f t="shared" ca="1" si="197"/>
        <v/>
      </c>
      <c r="AM902" s="460" t="str">
        <f t="shared" ca="1" si="197"/>
        <v/>
      </c>
      <c r="AN902" s="461" t="str">
        <f t="shared" ca="1" si="197"/>
        <v/>
      </c>
      <c r="AO902" s="474" t="str">
        <f t="shared" ca="1" si="197"/>
        <v/>
      </c>
      <c r="AP902" s="475" t="str">
        <f t="shared" ca="1" si="197"/>
        <v/>
      </c>
      <c r="AQ902" s="479" t="str">
        <f t="array" aca="1" ref="AQ902" ca="1">IF(ROW()-5&lt;=COUNTIF(科目编号,$AR$2),SMALL(IF(科目编号=$AR$2,ROW(科目编号),""),ROW()-5),"")</f>
        <v/>
      </c>
      <c r="AR902" s="480" t="str">
        <f ca="1">IF($BG$2=0,"",IF(AR901="本月合计","本年累计",IF(OR(ROW()=$AU$3,ROW()=$AV$3,ROW()=$AW$3,ROW()=$AX$3,ROW()=$AY$3,ROW()=$AZ$3,ROW()=$BA$3,ROW()=$BB$3,ROW()=$BC$3,ROW()=$BD$3,ROW()=$BE$3,ROW()=$BF$3),"本月合计",IF(ROW()&lt;7,$AQ$6,OFFSET($AQ$6,COUNT($AR$6:AR901),0)))))</f>
        <v/>
      </c>
    </row>
    <row r="903" spans="1:44">
      <c r="A903" s="469" t="str">
        <f ca="1">IFERROR(INDEX(凭证录入!A:A,$AR903),"")</f>
        <v/>
      </c>
      <c r="B903" s="469" t="str">
        <f ca="1">IFERROR(INDEX(凭证录入!B:B,$AR903),"")</f>
        <v/>
      </c>
      <c r="C903" s="470" t="str">
        <f ca="1">IFERROR(INDEX(凭证录入!G:G,$AR903),"")</f>
        <v/>
      </c>
      <c r="D903" s="471" t="str">
        <f ca="1">IFERROR(INDEX(凭证录入!F:F,$AR903),"")</f>
        <v/>
      </c>
      <c r="E903" s="472" t="str">
        <f ca="1">IFERROR(INDEX(凭证录入!H:H,$AR903),$AR903)</f>
        <v/>
      </c>
      <c r="F903" s="473">
        <f ca="1">IF(OR($BG$2=0,$AR903=""),,IF($AR903="本月合计",IF(ROW()=$BG$3,SUM($F$6:$F902),SUM(INDIRECT("$F$"&amp;OFFSET($AU$3,,MATCH(ROW(),$AU$3:$BF$3,)-2)+2&amp;":$E"&amp;ROW()-1))),IF($AR903="本年累计",SUMIF($AR$6:$AR903,"本月合计",$F$6:$F902),INDEX(凭证录入!K:K,$AR903))))</f>
        <v>0</v>
      </c>
      <c r="G903" s="459" t="str">
        <f t="shared" ca="1" si="198"/>
        <v/>
      </c>
      <c r="H903" s="460" t="str">
        <f t="shared" ca="1" si="198"/>
        <v/>
      </c>
      <c r="I903" s="460" t="str">
        <f t="shared" ca="1" si="198"/>
        <v/>
      </c>
      <c r="J903" s="460" t="str">
        <f t="shared" ca="1" si="198"/>
        <v/>
      </c>
      <c r="K903" s="460" t="str">
        <f t="shared" ca="1" si="198"/>
        <v/>
      </c>
      <c r="L903" s="460" t="str">
        <f t="shared" ca="1" si="198"/>
        <v/>
      </c>
      <c r="M903" s="460" t="str">
        <f t="shared" ca="1" si="198"/>
        <v/>
      </c>
      <c r="N903" s="460" t="str">
        <f t="shared" ca="1" si="198"/>
        <v/>
      </c>
      <c r="O903" s="461" t="str">
        <f t="shared" ca="1" si="198"/>
        <v/>
      </c>
      <c r="P903" s="474" t="str">
        <f t="shared" ca="1" si="198"/>
        <v/>
      </c>
      <c r="Q903" s="475" t="str">
        <f t="shared" ca="1" si="198"/>
        <v/>
      </c>
      <c r="R903" s="476">
        <f ca="1">IF(OR($BG$2=0,$AR903=""),,IF($AR903="本月合计",IF(ROW()=$BG$3,SUM($R$6:$R902),SUM(INDIRECT("$R$"&amp;OFFSET($AU$3,,MATCH(ROW(),$AU$3:$BF$3,)-2)+2&amp;":$R"&amp;ROW()-1))),IF($AR903="本年累计",SUMIF($AR$6:$AR903,"本月合计",$R$6:$R902),INDEX(凭证录入!L:L,$AR903))))</f>
        <v>0</v>
      </c>
      <c r="S903" s="459" t="str">
        <f t="shared" ca="1" si="199"/>
        <v/>
      </c>
      <c r="T903" s="460" t="str">
        <f t="shared" ca="1" si="199"/>
        <v/>
      </c>
      <c r="U903" s="460" t="str">
        <f t="shared" ca="1" si="199"/>
        <v/>
      </c>
      <c r="V903" s="460" t="str">
        <f t="shared" ca="1" si="199"/>
        <v/>
      </c>
      <c r="W903" s="460" t="str">
        <f t="shared" ca="1" si="199"/>
        <v/>
      </c>
      <c r="X903" s="460" t="str">
        <f t="shared" ca="1" si="199"/>
        <v/>
      </c>
      <c r="Y903" s="460" t="str">
        <f t="shared" ca="1" si="199"/>
        <v/>
      </c>
      <c r="Z903" s="460" t="str">
        <f t="shared" ca="1" si="199"/>
        <v/>
      </c>
      <c r="AA903" s="461" t="str">
        <f t="shared" ca="1" si="199"/>
        <v/>
      </c>
      <c r="AB903" s="474" t="str">
        <f t="shared" ca="1" si="199"/>
        <v/>
      </c>
      <c r="AC903" s="475" t="str">
        <f t="shared" ca="1" si="199"/>
        <v/>
      </c>
      <c r="AD903" s="477" t="str">
        <f t="shared" ca="1" si="200"/>
        <v/>
      </c>
      <c r="AE903" s="478">
        <f t="shared" ca="1" si="201"/>
        <v>0</v>
      </c>
      <c r="AF903" s="459" t="str">
        <f t="shared" ca="1" si="197"/>
        <v/>
      </c>
      <c r="AG903" s="460" t="str">
        <f t="shared" ca="1" si="197"/>
        <v/>
      </c>
      <c r="AH903" s="460" t="str">
        <f t="shared" ca="1" si="197"/>
        <v/>
      </c>
      <c r="AI903" s="460" t="str">
        <f t="shared" ca="1" si="197"/>
        <v/>
      </c>
      <c r="AJ903" s="460" t="str">
        <f t="shared" ca="1" si="197"/>
        <v/>
      </c>
      <c r="AK903" s="460" t="str">
        <f t="shared" ca="1" si="197"/>
        <v/>
      </c>
      <c r="AL903" s="460" t="str">
        <f t="shared" ca="1" si="197"/>
        <v/>
      </c>
      <c r="AM903" s="460" t="str">
        <f t="shared" ca="1" si="197"/>
        <v/>
      </c>
      <c r="AN903" s="461" t="str">
        <f t="shared" ca="1" si="197"/>
        <v/>
      </c>
      <c r="AO903" s="474" t="str">
        <f t="shared" ca="1" si="197"/>
        <v/>
      </c>
      <c r="AP903" s="475" t="str">
        <f t="shared" ca="1" si="197"/>
        <v/>
      </c>
      <c r="AQ903" s="479" t="str">
        <f t="array" aca="1" ref="AQ903" ca="1">IF(ROW()-5&lt;=COUNTIF(科目编号,$AR$2),SMALL(IF(科目编号=$AR$2,ROW(科目编号),""),ROW()-5),"")</f>
        <v/>
      </c>
      <c r="AR903" s="480" t="str">
        <f ca="1">IF($BG$2=0,"",IF(AR902="本月合计","本年累计",IF(OR(ROW()=$AU$3,ROW()=$AV$3,ROW()=$AW$3,ROW()=$AX$3,ROW()=$AY$3,ROW()=$AZ$3,ROW()=$BA$3,ROW()=$BB$3,ROW()=$BC$3,ROW()=$BD$3,ROW()=$BE$3,ROW()=$BF$3),"本月合计",IF(ROW()&lt;7,$AQ$6,OFFSET($AQ$6,COUNT($AR$6:AR902),0)))))</f>
        <v/>
      </c>
    </row>
    <row r="904" spans="1:44">
      <c r="A904" s="469" t="str">
        <f ca="1">IFERROR(INDEX(凭证录入!A:A,$AR904),"")</f>
        <v/>
      </c>
      <c r="B904" s="469" t="str">
        <f ca="1">IFERROR(INDEX(凭证录入!B:B,$AR904),"")</f>
        <v/>
      </c>
      <c r="C904" s="470" t="str">
        <f ca="1">IFERROR(INDEX(凭证录入!G:G,$AR904),"")</f>
        <v/>
      </c>
      <c r="D904" s="471" t="str">
        <f ca="1">IFERROR(INDEX(凭证录入!F:F,$AR904),"")</f>
        <v/>
      </c>
      <c r="E904" s="472" t="str">
        <f ca="1">IFERROR(INDEX(凭证录入!H:H,$AR904),$AR904)</f>
        <v/>
      </c>
      <c r="F904" s="473">
        <f ca="1">IF(OR($BG$2=0,$AR904=""),,IF($AR904="本月合计",IF(ROW()=$BG$3,SUM($F$6:$F903),SUM(INDIRECT("$F$"&amp;OFFSET($AU$3,,MATCH(ROW(),$AU$3:$BF$3,)-2)+2&amp;":$E"&amp;ROW()-1))),IF($AR904="本年累计",SUMIF($AR$6:$AR904,"本月合计",$F$6:$F903),INDEX(凭证录入!K:K,$AR904))))</f>
        <v>0</v>
      </c>
      <c r="G904" s="459" t="str">
        <f t="shared" ca="1" si="198"/>
        <v/>
      </c>
      <c r="H904" s="460" t="str">
        <f t="shared" ca="1" si="198"/>
        <v/>
      </c>
      <c r="I904" s="460" t="str">
        <f t="shared" ca="1" si="198"/>
        <v/>
      </c>
      <c r="J904" s="460" t="str">
        <f t="shared" ca="1" si="198"/>
        <v/>
      </c>
      <c r="K904" s="460" t="str">
        <f t="shared" ca="1" si="198"/>
        <v/>
      </c>
      <c r="L904" s="460" t="str">
        <f t="shared" ca="1" si="198"/>
        <v/>
      </c>
      <c r="M904" s="460" t="str">
        <f t="shared" ca="1" si="198"/>
        <v/>
      </c>
      <c r="N904" s="460" t="str">
        <f t="shared" ca="1" si="198"/>
        <v/>
      </c>
      <c r="O904" s="461" t="str">
        <f t="shared" ca="1" si="198"/>
        <v/>
      </c>
      <c r="P904" s="474" t="str">
        <f t="shared" ca="1" si="198"/>
        <v/>
      </c>
      <c r="Q904" s="475" t="str">
        <f t="shared" ca="1" si="198"/>
        <v/>
      </c>
      <c r="R904" s="476">
        <f ca="1">IF(OR($BG$2=0,$AR904=""),,IF($AR904="本月合计",IF(ROW()=$BG$3,SUM($R$6:$R903),SUM(INDIRECT("$R$"&amp;OFFSET($AU$3,,MATCH(ROW(),$AU$3:$BF$3,)-2)+2&amp;":$R"&amp;ROW()-1))),IF($AR904="本年累计",SUMIF($AR$6:$AR904,"本月合计",$R$6:$R903),INDEX(凭证录入!L:L,$AR904))))</f>
        <v>0</v>
      </c>
      <c r="S904" s="459" t="str">
        <f t="shared" ca="1" si="199"/>
        <v/>
      </c>
      <c r="T904" s="460" t="str">
        <f t="shared" ca="1" si="199"/>
        <v/>
      </c>
      <c r="U904" s="460" t="str">
        <f t="shared" ca="1" si="199"/>
        <v/>
      </c>
      <c r="V904" s="460" t="str">
        <f t="shared" ca="1" si="199"/>
        <v/>
      </c>
      <c r="W904" s="460" t="str">
        <f t="shared" ca="1" si="199"/>
        <v/>
      </c>
      <c r="X904" s="460" t="str">
        <f t="shared" ca="1" si="199"/>
        <v/>
      </c>
      <c r="Y904" s="460" t="str">
        <f t="shared" ca="1" si="199"/>
        <v/>
      </c>
      <c r="Z904" s="460" t="str">
        <f t="shared" ca="1" si="199"/>
        <v/>
      </c>
      <c r="AA904" s="461" t="str">
        <f t="shared" ca="1" si="199"/>
        <v/>
      </c>
      <c r="AB904" s="474" t="str">
        <f t="shared" ca="1" si="199"/>
        <v/>
      </c>
      <c r="AC904" s="475" t="str">
        <f t="shared" ca="1" si="199"/>
        <v/>
      </c>
      <c r="AD904" s="477" t="str">
        <f t="shared" ca="1" si="200"/>
        <v/>
      </c>
      <c r="AE904" s="478">
        <f t="shared" ca="1" si="201"/>
        <v>0</v>
      </c>
      <c r="AF904" s="459" t="str">
        <f t="shared" ca="1" si="197"/>
        <v/>
      </c>
      <c r="AG904" s="460" t="str">
        <f t="shared" ca="1" si="197"/>
        <v/>
      </c>
      <c r="AH904" s="460" t="str">
        <f t="shared" ca="1" si="197"/>
        <v/>
      </c>
      <c r="AI904" s="460" t="str">
        <f t="shared" ca="1" si="197"/>
        <v/>
      </c>
      <c r="AJ904" s="460" t="str">
        <f t="shared" ca="1" si="197"/>
        <v/>
      </c>
      <c r="AK904" s="460" t="str">
        <f t="shared" ca="1" si="197"/>
        <v/>
      </c>
      <c r="AL904" s="460" t="str">
        <f t="shared" ca="1" si="197"/>
        <v/>
      </c>
      <c r="AM904" s="460" t="str">
        <f t="shared" ca="1" si="197"/>
        <v/>
      </c>
      <c r="AN904" s="461" t="str">
        <f t="shared" ca="1" si="197"/>
        <v/>
      </c>
      <c r="AO904" s="474" t="str">
        <f t="shared" ca="1" si="197"/>
        <v/>
      </c>
      <c r="AP904" s="475" t="str">
        <f t="shared" ca="1" si="197"/>
        <v/>
      </c>
      <c r="AQ904" s="479" t="str">
        <f t="array" aca="1" ref="AQ904" ca="1">IF(ROW()-5&lt;=COUNTIF(科目编号,$AR$2),SMALL(IF(科目编号=$AR$2,ROW(科目编号),""),ROW()-5),"")</f>
        <v/>
      </c>
      <c r="AR904" s="480" t="str">
        <f ca="1">IF($BG$2=0,"",IF(AR903="本月合计","本年累计",IF(OR(ROW()=$AU$3,ROW()=$AV$3,ROW()=$AW$3,ROW()=$AX$3,ROW()=$AY$3,ROW()=$AZ$3,ROW()=$BA$3,ROW()=$BB$3,ROW()=$BC$3,ROW()=$BD$3,ROW()=$BE$3,ROW()=$BF$3),"本月合计",IF(ROW()&lt;7,$AQ$6,OFFSET($AQ$6,COUNT($AR$6:AR903),0)))))</f>
        <v/>
      </c>
    </row>
    <row r="905" spans="1:44">
      <c r="A905" s="469" t="str">
        <f ca="1">IFERROR(INDEX(凭证录入!A:A,$AR905),"")</f>
        <v/>
      </c>
      <c r="B905" s="469" t="str">
        <f ca="1">IFERROR(INDEX(凭证录入!B:B,$AR905),"")</f>
        <v/>
      </c>
      <c r="C905" s="470" t="str">
        <f ca="1">IFERROR(INDEX(凭证录入!G:G,$AR905),"")</f>
        <v/>
      </c>
      <c r="D905" s="471" t="str">
        <f ca="1">IFERROR(INDEX(凭证录入!F:F,$AR905),"")</f>
        <v/>
      </c>
      <c r="E905" s="472" t="str">
        <f ca="1">IFERROR(INDEX(凭证录入!H:H,$AR905),$AR905)</f>
        <v/>
      </c>
      <c r="F905" s="473">
        <f ca="1">IF(OR($BG$2=0,$AR905=""),,IF($AR905="本月合计",IF(ROW()=$BG$3,SUM($F$6:$F904),SUM(INDIRECT("$F$"&amp;OFFSET($AU$3,,MATCH(ROW(),$AU$3:$BF$3,)-2)+2&amp;":$E"&amp;ROW()-1))),IF($AR905="本年累计",SUMIF($AR$6:$AR905,"本月合计",$F$6:$F904),INDEX(凭证录入!K:K,$AR905))))</f>
        <v>0</v>
      </c>
      <c r="G905" s="459" t="str">
        <f t="shared" ca="1" si="198"/>
        <v/>
      </c>
      <c r="H905" s="460" t="str">
        <f t="shared" ca="1" si="198"/>
        <v/>
      </c>
      <c r="I905" s="460" t="str">
        <f t="shared" ca="1" si="198"/>
        <v/>
      </c>
      <c r="J905" s="460" t="str">
        <f t="shared" ca="1" si="198"/>
        <v/>
      </c>
      <c r="K905" s="460" t="str">
        <f t="shared" ca="1" si="198"/>
        <v/>
      </c>
      <c r="L905" s="460" t="str">
        <f t="shared" ca="1" si="198"/>
        <v/>
      </c>
      <c r="M905" s="460" t="str">
        <f t="shared" ca="1" si="198"/>
        <v/>
      </c>
      <c r="N905" s="460" t="str">
        <f t="shared" ca="1" si="198"/>
        <v/>
      </c>
      <c r="O905" s="461" t="str">
        <f t="shared" ca="1" si="198"/>
        <v/>
      </c>
      <c r="P905" s="474" t="str">
        <f t="shared" ca="1" si="198"/>
        <v/>
      </c>
      <c r="Q905" s="475" t="str">
        <f t="shared" ca="1" si="198"/>
        <v/>
      </c>
      <c r="R905" s="476">
        <f ca="1">IF(OR($BG$2=0,$AR905=""),,IF($AR905="本月合计",IF(ROW()=$BG$3,SUM($R$6:$R904),SUM(INDIRECT("$R$"&amp;OFFSET($AU$3,,MATCH(ROW(),$AU$3:$BF$3,)-2)+2&amp;":$R"&amp;ROW()-1))),IF($AR905="本年累计",SUMIF($AR$6:$AR905,"本月合计",$R$6:$R904),INDEX(凭证录入!L:L,$AR905))))</f>
        <v>0</v>
      </c>
      <c r="S905" s="459" t="str">
        <f t="shared" ca="1" si="199"/>
        <v/>
      </c>
      <c r="T905" s="460" t="str">
        <f t="shared" ca="1" si="199"/>
        <v/>
      </c>
      <c r="U905" s="460" t="str">
        <f t="shared" ca="1" si="199"/>
        <v/>
      </c>
      <c r="V905" s="460" t="str">
        <f t="shared" ca="1" si="199"/>
        <v/>
      </c>
      <c r="W905" s="460" t="str">
        <f t="shared" ca="1" si="199"/>
        <v/>
      </c>
      <c r="X905" s="460" t="str">
        <f t="shared" ca="1" si="199"/>
        <v/>
      </c>
      <c r="Y905" s="460" t="str">
        <f t="shared" ca="1" si="199"/>
        <v/>
      </c>
      <c r="Z905" s="460" t="str">
        <f t="shared" ca="1" si="199"/>
        <v/>
      </c>
      <c r="AA905" s="461" t="str">
        <f t="shared" ca="1" si="199"/>
        <v/>
      </c>
      <c r="AB905" s="474" t="str">
        <f t="shared" ca="1" si="199"/>
        <v/>
      </c>
      <c r="AC905" s="475" t="str">
        <f t="shared" ca="1" si="199"/>
        <v/>
      </c>
      <c r="AD905" s="477" t="str">
        <f t="shared" ca="1" si="200"/>
        <v/>
      </c>
      <c r="AE905" s="478">
        <f t="shared" ca="1" si="201"/>
        <v>0</v>
      </c>
      <c r="AF905" s="459" t="str">
        <f t="shared" ca="1" si="197"/>
        <v/>
      </c>
      <c r="AG905" s="460" t="str">
        <f t="shared" ca="1" si="197"/>
        <v/>
      </c>
      <c r="AH905" s="460" t="str">
        <f t="shared" ca="1" si="197"/>
        <v/>
      </c>
      <c r="AI905" s="460" t="str">
        <f t="shared" ca="1" si="197"/>
        <v/>
      </c>
      <c r="AJ905" s="460" t="str">
        <f t="shared" ca="1" si="197"/>
        <v/>
      </c>
      <c r="AK905" s="460" t="str">
        <f t="shared" ca="1" si="197"/>
        <v/>
      </c>
      <c r="AL905" s="460" t="str">
        <f t="shared" ca="1" si="197"/>
        <v/>
      </c>
      <c r="AM905" s="460" t="str">
        <f t="shared" ca="1" si="197"/>
        <v/>
      </c>
      <c r="AN905" s="461" t="str">
        <f t="shared" ca="1" si="197"/>
        <v/>
      </c>
      <c r="AO905" s="474" t="str">
        <f t="shared" ca="1" si="197"/>
        <v/>
      </c>
      <c r="AP905" s="475" t="str">
        <f t="shared" ca="1" si="197"/>
        <v/>
      </c>
      <c r="AQ905" s="479" t="str">
        <f t="array" aca="1" ref="AQ905" ca="1">IF(ROW()-5&lt;=COUNTIF(科目编号,$AR$2),SMALL(IF(科目编号=$AR$2,ROW(科目编号),""),ROW()-5),"")</f>
        <v/>
      </c>
      <c r="AR905" s="480" t="str">
        <f ca="1">IF($BG$2=0,"",IF(AR904="本月合计","本年累计",IF(OR(ROW()=$AU$3,ROW()=$AV$3,ROW()=$AW$3,ROW()=$AX$3,ROW()=$AY$3,ROW()=$AZ$3,ROW()=$BA$3,ROW()=$BB$3,ROW()=$BC$3,ROW()=$BD$3,ROW()=$BE$3,ROW()=$BF$3),"本月合计",IF(ROW()&lt;7,$AQ$6,OFFSET($AQ$6,COUNT($AR$6:AR904),0)))))</f>
        <v/>
      </c>
    </row>
    <row r="906" spans="1:44">
      <c r="A906" s="469" t="str">
        <f ca="1">IFERROR(INDEX(凭证录入!A:A,$AR906),"")</f>
        <v/>
      </c>
      <c r="B906" s="469" t="str">
        <f ca="1">IFERROR(INDEX(凭证录入!B:B,$AR906),"")</f>
        <v/>
      </c>
      <c r="C906" s="470" t="str">
        <f ca="1">IFERROR(INDEX(凭证录入!G:G,$AR906),"")</f>
        <v/>
      </c>
      <c r="D906" s="471" t="str">
        <f ca="1">IFERROR(INDEX(凭证录入!F:F,$AR906),"")</f>
        <v/>
      </c>
      <c r="E906" s="472" t="str">
        <f ca="1">IFERROR(INDEX(凭证录入!H:H,$AR906),$AR906)</f>
        <v/>
      </c>
      <c r="F906" s="473">
        <f ca="1">IF(OR($BG$2=0,$AR906=""),,IF($AR906="本月合计",IF(ROW()=$BG$3,SUM($F$6:$F905),SUM(INDIRECT("$F$"&amp;OFFSET($AU$3,,MATCH(ROW(),$AU$3:$BF$3,)-2)+2&amp;":$E"&amp;ROW()-1))),IF($AR906="本年累计",SUMIF($AR$6:$AR906,"本月合计",$F$6:$F905),INDEX(凭证录入!K:K,$AR906))))</f>
        <v>0</v>
      </c>
      <c r="G906" s="459" t="str">
        <f t="shared" ca="1" si="198"/>
        <v/>
      </c>
      <c r="H906" s="460" t="str">
        <f t="shared" ca="1" si="198"/>
        <v/>
      </c>
      <c r="I906" s="460" t="str">
        <f t="shared" ca="1" si="198"/>
        <v/>
      </c>
      <c r="J906" s="460" t="str">
        <f t="shared" ca="1" si="198"/>
        <v/>
      </c>
      <c r="K906" s="460" t="str">
        <f t="shared" ca="1" si="198"/>
        <v/>
      </c>
      <c r="L906" s="460" t="str">
        <f t="shared" ca="1" si="198"/>
        <v/>
      </c>
      <c r="M906" s="460" t="str">
        <f t="shared" ca="1" si="198"/>
        <v/>
      </c>
      <c r="N906" s="460" t="str">
        <f t="shared" ca="1" si="198"/>
        <v/>
      </c>
      <c r="O906" s="461" t="str">
        <f t="shared" ca="1" si="198"/>
        <v/>
      </c>
      <c r="P906" s="474" t="str">
        <f t="shared" ca="1" si="198"/>
        <v/>
      </c>
      <c r="Q906" s="475" t="str">
        <f t="shared" ca="1" si="198"/>
        <v/>
      </c>
      <c r="R906" s="476">
        <f ca="1">IF(OR($BG$2=0,$AR906=""),,IF($AR906="本月合计",IF(ROW()=$BG$3,SUM($R$6:$R905),SUM(INDIRECT("$R$"&amp;OFFSET($AU$3,,MATCH(ROW(),$AU$3:$BF$3,)-2)+2&amp;":$R"&amp;ROW()-1))),IF($AR906="本年累计",SUMIF($AR$6:$AR906,"本月合计",$R$6:$R905),INDEX(凭证录入!L:L,$AR906))))</f>
        <v>0</v>
      </c>
      <c r="S906" s="459" t="str">
        <f t="shared" ca="1" si="199"/>
        <v/>
      </c>
      <c r="T906" s="460" t="str">
        <f t="shared" ca="1" si="199"/>
        <v/>
      </c>
      <c r="U906" s="460" t="str">
        <f t="shared" ca="1" si="199"/>
        <v/>
      </c>
      <c r="V906" s="460" t="str">
        <f t="shared" ca="1" si="199"/>
        <v/>
      </c>
      <c r="W906" s="460" t="str">
        <f t="shared" ca="1" si="199"/>
        <v/>
      </c>
      <c r="X906" s="460" t="str">
        <f t="shared" ca="1" si="199"/>
        <v/>
      </c>
      <c r="Y906" s="460" t="str">
        <f t="shared" ca="1" si="199"/>
        <v/>
      </c>
      <c r="Z906" s="460" t="str">
        <f t="shared" ca="1" si="199"/>
        <v/>
      </c>
      <c r="AA906" s="461" t="str">
        <f t="shared" ca="1" si="199"/>
        <v/>
      </c>
      <c r="AB906" s="474" t="str">
        <f t="shared" ca="1" si="199"/>
        <v/>
      </c>
      <c r="AC906" s="475" t="str">
        <f t="shared" ca="1" si="199"/>
        <v/>
      </c>
      <c r="AD906" s="477" t="str">
        <f t="shared" ca="1" si="200"/>
        <v/>
      </c>
      <c r="AE906" s="478">
        <f t="shared" ca="1" si="201"/>
        <v>0</v>
      </c>
      <c r="AF906" s="459" t="str">
        <f t="shared" ca="1" si="197"/>
        <v/>
      </c>
      <c r="AG906" s="460" t="str">
        <f t="shared" ca="1" si="197"/>
        <v/>
      </c>
      <c r="AH906" s="460" t="str">
        <f t="shared" ca="1" si="197"/>
        <v/>
      </c>
      <c r="AI906" s="460" t="str">
        <f t="shared" ca="1" si="197"/>
        <v/>
      </c>
      <c r="AJ906" s="460" t="str">
        <f t="shared" ca="1" si="197"/>
        <v/>
      </c>
      <c r="AK906" s="460" t="str">
        <f t="shared" ca="1" si="197"/>
        <v/>
      </c>
      <c r="AL906" s="460" t="str">
        <f t="shared" ca="1" si="197"/>
        <v/>
      </c>
      <c r="AM906" s="460" t="str">
        <f t="shared" ca="1" si="197"/>
        <v/>
      </c>
      <c r="AN906" s="461" t="str">
        <f t="shared" ca="1" si="197"/>
        <v/>
      </c>
      <c r="AO906" s="474" t="str">
        <f t="shared" ca="1" si="197"/>
        <v/>
      </c>
      <c r="AP906" s="475" t="str">
        <f t="shared" ca="1" si="197"/>
        <v/>
      </c>
      <c r="AQ906" s="479" t="str">
        <f t="array" aca="1" ref="AQ906" ca="1">IF(ROW()-5&lt;=COUNTIF(科目编号,$AR$2),SMALL(IF(科目编号=$AR$2,ROW(科目编号),""),ROW()-5),"")</f>
        <v/>
      </c>
      <c r="AR906" s="480" t="str">
        <f ca="1">IF($BG$2=0,"",IF(AR905="本月合计","本年累计",IF(OR(ROW()=$AU$3,ROW()=$AV$3,ROW()=$AW$3,ROW()=$AX$3,ROW()=$AY$3,ROW()=$AZ$3,ROW()=$BA$3,ROW()=$BB$3,ROW()=$BC$3,ROW()=$BD$3,ROW()=$BE$3,ROW()=$BF$3),"本月合计",IF(ROW()&lt;7,$AQ$6,OFFSET($AQ$6,COUNT($AR$6:AR905),0)))))</f>
        <v/>
      </c>
    </row>
    <row r="907" spans="1:44">
      <c r="A907" s="469" t="str">
        <f ca="1">IFERROR(INDEX(凭证录入!A:A,$AR907),"")</f>
        <v/>
      </c>
      <c r="B907" s="469" t="str">
        <f ca="1">IFERROR(INDEX(凭证录入!B:B,$AR907),"")</f>
        <v/>
      </c>
      <c r="C907" s="470" t="str">
        <f ca="1">IFERROR(INDEX(凭证录入!G:G,$AR907),"")</f>
        <v/>
      </c>
      <c r="D907" s="471" t="str">
        <f ca="1">IFERROR(INDEX(凭证录入!F:F,$AR907),"")</f>
        <v/>
      </c>
      <c r="E907" s="472" t="str">
        <f ca="1">IFERROR(INDEX(凭证录入!H:H,$AR907),$AR907)</f>
        <v/>
      </c>
      <c r="F907" s="473">
        <f ca="1">IF(OR($BG$2=0,$AR907=""),,IF($AR907="本月合计",IF(ROW()=$BG$3,SUM($F$6:$F906),SUM(INDIRECT("$F$"&amp;OFFSET($AU$3,,MATCH(ROW(),$AU$3:$BF$3,)-2)+2&amp;":$E"&amp;ROW()-1))),IF($AR907="本年累计",SUMIF($AR$6:$AR907,"本月合计",$F$6:$F906),INDEX(凭证录入!K:K,$AR907))))</f>
        <v>0</v>
      </c>
      <c r="G907" s="459" t="str">
        <f t="shared" ca="1" si="198"/>
        <v/>
      </c>
      <c r="H907" s="460" t="str">
        <f t="shared" ca="1" si="198"/>
        <v/>
      </c>
      <c r="I907" s="460" t="str">
        <f t="shared" ca="1" si="198"/>
        <v/>
      </c>
      <c r="J907" s="460" t="str">
        <f t="shared" ca="1" si="198"/>
        <v/>
      </c>
      <c r="K907" s="460" t="str">
        <f t="shared" ca="1" si="198"/>
        <v/>
      </c>
      <c r="L907" s="460" t="str">
        <f t="shared" ca="1" si="198"/>
        <v/>
      </c>
      <c r="M907" s="460" t="str">
        <f t="shared" ca="1" si="198"/>
        <v/>
      </c>
      <c r="N907" s="460" t="str">
        <f t="shared" ca="1" si="198"/>
        <v/>
      </c>
      <c r="O907" s="461" t="str">
        <f t="shared" ca="1" si="198"/>
        <v/>
      </c>
      <c r="P907" s="474" t="str">
        <f t="shared" ca="1" si="198"/>
        <v/>
      </c>
      <c r="Q907" s="475" t="str">
        <f t="shared" ca="1" si="198"/>
        <v/>
      </c>
      <c r="R907" s="476">
        <f ca="1">IF(OR($BG$2=0,$AR907=""),,IF($AR907="本月合计",IF(ROW()=$BG$3,SUM($R$6:$R906),SUM(INDIRECT("$R$"&amp;OFFSET($AU$3,,MATCH(ROW(),$AU$3:$BF$3,)-2)+2&amp;":$R"&amp;ROW()-1))),IF($AR907="本年累计",SUMIF($AR$6:$AR907,"本月合计",$R$6:$R906),INDEX(凭证录入!L:L,$AR907))))</f>
        <v>0</v>
      </c>
      <c r="S907" s="459" t="str">
        <f t="shared" ca="1" si="199"/>
        <v/>
      </c>
      <c r="T907" s="460" t="str">
        <f t="shared" ca="1" si="199"/>
        <v/>
      </c>
      <c r="U907" s="460" t="str">
        <f t="shared" ca="1" si="199"/>
        <v/>
      </c>
      <c r="V907" s="460" t="str">
        <f t="shared" ca="1" si="199"/>
        <v/>
      </c>
      <c r="W907" s="460" t="str">
        <f t="shared" ca="1" si="199"/>
        <v/>
      </c>
      <c r="X907" s="460" t="str">
        <f t="shared" ca="1" si="199"/>
        <v/>
      </c>
      <c r="Y907" s="460" t="str">
        <f t="shared" ca="1" si="199"/>
        <v/>
      </c>
      <c r="Z907" s="460" t="str">
        <f t="shared" ca="1" si="199"/>
        <v/>
      </c>
      <c r="AA907" s="461" t="str">
        <f t="shared" ca="1" si="199"/>
        <v/>
      </c>
      <c r="AB907" s="474" t="str">
        <f t="shared" ca="1" si="199"/>
        <v/>
      </c>
      <c r="AC907" s="475" t="str">
        <f t="shared" ca="1" si="199"/>
        <v/>
      </c>
      <c r="AD907" s="477" t="str">
        <f t="shared" ca="1" si="200"/>
        <v/>
      </c>
      <c r="AE907" s="478">
        <f t="shared" ca="1" si="201"/>
        <v>0</v>
      </c>
      <c r="AF907" s="459" t="str">
        <f t="shared" ca="1" si="197"/>
        <v/>
      </c>
      <c r="AG907" s="460" t="str">
        <f t="shared" ca="1" si="197"/>
        <v/>
      </c>
      <c r="AH907" s="460" t="str">
        <f t="shared" ca="1" si="197"/>
        <v/>
      </c>
      <c r="AI907" s="460" t="str">
        <f t="shared" ca="1" si="197"/>
        <v/>
      </c>
      <c r="AJ907" s="460" t="str">
        <f t="shared" ca="1" si="197"/>
        <v/>
      </c>
      <c r="AK907" s="460" t="str">
        <f t="shared" ca="1" si="197"/>
        <v/>
      </c>
      <c r="AL907" s="460" t="str">
        <f t="shared" ca="1" si="197"/>
        <v/>
      </c>
      <c r="AM907" s="460" t="str">
        <f t="shared" ca="1" si="197"/>
        <v/>
      </c>
      <c r="AN907" s="461" t="str">
        <f t="shared" ca="1" si="197"/>
        <v/>
      </c>
      <c r="AO907" s="474" t="str">
        <f t="shared" ca="1" si="197"/>
        <v/>
      </c>
      <c r="AP907" s="475" t="str">
        <f t="shared" ca="1" si="197"/>
        <v/>
      </c>
      <c r="AQ907" s="479" t="str">
        <f t="array" aca="1" ref="AQ907" ca="1">IF(ROW()-5&lt;=COUNTIF(科目编号,$AR$2),SMALL(IF(科目编号=$AR$2,ROW(科目编号),""),ROW()-5),"")</f>
        <v/>
      </c>
      <c r="AR907" s="480" t="str">
        <f ca="1">IF($BG$2=0,"",IF(AR906="本月合计","本年累计",IF(OR(ROW()=$AU$3,ROW()=$AV$3,ROW()=$AW$3,ROW()=$AX$3,ROW()=$AY$3,ROW()=$AZ$3,ROW()=$BA$3,ROW()=$BB$3,ROW()=$BC$3,ROW()=$BD$3,ROW()=$BE$3,ROW()=$BF$3),"本月合计",IF(ROW()&lt;7,$AQ$6,OFFSET($AQ$6,COUNT($AR$6:AR906),0)))))</f>
        <v/>
      </c>
    </row>
    <row r="908" spans="1:44">
      <c r="A908" s="469" t="str">
        <f ca="1">IFERROR(INDEX(凭证录入!A:A,$AR908),"")</f>
        <v/>
      </c>
      <c r="B908" s="469" t="str">
        <f ca="1">IFERROR(INDEX(凭证录入!B:B,$AR908),"")</f>
        <v/>
      </c>
      <c r="C908" s="470" t="str">
        <f ca="1">IFERROR(INDEX(凭证录入!G:G,$AR908),"")</f>
        <v/>
      </c>
      <c r="D908" s="471" t="str">
        <f ca="1">IFERROR(INDEX(凭证录入!F:F,$AR908),"")</f>
        <v/>
      </c>
      <c r="E908" s="472" t="str">
        <f ca="1">IFERROR(INDEX(凭证录入!H:H,$AR908),$AR908)</f>
        <v/>
      </c>
      <c r="F908" s="473">
        <f ca="1">IF(OR($BG$2=0,$AR908=""),,IF($AR908="本月合计",IF(ROW()=$BG$3,SUM($F$6:$F907),SUM(INDIRECT("$F$"&amp;OFFSET($AU$3,,MATCH(ROW(),$AU$3:$BF$3,)-2)+2&amp;":$E"&amp;ROW()-1))),IF($AR908="本年累计",SUMIF($AR$6:$AR908,"本月合计",$F$6:$F907),INDEX(凭证录入!K:K,$AR908))))</f>
        <v>0</v>
      </c>
      <c r="G908" s="459" t="str">
        <f t="shared" ca="1" si="198"/>
        <v/>
      </c>
      <c r="H908" s="460" t="str">
        <f t="shared" ca="1" si="198"/>
        <v/>
      </c>
      <c r="I908" s="460" t="str">
        <f t="shared" ca="1" si="198"/>
        <v/>
      </c>
      <c r="J908" s="460" t="str">
        <f t="shared" ca="1" si="198"/>
        <v/>
      </c>
      <c r="K908" s="460" t="str">
        <f t="shared" ca="1" si="198"/>
        <v/>
      </c>
      <c r="L908" s="460" t="str">
        <f t="shared" ca="1" si="198"/>
        <v/>
      </c>
      <c r="M908" s="460" t="str">
        <f t="shared" ca="1" si="198"/>
        <v/>
      </c>
      <c r="N908" s="460" t="str">
        <f t="shared" ca="1" si="198"/>
        <v/>
      </c>
      <c r="O908" s="461" t="str">
        <f t="shared" ca="1" si="198"/>
        <v/>
      </c>
      <c r="P908" s="474" t="str">
        <f t="shared" ca="1" si="198"/>
        <v/>
      </c>
      <c r="Q908" s="475" t="str">
        <f t="shared" ca="1" si="198"/>
        <v/>
      </c>
      <c r="R908" s="476">
        <f ca="1">IF(OR($BG$2=0,$AR908=""),,IF($AR908="本月合计",IF(ROW()=$BG$3,SUM($R$6:$R907),SUM(INDIRECT("$R$"&amp;OFFSET($AU$3,,MATCH(ROW(),$AU$3:$BF$3,)-2)+2&amp;":$R"&amp;ROW()-1))),IF($AR908="本年累计",SUMIF($AR$6:$AR908,"本月合计",$R$6:$R907),INDEX(凭证录入!L:L,$AR908))))</f>
        <v>0</v>
      </c>
      <c r="S908" s="459" t="str">
        <f t="shared" ca="1" si="199"/>
        <v/>
      </c>
      <c r="T908" s="460" t="str">
        <f t="shared" ca="1" si="199"/>
        <v/>
      </c>
      <c r="U908" s="460" t="str">
        <f t="shared" ca="1" si="199"/>
        <v/>
      </c>
      <c r="V908" s="460" t="str">
        <f t="shared" ca="1" si="199"/>
        <v/>
      </c>
      <c r="W908" s="460" t="str">
        <f t="shared" ca="1" si="199"/>
        <v/>
      </c>
      <c r="X908" s="460" t="str">
        <f t="shared" ca="1" si="199"/>
        <v/>
      </c>
      <c r="Y908" s="460" t="str">
        <f t="shared" ca="1" si="199"/>
        <v/>
      </c>
      <c r="Z908" s="460" t="str">
        <f t="shared" ca="1" si="199"/>
        <v/>
      </c>
      <c r="AA908" s="461" t="str">
        <f t="shared" ca="1" si="199"/>
        <v/>
      </c>
      <c r="AB908" s="474" t="str">
        <f t="shared" ca="1" si="199"/>
        <v/>
      </c>
      <c r="AC908" s="475" t="str">
        <f t="shared" ca="1" si="199"/>
        <v/>
      </c>
      <c r="AD908" s="477" t="str">
        <f t="shared" ca="1" si="200"/>
        <v/>
      </c>
      <c r="AE908" s="478">
        <f t="shared" ca="1" si="201"/>
        <v>0</v>
      </c>
      <c r="AF908" s="459" t="str">
        <f t="shared" ca="1" si="197"/>
        <v/>
      </c>
      <c r="AG908" s="460" t="str">
        <f t="shared" ca="1" si="197"/>
        <v/>
      </c>
      <c r="AH908" s="460" t="str">
        <f t="shared" ca="1" si="197"/>
        <v/>
      </c>
      <c r="AI908" s="460" t="str">
        <f t="shared" ca="1" si="197"/>
        <v/>
      </c>
      <c r="AJ908" s="460" t="str">
        <f t="shared" ca="1" si="197"/>
        <v/>
      </c>
      <c r="AK908" s="460" t="str">
        <f t="shared" ca="1" si="197"/>
        <v/>
      </c>
      <c r="AL908" s="460" t="str">
        <f t="shared" ca="1" si="197"/>
        <v/>
      </c>
      <c r="AM908" s="460" t="str">
        <f t="shared" ca="1" si="197"/>
        <v/>
      </c>
      <c r="AN908" s="461" t="str">
        <f t="shared" ca="1" si="197"/>
        <v/>
      </c>
      <c r="AO908" s="474" t="str">
        <f t="shared" ca="1" si="197"/>
        <v/>
      </c>
      <c r="AP908" s="475" t="str">
        <f t="shared" ca="1" si="197"/>
        <v/>
      </c>
      <c r="AQ908" s="479" t="str">
        <f t="array" aca="1" ref="AQ908" ca="1">IF(ROW()-5&lt;=COUNTIF(科目编号,$AR$2),SMALL(IF(科目编号=$AR$2,ROW(科目编号),""),ROW()-5),"")</f>
        <v/>
      </c>
      <c r="AR908" s="480" t="str">
        <f ca="1">IF($BG$2=0,"",IF(AR907="本月合计","本年累计",IF(OR(ROW()=$AU$3,ROW()=$AV$3,ROW()=$AW$3,ROW()=$AX$3,ROW()=$AY$3,ROW()=$AZ$3,ROW()=$BA$3,ROW()=$BB$3,ROW()=$BC$3,ROW()=$BD$3,ROW()=$BE$3,ROW()=$BF$3),"本月合计",IF(ROW()&lt;7,$AQ$6,OFFSET($AQ$6,COUNT($AR$6:AR907),0)))))</f>
        <v/>
      </c>
    </row>
    <row r="909" spans="1:44">
      <c r="A909" s="469" t="str">
        <f ca="1">IFERROR(INDEX(凭证录入!A:A,$AR909),"")</f>
        <v/>
      </c>
      <c r="B909" s="469" t="str">
        <f ca="1">IFERROR(INDEX(凭证录入!B:B,$AR909),"")</f>
        <v/>
      </c>
      <c r="C909" s="470" t="str">
        <f ca="1">IFERROR(INDEX(凭证录入!G:G,$AR909),"")</f>
        <v/>
      </c>
      <c r="D909" s="471" t="str">
        <f ca="1">IFERROR(INDEX(凭证录入!F:F,$AR909),"")</f>
        <v/>
      </c>
      <c r="E909" s="472" t="str">
        <f ca="1">IFERROR(INDEX(凭证录入!H:H,$AR909),$AR909)</f>
        <v/>
      </c>
      <c r="F909" s="473">
        <f ca="1">IF(OR($BG$2=0,$AR909=""),,IF($AR909="本月合计",IF(ROW()=$BG$3,SUM($F$6:$F908),SUM(INDIRECT("$F$"&amp;OFFSET($AU$3,,MATCH(ROW(),$AU$3:$BF$3,)-2)+2&amp;":$E"&amp;ROW()-1))),IF($AR909="本年累计",SUMIF($AR$6:$AR909,"本月合计",$F$6:$F908),INDEX(凭证录入!K:K,$AR909))))</f>
        <v>0</v>
      </c>
      <c r="G909" s="459" t="str">
        <f t="shared" ca="1" si="198"/>
        <v/>
      </c>
      <c r="H909" s="460" t="str">
        <f t="shared" ca="1" si="198"/>
        <v/>
      </c>
      <c r="I909" s="460" t="str">
        <f t="shared" ca="1" si="198"/>
        <v/>
      </c>
      <c r="J909" s="460" t="str">
        <f t="shared" ca="1" si="198"/>
        <v/>
      </c>
      <c r="K909" s="460" t="str">
        <f t="shared" ca="1" si="198"/>
        <v/>
      </c>
      <c r="L909" s="460" t="str">
        <f t="shared" ca="1" si="198"/>
        <v/>
      </c>
      <c r="M909" s="460" t="str">
        <f t="shared" ca="1" si="198"/>
        <v/>
      </c>
      <c r="N909" s="460" t="str">
        <f t="shared" ca="1" si="198"/>
        <v/>
      </c>
      <c r="O909" s="461" t="str">
        <f t="shared" ca="1" si="198"/>
        <v/>
      </c>
      <c r="P909" s="474" t="str">
        <f t="shared" ca="1" si="198"/>
        <v/>
      </c>
      <c r="Q909" s="475" t="str">
        <f t="shared" ca="1" si="198"/>
        <v/>
      </c>
      <c r="R909" s="476">
        <f ca="1">IF(OR($BG$2=0,$AR909=""),,IF($AR909="本月合计",IF(ROW()=$BG$3,SUM($R$6:$R908),SUM(INDIRECT("$R$"&amp;OFFSET($AU$3,,MATCH(ROW(),$AU$3:$BF$3,)-2)+2&amp;":$R"&amp;ROW()-1))),IF($AR909="本年累计",SUMIF($AR$6:$AR909,"本月合计",$R$6:$R908),INDEX(凭证录入!L:L,$AR909))))</f>
        <v>0</v>
      </c>
      <c r="S909" s="459" t="str">
        <f t="shared" ca="1" si="199"/>
        <v/>
      </c>
      <c r="T909" s="460" t="str">
        <f t="shared" ca="1" si="199"/>
        <v/>
      </c>
      <c r="U909" s="460" t="str">
        <f t="shared" ca="1" si="199"/>
        <v/>
      </c>
      <c r="V909" s="460" t="str">
        <f t="shared" ca="1" si="199"/>
        <v/>
      </c>
      <c r="W909" s="460" t="str">
        <f t="shared" ca="1" si="199"/>
        <v/>
      </c>
      <c r="X909" s="460" t="str">
        <f t="shared" ca="1" si="199"/>
        <v/>
      </c>
      <c r="Y909" s="460" t="str">
        <f t="shared" ca="1" si="199"/>
        <v/>
      </c>
      <c r="Z909" s="460" t="str">
        <f t="shared" ca="1" si="199"/>
        <v/>
      </c>
      <c r="AA909" s="461" t="str">
        <f t="shared" ca="1" si="199"/>
        <v/>
      </c>
      <c r="AB909" s="474" t="str">
        <f t="shared" ca="1" si="199"/>
        <v/>
      </c>
      <c r="AC909" s="475" t="str">
        <f t="shared" ca="1" si="199"/>
        <v/>
      </c>
      <c r="AD909" s="477" t="str">
        <f t="shared" ca="1" si="200"/>
        <v/>
      </c>
      <c r="AE909" s="478">
        <f t="shared" ca="1" si="201"/>
        <v>0</v>
      </c>
      <c r="AF909" s="459" t="str">
        <f t="shared" ca="1" si="197"/>
        <v/>
      </c>
      <c r="AG909" s="460" t="str">
        <f t="shared" ca="1" si="197"/>
        <v/>
      </c>
      <c r="AH909" s="460" t="str">
        <f t="shared" ca="1" si="197"/>
        <v/>
      </c>
      <c r="AI909" s="460" t="str">
        <f t="shared" ca="1" si="197"/>
        <v/>
      </c>
      <c r="AJ909" s="460" t="str">
        <f t="shared" ca="1" si="197"/>
        <v/>
      </c>
      <c r="AK909" s="460" t="str">
        <f t="shared" ca="1" si="197"/>
        <v/>
      </c>
      <c r="AL909" s="460" t="str">
        <f t="shared" ca="1" si="197"/>
        <v/>
      </c>
      <c r="AM909" s="460" t="str">
        <f t="shared" ca="1" si="197"/>
        <v/>
      </c>
      <c r="AN909" s="461" t="str">
        <f t="shared" ca="1" si="197"/>
        <v/>
      </c>
      <c r="AO909" s="474" t="str">
        <f t="shared" ca="1" si="197"/>
        <v/>
      </c>
      <c r="AP909" s="475" t="str">
        <f t="shared" ca="1" si="197"/>
        <v/>
      </c>
      <c r="AQ909" s="479" t="str">
        <f t="array" aca="1" ref="AQ909" ca="1">IF(ROW()-5&lt;=COUNTIF(科目编号,$AR$2),SMALL(IF(科目编号=$AR$2,ROW(科目编号),""),ROW()-5),"")</f>
        <v/>
      </c>
      <c r="AR909" s="480" t="str">
        <f ca="1">IF($BG$2=0,"",IF(AR908="本月合计","本年累计",IF(OR(ROW()=$AU$3,ROW()=$AV$3,ROW()=$AW$3,ROW()=$AX$3,ROW()=$AY$3,ROW()=$AZ$3,ROW()=$BA$3,ROW()=$BB$3,ROW()=$BC$3,ROW()=$BD$3,ROW()=$BE$3,ROW()=$BF$3),"本月合计",IF(ROW()&lt;7,$AQ$6,OFFSET($AQ$6,COUNT($AR$6:AR908),0)))))</f>
        <v/>
      </c>
    </row>
    <row r="910" spans="1:44">
      <c r="A910" s="469" t="str">
        <f ca="1">IFERROR(INDEX(凭证录入!A:A,$AR910),"")</f>
        <v/>
      </c>
      <c r="B910" s="469" t="str">
        <f ca="1">IFERROR(INDEX(凭证录入!B:B,$AR910),"")</f>
        <v/>
      </c>
      <c r="C910" s="470" t="str">
        <f ca="1">IFERROR(INDEX(凭证录入!G:G,$AR910),"")</f>
        <v/>
      </c>
      <c r="D910" s="471" t="str">
        <f ca="1">IFERROR(INDEX(凭证录入!F:F,$AR910),"")</f>
        <v/>
      </c>
      <c r="E910" s="472" t="str">
        <f ca="1">IFERROR(INDEX(凭证录入!H:H,$AR910),$AR910)</f>
        <v/>
      </c>
      <c r="F910" s="473">
        <f ca="1">IF(OR($BG$2=0,$AR910=""),,IF($AR910="本月合计",IF(ROW()=$BG$3,SUM($F$6:$F909),SUM(INDIRECT("$F$"&amp;OFFSET($AU$3,,MATCH(ROW(),$AU$3:$BF$3,)-2)+2&amp;":$E"&amp;ROW()-1))),IF($AR910="本年累计",SUMIF($AR$6:$AR910,"本月合计",$F$6:$F909),INDEX(凭证录入!K:K,$AR910))))</f>
        <v>0</v>
      </c>
      <c r="G910" s="459" t="str">
        <f t="shared" ca="1" si="198"/>
        <v/>
      </c>
      <c r="H910" s="460" t="str">
        <f t="shared" ca="1" si="198"/>
        <v/>
      </c>
      <c r="I910" s="460" t="str">
        <f t="shared" ca="1" si="198"/>
        <v/>
      </c>
      <c r="J910" s="460" t="str">
        <f t="shared" ca="1" si="198"/>
        <v/>
      </c>
      <c r="K910" s="460" t="str">
        <f t="shared" ca="1" si="198"/>
        <v/>
      </c>
      <c r="L910" s="460" t="str">
        <f t="shared" ca="1" si="198"/>
        <v/>
      </c>
      <c r="M910" s="460" t="str">
        <f t="shared" ca="1" si="198"/>
        <v/>
      </c>
      <c r="N910" s="460" t="str">
        <f t="shared" ca="1" si="198"/>
        <v/>
      </c>
      <c r="O910" s="461" t="str">
        <f t="shared" ca="1" si="198"/>
        <v/>
      </c>
      <c r="P910" s="474" t="str">
        <f t="shared" ca="1" si="198"/>
        <v/>
      </c>
      <c r="Q910" s="475" t="str">
        <f t="shared" ca="1" si="198"/>
        <v/>
      </c>
      <c r="R910" s="476">
        <f ca="1">IF(OR($BG$2=0,$AR910=""),,IF($AR910="本月合计",IF(ROW()=$BG$3,SUM($R$6:$R909),SUM(INDIRECT("$R$"&amp;OFFSET($AU$3,,MATCH(ROW(),$AU$3:$BF$3,)-2)+2&amp;":$R"&amp;ROW()-1))),IF($AR910="本年累计",SUMIF($AR$6:$AR910,"本月合计",$R$6:$R909),INDEX(凭证录入!L:L,$AR910))))</f>
        <v>0</v>
      </c>
      <c r="S910" s="459" t="str">
        <f t="shared" ca="1" si="199"/>
        <v/>
      </c>
      <c r="T910" s="460" t="str">
        <f t="shared" ca="1" si="199"/>
        <v/>
      </c>
      <c r="U910" s="460" t="str">
        <f t="shared" ca="1" si="199"/>
        <v/>
      </c>
      <c r="V910" s="460" t="str">
        <f t="shared" ca="1" si="199"/>
        <v/>
      </c>
      <c r="W910" s="460" t="str">
        <f t="shared" ca="1" si="199"/>
        <v/>
      </c>
      <c r="X910" s="460" t="str">
        <f t="shared" ca="1" si="199"/>
        <v/>
      </c>
      <c r="Y910" s="460" t="str">
        <f t="shared" ca="1" si="199"/>
        <v/>
      </c>
      <c r="Z910" s="460" t="str">
        <f t="shared" ca="1" si="199"/>
        <v/>
      </c>
      <c r="AA910" s="461" t="str">
        <f t="shared" ca="1" si="199"/>
        <v/>
      </c>
      <c r="AB910" s="474" t="str">
        <f t="shared" ca="1" si="199"/>
        <v/>
      </c>
      <c r="AC910" s="475" t="str">
        <f t="shared" ca="1" si="199"/>
        <v/>
      </c>
      <c r="AD910" s="477" t="str">
        <f t="shared" ca="1" si="200"/>
        <v/>
      </c>
      <c r="AE910" s="478">
        <f t="shared" ca="1" si="201"/>
        <v>0</v>
      </c>
      <c r="AF910" s="459" t="str">
        <f t="shared" ca="1" si="197"/>
        <v/>
      </c>
      <c r="AG910" s="460" t="str">
        <f t="shared" ca="1" si="197"/>
        <v/>
      </c>
      <c r="AH910" s="460" t="str">
        <f t="shared" ca="1" si="197"/>
        <v/>
      </c>
      <c r="AI910" s="460" t="str">
        <f t="shared" ca="1" si="197"/>
        <v/>
      </c>
      <c r="AJ910" s="460" t="str">
        <f t="shared" ca="1" si="197"/>
        <v/>
      </c>
      <c r="AK910" s="460" t="str">
        <f t="shared" ca="1" si="197"/>
        <v/>
      </c>
      <c r="AL910" s="460" t="str">
        <f t="shared" ca="1" si="197"/>
        <v/>
      </c>
      <c r="AM910" s="460" t="str">
        <f t="shared" ca="1" si="197"/>
        <v/>
      </c>
      <c r="AN910" s="461" t="str">
        <f t="shared" ca="1" si="197"/>
        <v/>
      </c>
      <c r="AO910" s="474" t="str">
        <f t="shared" ca="1" si="197"/>
        <v/>
      </c>
      <c r="AP910" s="475" t="str">
        <f t="shared" ca="1" si="197"/>
        <v/>
      </c>
      <c r="AQ910" s="479" t="str">
        <f t="array" aca="1" ref="AQ910" ca="1">IF(ROW()-5&lt;=COUNTIF(科目编号,$AR$2),SMALL(IF(科目编号=$AR$2,ROW(科目编号),""),ROW()-5),"")</f>
        <v/>
      </c>
      <c r="AR910" s="480" t="str">
        <f ca="1">IF($BG$2=0,"",IF(AR909="本月合计","本年累计",IF(OR(ROW()=$AU$3,ROW()=$AV$3,ROW()=$AW$3,ROW()=$AX$3,ROW()=$AY$3,ROW()=$AZ$3,ROW()=$BA$3,ROW()=$BB$3,ROW()=$BC$3,ROW()=$BD$3,ROW()=$BE$3,ROW()=$BF$3),"本月合计",IF(ROW()&lt;7,$AQ$6,OFFSET($AQ$6,COUNT($AR$6:AR909),0)))))</f>
        <v/>
      </c>
    </row>
    <row r="911" spans="1:44">
      <c r="A911" s="469" t="str">
        <f ca="1">IFERROR(INDEX(凭证录入!A:A,$AR911),"")</f>
        <v/>
      </c>
      <c r="B911" s="469" t="str">
        <f ca="1">IFERROR(INDEX(凭证录入!B:B,$AR911),"")</f>
        <v/>
      </c>
      <c r="C911" s="470" t="str">
        <f ca="1">IFERROR(INDEX(凭证录入!G:G,$AR911),"")</f>
        <v/>
      </c>
      <c r="D911" s="471" t="str">
        <f ca="1">IFERROR(INDEX(凭证录入!F:F,$AR911),"")</f>
        <v/>
      </c>
      <c r="E911" s="472" t="str">
        <f ca="1">IFERROR(INDEX(凭证录入!H:H,$AR911),$AR911)</f>
        <v/>
      </c>
      <c r="F911" s="473">
        <f ca="1">IF(OR($BG$2=0,$AR911=""),,IF($AR911="本月合计",IF(ROW()=$BG$3,SUM($F$6:$F910),SUM(INDIRECT("$F$"&amp;OFFSET($AU$3,,MATCH(ROW(),$AU$3:$BF$3,)-2)+2&amp;":$E"&amp;ROW()-1))),IF($AR911="本年累计",SUMIF($AR$6:$AR911,"本月合计",$F$6:$F910),INDEX(凭证录入!K:K,$AR911))))</f>
        <v>0</v>
      </c>
      <c r="G911" s="459" t="str">
        <f t="shared" ca="1" si="198"/>
        <v/>
      </c>
      <c r="H911" s="460" t="str">
        <f t="shared" ca="1" si="198"/>
        <v/>
      </c>
      <c r="I911" s="460" t="str">
        <f t="shared" ca="1" si="198"/>
        <v/>
      </c>
      <c r="J911" s="460" t="str">
        <f t="shared" ca="1" si="198"/>
        <v/>
      </c>
      <c r="K911" s="460" t="str">
        <f t="shared" ca="1" si="198"/>
        <v/>
      </c>
      <c r="L911" s="460" t="str">
        <f t="shared" ca="1" si="198"/>
        <v/>
      </c>
      <c r="M911" s="460" t="str">
        <f t="shared" ca="1" si="198"/>
        <v/>
      </c>
      <c r="N911" s="460" t="str">
        <f t="shared" ca="1" si="198"/>
        <v/>
      </c>
      <c r="O911" s="461" t="str">
        <f t="shared" ca="1" si="198"/>
        <v/>
      </c>
      <c r="P911" s="474" t="str">
        <f t="shared" ca="1" si="198"/>
        <v/>
      </c>
      <c r="Q911" s="475" t="str">
        <f t="shared" ca="1" si="198"/>
        <v/>
      </c>
      <c r="R911" s="476">
        <f ca="1">IF(OR($BG$2=0,$AR911=""),,IF($AR911="本月合计",IF(ROW()=$BG$3,SUM($R$6:$R910),SUM(INDIRECT("$R$"&amp;OFFSET($AU$3,,MATCH(ROW(),$AU$3:$BF$3,)-2)+2&amp;":$R"&amp;ROW()-1))),IF($AR911="本年累计",SUMIF($AR$6:$AR911,"本月合计",$R$6:$R910),INDEX(凭证录入!L:L,$AR911))))</f>
        <v>0</v>
      </c>
      <c r="S911" s="459" t="str">
        <f t="shared" ca="1" si="199"/>
        <v/>
      </c>
      <c r="T911" s="460" t="str">
        <f t="shared" ca="1" si="199"/>
        <v/>
      </c>
      <c r="U911" s="460" t="str">
        <f t="shared" ca="1" si="199"/>
        <v/>
      </c>
      <c r="V911" s="460" t="str">
        <f t="shared" ca="1" si="199"/>
        <v/>
      </c>
      <c r="W911" s="460" t="str">
        <f t="shared" ca="1" si="199"/>
        <v/>
      </c>
      <c r="X911" s="460" t="str">
        <f t="shared" ca="1" si="199"/>
        <v/>
      </c>
      <c r="Y911" s="460" t="str">
        <f t="shared" ca="1" si="199"/>
        <v/>
      </c>
      <c r="Z911" s="460" t="str">
        <f t="shared" ca="1" si="199"/>
        <v/>
      </c>
      <c r="AA911" s="461" t="str">
        <f t="shared" ca="1" si="199"/>
        <v/>
      </c>
      <c r="AB911" s="474" t="str">
        <f t="shared" ca="1" si="199"/>
        <v/>
      </c>
      <c r="AC911" s="475" t="str">
        <f t="shared" ca="1" si="199"/>
        <v/>
      </c>
      <c r="AD911" s="477" t="str">
        <f t="shared" ca="1" si="200"/>
        <v/>
      </c>
      <c r="AE911" s="478">
        <f t="shared" ca="1" si="201"/>
        <v>0</v>
      </c>
      <c r="AF911" s="459" t="str">
        <f t="shared" ca="1" si="197"/>
        <v/>
      </c>
      <c r="AG911" s="460" t="str">
        <f t="shared" ca="1" si="197"/>
        <v/>
      </c>
      <c r="AH911" s="460" t="str">
        <f t="shared" ca="1" si="197"/>
        <v/>
      </c>
      <c r="AI911" s="460" t="str">
        <f t="shared" ca="1" si="197"/>
        <v/>
      </c>
      <c r="AJ911" s="460" t="str">
        <f t="shared" ca="1" si="197"/>
        <v/>
      </c>
      <c r="AK911" s="460" t="str">
        <f t="shared" ca="1" si="197"/>
        <v/>
      </c>
      <c r="AL911" s="460" t="str">
        <f t="shared" ca="1" si="197"/>
        <v/>
      </c>
      <c r="AM911" s="460" t="str">
        <f t="shared" ca="1" si="197"/>
        <v/>
      </c>
      <c r="AN911" s="461" t="str">
        <f t="shared" ca="1" si="197"/>
        <v/>
      </c>
      <c r="AO911" s="474" t="str">
        <f t="shared" ca="1" si="197"/>
        <v/>
      </c>
      <c r="AP911" s="475" t="str">
        <f t="shared" ca="1" si="197"/>
        <v/>
      </c>
      <c r="AQ911" s="479" t="str">
        <f t="array" aca="1" ref="AQ911" ca="1">IF(ROW()-5&lt;=COUNTIF(科目编号,$AR$2),SMALL(IF(科目编号=$AR$2,ROW(科目编号),""),ROW()-5),"")</f>
        <v/>
      </c>
      <c r="AR911" s="480" t="str">
        <f ca="1">IF($BG$2=0,"",IF(AR910="本月合计","本年累计",IF(OR(ROW()=$AU$3,ROW()=$AV$3,ROW()=$AW$3,ROW()=$AX$3,ROW()=$AY$3,ROW()=$AZ$3,ROW()=$BA$3,ROW()=$BB$3,ROW()=$BC$3,ROW()=$BD$3,ROW()=$BE$3,ROW()=$BF$3),"本月合计",IF(ROW()&lt;7,$AQ$6,OFFSET($AQ$6,COUNT($AR$6:AR910),0)))))</f>
        <v/>
      </c>
    </row>
    <row r="912" spans="1:44">
      <c r="A912" s="469" t="str">
        <f ca="1">IFERROR(INDEX(凭证录入!A:A,$AR912),"")</f>
        <v/>
      </c>
      <c r="B912" s="469" t="str">
        <f ca="1">IFERROR(INDEX(凭证录入!B:B,$AR912),"")</f>
        <v/>
      </c>
      <c r="C912" s="470" t="str">
        <f ca="1">IFERROR(INDEX(凭证录入!G:G,$AR912),"")</f>
        <v/>
      </c>
      <c r="D912" s="471" t="str">
        <f ca="1">IFERROR(INDEX(凭证录入!F:F,$AR912),"")</f>
        <v/>
      </c>
      <c r="E912" s="472" t="str">
        <f ca="1">IFERROR(INDEX(凭证录入!H:H,$AR912),$AR912)</f>
        <v/>
      </c>
      <c r="F912" s="473">
        <f ca="1">IF(OR($BG$2=0,$AR912=""),,IF($AR912="本月合计",IF(ROW()=$BG$3,SUM($F$6:$F911),SUM(INDIRECT("$F$"&amp;OFFSET($AU$3,,MATCH(ROW(),$AU$3:$BF$3,)-2)+2&amp;":$E"&amp;ROW()-1))),IF($AR912="本年累计",SUMIF($AR$6:$AR912,"本月合计",$F$6:$F911),INDEX(凭证录入!K:K,$AR912))))</f>
        <v>0</v>
      </c>
      <c r="G912" s="459" t="str">
        <f t="shared" ca="1" si="198"/>
        <v/>
      </c>
      <c r="H912" s="460" t="str">
        <f t="shared" ca="1" si="198"/>
        <v/>
      </c>
      <c r="I912" s="460" t="str">
        <f t="shared" ca="1" si="198"/>
        <v/>
      </c>
      <c r="J912" s="460" t="str">
        <f t="shared" ca="1" si="198"/>
        <v/>
      </c>
      <c r="K912" s="460" t="str">
        <f t="shared" ca="1" si="198"/>
        <v/>
      </c>
      <c r="L912" s="460" t="str">
        <f t="shared" ca="1" si="198"/>
        <v/>
      </c>
      <c r="M912" s="460" t="str">
        <f t="shared" ca="1" si="198"/>
        <v/>
      </c>
      <c r="N912" s="460" t="str">
        <f t="shared" ca="1" si="198"/>
        <v/>
      </c>
      <c r="O912" s="461" t="str">
        <f t="shared" ca="1" si="198"/>
        <v/>
      </c>
      <c r="P912" s="474" t="str">
        <f t="shared" ca="1" si="198"/>
        <v/>
      </c>
      <c r="Q912" s="475" t="str">
        <f t="shared" ca="1" si="198"/>
        <v/>
      </c>
      <c r="R912" s="476">
        <f ca="1">IF(OR($BG$2=0,$AR912=""),,IF($AR912="本月合计",IF(ROW()=$BG$3,SUM($R$6:$R911),SUM(INDIRECT("$R$"&amp;OFFSET($AU$3,,MATCH(ROW(),$AU$3:$BF$3,)-2)+2&amp;":$R"&amp;ROW()-1))),IF($AR912="本年累计",SUMIF($AR$6:$AR912,"本月合计",$R$6:$R911),INDEX(凭证录入!L:L,$AR912))))</f>
        <v>0</v>
      </c>
      <c r="S912" s="459" t="str">
        <f t="shared" ca="1" si="199"/>
        <v/>
      </c>
      <c r="T912" s="460" t="str">
        <f t="shared" ca="1" si="199"/>
        <v/>
      </c>
      <c r="U912" s="460" t="str">
        <f t="shared" ca="1" si="199"/>
        <v/>
      </c>
      <c r="V912" s="460" t="str">
        <f t="shared" ca="1" si="199"/>
        <v/>
      </c>
      <c r="W912" s="460" t="str">
        <f t="shared" ca="1" si="199"/>
        <v/>
      </c>
      <c r="X912" s="460" t="str">
        <f t="shared" ca="1" si="199"/>
        <v/>
      </c>
      <c r="Y912" s="460" t="str">
        <f t="shared" ca="1" si="199"/>
        <v/>
      </c>
      <c r="Z912" s="460" t="str">
        <f t="shared" ca="1" si="199"/>
        <v/>
      </c>
      <c r="AA912" s="461" t="str">
        <f t="shared" ca="1" si="199"/>
        <v/>
      </c>
      <c r="AB912" s="474" t="str">
        <f t="shared" ca="1" si="199"/>
        <v/>
      </c>
      <c r="AC912" s="475" t="str">
        <f t="shared" ca="1" si="199"/>
        <v/>
      </c>
      <c r="AD912" s="477" t="str">
        <f t="shared" ca="1" si="200"/>
        <v/>
      </c>
      <c r="AE912" s="478">
        <f t="shared" ca="1" si="201"/>
        <v>0</v>
      </c>
      <c r="AF912" s="459" t="str">
        <f t="shared" ca="1" si="197"/>
        <v/>
      </c>
      <c r="AG912" s="460" t="str">
        <f t="shared" ca="1" si="197"/>
        <v/>
      </c>
      <c r="AH912" s="460" t="str">
        <f t="shared" ca="1" si="197"/>
        <v/>
      </c>
      <c r="AI912" s="460" t="str">
        <f t="shared" ca="1" si="197"/>
        <v/>
      </c>
      <c r="AJ912" s="460" t="str">
        <f t="shared" ca="1" si="197"/>
        <v/>
      </c>
      <c r="AK912" s="460" t="str">
        <f t="shared" ca="1" si="197"/>
        <v/>
      </c>
      <c r="AL912" s="460" t="str">
        <f t="shared" ca="1" si="197"/>
        <v/>
      </c>
      <c r="AM912" s="460" t="str">
        <f t="shared" ca="1" si="197"/>
        <v/>
      </c>
      <c r="AN912" s="461" t="str">
        <f t="shared" ca="1" si="197"/>
        <v/>
      </c>
      <c r="AO912" s="474" t="str">
        <f t="shared" ca="1" si="197"/>
        <v/>
      </c>
      <c r="AP912" s="475" t="str">
        <f t="shared" ca="1" si="197"/>
        <v/>
      </c>
      <c r="AQ912" s="479" t="str">
        <f t="array" aca="1" ref="AQ912" ca="1">IF(ROW()-5&lt;=COUNTIF(科目编号,$AR$2),SMALL(IF(科目编号=$AR$2,ROW(科目编号),""),ROW()-5),"")</f>
        <v/>
      </c>
      <c r="AR912" s="480" t="str">
        <f ca="1">IF($BG$2=0,"",IF(AR911="本月合计","本年累计",IF(OR(ROW()=$AU$3,ROW()=$AV$3,ROW()=$AW$3,ROW()=$AX$3,ROW()=$AY$3,ROW()=$AZ$3,ROW()=$BA$3,ROW()=$BB$3,ROW()=$BC$3,ROW()=$BD$3,ROW()=$BE$3,ROW()=$BF$3),"本月合计",IF(ROW()&lt;7,$AQ$6,OFFSET($AQ$6,COUNT($AR$6:AR911),0)))))</f>
        <v/>
      </c>
    </row>
    <row r="913" spans="1:44">
      <c r="A913" s="469" t="str">
        <f ca="1">IFERROR(INDEX(凭证录入!A:A,$AR913),"")</f>
        <v/>
      </c>
      <c r="B913" s="469" t="str">
        <f ca="1">IFERROR(INDEX(凭证录入!B:B,$AR913),"")</f>
        <v/>
      </c>
      <c r="C913" s="470" t="str">
        <f ca="1">IFERROR(INDEX(凭证录入!G:G,$AR913),"")</f>
        <v/>
      </c>
      <c r="D913" s="471" t="str">
        <f ca="1">IFERROR(INDEX(凭证录入!F:F,$AR913),"")</f>
        <v/>
      </c>
      <c r="E913" s="472" t="str">
        <f ca="1">IFERROR(INDEX(凭证录入!H:H,$AR913),$AR913)</f>
        <v/>
      </c>
      <c r="F913" s="473">
        <f ca="1">IF(OR($BG$2=0,$AR913=""),,IF($AR913="本月合计",IF(ROW()=$BG$3,SUM($F$6:$F912),SUM(INDIRECT("$F$"&amp;OFFSET($AU$3,,MATCH(ROW(),$AU$3:$BF$3,)-2)+2&amp;":$E"&amp;ROW()-1))),IF($AR913="本年累计",SUMIF($AR$6:$AR913,"本月合计",$F$6:$F912),INDEX(凭证录入!K:K,$AR913))))</f>
        <v>0</v>
      </c>
      <c r="G913" s="459" t="str">
        <f t="shared" ca="1" si="198"/>
        <v/>
      </c>
      <c r="H913" s="460" t="str">
        <f t="shared" ca="1" si="198"/>
        <v/>
      </c>
      <c r="I913" s="460" t="str">
        <f t="shared" ca="1" si="198"/>
        <v/>
      </c>
      <c r="J913" s="460" t="str">
        <f t="shared" ca="1" si="198"/>
        <v/>
      </c>
      <c r="K913" s="460" t="str">
        <f t="shared" ca="1" si="198"/>
        <v/>
      </c>
      <c r="L913" s="460" t="str">
        <f t="shared" ca="1" si="198"/>
        <v/>
      </c>
      <c r="M913" s="460" t="str">
        <f t="shared" ca="1" si="198"/>
        <v/>
      </c>
      <c r="N913" s="460" t="str">
        <f t="shared" ca="1" si="198"/>
        <v/>
      </c>
      <c r="O913" s="461" t="str">
        <f t="shared" ca="1" si="198"/>
        <v/>
      </c>
      <c r="P913" s="474" t="str">
        <f t="shared" ca="1" si="198"/>
        <v/>
      </c>
      <c r="Q913" s="475" t="str">
        <f t="shared" ca="1" si="198"/>
        <v/>
      </c>
      <c r="R913" s="476">
        <f ca="1">IF(OR($BG$2=0,$AR913=""),,IF($AR913="本月合计",IF(ROW()=$BG$3,SUM($R$6:$R912),SUM(INDIRECT("$R$"&amp;OFFSET($AU$3,,MATCH(ROW(),$AU$3:$BF$3,)-2)+2&amp;":$R"&amp;ROW()-1))),IF($AR913="本年累计",SUMIF($AR$6:$AR913,"本月合计",$R$6:$R912),INDEX(凭证录入!L:L,$AR913))))</f>
        <v>0</v>
      </c>
      <c r="S913" s="459" t="str">
        <f t="shared" ca="1" si="199"/>
        <v/>
      </c>
      <c r="T913" s="460" t="str">
        <f t="shared" ca="1" si="199"/>
        <v/>
      </c>
      <c r="U913" s="460" t="str">
        <f t="shared" ca="1" si="199"/>
        <v/>
      </c>
      <c r="V913" s="460" t="str">
        <f t="shared" ca="1" si="199"/>
        <v/>
      </c>
      <c r="W913" s="460" t="str">
        <f t="shared" ca="1" si="199"/>
        <v/>
      </c>
      <c r="X913" s="460" t="str">
        <f t="shared" ca="1" si="199"/>
        <v/>
      </c>
      <c r="Y913" s="460" t="str">
        <f t="shared" ca="1" si="199"/>
        <v/>
      </c>
      <c r="Z913" s="460" t="str">
        <f t="shared" ca="1" si="199"/>
        <v/>
      </c>
      <c r="AA913" s="461" t="str">
        <f t="shared" ca="1" si="199"/>
        <v/>
      </c>
      <c r="AB913" s="474" t="str">
        <f t="shared" ca="1" si="199"/>
        <v/>
      </c>
      <c r="AC913" s="475" t="str">
        <f t="shared" ca="1" si="199"/>
        <v/>
      </c>
      <c r="AD913" s="477" t="str">
        <f t="shared" ca="1" si="200"/>
        <v/>
      </c>
      <c r="AE913" s="478">
        <f t="shared" ca="1" si="201"/>
        <v>0</v>
      </c>
      <c r="AF913" s="459" t="str">
        <f t="shared" ca="1" si="197"/>
        <v/>
      </c>
      <c r="AG913" s="460" t="str">
        <f t="shared" ca="1" si="197"/>
        <v/>
      </c>
      <c r="AH913" s="460" t="str">
        <f t="shared" ca="1" si="197"/>
        <v/>
      </c>
      <c r="AI913" s="460" t="str">
        <f t="shared" ca="1" si="197"/>
        <v/>
      </c>
      <c r="AJ913" s="460" t="str">
        <f t="shared" ca="1" si="197"/>
        <v/>
      </c>
      <c r="AK913" s="460" t="str">
        <f t="shared" ca="1" si="197"/>
        <v/>
      </c>
      <c r="AL913" s="460" t="str">
        <f t="shared" ca="1" si="197"/>
        <v/>
      </c>
      <c r="AM913" s="460" t="str">
        <f t="shared" ca="1" si="197"/>
        <v/>
      </c>
      <c r="AN913" s="461" t="str">
        <f t="shared" ca="1" si="197"/>
        <v/>
      </c>
      <c r="AO913" s="474" t="str">
        <f t="shared" ca="1" si="197"/>
        <v/>
      </c>
      <c r="AP913" s="475" t="str">
        <f t="shared" ca="1" si="197"/>
        <v/>
      </c>
      <c r="AQ913" s="479" t="str">
        <f t="array" aca="1" ref="AQ913" ca="1">IF(ROW()-5&lt;=COUNTIF(科目编号,$AR$2),SMALL(IF(科目编号=$AR$2,ROW(科目编号),""),ROW()-5),"")</f>
        <v/>
      </c>
      <c r="AR913" s="480" t="str">
        <f ca="1">IF($BG$2=0,"",IF(AR912="本月合计","本年累计",IF(OR(ROW()=$AU$3,ROW()=$AV$3,ROW()=$AW$3,ROW()=$AX$3,ROW()=$AY$3,ROW()=$AZ$3,ROW()=$BA$3,ROW()=$BB$3,ROW()=$BC$3,ROW()=$BD$3,ROW()=$BE$3,ROW()=$BF$3),"本月合计",IF(ROW()&lt;7,$AQ$6,OFFSET($AQ$6,COUNT($AR$6:AR912),0)))))</f>
        <v/>
      </c>
    </row>
    <row r="914" spans="1:44">
      <c r="A914" s="469" t="str">
        <f ca="1">IFERROR(INDEX(凭证录入!A:A,$AR914),"")</f>
        <v/>
      </c>
      <c r="B914" s="469" t="str">
        <f ca="1">IFERROR(INDEX(凭证录入!B:B,$AR914),"")</f>
        <v/>
      </c>
      <c r="C914" s="470" t="str">
        <f ca="1">IFERROR(INDEX(凭证录入!G:G,$AR914),"")</f>
        <v/>
      </c>
      <c r="D914" s="471" t="str">
        <f ca="1">IFERROR(INDEX(凭证录入!F:F,$AR914),"")</f>
        <v/>
      </c>
      <c r="E914" s="472" t="str">
        <f ca="1">IFERROR(INDEX(凭证录入!H:H,$AR914),$AR914)</f>
        <v/>
      </c>
      <c r="F914" s="473">
        <f ca="1">IF(OR($BG$2=0,$AR914=""),,IF($AR914="本月合计",IF(ROW()=$BG$3,SUM($F$6:$F913),SUM(INDIRECT("$F$"&amp;OFFSET($AU$3,,MATCH(ROW(),$AU$3:$BF$3,)-2)+2&amp;":$E"&amp;ROW()-1))),IF($AR914="本年累计",SUMIF($AR$6:$AR914,"本月合计",$F$6:$F913),INDEX(凭证录入!K:K,$AR914))))</f>
        <v>0</v>
      </c>
      <c r="G914" s="459" t="str">
        <f t="shared" ca="1" si="198"/>
        <v/>
      </c>
      <c r="H914" s="460" t="str">
        <f t="shared" ca="1" si="198"/>
        <v/>
      </c>
      <c r="I914" s="460" t="str">
        <f t="shared" ca="1" si="198"/>
        <v/>
      </c>
      <c r="J914" s="460" t="str">
        <f t="shared" ca="1" si="198"/>
        <v/>
      </c>
      <c r="K914" s="460" t="str">
        <f t="shared" ca="1" si="198"/>
        <v/>
      </c>
      <c r="L914" s="460" t="str">
        <f t="shared" ca="1" si="198"/>
        <v/>
      </c>
      <c r="M914" s="460" t="str">
        <f t="shared" ca="1" si="198"/>
        <v/>
      </c>
      <c r="N914" s="460" t="str">
        <f t="shared" ca="1" si="198"/>
        <v/>
      </c>
      <c r="O914" s="461" t="str">
        <f t="shared" ca="1" si="198"/>
        <v/>
      </c>
      <c r="P914" s="474" t="str">
        <f t="shared" ca="1" si="198"/>
        <v/>
      </c>
      <c r="Q914" s="475" t="str">
        <f t="shared" ca="1" si="198"/>
        <v/>
      </c>
      <c r="R914" s="476">
        <f ca="1">IF(OR($BG$2=0,$AR914=""),,IF($AR914="本月合计",IF(ROW()=$BG$3,SUM($R$6:$R913),SUM(INDIRECT("$R$"&amp;OFFSET($AU$3,,MATCH(ROW(),$AU$3:$BF$3,)-2)+2&amp;":$R"&amp;ROW()-1))),IF($AR914="本年累计",SUMIF($AR$6:$AR914,"本月合计",$R$6:$R913),INDEX(凭证录入!L:L,$AR914))))</f>
        <v>0</v>
      </c>
      <c r="S914" s="459" t="str">
        <f t="shared" ca="1" si="199"/>
        <v/>
      </c>
      <c r="T914" s="460" t="str">
        <f t="shared" ca="1" si="199"/>
        <v/>
      </c>
      <c r="U914" s="460" t="str">
        <f t="shared" ca="1" si="199"/>
        <v/>
      </c>
      <c r="V914" s="460" t="str">
        <f t="shared" ca="1" si="199"/>
        <v/>
      </c>
      <c r="W914" s="460" t="str">
        <f t="shared" ca="1" si="199"/>
        <v/>
      </c>
      <c r="X914" s="460" t="str">
        <f t="shared" ca="1" si="199"/>
        <v/>
      </c>
      <c r="Y914" s="460" t="str">
        <f t="shared" ca="1" si="199"/>
        <v/>
      </c>
      <c r="Z914" s="460" t="str">
        <f t="shared" ca="1" si="199"/>
        <v/>
      </c>
      <c r="AA914" s="461" t="str">
        <f t="shared" ca="1" si="199"/>
        <v/>
      </c>
      <c r="AB914" s="474" t="str">
        <f t="shared" ca="1" si="199"/>
        <v/>
      </c>
      <c r="AC914" s="475" t="str">
        <f t="shared" ca="1" si="199"/>
        <v/>
      </c>
      <c r="AD914" s="477" t="str">
        <f t="shared" ca="1" si="200"/>
        <v/>
      </c>
      <c r="AE914" s="478">
        <f t="shared" ca="1" si="201"/>
        <v>0</v>
      </c>
      <c r="AF914" s="459" t="str">
        <f t="shared" ca="1" si="197"/>
        <v/>
      </c>
      <c r="AG914" s="460" t="str">
        <f t="shared" ca="1" si="197"/>
        <v/>
      </c>
      <c r="AH914" s="460" t="str">
        <f t="shared" ca="1" si="197"/>
        <v/>
      </c>
      <c r="AI914" s="460" t="str">
        <f t="shared" ca="1" si="197"/>
        <v/>
      </c>
      <c r="AJ914" s="460" t="str">
        <f t="shared" ca="1" si="197"/>
        <v/>
      </c>
      <c r="AK914" s="460" t="str">
        <f t="shared" ca="1" si="197"/>
        <v/>
      </c>
      <c r="AL914" s="460" t="str">
        <f t="shared" ca="1" si="197"/>
        <v/>
      </c>
      <c r="AM914" s="460" t="str">
        <f t="shared" ca="1" si="197"/>
        <v/>
      </c>
      <c r="AN914" s="461" t="str">
        <f t="shared" ca="1" si="197"/>
        <v/>
      </c>
      <c r="AO914" s="474" t="str">
        <f t="shared" ca="1" si="197"/>
        <v/>
      </c>
      <c r="AP914" s="475" t="str">
        <f t="shared" ca="1" si="197"/>
        <v/>
      </c>
      <c r="AQ914" s="479" t="str">
        <f t="array" aca="1" ref="AQ914" ca="1">IF(ROW()-5&lt;=COUNTIF(科目编号,$AR$2),SMALL(IF(科目编号=$AR$2,ROW(科目编号),""),ROW()-5),"")</f>
        <v/>
      </c>
      <c r="AR914" s="480" t="str">
        <f ca="1">IF($BG$2=0,"",IF(AR913="本月合计","本年累计",IF(OR(ROW()=$AU$3,ROW()=$AV$3,ROW()=$AW$3,ROW()=$AX$3,ROW()=$AY$3,ROW()=$AZ$3,ROW()=$BA$3,ROW()=$BB$3,ROW()=$BC$3,ROW()=$BD$3,ROW()=$BE$3,ROW()=$BF$3),"本月合计",IF(ROW()&lt;7,$AQ$6,OFFSET($AQ$6,COUNT($AR$6:AR913),0)))))</f>
        <v/>
      </c>
    </row>
    <row r="915" spans="1:44">
      <c r="A915" s="469" t="str">
        <f ca="1">IFERROR(INDEX(凭证录入!A:A,$AR915),"")</f>
        <v/>
      </c>
      <c r="B915" s="469" t="str">
        <f ca="1">IFERROR(INDEX(凭证录入!B:B,$AR915),"")</f>
        <v/>
      </c>
      <c r="C915" s="470" t="str">
        <f ca="1">IFERROR(INDEX(凭证录入!G:G,$AR915),"")</f>
        <v/>
      </c>
      <c r="D915" s="471" t="str">
        <f ca="1">IFERROR(INDEX(凭证录入!F:F,$AR915),"")</f>
        <v/>
      </c>
      <c r="E915" s="472" t="str">
        <f ca="1">IFERROR(INDEX(凭证录入!H:H,$AR915),$AR915)</f>
        <v/>
      </c>
      <c r="F915" s="473">
        <f ca="1">IF(OR($BG$2=0,$AR915=""),,IF($AR915="本月合计",IF(ROW()=$BG$3,SUM($F$6:$F914),SUM(INDIRECT("$F$"&amp;OFFSET($AU$3,,MATCH(ROW(),$AU$3:$BF$3,)-2)+2&amp;":$E"&amp;ROW()-1))),IF($AR915="本年累计",SUMIF($AR$6:$AR915,"本月合计",$F$6:$F914),INDEX(凭证录入!K:K,$AR915))))</f>
        <v>0</v>
      </c>
      <c r="G915" s="459" t="str">
        <f t="shared" ca="1" si="198"/>
        <v/>
      </c>
      <c r="H915" s="460" t="str">
        <f t="shared" ca="1" si="198"/>
        <v/>
      </c>
      <c r="I915" s="460" t="str">
        <f t="shared" ca="1" si="198"/>
        <v/>
      </c>
      <c r="J915" s="460" t="str">
        <f t="shared" ca="1" si="198"/>
        <v/>
      </c>
      <c r="K915" s="460" t="str">
        <f t="shared" ca="1" si="198"/>
        <v/>
      </c>
      <c r="L915" s="460" t="str">
        <f t="shared" ca="1" si="198"/>
        <v/>
      </c>
      <c r="M915" s="460" t="str">
        <f t="shared" ca="1" si="198"/>
        <v/>
      </c>
      <c r="N915" s="460" t="str">
        <f t="shared" ca="1" si="198"/>
        <v/>
      </c>
      <c r="O915" s="461" t="str">
        <f t="shared" ca="1" si="198"/>
        <v/>
      </c>
      <c r="P915" s="474" t="str">
        <f t="shared" ca="1" si="198"/>
        <v/>
      </c>
      <c r="Q915" s="475" t="str">
        <f t="shared" ca="1" si="198"/>
        <v/>
      </c>
      <c r="R915" s="476">
        <f ca="1">IF(OR($BG$2=0,$AR915=""),,IF($AR915="本月合计",IF(ROW()=$BG$3,SUM($R$6:$R914),SUM(INDIRECT("$R$"&amp;OFFSET($AU$3,,MATCH(ROW(),$AU$3:$BF$3,)-2)+2&amp;":$R"&amp;ROW()-1))),IF($AR915="本年累计",SUMIF($AR$6:$AR915,"本月合计",$R$6:$R914),INDEX(凭证录入!L:L,$AR915))))</f>
        <v>0</v>
      </c>
      <c r="S915" s="459" t="str">
        <f t="shared" ca="1" si="199"/>
        <v/>
      </c>
      <c r="T915" s="460" t="str">
        <f t="shared" ca="1" si="199"/>
        <v/>
      </c>
      <c r="U915" s="460" t="str">
        <f t="shared" ca="1" si="199"/>
        <v/>
      </c>
      <c r="V915" s="460" t="str">
        <f t="shared" ca="1" si="199"/>
        <v/>
      </c>
      <c r="W915" s="460" t="str">
        <f t="shared" ca="1" si="199"/>
        <v/>
      </c>
      <c r="X915" s="460" t="str">
        <f t="shared" ca="1" si="199"/>
        <v/>
      </c>
      <c r="Y915" s="460" t="str">
        <f t="shared" ca="1" si="199"/>
        <v/>
      </c>
      <c r="Z915" s="460" t="str">
        <f t="shared" ca="1" si="199"/>
        <v/>
      </c>
      <c r="AA915" s="461" t="str">
        <f t="shared" ca="1" si="199"/>
        <v/>
      </c>
      <c r="AB915" s="474" t="str">
        <f t="shared" ca="1" si="199"/>
        <v/>
      </c>
      <c r="AC915" s="475" t="str">
        <f t="shared" ca="1" si="199"/>
        <v/>
      </c>
      <c r="AD915" s="477" t="str">
        <f t="shared" ca="1" si="200"/>
        <v/>
      </c>
      <c r="AE915" s="478">
        <f t="shared" ca="1" si="201"/>
        <v>0</v>
      </c>
      <c r="AF915" s="459" t="str">
        <f t="shared" ca="1" si="197"/>
        <v/>
      </c>
      <c r="AG915" s="460" t="str">
        <f t="shared" ca="1" si="197"/>
        <v/>
      </c>
      <c r="AH915" s="460" t="str">
        <f t="shared" ca="1" si="197"/>
        <v/>
      </c>
      <c r="AI915" s="460" t="str">
        <f t="shared" ca="1" si="197"/>
        <v/>
      </c>
      <c r="AJ915" s="460" t="str">
        <f t="shared" ca="1" si="197"/>
        <v/>
      </c>
      <c r="AK915" s="460" t="str">
        <f t="shared" ca="1" si="197"/>
        <v/>
      </c>
      <c r="AL915" s="460" t="str">
        <f t="shared" ca="1" si="197"/>
        <v/>
      </c>
      <c r="AM915" s="460" t="str">
        <f t="shared" ca="1" si="197"/>
        <v/>
      </c>
      <c r="AN915" s="461" t="str">
        <f t="shared" ca="1" si="197"/>
        <v/>
      </c>
      <c r="AO915" s="474" t="str">
        <f t="shared" ca="1" si="197"/>
        <v/>
      </c>
      <c r="AP915" s="475" t="str">
        <f t="shared" ca="1" si="197"/>
        <v/>
      </c>
      <c r="AQ915" s="479" t="str">
        <f t="array" aca="1" ref="AQ915" ca="1">IF(ROW()-5&lt;=COUNTIF(科目编号,$AR$2),SMALL(IF(科目编号=$AR$2,ROW(科目编号),""),ROW()-5),"")</f>
        <v/>
      </c>
      <c r="AR915" s="480" t="str">
        <f ca="1">IF($BG$2=0,"",IF(AR914="本月合计","本年累计",IF(OR(ROW()=$AU$3,ROW()=$AV$3,ROW()=$AW$3,ROW()=$AX$3,ROW()=$AY$3,ROW()=$AZ$3,ROW()=$BA$3,ROW()=$BB$3,ROW()=$BC$3,ROW()=$BD$3,ROW()=$BE$3,ROW()=$BF$3),"本月合计",IF(ROW()&lt;7,$AQ$6,OFFSET($AQ$6,COUNT($AR$6:AR914),0)))))</f>
        <v/>
      </c>
    </row>
    <row r="916" spans="1:44">
      <c r="A916" s="469" t="str">
        <f ca="1">IFERROR(INDEX(凭证录入!A:A,$AR916),"")</f>
        <v/>
      </c>
      <c r="B916" s="469" t="str">
        <f ca="1">IFERROR(INDEX(凭证录入!B:B,$AR916),"")</f>
        <v/>
      </c>
      <c r="C916" s="470" t="str">
        <f ca="1">IFERROR(INDEX(凭证录入!G:G,$AR916),"")</f>
        <v/>
      </c>
      <c r="D916" s="471" t="str">
        <f ca="1">IFERROR(INDEX(凭证录入!F:F,$AR916),"")</f>
        <v/>
      </c>
      <c r="E916" s="472" t="str">
        <f ca="1">IFERROR(INDEX(凭证录入!H:H,$AR916),$AR916)</f>
        <v/>
      </c>
      <c r="F916" s="473">
        <f ca="1">IF(OR($BG$2=0,$AR916=""),,IF($AR916="本月合计",IF(ROW()=$BG$3,SUM($F$6:$F915),SUM(INDIRECT("$F$"&amp;OFFSET($AU$3,,MATCH(ROW(),$AU$3:$BF$3,)-2)+2&amp;":$E"&amp;ROW()-1))),IF($AR916="本年累计",SUMIF($AR$6:$AR916,"本月合计",$F$6:$F915),INDEX(凭证录入!K:K,$AR916))))</f>
        <v>0</v>
      </c>
      <c r="G916" s="459" t="str">
        <f t="shared" ca="1" si="198"/>
        <v/>
      </c>
      <c r="H916" s="460" t="str">
        <f t="shared" ca="1" si="198"/>
        <v/>
      </c>
      <c r="I916" s="460" t="str">
        <f t="shared" ca="1" si="198"/>
        <v/>
      </c>
      <c r="J916" s="460" t="str">
        <f t="shared" ca="1" si="198"/>
        <v/>
      </c>
      <c r="K916" s="460" t="str">
        <f t="shared" ca="1" si="198"/>
        <v/>
      </c>
      <c r="L916" s="460" t="str">
        <f t="shared" ca="1" si="198"/>
        <v/>
      </c>
      <c r="M916" s="460" t="str">
        <f t="shared" ca="1" si="198"/>
        <v/>
      </c>
      <c r="N916" s="460" t="str">
        <f t="shared" ca="1" si="198"/>
        <v/>
      </c>
      <c r="O916" s="461" t="str">
        <f t="shared" ca="1" si="198"/>
        <v/>
      </c>
      <c r="P916" s="474" t="str">
        <f t="shared" ca="1" si="198"/>
        <v/>
      </c>
      <c r="Q916" s="475" t="str">
        <f t="shared" ca="1" si="198"/>
        <v/>
      </c>
      <c r="R916" s="476">
        <f ca="1">IF(OR($BG$2=0,$AR916=""),,IF($AR916="本月合计",IF(ROW()=$BG$3,SUM($R$6:$R915),SUM(INDIRECT("$R$"&amp;OFFSET($AU$3,,MATCH(ROW(),$AU$3:$BF$3,)-2)+2&amp;":$R"&amp;ROW()-1))),IF($AR916="本年累计",SUMIF($AR$6:$AR916,"本月合计",$R$6:$R915),INDEX(凭证录入!L:L,$AR916))))</f>
        <v>0</v>
      </c>
      <c r="S916" s="459" t="str">
        <f t="shared" ca="1" si="199"/>
        <v/>
      </c>
      <c r="T916" s="460" t="str">
        <f t="shared" ca="1" si="199"/>
        <v/>
      </c>
      <c r="U916" s="460" t="str">
        <f t="shared" ca="1" si="199"/>
        <v/>
      </c>
      <c r="V916" s="460" t="str">
        <f t="shared" ca="1" si="199"/>
        <v/>
      </c>
      <c r="W916" s="460" t="str">
        <f t="shared" ca="1" si="199"/>
        <v/>
      </c>
      <c r="X916" s="460" t="str">
        <f t="shared" ca="1" si="199"/>
        <v/>
      </c>
      <c r="Y916" s="460" t="str">
        <f t="shared" ca="1" si="199"/>
        <v/>
      </c>
      <c r="Z916" s="460" t="str">
        <f t="shared" ca="1" si="199"/>
        <v/>
      </c>
      <c r="AA916" s="461" t="str">
        <f t="shared" ca="1" si="199"/>
        <v/>
      </c>
      <c r="AB916" s="474" t="str">
        <f t="shared" ca="1" si="199"/>
        <v/>
      </c>
      <c r="AC916" s="475" t="str">
        <f t="shared" ca="1" si="199"/>
        <v/>
      </c>
      <c r="AD916" s="477" t="str">
        <f t="shared" ca="1" si="200"/>
        <v/>
      </c>
      <c r="AE916" s="478">
        <f t="shared" ca="1" si="201"/>
        <v>0</v>
      </c>
      <c r="AF916" s="459" t="str">
        <f t="shared" ca="1" si="197"/>
        <v/>
      </c>
      <c r="AG916" s="460" t="str">
        <f t="shared" ca="1" si="197"/>
        <v/>
      </c>
      <c r="AH916" s="460" t="str">
        <f t="shared" ca="1" si="197"/>
        <v/>
      </c>
      <c r="AI916" s="460" t="str">
        <f t="shared" ca="1" si="197"/>
        <v/>
      </c>
      <c r="AJ916" s="460" t="str">
        <f t="shared" ca="1" si="197"/>
        <v/>
      </c>
      <c r="AK916" s="460" t="str">
        <f t="shared" ca="1" si="197"/>
        <v/>
      </c>
      <c r="AL916" s="460" t="str">
        <f t="shared" ca="1" si="197"/>
        <v/>
      </c>
      <c r="AM916" s="460" t="str">
        <f t="shared" ca="1" si="197"/>
        <v/>
      </c>
      <c r="AN916" s="461" t="str">
        <f t="shared" ca="1" si="197"/>
        <v/>
      </c>
      <c r="AO916" s="474" t="str">
        <f t="shared" ca="1" si="197"/>
        <v/>
      </c>
      <c r="AP916" s="475" t="str">
        <f t="shared" ca="1" si="197"/>
        <v/>
      </c>
      <c r="AQ916" s="479" t="str">
        <f t="array" aca="1" ref="AQ916" ca="1">IF(ROW()-5&lt;=COUNTIF(科目编号,$AR$2),SMALL(IF(科目编号=$AR$2,ROW(科目编号),""),ROW()-5),"")</f>
        <v/>
      </c>
      <c r="AR916" s="480" t="str">
        <f ca="1">IF($BG$2=0,"",IF(AR915="本月合计","本年累计",IF(OR(ROW()=$AU$3,ROW()=$AV$3,ROW()=$AW$3,ROW()=$AX$3,ROW()=$AY$3,ROW()=$AZ$3,ROW()=$BA$3,ROW()=$BB$3,ROW()=$BC$3,ROW()=$BD$3,ROW()=$BE$3,ROW()=$BF$3),"本月合计",IF(ROW()&lt;7,$AQ$6,OFFSET($AQ$6,COUNT($AR$6:AR915),0)))))</f>
        <v/>
      </c>
    </row>
    <row r="917" spans="1:44">
      <c r="A917" s="469" t="str">
        <f ca="1">IFERROR(INDEX(凭证录入!A:A,$AR917),"")</f>
        <v/>
      </c>
      <c r="B917" s="469" t="str">
        <f ca="1">IFERROR(INDEX(凭证录入!B:B,$AR917),"")</f>
        <v/>
      </c>
      <c r="C917" s="470" t="str">
        <f ca="1">IFERROR(INDEX(凭证录入!G:G,$AR917),"")</f>
        <v/>
      </c>
      <c r="D917" s="471" t="str">
        <f ca="1">IFERROR(INDEX(凭证录入!F:F,$AR917),"")</f>
        <v/>
      </c>
      <c r="E917" s="472" t="str">
        <f ca="1">IFERROR(INDEX(凭证录入!H:H,$AR917),$AR917)</f>
        <v/>
      </c>
      <c r="F917" s="473">
        <f ca="1">IF(OR($BG$2=0,$AR917=""),,IF($AR917="本月合计",IF(ROW()=$BG$3,SUM($F$6:$F916),SUM(INDIRECT("$F$"&amp;OFFSET($AU$3,,MATCH(ROW(),$AU$3:$BF$3,)-2)+2&amp;":$E"&amp;ROW()-1))),IF($AR917="本年累计",SUMIF($AR$6:$AR917,"本月合计",$F$6:$F916),INDEX(凭证录入!K:K,$AR917))))</f>
        <v>0</v>
      </c>
      <c r="G917" s="459" t="str">
        <f t="shared" ca="1" si="198"/>
        <v/>
      </c>
      <c r="H917" s="460" t="str">
        <f t="shared" ca="1" si="198"/>
        <v/>
      </c>
      <c r="I917" s="460" t="str">
        <f t="shared" ca="1" si="198"/>
        <v/>
      </c>
      <c r="J917" s="460" t="str">
        <f t="shared" ca="1" si="198"/>
        <v/>
      </c>
      <c r="K917" s="460" t="str">
        <f t="shared" ca="1" si="198"/>
        <v/>
      </c>
      <c r="L917" s="460" t="str">
        <f t="shared" ca="1" si="198"/>
        <v/>
      </c>
      <c r="M917" s="460" t="str">
        <f t="shared" ca="1" si="198"/>
        <v/>
      </c>
      <c r="N917" s="460" t="str">
        <f t="shared" ca="1" si="198"/>
        <v/>
      </c>
      <c r="O917" s="461" t="str">
        <f t="shared" ca="1" si="198"/>
        <v/>
      </c>
      <c r="P917" s="474" t="str">
        <f t="shared" ca="1" si="198"/>
        <v/>
      </c>
      <c r="Q917" s="475" t="str">
        <f t="shared" ca="1" si="198"/>
        <v/>
      </c>
      <c r="R917" s="476">
        <f ca="1">IF(OR($BG$2=0,$AR917=""),,IF($AR917="本月合计",IF(ROW()=$BG$3,SUM($R$6:$R916),SUM(INDIRECT("$R$"&amp;OFFSET($AU$3,,MATCH(ROW(),$AU$3:$BF$3,)-2)+2&amp;":$R"&amp;ROW()-1))),IF($AR917="本年累计",SUMIF($AR$6:$AR917,"本月合计",$R$6:$R916),INDEX(凭证录入!L:L,$AR917))))</f>
        <v>0</v>
      </c>
      <c r="S917" s="459" t="str">
        <f t="shared" ca="1" si="199"/>
        <v/>
      </c>
      <c r="T917" s="460" t="str">
        <f t="shared" ca="1" si="199"/>
        <v/>
      </c>
      <c r="U917" s="460" t="str">
        <f t="shared" ca="1" si="199"/>
        <v/>
      </c>
      <c r="V917" s="460" t="str">
        <f t="shared" ca="1" si="199"/>
        <v/>
      </c>
      <c r="W917" s="460" t="str">
        <f t="shared" ca="1" si="199"/>
        <v/>
      </c>
      <c r="X917" s="460" t="str">
        <f t="shared" ca="1" si="199"/>
        <v/>
      </c>
      <c r="Y917" s="460" t="str">
        <f t="shared" ca="1" si="199"/>
        <v/>
      </c>
      <c r="Z917" s="460" t="str">
        <f t="shared" ca="1" si="199"/>
        <v/>
      </c>
      <c r="AA917" s="461" t="str">
        <f t="shared" ca="1" si="199"/>
        <v/>
      </c>
      <c r="AB917" s="474" t="str">
        <f t="shared" ca="1" si="199"/>
        <v/>
      </c>
      <c r="AC917" s="475" t="str">
        <f t="shared" ca="1" si="199"/>
        <v/>
      </c>
      <c r="AD917" s="477" t="str">
        <f t="shared" ca="1" si="200"/>
        <v/>
      </c>
      <c r="AE917" s="478">
        <f t="shared" ca="1" si="201"/>
        <v>0</v>
      </c>
      <c r="AF917" s="459" t="str">
        <f t="shared" ref="AF917:AP932" ca="1" si="202">LEFT(RIGHT(TEXT($AE917/1%," ￥0; ￥-0;"),43-COLUMN()))</f>
        <v/>
      </c>
      <c r="AG917" s="460" t="str">
        <f t="shared" ca="1" si="202"/>
        <v/>
      </c>
      <c r="AH917" s="460" t="str">
        <f t="shared" ca="1" si="202"/>
        <v/>
      </c>
      <c r="AI917" s="460" t="str">
        <f t="shared" ca="1" si="202"/>
        <v/>
      </c>
      <c r="AJ917" s="460" t="str">
        <f t="shared" ca="1" si="202"/>
        <v/>
      </c>
      <c r="AK917" s="460" t="str">
        <f t="shared" ca="1" si="202"/>
        <v/>
      </c>
      <c r="AL917" s="460" t="str">
        <f t="shared" ca="1" si="202"/>
        <v/>
      </c>
      <c r="AM917" s="460" t="str">
        <f t="shared" ca="1" si="202"/>
        <v/>
      </c>
      <c r="AN917" s="461" t="str">
        <f t="shared" ca="1" si="202"/>
        <v/>
      </c>
      <c r="AO917" s="474" t="str">
        <f t="shared" ca="1" si="202"/>
        <v/>
      </c>
      <c r="AP917" s="475" t="str">
        <f t="shared" ca="1" si="202"/>
        <v/>
      </c>
      <c r="AQ917" s="479" t="str">
        <f t="array" aca="1" ref="AQ917" ca="1">IF(ROW()-5&lt;=COUNTIF(科目编号,$AR$2),SMALL(IF(科目编号=$AR$2,ROW(科目编号),""),ROW()-5),"")</f>
        <v/>
      </c>
      <c r="AR917" s="480" t="str">
        <f ca="1">IF($BG$2=0,"",IF(AR916="本月合计","本年累计",IF(OR(ROW()=$AU$3,ROW()=$AV$3,ROW()=$AW$3,ROW()=$AX$3,ROW()=$AY$3,ROW()=$AZ$3,ROW()=$BA$3,ROW()=$BB$3,ROW()=$BC$3,ROW()=$BD$3,ROW()=$BE$3,ROW()=$BF$3),"本月合计",IF(ROW()&lt;7,$AQ$6,OFFSET($AQ$6,COUNT($AR$6:AR916),0)))))</f>
        <v/>
      </c>
    </row>
    <row r="918" spans="1:44">
      <c r="A918" s="469" t="str">
        <f ca="1">IFERROR(INDEX(凭证录入!A:A,$AR918),"")</f>
        <v/>
      </c>
      <c r="B918" s="469" t="str">
        <f ca="1">IFERROR(INDEX(凭证录入!B:B,$AR918),"")</f>
        <v/>
      </c>
      <c r="C918" s="470" t="str">
        <f ca="1">IFERROR(INDEX(凭证录入!G:G,$AR918),"")</f>
        <v/>
      </c>
      <c r="D918" s="471" t="str">
        <f ca="1">IFERROR(INDEX(凭证录入!F:F,$AR918),"")</f>
        <v/>
      </c>
      <c r="E918" s="472" t="str">
        <f ca="1">IFERROR(INDEX(凭证录入!H:H,$AR918),$AR918)</f>
        <v/>
      </c>
      <c r="F918" s="473">
        <f ca="1">IF(OR($BG$2=0,$AR918=""),,IF($AR918="本月合计",IF(ROW()=$BG$3,SUM($F$6:$F917),SUM(INDIRECT("$F$"&amp;OFFSET($AU$3,,MATCH(ROW(),$AU$3:$BF$3,)-2)+2&amp;":$E"&amp;ROW()-1))),IF($AR918="本年累计",SUMIF($AR$6:$AR918,"本月合计",$F$6:$F917),INDEX(凭证录入!K:K,$AR918))))</f>
        <v>0</v>
      </c>
      <c r="G918" s="459" t="str">
        <f t="shared" ref="G918:Q933" ca="1" si="203">LEFT(RIGHT(TEXT($F918/1%," ￥0; ￥-0;"),18-COLUMN()))</f>
        <v/>
      </c>
      <c r="H918" s="460" t="str">
        <f t="shared" ca="1" si="203"/>
        <v/>
      </c>
      <c r="I918" s="460" t="str">
        <f t="shared" ca="1" si="203"/>
        <v/>
      </c>
      <c r="J918" s="460" t="str">
        <f t="shared" ca="1" si="203"/>
        <v/>
      </c>
      <c r="K918" s="460" t="str">
        <f t="shared" ca="1" si="203"/>
        <v/>
      </c>
      <c r="L918" s="460" t="str">
        <f t="shared" ca="1" si="203"/>
        <v/>
      </c>
      <c r="M918" s="460" t="str">
        <f t="shared" ca="1" si="203"/>
        <v/>
      </c>
      <c r="N918" s="460" t="str">
        <f t="shared" ca="1" si="203"/>
        <v/>
      </c>
      <c r="O918" s="461" t="str">
        <f t="shared" ca="1" si="203"/>
        <v/>
      </c>
      <c r="P918" s="474" t="str">
        <f t="shared" ca="1" si="203"/>
        <v/>
      </c>
      <c r="Q918" s="475" t="str">
        <f t="shared" ca="1" si="203"/>
        <v/>
      </c>
      <c r="R918" s="476">
        <f ca="1">IF(OR($BG$2=0,$AR918=""),,IF($AR918="本月合计",IF(ROW()=$BG$3,SUM($R$6:$R917),SUM(INDIRECT("$R$"&amp;OFFSET($AU$3,,MATCH(ROW(),$AU$3:$BF$3,)-2)+2&amp;":$R"&amp;ROW()-1))),IF($AR918="本年累计",SUMIF($AR$6:$AR918,"本月合计",$R$6:$R917),INDEX(凭证录入!L:L,$AR918))))</f>
        <v>0</v>
      </c>
      <c r="S918" s="459" t="str">
        <f t="shared" ref="S918:AC933" ca="1" si="204">LEFT(RIGHT(TEXT($R918/1%," ￥0; ￥-0;"),30-COLUMN()))</f>
        <v/>
      </c>
      <c r="T918" s="460" t="str">
        <f t="shared" ca="1" si="204"/>
        <v/>
      </c>
      <c r="U918" s="460" t="str">
        <f t="shared" ca="1" si="204"/>
        <v/>
      </c>
      <c r="V918" s="460" t="str">
        <f t="shared" ca="1" si="204"/>
        <v/>
      </c>
      <c r="W918" s="460" t="str">
        <f t="shared" ca="1" si="204"/>
        <v/>
      </c>
      <c r="X918" s="460" t="str">
        <f t="shared" ca="1" si="204"/>
        <v/>
      </c>
      <c r="Y918" s="460" t="str">
        <f t="shared" ca="1" si="204"/>
        <v/>
      </c>
      <c r="Z918" s="460" t="str">
        <f t="shared" ca="1" si="204"/>
        <v/>
      </c>
      <c r="AA918" s="461" t="str">
        <f t="shared" ca="1" si="204"/>
        <v/>
      </c>
      <c r="AB918" s="474" t="str">
        <f t="shared" ca="1" si="204"/>
        <v/>
      </c>
      <c r="AC918" s="475" t="str">
        <f t="shared" ca="1" si="204"/>
        <v/>
      </c>
      <c r="AD918" s="477" t="str">
        <f t="shared" ca="1" si="200"/>
        <v/>
      </c>
      <c r="AE918" s="478">
        <f t="shared" ca="1" si="201"/>
        <v>0</v>
      </c>
      <c r="AF918" s="459" t="str">
        <f t="shared" ca="1" si="202"/>
        <v/>
      </c>
      <c r="AG918" s="460" t="str">
        <f t="shared" ca="1" si="202"/>
        <v/>
      </c>
      <c r="AH918" s="460" t="str">
        <f t="shared" ca="1" si="202"/>
        <v/>
      </c>
      <c r="AI918" s="460" t="str">
        <f t="shared" ca="1" si="202"/>
        <v/>
      </c>
      <c r="AJ918" s="460" t="str">
        <f t="shared" ca="1" si="202"/>
        <v/>
      </c>
      <c r="AK918" s="460" t="str">
        <f t="shared" ca="1" si="202"/>
        <v/>
      </c>
      <c r="AL918" s="460" t="str">
        <f t="shared" ca="1" si="202"/>
        <v/>
      </c>
      <c r="AM918" s="460" t="str">
        <f t="shared" ca="1" si="202"/>
        <v/>
      </c>
      <c r="AN918" s="461" t="str">
        <f t="shared" ca="1" si="202"/>
        <v/>
      </c>
      <c r="AO918" s="474" t="str">
        <f t="shared" ca="1" si="202"/>
        <v/>
      </c>
      <c r="AP918" s="475" t="str">
        <f t="shared" ca="1" si="202"/>
        <v/>
      </c>
      <c r="AQ918" s="479" t="str">
        <f t="array" aca="1" ref="AQ918" ca="1">IF(ROW()-5&lt;=COUNTIF(科目编号,$AR$2),SMALL(IF(科目编号=$AR$2,ROW(科目编号),""),ROW()-5),"")</f>
        <v/>
      </c>
      <c r="AR918" s="480" t="str">
        <f ca="1">IF($BG$2=0,"",IF(AR917="本月合计","本年累计",IF(OR(ROW()=$AU$3,ROW()=$AV$3,ROW()=$AW$3,ROW()=$AX$3,ROW()=$AY$3,ROW()=$AZ$3,ROW()=$BA$3,ROW()=$BB$3,ROW()=$BC$3,ROW()=$BD$3,ROW()=$BE$3,ROW()=$BF$3),"本月合计",IF(ROW()&lt;7,$AQ$6,OFFSET($AQ$6,COUNT($AR$6:AR917),0)))))</f>
        <v/>
      </c>
    </row>
    <row r="919" spans="1:44">
      <c r="A919" s="469" t="str">
        <f ca="1">IFERROR(INDEX(凭证录入!A:A,$AR919),"")</f>
        <v/>
      </c>
      <c r="B919" s="469" t="str">
        <f ca="1">IFERROR(INDEX(凭证录入!B:B,$AR919),"")</f>
        <v/>
      </c>
      <c r="C919" s="470" t="str">
        <f ca="1">IFERROR(INDEX(凭证录入!G:G,$AR919),"")</f>
        <v/>
      </c>
      <c r="D919" s="471" t="str">
        <f ca="1">IFERROR(INDEX(凭证录入!F:F,$AR919),"")</f>
        <v/>
      </c>
      <c r="E919" s="472" t="str">
        <f ca="1">IFERROR(INDEX(凭证录入!H:H,$AR919),$AR919)</f>
        <v/>
      </c>
      <c r="F919" s="473">
        <f ca="1">IF(OR($BG$2=0,$AR919=""),,IF($AR919="本月合计",IF(ROW()=$BG$3,SUM($F$6:$F918),SUM(INDIRECT("$F$"&amp;OFFSET($AU$3,,MATCH(ROW(),$AU$3:$BF$3,)-2)+2&amp;":$E"&amp;ROW()-1))),IF($AR919="本年累计",SUMIF($AR$6:$AR919,"本月合计",$F$6:$F918),INDEX(凭证录入!K:K,$AR919))))</f>
        <v>0</v>
      </c>
      <c r="G919" s="459" t="str">
        <f t="shared" ca="1" si="203"/>
        <v/>
      </c>
      <c r="H919" s="460" t="str">
        <f t="shared" ca="1" si="203"/>
        <v/>
      </c>
      <c r="I919" s="460" t="str">
        <f t="shared" ca="1" si="203"/>
        <v/>
      </c>
      <c r="J919" s="460" t="str">
        <f t="shared" ca="1" si="203"/>
        <v/>
      </c>
      <c r="K919" s="460" t="str">
        <f t="shared" ca="1" si="203"/>
        <v/>
      </c>
      <c r="L919" s="460" t="str">
        <f t="shared" ca="1" si="203"/>
        <v/>
      </c>
      <c r="M919" s="460" t="str">
        <f t="shared" ca="1" si="203"/>
        <v/>
      </c>
      <c r="N919" s="460" t="str">
        <f t="shared" ca="1" si="203"/>
        <v/>
      </c>
      <c r="O919" s="461" t="str">
        <f t="shared" ca="1" si="203"/>
        <v/>
      </c>
      <c r="P919" s="474" t="str">
        <f t="shared" ca="1" si="203"/>
        <v/>
      </c>
      <c r="Q919" s="475" t="str">
        <f t="shared" ca="1" si="203"/>
        <v/>
      </c>
      <c r="R919" s="476">
        <f ca="1">IF(OR($BG$2=0,$AR919=""),,IF($AR919="本月合计",IF(ROW()=$BG$3,SUM($R$6:$R918),SUM(INDIRECT("$R$"&amp;OFFSET($AU$3,,MATCH(ROW(),$AU$3:$BF$3,)-2)+2&amp;":$R"&amp;ROW()-1))),IF($AR919="本年累计",SUMIF($AR$6:$AR919,"本月合计",$R$6:$R918),INDEX(凭证录入!L:L,$AR919))))</f>
        <v>0</v>
      </c>
      <c r="S919" s="459" t="str">
        <f t="shared" ca="1" si="204"/>
        <v/>
      </c>
      <c r="T919" s="460" t="str">
        <f t="shared" ca="1" si="204"/>
        <v/>
      </c>
      <c r="U919" s="460" t="str">
        <f t="shared" ca="1" si="204"/>
        <v/>
      </c>
      <c r="V919" s="460" t="str">
        <f t="shared" ca="1" si="204"/>
        <v/>
      </c>
      <c r="W919" s="460" t="str">
        <f t="shared" ca="1" si="204"/>
        <v/>
      </c>
      <c r="X919" s="460" t="str">
        <f t="shared" ca="1" si="204"/>
        <v/>
      </c>
      <c r="Y919" s="460" t="str">
        <f t="shared" ca="1" si="204"/>
        <v/>
      </c>
      <c r="Z919" s="460" t="str">
        <f t="shared" ca="1" si="204"/>
        <v/>
      </c>
      <c r="AA919" s="461" t="str">
        <f t="shared" ca="1" si="204"/>
        <v/>
      </c>
      <c r="AB919" s="474" t="str">
        <f t="shared" ca="1" si="204"/>
        <v/>
      </c>
      <c r="AC919" s="475" t="str">
        <f t="shared" ca="1" si="204"/>
        <v/>
      </c>
      <c r="AD919" s="477" t="str">
        <f t="shared" ca="1" si="200"/>
        <v/>
      </c>
      <c r="AE919" s="478">
        <f t="shared" ca="1" si="201"/>
        <v>0</v>
      </c>
      <c r="AF919" s="459" t="str">
        <f t="shared" ca="1" si="202"/>
        <v/>
      </c>
      <c r="AG919" s="460" t="str">
        <f t="shared" ca="1" si="202"/>
        <v/>
      </c>
      <c r="AH919" s="460" t="str">
        <f t="shared" ca="1" si="202"/>
        <v/>
      </c>
      <c r="AI919" s="460" t="str">
        <f t="shared" ca="1" si="202"/>
        <v/>
      </c>
      <c r="AJ919" s="460" t="str">
        <f t="shared" ca="1" si="202"/>
        <v/>
      </c>
      <c r="AK919" s="460" t="str">
        <f t="shared" ca="1" si="202"/>
        <v/>
      </c>
      <c r="AL919" s="460" t="str">
        <f t="shared" ca="1" si="202"/>
        <v/>
      </c>
      <c r="AM919" s="460" t="str">
        <f t="shared" ca="1" si="202"/>
        <v/>
      </c>
      <c r="AN919" s="461" t="str">
        <f t="shared" ca="1" si="202"/>
        <v/>
      </c>
      <c r="AO919" s="474" t="str">
        <f t="shared" ca="1" si="202"/>
        <v/>
      </c>
      <c r="AP919" s="475" t="str">
        <f t="shared" ca="1" si="202"/>
        <v/>
      </c>
      <c r="AQ919" s="479" t="str">
        <f t="array" aca="1" ref="AQ919" ca="1">IF(ROW()-5&lt;=COUNTIF(科目编号,$AR$2),SMALL(IF(科目编号=$AR$2,ROW(科目编号),""),ROW()-5),"")</f>
        <v/>
      </c>
      <c r="AR919" s="480" t="str">
        <f ca="1">IF($BG$2=0,"",IF(AR918="本月合计","本年累计",IF(OR(ROW()=$AU$3,ROW()=$AV$3,ROW()=$AW$3,ROW()=$AX$3,ROW()=$AY$3,ROW()=$AZ$3,ROW()=$BA$3,ROW()=$BB$3,ROW()=$BC$3,ROW()=$BD$3,ROW()=$BE$3,ROW()=$BF$3),"本月合计",IF(ROW()&lt;7,$AQ$6,OFFSET($AQ$6,COUNT($AR$6:AR918),0)))))</f>
        <v/>
      </c>
    </row>
    <row r="920" spans="1:44">
      <c r="A920" s="469" t="str">
        <f ca="1">IFERROR(INDEX(凭证录入!A:A,$AR920),"")</f>
        <v/>
      </c>
      <c r="B920" s="469" t="str">
        <f ca="1">IFERROR(INDEX(凭证录入!B:B,$AR920),"")</f>
        <v/>
      </c>
      <c r="C920" s="470" t="str">
        <f ca="1">IFERROR(INDEX(凭证录入!G:G,$AR920),"")</f>
        <v/>
      </c>
      <c r="D920" s="471" t="str">
        <f ca="1">IFERROR(INDEX(凭证录入!F:F,$AR920),"")</f>
        <v/>
      </c>
      <c r="E920" s="472" t="str">
        <f ca="1">IFERROR(INDEX(凭证录入!H:H,$AR920),$AR920)</f>
        <v/>
      </c>
      <c r="F920" s="473">
        <f ca="1">IF(OR($BG$2=0,$AR920=""),,IF($AR920="本月合计",IF(ROW()=$BG$3,SUM($F$6:$F919),SUM(INDIRECT("$F$"&amp;OFFSET($AU$3,,MATCH(ROW(),$AU$3:$BF$3,)-2)+2&amp;":$E"&amp;ROW()-1))),IF($AR920="本年累计",SUMIF($AR$6:$AR920,"本月合计",$F$6:$F919),INDEX(凭证录入!K:K,$AR920))))</f>
        <v>0</v>
      </c>
      <c r="G920" s="459" t="str">
        <f t="shared" ca="1" si="203"/>
        <v/>
      </c>
      <c r="H920" s="460" t="str">
        <f t="shared" ca="1" si="203"/>
        <v/>
      </c>
      <c r="I920" s="460" t="str">
        <f t="shared" ca="1" si="203"/>
        <v/>
      </c>
      <c r="J920" s="460" t="str">
        <f t="shared" ca="1" si="203"/>
        <v/>
      </c>
      <c r="K920" s="460" t="str">
        <f t="shared" ca="1" si="203"/>
        <v/>
      </c>
      <c r="L920" s="460" t="str">
        <f t="shared" ca="1" si="203"/>
        <v/>
      </c>
      <c r="M920" s="460" t="str">
        <f t="shared" ca="1" si="203"/>
        <v/>
      </c>
      <c r="N920" s="460" t="str">
        <f t="shared" ca="1" si="203"/>
        <v/>
      </c>
      <c r="O920" s="461" t="str">
        <f t="shared" ca="1" si="203"/>
        <v/>
      </c>
      <c r="P920" s="474" t="str">
        <f t="shared" ca="1" si="203"/>
        <v/>
      </c>
      <c r="Q920" s="475" t="str">
        <f t="shared" ca="1" si="203"/>
        <v/>
      </c>
      <c r="R920" s="476">
        <f ca="1">IF(OR($BG$2=0,$AR920=""),,IF($AR920="本月合计",IF(ROW()=$BG$3,SUM($R$6:$R919),SUM(INDIRECT("$R$"&amp;OFFSET($AU$3,,MATCH(ROW(),$AU$3:$BF$3,)-2)+2&amp;":$R"&amp;ROW()-1))),IF($AR920="本年累计",SUMIF($AR$6:$AR920,"本月合计",$R$6:$R919),INDEX(凭证录入!L:L,$AR920))))</f>
        <v>0</v>
      </c>
      <c r="S920" s="459" t="str">
        <f t="shared" ca="1" si="204"/>
        <v/>
      </c>
      <c r="T920" s="460" t="str">
        <f t="shared" ca="1" si="204"/>
        <v/>
      </c>
      <c r="U920" s="460" t="str">
        <f t="shared" ca="1" si="204"/>
        <v/>
      </c>
      <c r="V920" s="460" t="str">
        <f t="shared" ca="1" si="204"/>
        <v/>
      </c>
      <c r="W920" s="460" t="str">
        <f t="shared" ca="1" si="204"/>
        <v/>
      </c>
      <c r="X920" s="460" t="str">
        <f t="shared" ca="1" si="204"/>
        <v/>
      </c>
      <c r="Y920" s="460" t="str">
        <f t="shared" ca="1" si="204"/>
        <v/>
      </c>
      <c r="Z920" s="460" t="str">
        <f t="shared" ca="1" si="204"/>
        <v/>
      </c>
      <c r="AA920" s="461" t="str">
        <f t="shared" ca="1" si="204"/>
        <v/>
      </c>
      <c r="AB920" s="474" t="str">
        <f t="shared" ca="1" si="204"/>
        <v/>
      </c>
      <c r="AC920" s="475" t="str">
        <f t="shared" ca="1" si="204"/>
        <v/>
      </c>
      <c r="AD920" s="477" t="str">
        <f t="shared" ca="1" si="200"/>
        <v/>
      </c>
      <c r="AE920" s="478">
        <f t="shared" ca="1" si="201"/>
        <v>0</v>
      </c>
      <c r="AF920" s="459" t="str">
        <f t="shared" ca="1" si="202"/>
        <v/>
      </c>
      <c r="AG920" s="460" t="str">
        <f t="shared" ca="1" si="202"/>
        <v/>
      </c>
      <c r="AH920" s="460" t="str">
        <f t="shared" ca="1" si="202"/>
        <v/>
      </c>
      <c r="AI920" s="460" t="str">
        <f t="shared" ca="1" si="202"/>
        <v/>
      </c>
      <c r="AJ920" s="460" t="str">
        <f t="shared" ca="1" si="202"/>
        <v/>
      </c>
      <c r="AK920" s="460" t="str">
        <f t="shared" ca="1" si="202"/>
        <v/>
      </c>
      <c r="AL920" s="460" t="str">
        <f t="shared" ca="1" si="202"/>
        <v/>
      </c>
      <c r="AM920" s="460" t="str">
        <f t="shared" ca="1" si="202"/>
        <v/>
      </c>
      <c r="AN920" s="461" t="str">
        <f t="shared" ca="1" si="202"/>
        <v/>
      </c>
      <c r="AO920" s="474" t="str">
        <f t="shared" ca="1" si="202"/>
        <v/>
      </c>
      <c r="AP920" s="475" t="str">
        <f t="shared" ca="1" si="202"/>
        <v/>
      </c>
      <c r="AQ920" s="479" t="str">
        <f t="array" aca="1" ref="AQ920" ca="1">IF(ROW()-5&lt;=COUNTIF(科目编号,$AR$2),SMALL(IF(科目编号=$AR$2,ROW(科目编号),""),ROW()-5),"")</f>
        <v/>
      </c>
      <c r="AR920" s="480" t="str">
        <f ca="1">IF($BG$2=0,"",IF(AR919="本月合计","本年累计",IF(OR(ROW()=$AU$3,ROW()=$AV$3,ROW()=$AW$3,ROW()=$AX$3,ROW()=$AY$3,ROW()=$AZ$3,ROW()=$BA$3,ROW()=$BB$3,ROW()=$BC$3,ROW()=$BD$3,ROW()=$BE$3,ROW()=$BF$3),"本月合计",IF(ROW()&lt;7,$AQ$6,OFFSET($AQ$6,COUNT($AR$6:AR919),0)))))</f>
        <v/>
      </c>
    </row>
    <row r="921" spans="1:44">
      <c r="A921" s="469" t="str">
        <f ca="1">IFERROR(INDEX(凭证录入!A:A,$AR921),"")</f>
        <v/>
      </c>
      <c r="B921" s="469" t="str">
        <f ca="1">IFERROR(INDEX(凭证录入!B:B,$AR921),"")</f>
        <v/>
      </c>
      <c r="C921" s="470" t="str">
        <f ca="1">IFERROR(INDEX(凭证录入!G:G,$AR921),"")</f>
        <v/>
      </c>
      <c r="D921" s="471" t="str">
        <f ca="1">IFERROR(INDEX(凭证录入!F:F,$AR921),"")</f>
        <v/>
      </c>
      <c r="E921" s="472" t="str">
        <f ca="1">IFERROR(INDEX(凭证录入!H:H,$AR921),$AR921)</f>
        <v/>
      </c>
      <c r="F921" s="473">
        <f ca="1">IF(OR($BG$2=0,$AR921=""),,IF($AR921="本月合计",IF(ROW()=$BG$3,SUM($F$6:$F920),SUM(INDIRECT("$F$"&amp;OFFSET($AU$3,,MATCH(ROW(),$AU$3:$BF$3,)-2)+2&amp;":$E"&amp;ROW()-1))),IF($AR921="本年累计",SUMIF($AR$6:$AR921,"本月合计",$F$6:$F920),INDEX(凭证录入!K:K,$AR921))))</f>
        <v>0</v>
      </c>
      <c r="G921" s="459" t="str">
        <f t="shared" ca="1" si="203"/>
        <v/>
      </c>
      <c r="H921" s="460" t="str">
        <f t="shared" ca="1" si="203"/>
        <v/>
      </c>
      <c r="I921" s="460" t="str">
        <f t="shared" ca="1" si="203"/>
        <v/>
      </c>
      <c r="J921" s="460" t="str">
        <f t="shared" ca="1" si="203"/>
        <v/>
      </c>
      <c r="K921" s="460" t="str">
        <f t="shared" ca="1" si="203"/>
        <v/>
      </c>
      <c r="L921" s="460" t="str">
        <f t="shared" ca="1" si="203"/>
        <v/>
      </c>
      <c r="M921" s="460" t="str">
        <f t="shared" ca="1" si="203"/>
        <v/>
      </c>
      <c r="N921" s="460" t="str">
        <f t="shared" ca="1" si="203"/>
        <v/>
      </c>
      <c r="O921" s="461" t="str">
        <f t="shared" ca="1" si="203"/>
        <v/>
      </c>
      <c r="P921" s="474" t="str">
        <f t="shared" ca="1" si="203"/>
        <v/>
      </c>
      <c r="Q921" s="475" t="str">
        <f t="shared" ca="1" si="203"/>
        <v/>
      </c>
      <c r="R921" s="476">
        <f ca="1">IF(OR($BG$2=0,$AR921=""),,IF($AR921="本月合计",IF(ROW()=$BG$3,SUM($R$6:$R920),SUM(INDIRECT("$R$"&amp;OFFSET($AU$3,,MATCH(ROW(),$AU$3:$BF$3,)-2)+2&amp;":$R"&amp;ROW()-1))),IF($AR921="本年累计",SUMIF($AR$6:$AR921,"本月合计",$R$6:$R920),INDEX(凭证录入!L:L,$AR921))))</f>
        <v>0</v>
      </c>
      <c r="S921" s="459" t="str">
        <f t="shared" ca="1" si="204"/>
        <v/>
      </c>
      <c r="T921" s="460" t="str">
        <f t="shared" ca="1" si="204"/>
        <v/>
      </c>
      <c r="U921" s="460" t="str">
        <f t="shared" ca="1" si="204"/>
        <v/>
      </c>
      <c r="V921" s="460" t="str">
        <f t="shared" ca="1" si="204"/>
        <v/>
      </c>
      <c r="W921" s="460" t="str">
        <f t="shared" ca="1" si="204"/>
        <v/>
      </c>
      <c r="X921" s="460" t="str">
        <f t="shared" ca="1" si="204"/>
        <v/>
      </c>
      <c r="Y921" s="460" t="str">
        <f t="shared" ca="1" si="204"/>
        <v/>
      </c>
      <c r="Z921" s="460" t="str">
        <f t="shared" ca="1" si="204"/>
        <v/>
      </c>
      <c r="AA921" s="461" t="str">
        <f t="shared" ca="1" si="204"/>
        <v/>
      </c>
      <c r="AB921" s="474" t="str">
        <f t="shared" ca="1" si="204"/>
        <v/>
      </c>
      <c r="AC921" s="475" t="str">
        <f t="shared" ca="1" si="204"/>
        <v/>
      </c>
      <c r="AD921" s="477" t="str">
        <f t="shared" ca="1" si="200"/>
        <v/>
      </c>
      <c r="AE921" s="478">
        <f t="shared" ca="1" si="201"/>
        <v>0</v>
      </c>
      <c r="AF921" s="459" t="str">
        <f t="shared" ca="1" si="202"/>
        <v/>
      </c>
      <c r="AG921" s="460" t="str">
        <f t="shared" ca="1" si="202"/>
        <v/>
      </c>
      <c r="AH921" s="460" t="str">
        <f t="shared" ca="1" si="202"/>
        <v/>
      </c>
      <c r="AI921" s="460" t="str">
        <f t="shared" ca="1" si="202"/>
        <v/>
      </c>
      <c r="AJ921" s="460" t="str">
        <f t="shared" ca="1" si="202"/>
        <v/>
      </c>
      <c r="AK921" s="460" t="str">
        <f t="shared" ca="1" si="202"/>
        <v/>
      </c>
      <c r="AL921" s="460" t="str">
        <f t="shared" ca="1" si="202"/>
        <v/>
      </c>
      <c r="AM921" s="460" t="str">
        <f t="shared" ca="1" si="202"/>
        <v/>
      </c>
      <c r="AN921" s="461" t="str">
        <f t="shared" ca="1" si="202"/>
        <v/>
      </c>
      <c r="AO921" s="474" t="str">
        <f t="shared" ca="1" si="202"/>
        <v/>
      </c>
      <c r="AP921" s="475" t="str">
        <f t="shared" ca="1" si="202"/>
        <v/>
      </c>
      <c r="AQ921" s="479" t="str">
        <f t="array" aca="1" ref="AQ921" ca="1">IF(ROW()-5&lt;=COUNTIF(科目编号,$AR$2),SMALL(IF(科目编号=$AR$2,ROW(科目编号),""),ROW()-5),"")</f>
        <v/>
      </c>
      <c r="AR921" s="480" t="str">
        <f ca="1">IF($BG$2=0,"",IF(AR920="本月合计","本年累计",IF(OR(ROW()=$AU$3,ROW()=$AV$3,ROW()=$AW$3,ROW()=$AX$3,ROW()=$AY$3,ROW()=$AZ$3,ROW()=$BA$3,ROW()=$BB$3,ROW()=$BC$3,ROW()=$BD$3,ROW()=$BE$3,ROW()=$BF$3),"本月合计",IF(ROW()&lt;7,$AQ$6,OFFSET($AQ$6,COUNT($AR$6:AR920),0)))))</f>
        <v/>
      </c>
    </row>
    <row r="922" spans="1:44">
      <c r="A922" s="469" t="str">
        <f ca="1">IFERROR(INDEX(凭证录入!A:A,$AR922),"")</f>
        <v/>
      </c>
      <c r="B922" s="469" t="str">
        <f ca="1">IFERROR(INDEX(凭证录入!B:B,$AR922),"")</f>
        <v/>
      </c>
      <c r="C922" s="470" t="str">
        <f ca="1">IFERROR(INDEX(凭证录入!G:G,$AR922),"")</f>
        <v/>
      </c>
      <c r="D922" s="471" t="str">
        <f ca="1">IFERROR(INDEX(凭证录入!F:F,$AR922),"")</f>
        <v/>
      </c>
      <c r="E922" s="472" t="str">
        <f ca="1">IFERROR(INDEX(凭证录入!H:H,$AR922),$AR922)</f>
        <v/>
      </c>
      <c r="F922" s="473">
        <f ca="1">IF(OR($BG$2=0,$AR922=""),,IF($AR922="本月合计",IF(ROW()=$BG$3,SUM($F$6:$F921),SUM(INDIRECT("$F$"&amp;OFFSET($AU$3,,MATCH(ROW(),$AU$3:$BF$3,)-2)+2&amp;":$E"&amp;ROW()-1))),IF($AR922="本年累计",SUMIF($AR$6:$AR922,"本月合计",$F$6:$F921),INDEX(凭证录入!K:K,$AR922))))</f>
        <v>0</v>
      </c>
      <c r="G922" s="459" t="str">
        <f t="shared" ca="1" si="203"/>
        <v/>
      </c>
      <c r="H922" s="460" t="str">
        <f t="shared" ca="1" si="203"/>
        <v/>
      </c>
      <c r="I922" s="460" t="str">
        <f t="shared" ca="1" si="203"/>
        <v/>
      </c>
      <c r="J922" s="460" t="str">
        <f t="shared" ca="1" si="203"/>
        <v/>
      </c>
      <c r="K922" s="460" t="str">
        <f t="shared" ca="1" si="203"/>
        <v/>
      </c>
      <c r="L922" s="460" t="str">
        <f t="shared" ca="1" si="203"/>
        <v/>
      </c>
      <c r="M922" s="460" t="str">
        <f t="shared" ca="1" si="203"/>
        <v/>
      </c>
      <c r="N922" s="460" t="str">
        <f t="shared" ca="1" si="203"/>
        <v/>
      </c>
      <c r="O922" s="461" t="str">
        <f t="shared" ca="1" si="203"/>
        <v/>
      </c>
      <c r="P922" s="474" t="str">
        <f t="shared" ca="1" si="203"/>
        <v/>
      </c>
      <c r="Q922" s="475" t="str">
        <f t="shared" ca="1" si="203"/>
        <v/>
      </c>
      <c r="R922" s="476">
        <f ca="1">IF(OR($BG$2=0,$AR922=""),,IF($AR922="本月合计",IF(ROW()=$BG$3,SUM($R$6:$R921),SUM(INDIRECT("$R$"&amp;OFFSET($AU$3,,MATCH(ROW(),$AU$3:$BF$3,)-2)+2&amp;":$R"&amp;ROW()-1))),IF($AR922="本年累计",SUMIF($AR$6:$AR922,"本月合计",$R$6:$R921),INDEX(凭证录入!L:L,$AR922))))</f>
        <v>0</v>
      </c>
      <c r="S922" s="459" t="str">
        <f t="shared" ca="1" si="204"/>
        <v/>
      </c>
      <c r="T922" s="460" t="str">
        <f t="shared" ca="1" si="204"/>
        <v/>
      </c>
      <c r="U922" s="460" t="str">
        <f t="shared" ca="1" si="204"/>
        <v/>
      </c>
      <c r="V922" s="460" t="str">
        <f t="shared" ca="1" si="204"/>
        <v/>
      </c>
      <c r="W922" s="460" t="str">
        <f t="shared" ca="1" si="204"/>
        <v/>
      </c>
      <c r="X922" s="460" t="str">
        <f t="shared" ca="1" si="204"/>
        <v/>
      </c>
      <c r="Y922" s="460" t="str">
        <f t="shared" ca="1" si="204"/>
        <v/>
      </c>
      <c r="Z922" s="460" t="str">
        <f t="shared" ca="1" si="204"/>
        <v/>
      </c>
      <c r="AA922" s="461" t="str">
        <f t="shared" ca="1" si="204"/>
        <v/>
      </c>
      <c r="AB922" s="474" t="str">
        <f t="shared" ca="1" si="204"/>
        <v/>
      </c>
      <c r="AC922" s="475" t="str">
        <f t="shared" ca="1" si="204"/>
        <v/>
      </c>
      <c r="AD922" s="477" t="str">
        <f t="shared" ca="1" si="200"/>
        <v/>
      </c>
      <c r="AE922" s="478">
        <f t="shared" ca="1" si="201"/>
        <v>0</v>
      </c>
      <c r="AF922" s="459" t="str">
        <f t="shared" ca="1" si="202"/>
        <v/>
      </c>
      <c r="AG922" s="460" t="str">
        <f t="shared" ca="1" si="202"/>
        <v/>
      </c>
      <c r="AH922" s="460" t="str">
        <f t="shared" ca="1" si="202"/>
        <v/>
      </c>
      <c r="AI922" s="460" t="str">
        <f t="shared" ca="1" si="202"/>
        <v/>
      </c>
      <c r="AJ922" s="460" t="str">
        <f t="shared" ca="1" si="202"/>
        <v/>
      </c>
      <c r="AK922" s="460" t="str">
        <f t="shared" ca="1" si="202"/>
        <v/>
      </c>
      <c r="AL922" s="460" t="str">
        <f t="shared" ca="1" si="202"/>
        <v/>
      </c>
      <c r="AM922" s="460" t="str">
        <f t="shared" ca="1" si="202"/>
        <v/>
      </c>
      <c r="AN922" s="461" t="str">
        <f t="shared" ca="1" si="202"/>
        <v/>
      </c>
      <c r="AO922" s="474" t="str">
        <f t="shared" ca="1" si="202"/>
        <v/>
      </c>
      <c r="AP922" s="475" t="str">
        <f t="shared" ca="1" si="202"/>
        <v/>
      </c>
      <c r="AQ922" s="479" t="str">
        <f t="array" aca="1" ref="AQ922" ca="1">IF(ROW()-5&lt;=COUNTIF(科目编号,$AR$2),SMALL(IF(科目编号=$AR$2,ROW(科目编号),""),ROW()-5),"")</f>
        <v/>
      </c>
      <c r="AR922" s="480" t="str">
        <f ca="1">IF($BG$2=0,"",IF(AR921="本月合计","本年累计",IF(OR(ROW()=$AU$3,ROW()=$AV$3,ROW()=$AW$3,ROW()=$AX$3,ROW()=$AY$3,ROW()=$AZ$3,ROW()=$BA$3,ROW()=$BB$3,ROW()=$BC$3,ROW()=$BD$3,ROW()=$BE$3,ROW()=$BF$3),"本月合计",IF(ROW()&lt;7,$AQ$6,OFFSET($AQ$6,COUNT($AR$6:AR921),0)))))</f>
        <v/>
      </c>
    </row>
    <row r="923" spans="1:44">
      <c r="A923" s="469" t="str">
        <f ca="1">IFERROR(INDEX(凭证录入!A:A,$AR923),"")</f>
        <v/>
      </c>
      <c r="B923" s="469" t="str">
        <f ca="1">IFERROR(INDEX(凭证录入!B:B,$AR923),"")</f>
        <v/>
      </c>
      <c r="C923" s="470" t="str">
        <f ca="1">IFERROR(INDEX(凭证录入!G:G,$AR923),"")</f>
        <v/>
      </c>
      <c r="D923" s="471" t="str">
        <f ca="1">IFERROR(INDEX(凭证录入!F:F,$AR923),"")</f>
        <v/>
      </c>
      <c r="E923" s="472" t="str">
        <f ca="1">IFERROR(INDEX(凭证录入!H:H,$AR923),$AR923)</f>
        <v/>
      </c>
      <c r="F923" s="473">
        <f ca="1">IF(OR($BG$2=0,$AR923=""),,IF($AR923="本月合计",IF(ROW()=$BG$3,SUM($F$6:$F922),SUM(INDIRECT("$F$"&amp;OFFSET($AU$3,,MATCH(ROW(),$AU$3:$BF$3,)-2)+2&amp;":$E"&amp;ROW()-1))),IF($AR923="本年累计",SUMIF($AR$6:$AR923,"本月合计",$F$6:$F922),INDEX(凭证录入!K:K,$AR923))))</f>
        <v>0</v>
      </c>
      <c r="G923" s="459" t="str">
        <f t="shared" ca="1" si="203"/>
        <v/>
      </c>
      <c r="H923" s="460" t="str">
        <f t="shared" ca="1" si="203"/>
        <v/>
      </c>
      <c r="I923" s="460" t="str">
        <f t="shared" ca="1" si="203"/>
        <v/>
      </c>
      <c r="J923" s="460" t="str">
        <f t="shared" ca="1" si="203"/>
        <v/>
      </c>
      <c r="K923" s="460" t="str">
        <f t="shared" ca="1" si="203"/>
        <v/>
      </c>
      <c r="L923" s="460" t="str">
        <f t="shared" ca="1" si="203"/>
        <v/>
      </c>
      <c r="M923" s="460" t="str">
        <f t="shared" ca="1" si="203"/>
        <v/>
      </c>
      <c r="N923" s="460" t="str">
        <f t="shared" ca="1" si="203"/>
        <v/>
      </c>
      <c r="O923" s="461" t="str">
        <f t="shared" ca="1" si="203"/>
        <v/>
      </c>
      <c r="P923" s="474" t="str">
        <f t="shared" ca="1" si="203"/>
        <v/>
      </c>
      <c r="Q923" s="475" t="str">
        <f t="shared" ca="1" si="203"/>
        <v/>
      </c>
      <c r="R923" s="476">
        <f ca="1">IF(OR($BG$2=0,$AR923=""),,IF($AR923="本月合计",IF(ROW()=$BG$3,SUM($R$6:$R922),SUM(INDIRECT("$R$"&amp;OFFSET($AU$3,,MATCH(ROW(),$AU$3:$BF$3,)-2)+2&amp;":$R"&amp;ROW()-1))),IF($AR923="本年累计",SUMIF($AR$6:$AR923,"本月合计",$R$6:$R922),INDEX(凭证录入!L:L,$AR923))))</f>
        <v>0</v>
      </c>
      <c r="S923" s="459" t="str">
        <f t="shared" ca="1" si="204"/>
        <v/>
      </c>
      <c r="T923" s="460" t="str">
        <f t="shared" ca="1" si="204"/>
        <v/>
      </c>
      <c r="U923" s="460" t="str">
        <f t="shared" ca="1" si="204"/>
        <v/>
      </c>
      <c r="V923" s="460" t="str">
        <f t="shared" ca="1" si="204"/>
        <v/>
      </c>
      <c r="W923" s="460" t="str">
        <f t="shared" ca="1" si="204"/>
        <v/>
      </c>
      <c r="X923" s="460" t="str">
        <f t="shared" ca="1" si="204"/>
        <v/>
      </c>
      <c r="Y923" s="460" t="str">
        <f t="shared" ca="1" si="204"/>
        <v/>
      </c>
      <c r="Z923" s="460" t="str">
        <f t="shared" ca="1" si="204"/>
        <v/>
      </c>
      <c r="AA923" s="461" t="str">
        <f t="shared" ca="1" si="204"/>
        <v/>
      </c>
      <c r="AB923" s="474" t="str">
        <f t="shared" ca="1" si="204"/>
        <v/>
      </c>
      <c r="AC923" s="475" t="str">
        <f t="shared" ca="1" si="204"/>
        <v/>
      </c>
      <c r="AD923" s="477" t="str">
        <f t="shared" ca="1" si="200"/>
        <v/>
      </c>
      <c r="AE923" s="478">
        <f t="shared" ca="1" si="201"/>
        <v>0</v>
      </c>
      <c r="AF923" s="459" t="str">
        <f t="shared" ca="1" si="202"/>
        <v/>
      </c>
      <c r="AG923" s="460" t="str">
        <f t="shared" ca="1" si="202"/>
        <v/>
      </c>
      <c r="AH923" s="460" t="str">
        <f t="shared" ca="1" si="202"/>
        <v/>
      </c>
      <c r="AI923" s="460" t="str">
        <f t="shared" ca="1" si="202"/>
        <v/>
      </c>
      <c r="AJ923" s="460" t="str">
        <f t="shared" ca="1" si="202"/>
        <v/>
      </c>
      <c r="AK923" s="460" t="str">
        <f t="shared" ca="1" si="202"/>
        <v/>
      </c>
      <c r="AL923" s="460" t="str">
        <f t="shared" ca="1" si="202"/>
        <v/>
      </c>
      <c r="AM923" s="460" t="str">
        <f t="shared" ca="1" si="202"/>
        <v/>
      </c>
      <c r="AN923" s="461" t="str">
        <f t="shared" ca="1" si="202"/>
        <v/>
      </c>
      <c r="AO923" s="474" t="str">
        <f t="shared" ca="1" si="202"/>
        <v/>
      </c>
      <c r="AP923" s="475" t="str">
        <f t="shared" ca="1" si="202"/>
        <v/>
      </c>
      <c r="AQ923" s="479" t="str">
        <f t="array" aca="1" ref="AQ923" ca="1">IF(ROW()-5&lt;=COUNTIF(科目编号,$AR$2),SMALL(IF(科目编号=$AR$2,ROW(科目编号),""),ROW()-5),"")</f>
        <v/>
      </c>
      <c r="AR923" s="480" t="str">
        <f ca="1">IF($BG$2=0,"",IF(AR922="本月合计","本年累计",IF(OR(ROW()=$AU$3,ROW()=$AV$3,ROW()=$AW$3,ROW()=$AX$3,ROW()=$AY$3,ROW()=$AZ$3,ROW()=$BA$3,ROW()=$BB$3,ROW()=$BC$3,ROW()=$BD$3,ROW()=$BE$3,ROW()=$BF$3),"本月合计",IF(ROW()&lt;7,$AQ$6,OFFSET($AQ$6,COUNT($AR$6:AR922),0)))))</f>
        <v/>
      </c>
    </row>
    <row r="924" spans="1:44">
      <c r="A924" s="469" t="str">
        <f ca="1">IFERROR(INDEX(凭证录入!A:A,$AR924),"")</f>
        <v/>
      </c>
      <c r="B924" s="469" t="str">
        <f ca="1">IFERROR(INDEX(凭证录入!B:B,$AR924),"")</f>
        <v/>
      </c>
      <c r="C924" s="470" t="str">
        <f ca="1">IFERROR(INDEX(凭证录入!G:G,$AR924),"")</f>
        <v/>
      </c>
      <c r="D924" s="471" t="str">
        <f ca="1">IFERROR(INDEX(凭证录入!F:F,$AR924),"")</f>
        <v/>
      </c>
      <c r="E924" s="472" t="str">
        <f ca="1">IFERROR(INDEX(凭证录入!H:H,$AR924),$AR924)</f>
        <v/>
      </c>
      <c r="F924" s="473">
        <f ca="1">IF(OR($BG$2=0,$AR924=""),,IF($AR924="本月合计",IF(ROW()=$BG$3,SUM($F$6:$F923),SUM(INDIRECT("$F$"&amp;OFFSET($AU$3,,MATCH(ROW(),$AU$3:$BF$3,)-2)+2&amp;":$E"&amp;ROW()-1))),IF($AR924="本年累计",SUMIF($AR$6:$AR924,"本月合计",$F$6:$F923),INDEX(凭证录入!K:K,$AR924))))</f>
        <v>0</v>
      </c>
      <c r="G924" s="459" t="str">
        <f t="shared" ca="1" si="203"/>
        <v/>
      </c>
      <c r="H924" s="460" t="str">
        <f t="shared" ca="1" si="203"/>
        <v/>
      </c>
      <c r="I924" s="460" t="str">
        <f t="shared" ca="1" si="203"/>
        <v/>
      </c>
      <c r="J924" s="460" t="str">
        <f t="shared" ca="1" si="203"/>
        <v/>
      </c>
      <c r="K924" s="460" t="str">
        <f t="shared" ca="1" si="203"/>
        <v/>
      </c>
      <c r="L924" s="460" t="str">
        <f t="shared" ca="1" si="203"/>
        <v/>
      </c>
      <c r="M924" s="460" t="str">
        <f t="shared" ca="1" si="203"/>
        <v/>
      </c>
      <c r="N924" s="460" t="str">
        <f t="shared" ca="1" si="203"/>
        <v/>
      </c>
      <c r="O924" s="461" t="str">
        <f t="shared" ca="1" si="203"/>
        <v/>
      </c>
      <c r="P924" s="474" t="str">
        <f t="shared" ca="1" si="203"/>
        <v/>
      </c>
      <c r="Q924" s="475" t="str">
        <f t="shared" ca="1" si="203"/>
        <v/>
      </c>
      <c r="R924" s="476">
        <f ca="1">IF(OR($BG$2=0,$AR924=""),,IF($AR924="本月合计",IF(ROW()=$BG$3,SUM($R$6:$R923),SUM(INDIRECT("$R$"&amp;OFFSET($AU$3,,MATCH(ROW(),$AU$3:$BF$3,)-2)+2&amp;":$R"&amp;ROW()-1))),IF($AR924="本年累计",SUMIF($AR$6:$AR924,"本月合计",$R$6:$R923),INDEX(凭证录入!L:L,$AR924))))</f>
        <v>0</v>
      </c>
      <c r="S924" s="459" t="str">
        <f t="shared" ca="1" si="204"/>
        <v/>
      </c>
      <c r="T924" s="460" t="str">
        <f t="shared" ca="1" si="204"/>
        <v/>
      </c>
      <c r="U924" s="460" t="str">
        <f t="shared" ca="1" si="204"/>
        <v/>
      </c>
      <c r="V924" s="460" t="str">
        <f t="shared" ca="1" si="204"/>
        <v/>
      </c>
      <c r="W924" s="460" t="str">
        <f t="shared" ca="1" si="204"/>
        <v/>
      </c>
      <c r="X924" s="460" t="str">
        <f t="shared" ca="1" si="204"/>
        <v/>
      </c>
      <c r="Y924" s="460" t="str">
        <f t="shared" ca="1" si="204"/>
        <v/>
      </c>
      <c r="Z924" s="460" t="str">
        <f t="shared" ca="1" si="204"/>
        <v/>
      </c>
      <c r="AA924" s="461" t="str">
        <f t="shared" ca="1" si="204"/>
        <v/>
      </c>
      <c r="AB924" s="474" t="str">
        <f t="shared" ca="1" si="204"/>
        <v/>
      </c>
      <c r="AC924" s="475" t="str">
        <f t="shared" ca="1" si="204"/>
        <v/>
      </c>
      <c r="AD924" s="477" t="str">
        <f t="shared" ca="1" si="200"/>
        <v/>
      </c>
      <c r="AE924" s="478">
        <f t="shared" ca="1" si="201"/>
        <v>0</v>
      </c>
      <c r="AF924" s="459" t="str">
        <f t="shared" ca="1" si="202"/>
        <v/>
      </c>
      <c r="AG924" s="460" t="str">
        <f t="shared" ca="1" si="202"/>
        <v/>
      </c>
      <c r="AH924" s="460" t="str">
        <f t="shared" ca="1" si="202"/>
        <v/>
      </c>
      <c r="AI924" s="460" t="str">
        <f t="shared" ca="1" si="202"/>
        <v/>
      </c>
      <c r="AJ924" s="460" t="str">
        <f t="shared" ca="1" si="202"/>
        <v/>
      </c>
      <c r="AK924" s="460" t="str">
        <f t="shared" ca="1" si="202"/>
        <v/>
      </c>
      <c r="AL924" s="460" t="str">
        <f t="shared" ca="1" si="202"/>
        <v/>
      </c>
      <c r="AM924" s="460" t="str">
        <f t="shared" ca="1" si="202"/>
        <v/>
      </c>
      <c r="AN924" s="461" t="str">
        <f t="shared" ca="1" si="202"/>
        <v/>
      </c>
      <c r="AO924" s="474" t="str">
        <f t="shared" ca="1" si="202"/>
        <v/>
      </c>
      <c r="AP924" s="475" t="str">
        <f t="shared" ca="1" si="202"/>
        <v/>
      </c>
      <c r="AQ924" s="479" t="str">
        <f t="array" aca="1" ref="AQ924" ca="1">IF(ROW()-5&lt;=COUNTIF(科目编号,$AR$2),SMALL(IF(科目编号=$AR$2,ROW(科目编号),""),ROW()-5),"")</f>
        <v/>
      </c>
      <c r="AR924" s="480" t="str">
        <f ca="1">IF($BG$2=0,"",IF(AR923="本月合计","本年累计",IF(OR(ROW()=$AU$3,ROW()=$AV$3,ROW()=$AW$3,ROW()=$AX$3,ROW()=$AY$3,ROW()=$AZ$3,ROW()=$BA$3,ROW()=$BB$3,ROW()=$BC$3,ROW()=$BD$3,ROW()=$BE$3,ROW()=$BF$3),"本月合计",IF(ROW()&lt;7,$AQ$6,OFFSET($AQ$6,COUNT($AR$6:AR923),0)))))</f>
        <v/>
      </c>
    </row>
    <row r="925" spans="1:44">
      <c r="A925" s="469" t="str">
        <f ca="1">IFERROR(INDEX(凭证录入!A:A,$AR925),"")</f>
        <v/>
      </c>
      <c r="B925" s="469" t="str">
        <f ca="1">IFERROR(INDEX(凭证录入!B:B,$AR925),"")</f>
        <v/>
      </c>
      <c r="C925" s="470" t="str">
        <f ca="1">IFERROR(INDEX(凭证录入!G:G,$AR925),"")</f>
        <v/>
      </c>
      <c r="D925" s="471" t="str">
        <f ca="1">IFERROR(INDEX(凭证录入!F:F,$AR925),"")</f>
        <v/>
      </c>
      <c r="E925" s="472" t="str">
        <f ca="1">IFERROR(INDEX(凭证录入!H:H,$AR925),$AR925)</f>
        <v/>
      </c>
      <c r="F925" s="473">
        <f ca="1">IF(OR($BG$2=0,$AR925=""),,IF($AR925="本月合计",IF(ROW()=$BG$3,SUM($F$6:$F924),SUM(INDIRECT("$F$"&amp;OFFSET($AU$3,,MATCH(ROW(),$AU$3:$BF$3,)-2)+2&amp;":$E"&amp;ROW()-1))),IF($AR925="本年累计",SUMIF($AR$6:$AR925,"本月合计",$F$6:$F924),INDEX(凭证录入!K:K,$AR925))))</f>
        <v>0</v>
      </c>
      <c r="G925" s="459" t="str">
        <f t="shared" ca="1" si="203"/>
        <v/>
      </c>
      <c r="H925" s="460" t="str">
        <f t="shared" ca="1" si="203"/>
        <v/>
      </c>
      <c r="I925" s="460" t="str">
        <f t="shared" ca="1" si="203"/>
        <v/>
      </c>
      <c r="J925" s="460" t="str">
        <f t="shared" ca="1" si="203"/>
        <v/>
      </c>
      <c r="K925" s="460" t="str">
        <f t="shared" ca="1" si="203"/>
        <v/>
      </c>
      <c r="L925" s="460" t="str">
        <f t="shared" ca="1" si="203"/>
        <v/>
      </c>
      <c r="M925" s="460" t="str">
        <f t="shared" ca="1" si="203"/>
        <v/>
      </c>
      <c r="N925" s="460" t="str">
        <f t="shared" ca="1" si="203"/>
        <v/>
      </c>
      <c r="O925" s="461" t="str">
        <f t="shared" ca="1" si="203"/>
        <v/>
      </c>
      <c r="P925" s="474" t="str">
        <f t="shared" ca="1" si="203"/>
        <v/>
      </c>
      <c r="Q925" s="475" t="str">
        <f t="shared" ca="1" si="203"/>
        <v/>
      </c>
      <c r="R925" s="476">
        <f ca="1">IF(OR($BG$2=0,$AR925=""),,IF($AR925="本月合计",IF(ROW()=$BG$3,SUM($R$6:$R924),SUM(INDIRECT("$R$"&amp;OFFSET($AU$3,,MATCH(ROW(),$AU$3:$BF$3,)-2)+2&amp;":$R"&amp;ROW()-1))),IF($AR925="本年累计",SUMIF($AR$6:$AR925,"本月合计",$R$6:$R924),INDEX(凭证录入!L:L,$AR925))))</f>
        <v>0</v>
      </c>
      <c r="S925" s="459" t="str">
        <f t="shared" ca="1" si="204"/>
        <v/>
      </c>
      <c r="T925" s="460" t="str">
        <f t="shared" ca="1" si="204"/>
        <v/>
      </c>
      <c r="U925" s="460" t="str">
        <f t="shared" ca="1" si="204"/>
        <v/>
      </c>
      <c r="V925" s="460" t="str">
        <f t="shared" ca="1" si="204"/>
        <v/>
      </c>
      <c r="W925" s="460" t="str">
        <f t="shared" ca="1" si="204"/>
        <v/>
      </c>
      <c r="X925" s="460" t="str">
        <f t="shared" ca="1" si="204"/>
        <v/>
      </c>
      <c r="Y925" s="460" t="str">
        <f t="shared" ca="1" si="204"/>
        <v/>
      </c>
      <c r="Z925" s="460" t="str">
        <f t="shared" ca="1" si="204"/>
        <v/>
      </c>
      <c r="AA925" s="461" t="str">
        <f t="shared" ca="1" si="204"/>
        <v/>
      </c>
      <c r="AB925" s="474" t="str">
        <f t="shared" ca="1" si="204"/>
        <v/>
      </c>
      <c r="AC925" s="475" t="str">
        <f t="shared" ca="1" si="204"/>
        <v/>
      </c>
      <c r="AD925" s="477" t="str">
        <f t="shared" ca="1" si="200"/>
        <v/>
      </c>
      <c r="AE925" s="478">
        <f t="shared" ca="1" si="201"/>
        <v>0</v>
      </c>
      <c r="AF925" s="459" t="str">
        <f t="shared" ca="1" si="202"/>
        <v/>
      </c>
      <c r="AG925" s="460" t="str">
        <f t="shared" ca="1" si="202"/>
        <v/>
      </c>
      <c r="AH925" s="460" t="str">
        <f t="shared" ca="1" si="202"/>
        <v/>
      </c>
      <c r="AI925" s="460" t="str">
        <f t="shared" ca="1" si="202"/>
        <v/>
      </c>
      <c r="AJ925" s="460" t="str">
        <f t="shared" ca="1" si="202"/>
        <v/>
      </c>
      <c r="AK925" s="460" t="str">
        <f t="shared" ca="1" si="202"/>
        <v/>
      </c>
      <c r="AL925" s="460" t="str">
        <f t="shared" ca="1" si="202"/>
        <v/>
      </c>
      <c r="AM925" s="460" t="str">
        <f t="shared" ca="1" si="202"/>
        <v/>
      </c>
      <c r="AN925" s="461" t="str">
        <f t="shared" ca="1" si="202"/>
        <v/>
      </c>
      <c r="AO925" s="474" t="str">
        <f t="shared" ca="1" si="202"/>
        <v/>
      </c>
      <c r="AP925" s="475" t="str">
        <f t="shared" ca="1" si="202"/>
        <v/>
      </c>
      <c r="AQ925" s="479" t="str">
        <f t="array" aca="1" ref="AQ925" ca="1">IF(ROW()-5&lt;=COUNTIF(科目编号,$AR$2),SMALL(IF(科目编号=$AR$2,ROW(科目编号),""),ROW()-5),"")</f>
        <v/>
      </c>
      <c r="AR925" s="480" t="str">
        <f ca="1">IF($BG$2=0,"",IF(AR924="本月合计","本年累计",IF(OR(ROW()=$AU$3,ROW()=$AV$3,ROW()=$AW$3,ROW()=$AX$3,ROW()=$AY$3,ROW()=$AZ$3,ROW()=$BA$3,ROW()=$BB$3,ROW()=$BC$3,ROW()=$BD$3,ROW()=$BE$3,ROW()=$BF$3),"本月合计",IF(ROW()&lt;7,$AQ$6,OFFSET($AQ$6,COUNT($AR$6:AR924),0)))))</f>
        <v/>
      </c>
    </row>
    <row r="926" spans="1:44">
      <c r="A926" s="469" t="str">
        <f ca="1">IFERROR(INDEX(凭证录入!A:A,$AR926),"")</f>
        <v/>
      </c>
      <c r="B926" s="469" t="str">
        <f ca="1">IFERROR(INDEX(凭证录入!B:B,$AR926),"")</f>
        <v/>
      </c>
      <c r="C926" s="470" t="str">
        <f ca="1">IFERROR(INDEX(凭证录入!G:G,$AR926),"")</f>
        <v/>
      </c>
      <c r="D926" s="471" t="str">
        <f ca="1">IFERROR(INDEX(凭证录入!F:F,$AR926),"")</f>
        <v/>
      </c>
      <c r="E926" s="472" t="str">
        <f ca="1">IFERROR(INDEX(凭证录入!H:H,$AR926),$AR926)</f>
        <v/>
      </c>
      <c r="F926" s="473">
        <f ca="1">IF(OR($BG$2=0,$AR926=""),,IF($AR926="本月合计",IF(ROW()=$BG$3,SUM($F$6:$F925),SUM(INDIRECT("$F$"&amp;OFFSET($AU$3,,MATCH(ROW(),$AU$3:$BF$3,)-2)+2&amp;":$E"&amp;ROW()-1))),IF($AR926="本年累计",SUMIF($AR$6:$AR926,"本月合计",$F$6:$F925),INDEX(凭证录入!K:K,$AR926))))</f>
        <v>0</v>
      </c>
      <c r="G926" s="459" t="str">
        <f t="shared" ca="1" si="203"/>
        <v/>
      </c>
      <c r="H926" s="460" t="str">
        <f t="shared" ca="1" si="203"/>
        <v/>
      </c>
      <c r="I926" s="460" t="str">
        <f t="shared" ca="1" si="203"/>
        <v/>
      </c>
      <c r="J926" s="460" t="str">
        <f t="shared" ca="1" si="203"/>
        <v/>
      </c>
      <c r="K926" s="460" t="str">
        <f t="shared" ca="1" si="203"/>
        <v/>
      </c>
      <c r="L926" s="460" t="str">
        <f t="shared" ca="1" si="203"/>
        <v/>
      </c>
      <c r="M926" s="460" t="str">
        <f t="shared" ca="1" si="203"/>
        <v/>
      </c>
      <c r="N926" s="460" t="str">
        <f t="shared" ca="1" si="203"/>
        <v/>
      </c>
      <c r="O926" s="461" t="str">
        <f t="shared" ca="1" si="203"/>
        <v/>
      </c>
      <c r="P926" s="474" t="str">
        <f t="shared" ca="1" si="203"/>
        <v/>
      </c>
      <c r="Q926" s="475" t="str">
        <f t="shared" ca="1" si="203"/>
        <v/>
      </c>
      <c r="R926" s="476">
        <f ca="1">IF(OR($BG$2=0,$AR926=""),,IF($AR926="本月合计",IF(ROW()=$BG$3,SUM($R$6:$R925),SUM(INDIRECT("$R$"&amp;OFFSET($AU$3,,MATCH(ROW(),$AU$3:$BF$3,)-2)+2&amp;":$R"&amp;ROW()-1))),IF($AR926="本年累计",SUMIF($AR$6:$AR926,"本月合计",$R$6:$R925),INDEX(凭证录入!L:L,$AR926))))</f>
        <v>0</v>
      </c>
      <c r="S926" s="459" t="str">
        <f t="shared" ca="1" si="204"/>
        <v/>
      </c>
      <c r="T926" s="460" t="str">
        <f t="shared" ca="1" si="204"/>
        <v/>
      </c>
      <c r="U926" s="460" t="str">
        <f t="shared" ca="1" si="204"/>
        <v/>
      </c>
      <c r="V926" s="460" t="str">
        <f t="shared" ca="1" si="204"/>
        <v/>
      </c>
      <c r="W926" s="460" t="str">
        <f t="shared" ca="1" si="204"/>
        <v/>
      </c>
      <c r="X926" s="460" t="str">
        <f t="shared" ca="1" si="204"/>
        <v/>
      </c>
      <c r="Y926" s="460" t="str">
        <f t="shared" ca="1" si="204"/>
        <v/>
      </c>
      <c r="Z926" s="460" t="str">
        <f t="shared" ca="1" si="204"/>
        <v/>
      </c>
      <c r="AA926" s="461" t="str">
        <f t="shared" ca="1" si="204"/>
        <v/>
      </c>
      <c r="AB926" s="474" t="str">
        <f t="shared" ca="1" si="204"/>
        <v/>
      </c>
      <c r="AC926" s="475" t="str">
        <f t="shared" ca="1" si="204"/>
        <v/>
      </c>
      <c r="AD926" s="477" t="str">
        <f t="shared" ca="1" si="200"/>
        <v/>
      </c>
      <c r="AE926" s="478">
        <f t="shared" ca="1" si="201"/>
        <v>0</v>
      </c>
      <c r="AF926" s="459" t="str">
        <f t="shared" ca="1" si="202"/>
        <v/>
      </c>
      <c r="AG926" s="460" t="str">
        <f t="shared" ca="1" si="202"/>
        <v/>
      </c>
      <c r="AH926" s="460" t="str">
        <f t="shared" ca="1" si="202"/>
        <v/>
      </c>
      <c r="AI926" s="460" t="str">
        <f t="shared" ca="1" si="202"/>
        <v/>
      </c>
      <c r="AJ926" s="460" t="str">
        <f t="shared" ca="1" si="202"/>
        <v/>
      </c>
      <c r="AK926" s="460" t="str">
        <f t="shared" ca="1" si="202"/>
        <v/>
      </c>
      <c r="AL926" s="460" t="str">
        <f t="shared" ca="1" si="202"/>
        <v/>
      </c>
      <c r="AM926" s="460" t="str">
        <f t="shared" ca="1" si="202"/>
        <v/>
      </c>
      <c r="AN926" s="461" t="str">
        <f t="shared" ca="1" si="202"/>
        <v/>
      </c>
      <c r="AO926" s="474" t="str">
        <f t="shared" ca="1" si="202"/>
        <v/>
      </c>
      <c r="AP926" s="475" t="str">
        <f t="shared" ca="1" si="202"/>
        <v/>
      </c>
      <c r="AQ926" s="479" t="str">
        <f t="array" aca="1" ref="AQ926" ca="1">IF(ROW()-5&lt;=COUNTIF(科目编号,$AR$2),SMALL(IF(科目编号=$AR$2,ROW(科目编号),""),ROW()-5),"")</f>
        <v/>
      </c>
      <c r="AR926" s="480" t="str">
        <f ca="1">IF($BG$2=0,"",IF(AR925="本月合计","本年累计",IF(OR(ROW()=$AU$3,ROW()=$AV$3,ROW()=$AW$3,ROW()=$AX$3,ROW()=$AY$3,ROW()=$AZ$3,ROW()=$BA$3,ROW()=$BB$3,ROW()=$BC$3,ROW()=$BD$3,ROW()=$BE$3,ROW()=$BF$3),"本月合计",IF(ROW()&lt;7,$AQ$6,OFFSET($AQ$6,COUNT($AR$6:AR925),0)))))</f>
        <v/>
      </c>
    </row>
    <row r="927" spans="1:44">
      <c r="A927" s="469" t="str">
        <f ca="1">IFERROR(INDEX(凭证录入!A:A,$AR927),"")</f>
        <v/>
      </c>
      <c r="B927" s="469" t="str">
        <f ca="1">IFERROR(INDEX(凭证录入!B:B,$AR927),"")</f>
        <v/>
      </c>
      <c r="C927" s="470" t="str">
        <f ca="1">IFERROR(INDEX(凭证录入!G:G,$AR927),"")</f>
        <v/>
      </c>
      <c r="D927" s="471" t="str">
        <f ca="1">IFERROR(INDEX(凭证录入!F:F,$AR927),"")</f>
        <v/>
      </c>
      <c r="E927" s="472" t="str">
        <f ca="1">IFERROR(INDEX(凭证录入!H:H,$AR927),$AR927)</f>
        <v/>
      </c>
      <c r="F927" s="473">
        <f ca="1">IF(OR($BG$2=0,$AR927=""),,IF($AR927="本月合计",IF(ROW()=$BG$3,SUM($F$6:$F926),SUM(INDIRECT("$F$"&amp;OFFSET($AU$3,,MATCH(ROW(),$AU$3:$BF$3,)-2)+2&amp;":$E"&amp;ROW()-1))),IF($AR927="本年累计",SUMIF($AR$6:$AR927,"本月合计",$F$6:$F926),INDEX(凭证录入!K:K,$AR927))))</f>
        <v>0</v>
      </c>
      <c r="G927" s="459" t="str">
        <f t="shared" ca="1" si="203"/>
        <v/>
      </c>
      <c r="H927" s="460" t="str">
        <f t="shared" ca="1" si="203"/>
        <v/>
      </c>
      <c r="I927" s="460" t="str">
        <f t="shared" ca="1" si="203"/>
        <v/>
      </c>
      <c r="J927" s="460" t="str">
        <f t="shared" ca="1" si="203"/>
        <v/>
      </c>
      <c r="K927" s="460" t="str">
        <f t="shared" ca="1" si="203"/>
        <v/>
      </c>
      <c r="L927" s="460" t="str">
        <f t="shared" ca="1" si="203"/>
        <v/>
      </c>
      <c r="M927" s="460" t="str">
        <f t="shared" ca="1" si="203"/>
        <v/>
      </c>
      <c r="N927" s="460" t="str">
        <f t="shared" ca="1" si="203"/>
        <v/>
      </c>
      <c r="O927" s="461" t="str">
        <f t="shared" ca="1" si="203"/>
        <v/>
      </c>
      <c r="P927" s="474" t="str">
        <f t="shared" ca="1" si="203"/>
        <v/>
      </c>
      <c r="Q927" s="475" t="str">
        <f t="shared" ca="1" si="203"/>
        <v/>
      </c>
      <c r="R927" s="476">
        <f ca="1">IF(OR($BG$2=0,$AR927=""),,IF($AR927="本月合计",IF(ROW()=$BG$3,SUM($R$6:$R926),SUM(INDIRECT("$R$"&amp;OFFSET($AU$3,,MATCH(ROW(),$AU$3:$BF$3,)-2)+2&amp;":$R"&amp;ROW()-1))),IF($AR927="本年累计",SUMIF($AR$6:$AR927,"本月合计",$R$6:$R926),INDEX(凭证录入!L:L,$AR927))))</f>
        <v>0</v>
      </c>
      <c r="S927" s="459" t="str">
        <f t="shared" ca="1" si="204"/>
        <v/>
      </c>
      <c r="T927" s="460" t="str">
        <f t="shared" ca="1" si="204"/>
        <v/>
      </c>
      <c r="U927" s="460" t="str">
        <f t="shared" ca="1" si="204"/>
        <v/>
      </c>
      <c r="V927" s="460" t="str">
        <f t="shared" ca="1" si="204"/>
        <v/>
      </c>
      <c r="W927" s="460" t="str">
        <f t="shared" ca="1" si="204"/>
        <v/>
      </c>
      <c r="X927" s="460" t="str">
        <f t="shared" ca="1" si="204"/>
        <v/>
      </c>
      <c r="Y927" s="460" t="str">
        <f t="shared" ca="1" si="204"/>
        <v/>
      </c>
      <c r="Z927" s="460" t="str">
        <f t="shared" ca="1" si="204"/>
        <v/>
      </c>
      <c r="AA927" s="461" t="str">
        <f t="shared" ca="1" si="204"/>
        <v/>
      </c>
      <c r="AB927" s="474" t="str">
        <f t="shared" ca="1" si="204"/>
        <v/>
      </c>
      <c r="AC927" s="475" t="str">
        <f t="shared" ca="1" si="204"/>
        <v/>
      </c>
      <c r="AD927" s="477" t="str">
        <f t="shared" ca="1" si="200"/>
        <v/>
      </c>
      <c r="AE927" s="478">
        <f t="shared" ca="1" si="201"/>
        <v>0</v>
      </c>
      <c r="AF927" s="459" t="str">
        <f t="shared" ca="1" si="202"/>
        <v/>
      </c>
      <c r="AG927" s="460" t="str">
        <f t="shared" ca="1" si="202"/>
        <v/>
      </c>
      <c r="AH927" s="460" t="str">
        <f t="shared" ca="1" si="202"/>
        <v/>
      </c>
      <c r="AI927" s="460" t="str">
        <f t="shared" ca="1" si="202"/>
        <v/>
      </c>
      <c r="AJ927" s="460" t="str">
        <f t="shared" ca="1" si="202"/>
        <v/>
      </c>
      <c r="AK927" s="460" t="str">
        <f t="shared" ca="1" si="202"/>
        <v/>
      </c>
      <c r="AL927" s="460" t="str">
        <f t="shared" ca="1" si="202"/>
        <v/>
      </c>
      <c r="AM927" s="460" t="str">
        <f t="shared" ca="1" si="202"/>
        <v/>
      </c>
      <c r="AN927" s="461" t="str">
        <f t="shared" ca="1" si="202"/>
        <v/>
      </c>
      <c r="AO927" s="474" t="str">
        <f t="shared" ca="1" si="202"/>
        <v/>
      </c>
      <c r="AP927" s="475" t="str">
        <f t="shared" ca="1" si="202"/>
        <v/>
      </c>
      <c r="AQ927" s="479" t="str">
        <f t="array" aca="1" ref="AQ927" ca="1">IF(ROW()-5&lt;=COUNTIF(科目编号,$AR$2),SMALL(IF(科目编号=$AR$2,ROW(科目编号),""),ROW()-5),"")</f>
        <v/>
      </c>
      <c r="AR927" s="480" t="str">
        <f ca="1">IF($BG$2=0,"",IF(AR926="本月合计","本年累计",IF(OR(ROW()=$AU$3,ROW()=$AV$3,ROW()=$AW$3,ROW()=$AX$3,ROW()=$AY$3,ROW()=$AZ$3,ROW()=$BA$3,ROW()=$BB$3,ROW()=$BC$3,ROW()=$BD$3,ROW()=$BE$3,ROW()=$BF$3),"本月合计",IF(ROW()&lt;7,$AQ$6,OFFSET($AQ$6,COUNT($AR$6:AR926),0)))))</f>
        <v/>
      </c>
    </row>
    <row r="928" spans="1:44">
      <c r="A928" s="469" t="str">
        <f ca="1">IFERROR(INDEX(凭证录入!A:A,$AR928),"")</f>
        <v/>
      </c>
      <c r="B928" s="469" t="str">
        <f ca="1">IFERROR(INDEX(凭证录入!B:B,$AR928),"")</f>
        <v/>
      </c>
      <c r="C928" s="470" t="str">
        <f ca="1">IFERROR(INDEX(凭证录入!G:G,$AR928),"")</f>
        <v/>
      </c>
      <c r="D928" s="471" t="str">
        <f ca="1">IFERROR(INDEX(凭证录入!F:F,$AR928),"")</f>
        <v/>
      </c>
      <c r="E928" s="472" t="str">
        <f ca="1">IFERROR(INDEX(凭证录入!H:H,$AR928),$AR928)</f>
        <v/>
      </c>
      <c r="F928" s="473">
        <f ca="1">IF(OR($BG$2=0,$AR928=""),,IF($AR928="本月合计",IF(ROW()=$BG$3,SUM($F$6:$F927),SUM(INDIRECT("$F$"&amp;OFFSET($AU$3,,MATCH(ROW(),$AU$3:$BF$3,)-2)+2&amp;":$E"&amp;ROW()-1))),IF($AR928="本年累计",SUMIF($AR$6:$AR928,"本月合计",$F$6:$F927),INDEX(凭证录入!K:K,$AR928))))</f>
        <v>0</v>
      </c>
      <c r="G928" s="459" t="str">
        <f t="shared" ca="1" si="203"/>
        <v/>
      </c>
      <c r="H928" s="460" t="str">
        <f t="shared" ca="1" si="203"/>
        <v/>
      </c>
      <c r="I928" s="460" t="str">
        <f t="shared" ca="1" si="203"/>
        <v/>
      </c>
      <c r="J928" s="460" t="str">
        <f t="shared" ca="1" si="203"/>
        <v/>
      </c>
      <c r="K928" s="460" t="str">
        <f t="shared" ca="1" si="203"/>
        <v/>
      </c>
      <c r="L928" s="460" t="str">
        <f t="shared" ca="1" si="203"/>
        <v/>
      </c>
      <c r="M928" s="460" t="str">
        <f t="shared" ca="1" si="203"/>
        <v/>
      </c>
      <c r="N928" s="460" t="str">
        <f t="shared" ca="1" si="203"/>
        <v/>
      </c>
      <c r="O928" s="461" t="str">
        <f t="shared" ca="1" si="203"/>
        <v/>
      </c>
      <c r="P928" s="474" t="str">
        <f t="shared" ca="1" si="203"/>
        <v/>
      </c>
      <c r="Q928" s="475" t="str">
        <f t="shared" ca="1" si="203"/>
        <v/>
      </c>
      <c r="R928" s="476">
        <f ca="1">IF(OR($BG$2=0,$AR928=""),,IF($AR928="本月合计",IF(ROW()=$BG$3,SUM($R$6:$R927),SUM(INDIRECT("$R$"&amp;OFFSET($AU$3,,MATCH(ROW(),$AU$3:$BF$3,)-2)+2&amp;":$R"&amp;ROW()-1))),IF($AR928="本年累计",SUMIF($AR$6:$AR928,"本月合计",$R$6:$R927),INDEX(凭证录入!L:L,$AR928))))</f>
        <v>0</v>
      </c>
      <c r="S928" s="459" t="str">
        <f t="shared" ca="1" si="204"/>
        <v/>
      </c>
      <c r="T928" s="460" t="str">
        <f t="shared" ca="1" si="204"/>
        <v/>
      </c>
      <c r="U928" s="460" t="str">
        <f t="shared" ca="1" si="204"/>
        <v/>
      </c>
      <c r="V928" s="460" t="str">
        <f t="shared" ca="1" si="204"/>
        <v/>
      </c>
      <c r="W928" s="460" t="str">
        <f t="shared" ca="1" si="204"/>
        <v/>
      </c>
      <c r="X928" s="460" t="str">
        <f t="shared" ca="1" si="204"/>
        <v/>
      </c>
      <c r="Y928" s="460" t="str">
        <f t="shared" ca="1" si="204"/>
        <v/>
      </c>
      <c r="Z928" s="460" t="str">
        <f t="shared" ca="1" si="204"/>
        <v/>
      </c>
      <c r="AA928" s="461" t="str">
        <f t="shared" ca="1" si="204"/>
        <v/>
      </c>
      <c r="AB928" s="474" t="str">
        <f t="shared" ca="1" si="204"/>
        <v/>
      </c>
      <c r="AC928" s="475" t="str">
        <f t="shared" ca="1" si="204"/>
        <v/>
      </c>
      <c r="AD928" s="477" t="str">
        <f t="shared" ca="1" si="200"/>
        <v/>
      </c>
      <c r="AE928" s="478">
        <f t="shared" ca="1" si="201"/>
        <v>0</v>
      </c>
      <c r="AF928" s="459" t="str">
        <f t="shared" ca="1" si="202"/>
        <v/>
      </c>
      <c r="AG928" s="460" t="str">
        <f t="shared" ca="1" si="202"/>
        <v/>
      </c>
      <c r="AH928" s="460" t="str">
        <f t="shared" ca="1" si="202"/>
        <v/>
      </c>
      <c r="AI928" s="460" t="str">
        <f t="shared" ca="1" si="202"/>
        <v/>
      </c>
      <c r="AJ928" s="460" t="str">
        <f t="shared" ca="1" si="202"/>
        <v/>
      </c>
      <c r="AK928" s="460" t="str">
        <f t="shared" ca="1" si="202"/>
        <v/>
      </c>
      <c r="AL928" s="460" t="str">
        <f t="shared" ca="1" si="202"/>
        <v/>
      </c>
      <c r="AM928" s="460" t="str">
        <f t="shared" ca="1" si="202"/>
        <v/>
      </c>
      <c r="AN928" s="461" t="str">
        <f t="shared" ca="1" si="202"/>
        <v/>
      </c>
      <c r="AO928" s="474" t="str">
        <f t="shared" ca="1" si="202"/>
        <v/>
      </c>
      <c r="AP928" s="475" t="str">
        <f t="shared" ca="1" si="202"/>
        <v/>
      </c>
      <c r="AQ928" s="479" t="str">
        <f t="array" aca="1" ref="AQ928" ca="1">IF(ROW()-5&lt;=COUNTIF(科目编号,$AR$2),SMALL(IF(科目编号=$AR$2,ROW(科目编号),""),ROW()-5),"")</f>
        <v/>
      </c>
      <c r="AR928" s="480" t="str">
        <f ca="1">IF($BG$2=0,"",IF(AR927="本月合计","本年累计",IF(OR(ROW()=$AU$3,ROW()=$AV$3,ROW()=$AW$3,ROW()=$AX$3,ROW()=$AY$3,ROW()=$AZ$3,ROW()=$BA$3,ROW()=$BB$3,ROW()=$BC$3,ROW()=$BD$3,ROW()=$BE$3,ROW()=$BF$3),"本月合计",IF(ROW()&lt;7,$AQ$6,OFFSET($AQ$6,COUNT($AR$6:AR927),0)))))</f>
        <v/>
      </c>
    </row>
    <row r="929" spans="1:44">
      <c r="A929" s="469" t="str">
        <f ca="1">IFERROR(INDEX(凭证录入!A:A,$AR929),"")</f>
        <v/>
      </c>
      <c r="B929" s="469" t="str">
        <f ca="1">IFERROR(INDEX(凭证录入!B:B,$AR929),"")</f>
        <v/>
      </c>
      <c r="C929" s="470" t="str">
        <f ca="1">IFERROR(INDEX(凭证录入!G:G,$AR929),"")</f>
        <v/>
      </c>
      <c r="D929" s="471" t="str">
        <f ca="1">IFERROR(INDEX(凭证录入!F:F,$AR929),"")</f>
        <v/>
      </c>
      <c r="E929" s="472" t="str">
        <f ca="1">IFERROR(INDEX(凭证录入!H:H,$AR929),$AR929)</f>
        <v/>
      </c>
      <c r="F929" s="473">
        <f ca="1">IF(OR($BG$2=0,$AR929=""),,IF($AR929="本月合计",IF(ROW()=$BG$3,SUM($F$6:$F928),SUM(INDIRECT("$F$"&amp;OFFSET($AU$3,,MATCH(ROW(),$AU$3:$BF$3,)-2)+2&amp;":$E"&amp;ROW()-1))),IF($AR929="本年累计",SUMIF($AR$6:$AR929,"本月合计",$F$6:$F928),INDEX(凭证录入!K:K,$AR929))))</f>
        <v>0</v>
      </c>
      <c r="G929" s="459" t="str">
        <f t="shared" ca="1" si="203"/>
        <v/>
      </c>
      <c r="H929" s="460" t="str">
        <f t="shared" ca="1" si="203"/>
        <v/>
      </c>
      <c r="I929" s="460" t="str">
        <f t="shared" ca="1" si="203"/>
        <v/>
      </c>
      <c r="J929" s="460" t="str">
        <f t="shared" ca="1" si="203"/>
        <v/>
      </c>
      <c r="K929" s="460" t="str">
        <f t="shared" ca="1" si="203"/>
        <v/>
      </c>
      <c r="L929" s="460" t="str">
        <f t="shared" ca="1" si="203"/>
        <v/>
      </c>
      <c r="M929" s="460" t="str">
        <f t="shared" ca="1" si="203"/>
        <v/>
      </c>
      <c r="N929" s="460" t="str">
        <f t="shared" ca="1" si="203"/>
        <v/>
      </c>
      <c r="O929" s="461" t="str">
        <f t="shared" ca="1" si="203"/>
        <v/>
      </c>
      <c r="P929" s="474" t="str">
        <f t="shared" ca="1" si="203"/>
        <v/>
      </c>
      <c r="Q929" s="475" t="str">
        <f t="shared" ca="1" si="203"/>
        <v/>
      </c>
      <c r="R929" s="476">
        <f ca="1">IF(OR($BG$2=0,$AR929=""),,IF($AR929="本月合计",IF(ROW()=$BG$3,SUM($R$6:$R928),SUM(INDIRECT("$R$"&amp;OFFSET($AU$3,,MATCH(ROW(),$AU$3:$BF$3,)-2)+2&amp;":$R"&amp;ROW()-1))),IF($AR929="本年累计",SUMIF($AR$6:$AR929,"本月合计",$R$6:$R928),INDEX(凭证录入!L:L,$AR929))))</f>
        <v>0</v>
      </c>
      <c r="S929" s="459" t="str">
        <f t="shared" ca="1" si="204"/>
        <v/>
      </c>
      <c r="T929" s="460" t="str">
        <f t="shared" ca="1" si="204"/>
        <v/>
      </c>
      <c r="U929" s="460" t="str">
        <f t="shared" ca="1" si="204"/>
        <v/>
      </c>
      <c r="V929" s="460" t="str">
        <f t="shared" ca="1" si="204"/>
        <v/>
      </c>
      <c r="W929" s="460" t="str">
        <f t="shared" ca="1" si="204"/>
        <v/>
      </c>
      <c r="X929" s="460" t="str">
        <f t="shared" ca="1" si="204"/>
        <v/>
      </c>
      <c r="Y929" s="460" t="str">
        <f t="shared" ca="1" si="204"/>
        <v/>
      </c>
      <c r="Z929" s="460" t="str">
        <f t="shared" ca="1" si="204"/>
        <v/>
      </c>
      <c r="AA929" s="461" t="str">
        <f t="shared" ca="1" si="204"/>
        <v/>
      </c>
      <c r="AB929" s="474" t="str">
        <f t="shared" ca="1" si="204"/>
        <v/>
      </c>
      <c r="AC929" s="475" t="str">
        <f t="shared" ca="1" si="204"/>
        <v/>
      </c>
      <c r="AD929" s="477" t="str">
        <f t="shared" ca="1" si="200"/>
        <v/>
      </c>
      <c r="AE929" s="478">
        <f t="shared" ca="1" si="201"/>
        <v>0</v>
      </c>
      <c r="AF929" s="459" t="str">
        <f t="shared" ca="1" si="202"/>
        <v/>
      </c>
      <c r="AG929" s="460" t="str">
        <f t="shared" ca="1" si="202"/>
        <v/>
      </c>
      <c r="AH929" s="460" t="str">
        <f t="shared" ca="1" si="202"/>
        <v/>
      </c>
      <c r="AI929" s="460" t="str">
        <f t="shared" ca="1" si="202"/>
        <v/>
      </c>
      <c r="AJ929" s="460" t="str">
        <f t="shared" ca="1" si="202"/>
        <v/>
      </c>
      <c r="AK929" s="460" t="str">
        <f t="shared" ca="1" si="202"/>
        <v/>
      </c>
      <c r="AL929" s="460" t="str">
        <f t="shared" ca="1" si="202"/>
        <v/>
      </c>
      <c r="AM929" s="460" t="str">
        <f t="shared" ca="1" si="202"/>
        <v/>
      </c>
      <c r="AN929" s="461" t="str">
        <f t="shared" ca="1" si="202"/>
        <v/>
      </c>
      <c r="AO929" s="474" t="str">
        <f t="shared" ca="1" si="202"/>
        <v/>
      </c>
      <c r="AP929" s="475" t="str">
        <f t="shared" ca="1" si="202"/>
        <v/>
      </c>
      <c r="AQ929" s="479" t="str">
        <f t="array" aca="1" ref="AQ929" ca="1">IF(ROW()-5&lt;=COUNTIF(科目编号,$AR$2),SMALL(IF(科目编号=$AR$2,ROW(科目编号),""),ROW()-5),"")</f>
        <v/>
      </c>
      <c r="AR929" s="480" t="str">
        <f ca="1">IF($BG$2=0,"",IF(AR928="本月合计","本年累计",IF(OR(ROW()=$AU$3,ROW()=$AV$3,ROW()=$AW$3,ROW()=$AX$3,ROW()=$AY$3,ROW()=$AZ$3,ROW()=$BA$3,ROW()=$BB$3,ROW()=$BC$3,ROW()=$BD$3,ROW()=$BE$3,ROW()=$BF$3),"本月合计",IF(ROW()&lt;7,$AQ$6,OFFSET($AQ$6,COUNT($AR$6:AR928),0)))))</f>
        <v/>
      </c>
    </row>
    <row r="930" spans="1:44">
      <c r="A930" s="469" t="str">
        <f ca="1">IFERROR(INDEX(凭证录入!A:A,$AR930),"")</f>
        <v/>
      </c>
      <c r="B930" s="469" t="str">
        <f ca="1">IFERROR(INDEX(凭证录入!B:B,$AR930),"")</f>
        <v/>
      </c>
      <c r="C930" s="470" t="str">
        <f ca="1">IFERROR(INDEX(凭证录入!G:G,$AR930),"")</f>
        <v/>
      </c>
      <c r="D930" s="471" t="str">
        <f ca="1">IFERROR(INDEX(凭证录入!F:F,$AR930),"")</f>
        <v/>
      </c>
      <c r="E930" s="472" t="str">
        <f ca="1">IFERROR(INDEX(凭证录入!H:H,$AR930),$AR930)</f>
        <v/>
      </c>
      <c r="F930" s="473">
        <f ca="1">IF(OR($BG$2=0,$AR930=""),,IF($AR930="本月合计",IF(ROW()=$BG$3,SUM($F$6:$F929),SUM(INDIRECT("$F$"&amp;OFFSET($AU$3,,MATCH(ROW(),$AU$3:$BF$3,)-2)+2&amp;":$E"&amp;ROW()-1))),IF($AR930="本年累计",SUMIF($AR$6:$AR930,"本月合计",$F$6:$F929),INDEX(凭证录入!K:K,$AR930))))</f>
        <v>0</v>
      </c>
      <c r="G930" s="459" t="str">
        <f t="shared" ca="1" si="203"/>
        <v/>
      </c>
      <c r="H930" s="460" t="str">
        <f t="shared" ca="1" si="203"/>
        <v/>
      </c>
      <c r="I930" s="460" t="str">
        <f t="shared" ca="1" si="203"/>
        <v/>
      </c>
      <c r="J930" s="460" t="str">
        <f t="shared" ca="1" si="203"/>
        <v/>
      </c>
      <c r="K930" s="460" t="str">
        <f t="shared" ca="1" si="203"/>
        <v/>
      </c>
      <c r="L930" s="460" t="str">
        <f t="shared" ca="1" si="203"/>
        <v/>
      </c>
      <c r="M930" s="460" t="str">
        <f t="shared" ca="1" si="203"/>
        <v/>
      </c>
      <c r="N930" s="460" t="str">
        <f t="shared" ca="1" si="203"/>
        <v/>
      </c>
      <c r="O930" s="461" t="str">
        <f t="shared" ca="1" si="203"/>
        <v/>
      </c>
      <c r="P930" s="474" t="str">
        <f t="shared" ca="1" si="203"/>
        <v/>
      </c>
      <c r="Q930" s="475" t="str">
        <f t="shared" ca="1" si="203"/>
        <v/>
      </c>
      <c r="R930" s="476">
        <f ca="1">IF(OR($BG$2=0,$AR930=""),,IF($AR930="本月合计",IF(ROW()=$BG$3,SUM($R$6:$R929),SUM(INDIRECT("$R$"&amp;OFFSET($AU$3,,MATCH(ROW(),$AU$3:$BF$3,)-2)+2&amp;":$R"&amp;ROW()-1))),IF($AR930="本年累计",SUMIF($AR$6:$AR930,"本月合计",$R$6:$R929),INDEX(凭证录入!L:L,$AR930))))</f>
        <v>0</v>
      </c>
      <c r="S930" s="459" t="str">
        <f t="shared" ca="1" si="204"/>
        <v/>
      </c>
      <c r="T930" s="460" t="str">
        <f t="shared" ca="1" si="204"/>
        <v/>
      </c>
      <c r="U930" s="460" t="str">
        <f t="shared" ca="1" si="204"/>
        <v/>
      </c>
      <c r="V930" s="460" t="str">
        <f t="shared" ca="1" si="204"/>
        <v/>
      </c>
      <c r="W930" s="460" t="str">
        <f t="shared" ca="1" si="204"/>
        <v/>
      </c>
      <c r="X930" s="460" t="str">
        <f t="shared" ca="1" si="204"/>
        <v/>
      </c>
      <c r="Y930" s="460" t="str">
        <f t="shared" ca="1" si="204"/>
        <v/>
      </c>
      <c r="Z930" s="460" t="str">
        <f t="shared" ca="1" si="204"/>
        <v/>
      </c>
      <c r="AA930" s="461" t="str">
        <f t="shared" ca="1" si="204"/>
        <v/>
      </c>
      <c r="AB930" s="474" t="str">
        <f t="shared" ca="1" si="204"/>
        <v/>
      </c>
      <c r="AC930" s="475" t="str">
        <f t="shared" ca="1" si="204"/>
        <v/>
      </c>
      <c r="AD930" s="477" t="str">
        <f t="shared" ca="1" si="200"/>
        <v/>
      </c>
      <c r="AE930" s="478">
        <f t="shared" ca="1" si="201"/>
        <v>0</v>
      </c>
      <c r="AF930" s="459" t="str">
        <f t="shared" ca="1" si="202"/>
        <v/>
      </c>
      <c r="AG930" s="460" t="str">
        <f t="shared" ca="1" si="202"/>
        <v/>
      </c>
      <c r="AH930" s="460" t="str">
        <f t="shared" ca="1" si="202"/>
        <v/>
      </c>
      <c r="AI930" s="460" t="str">
        <f t="shared" ca="1" si="202"/>
        <v/>
      </c>
      <c r="AJ930" s="460" t="str">
        <f t="shared" ca="1" si="202"/>
        <v/>
      </c>
      <c r="AK930" s="460" t="str">
        <f t="shared" ca="1" si="202"/>
        <v/>
      </c>
      <c r="AL930" s="460" t="str">
        <f t="shared" ca="1" si="202"/>
        <v/>
      </c>
      <c r="AM930" s="460" t="str">
        <f t="shared" ca="1" si="202"/>
        <v/>
      </c>
      <c r="AN930" s="461" t="str">
        <f t="shared" ca="1" si="202"/>
        <v/>
      </c>
      <c r="AO930" s="474" t="str">
        <f t="shared" ca="1" si="202"/>
        <v/>
      </c>
      <c r="AP930" s="475" t="str">
        <f t="shared" ca="1" si="202"/>
        <v/>
      </c>
      <c r="AQ930" s="479" t="str">
        <f t="array" aca="1" ref="AQ930" ca="1">IF(ROW()-5&lt;=COUNTIF(科目编号,$AR$2),SMALL(IF(科目编号=$AR$2,ROW(科目编号),""),ROW()-5),"")</f>
        <v/>
      </c>
      <c r="AR930" s="480" t="str">
        <f ca="1">IF($BG$2=0,"",IF(AR929="本月合计","本年累计",IF(OR(ROW()=$AU$3,ROW()=$AV$3,ROW()=$AW$3,ROW()=$AX$3,ROW()=$AY$3,ROW()=$AZ$3,ROW()=$BA$3,ROW()=$BB$3,ROW()=$BC$3,ROW()=$BD$3,ROW()=$BE$3,ROW()=$BF$3),"本月合计",IF(ROW()&lt;7,$AQ$6,OFFSET($AQ$6,COUNT($AR$6:AR929),0)))))</f>
        <v/>
      </c>
    </row>
    <row r="931" spans="1:44">
      <c r="A931" s="469" t="str">
        <f ca="1">IFERROR(INDEX(凭证录入!A:A,$AR931),"")</f>
        <v/>
      </c>
      <c r="B931" s="469" t="str">
        <f ca="1">IFERROR(INDEX(凭证录入!B:B,$AR931),"")</f>
        <v/>
      </c>
      <c r="C931" s="470" t="str">
        <f ca="1">IFERROR(INDEX(凭证录入!G:G,$AR931),"")</f>
        <v/>
      </c>
      <c r="D931" s="471" t="str">
        <f ca="1">IFERROR(INDEX(凭证录入!F:F,$AR931),"")</f>
        <v/>
      </c>
      <c r="E931" s="472" t="str">
        <f ca="1">IFERROR(INDEX(凭证录入!H:H,$AR931),$AR931)</f>
        <v/>
      </c>
      <c r="F931" s="473">
        <f ca="1">IF(OR($BG$2=0,$AR931=""),,IF($AR931="本月合计",IF(ROW()=$BG$3,SUM($F$6:$F930),SUM(INDIRECT("$F$"&amp;OFFSET($AU$3,,MATCH(ROW(),$AU$3:$BF$3,)-2)+2&amp;":$E"&amp;ROW()-1))),IF($AR931="本年累计",SUMIF($AR$6:$AR931,"本月合计",$F$6:$F930),INDEX(凭证录入!K:K,$AR931))))</f>
        <v>0</v>
      </c>
      <c r="G931" s="459" t="str">
        <f t="shared" ca="1" si="203"/>
        <v/>
      </c>
      <c r="H931" s="460" t="str">
        <f t="shared" ca="1" si="203"/>
        <v/>
      </c>
      <c r="I931" s="460" t="str">
        <f t="shared" ca="1" si="203"/>
        <v/>
      </c>
      <c r="J931" s="460" t="str">
        <f t="shared" ca="1" si="203"/>
        <v/>
      </c>
      <c r="K931" s="460" t="str">
        <f t="shared" ca="1" si="203"/>
        <v/>
      </c>
      <c r="L931" s="460" t="str">
        <f t="shared" ca="1" si="203"/>
        <v/>
      </c>
      <c r="M931" s="460" t="str">
        <f t="shared" ca="1" si="203"/>
        <v/>
      </c>
      <c r="N931" s="460" t="str">
        <f t="shared" ca="1" si="203"/>
        <v/>
      </c>
      <c r="O931" s="461" t="str">
        <f t="shared" ca="1" si="203"/>
        <v/>
      </c>
      <c r="P931" s="474" t="str">
        <f t="shared" ca="1" si="203"/>
        <v/>
      </c>
      <c r="Q931" s="475" t="str">
        <f t="shared" ca="1" si="203"/>
        <v/>
      </c>
      <c r="R931" s="476">
        <f ca="1">IF(OR($BG$2=0,$AR931=""),,IF($AR931="本月合计",IF(ROW()=$BG$3,SUM($R$6:$R930),SUM(INDIRECT("$R$"&amp;OFFSET($AU$3,,MATCH(ROW(),$AU$3:$BF$3,)-2)+2&amp;":$R"&amp;ROW()-1))),IF($AR931="本年累计",SUMIF($AR$6:$AR931,"本月合计",$R$6:$R930),INDEX(凭证录入!L:L,$AR931))))</f>
        <v>0</v>
      </c>
      <c r="S931" s="459" t="str">
        <f t="shared" ca="1" si="204"/>
        <v/>
      </c>
      <c r="T931" s="460" t="str">
        <f t="shared" ca="1" si="204"/>
        <v/>
      </c>
      <c r="U931" s="460" t="str">
        <f t="shared" ca="1" si="204"/>
        <v/>
      </c>
      <c r="V931" s="460" t="str">
        <f t="shared" ca="1" si="204"/>
        <v/>
      </c>
      <c r="W931" s="460" t="str">
        <f t="shared" ca="1" si="204"/>
        <v/>
      </c>
      <c r="X931" s="460" t="str">
        <f t="shared" ca="1" si="204"/>
        <v/>
      </c>
      <c r="Y931" s="460" t="str">
        <f t="shared" ca="1" si="204"/>
        <v/>
      </c>
      <c r="Z931" s="460" t="str">
        <f t="shared" ca="1" si="204"/>
        <v/>
      </c>
      <c r="AA931" s="461" t="str">
        <f t="shared" ca="1" si="204"/>
        <v/>
      </c>
      <c r="AB931" s="474" t="str">
        <f t="shared" ca="1" si="204"/>
        <v/>
      </c>
      <c r="AC931" s="475" t="str">
        <f t="shared" ca="1" si="204"/>
        <v/>
      </c>
      <c r="AD931" s="477" t="str">
        <f t="shared" ca="1" si="200"/>
        <v/>
      </c>
      <c r="AE931" s="478">
        <f t="shared" ca="1" si="201"/>
        <v>0</v>
      </c>
      <c r="AF931" s="459" t="str">
        <f t="shared" ca="1" si="202"/>
        <v/>
      </c>
      <c r="AG931" s="460" t="str">
        <f t="shared" ca="1" si="202"/>
        <v/>
      </c>
      <c r="AH931" s="460" t="str">
        <f t="shared" ca="1" si="202"/>
        <v/>
      </c>
      <c r="AI931" s="460" t="str">
        <f t="shared" ca="1" si="202"/>
        <v/>
      </c>
      <c r="AJ931" s="460" t="str">
        <f t="shared" ca="1" si="202"/>
        <v/>
      </c>
      <c r="AK931" s="460" t="str">
        <f t="shared" ca="1" si="202"/>
        <v/>
      </c>
      <c r="AL931" s="460" t="str">
        <f t="shared" ca="1" si="202"/>
        <v/>
      </c>
      <c r="AM931" s="460" t="str">
        <f t="shared" ca="1" si="202"/>
        <v/>
      </c>
      <c r="AN931" s="461" t="str">
        <f t="shared" ca="1" si="202"/>
        <v/>
      </c>
      <c r="AO931" s="474" t="str">
        <f t="shared" ca="1" si="202"/>
        <v/>
      </c>
      <c r="AP931" s="475" t="str">
        <f t="shared" ca="1" si="202"/>
        <v/>
      </c>
      <c r="AQ931" s="479" t="str">
        <f t="array" aca="1" ref="AQ931" ca="1">IF(ROW()-5&lt;=COUNTIF(科目编号,$AR$2),SMALL(IF(科目编号=$AR$2,ROW(科目编号),""),ROW()-5),"")</f>
        <v/>
      </c>
      <c r="AR931" s="480" t="str">
        <f ca="1">IF($BG$2=0,"",IF(AR930="本月合计","本年累计",IF(OR(ROW()=$AU$3,ROW()=$AV$3,ROW()=$AW$3,ROW()=$AX$3,ROW()=$AY$3,ROW()=$AZ$3,ROW()=$BA$3,ROW()=$BB$3,ROW()=$BC$3,ROW()=$BD$3,ROW()=$BE$3,ROW()=$BF$3),"本月合计",IF(ROW()&lt;7,$AQ$6,OFFSET($AQ$6,COUNT($AR$6:AR930),0)))))</f>
        <v/>
      </c>
    </row>
    <row r="932" spans="1:44">
      <c r="A932" s="469" t="str">
        <f ca="1">IFERROR(INDEX(凭证录入!A:A,$AR932),"")</f>
        <v/>
      </c>
      <c r="B932" s="469" t="str">
        <f ca="1">IFERROR(INDEX(凭证录入!B:B,$AR932),"")</f>
        <v/>
      </c>
      <c r="C932" s="470" t="str">
        <f ca="1">IFERROR(INDEX(凭证录入!G:G,$AR932),"")</f>
        <v/>
      </c>
      <c r="D932" s="471" t="str">
        <f ca="1">IFERROR(INDEX(凭证录入!F:F,$AR932),"")</f>
        <v/>
      </c>
      <c r="E932" s="472" t="str">
        <f ca="1">IFERROR(INDEX(凭证录入!H:H,$AR932),$AR932)</f>
        <v/>
      </c>
      <c r="F932" s="473">
        <f ca="1">IF(OR($BG$2=0,$AR932=""),,IF($AR932="本月合计",IF(ROW()=$BG$3,SUM($F$6:$F931),SUM(INDIRECT("$F$"&amp;OFFSET($AU$3,,MATCH(ROW(),$AU$3:$BF$3,)-2)+2&amp;":$E"&amp;ROW()-1))),IF($AR932="本年累计",SUMIF($AR$6:$AR932,"本月合计",$F$6:$F931),INDEX(凭证录入!K:K,$AR932))))</f>
        <v>0</v>
      </c>
      <c r="G932" s="459" t="str">
        <f t="shared" ca="1" si="203"/>
        <v/>
      </c>
      <c r="H932" s="460" t="str">
        <f t="shared" ca="1" si="203"/>
        <v/>
      </c>
      <c r="I932" s="460" t="str">
        <f t="shared" ca="1" si="203"/>
        <v/>
      </c>
      <c r="J932" s="460" t="str">
        <f t="shared" ca="1" si="203"/>
        <v/>
      </c>
      <c r="K932" s="460" t="str">
        <f t="shared" ca="1" si="203"/>
        <v/>
      </c>
      <c r="L932" s="460" t="str">
        <f t="shared" ca="1" si="203"/>
        <v/>
      </c>
      <c r="M932" s="460" t="str">
        <f t="shared" ca="1" si="203"/>
        <v/>
      </c>
      <c r="N932" s="460" t="str">
        <f t="shared" ca="1" si="203"/>
        <v/>
      </c>
      <c r="O932" s="461" t="str">
        <f t="shared" ca="1" si="203"/>
        <v/>
      </c>
      <c r="P932" s="474" t="str">
        <f t="shared" ca="1" si="203"/>
        <v/>
      </c>
      <c r="Q932" s="475" t="str">
        <f t="shared" ca="1" si="203"/>
        <v/>
      </c>
      <c r="R932" s="476">
        <f ca="1">IF(OR($BG$2=0,$AR932=""),,IF($AR932="本月合计",IF(ROW()=$BG$3,SUM($R$6:$R931),SUM(INDIRECT("$R$"&amp;OFFSET($AU$3,,MATCH(ROW(),$AU$3:$BF$3,)-2)+2&amp;":$R"&amp;ROW()-1))),IF($AR932="本年累计",SUMIF($AR$6:$AR932,"本月合计",$R$6:$R931),INDEX(凭证录入!L:L,$AR932))))</f>
        <v>0</v>
      </c>
      <c r="S932" s="459" t="str">
        <f t="shared" ca="1" si="204"/>
        <v/>
      </c>
      <c r="T932" s="460" t="str">
        <f t="shared" ca="1" si="204"/>
        <v/>
      </c>
      <c r="U932" s="460" t="str">
        <f t="shared" ca="1" si="204"/>
        <v/>
      </c>
      <c r="V932" s="460" t="str">
        <f t="shared" ca="1" si="204"/>
        <v/>
      </c>
      <c r="W932" s="460" t="str">
        <f t="shared" ca="1" si="204"/>
        <v/>
      </c>
      <c r="X932" s="460" t="str">
        <f t="shared" ca="1" si="204"/>
        <v/>
      </c>
      <c r="Y932" s="460" t="str">
        <f t="shared" ca="1" si="204"/>
        <v/>
      </c>
      <c r="Z932" s="460" t="str">
        <f t="shared" ca="1" si="204"/>
        <v/>
      </c>
      <c r="AA932" s="461" t="str">
        <f t="shared" ca="1" si="204"/>
        <v/>
      </c>
      <c r="AB932" s="474" t="str">
        <f t="shared" ca="1" si="204"/>
        <v/>
      </c>
      <c r="AC932" s="475" t="str">
        <f t="shared" ca="1" si="204"/>
        <v/>
      </c>
      <c r="AD932" s="477" t="str">
        <f t="shared" ca="1" si="200"/>
        <v/>
      </c>
      <c r="AE932" s="478">
        <f t="shared" ca="1" si="201"/>
        <v>0</v>
      </c>
      <c r="AF932" s="459" t="str">
        <f t="shared" ca="1" si="202"/>
        <v/>
      </c>
      <c r="AG932" s="460" t="str">
        <f t="shared" ca="1" si="202"/>
        <v/>
      </c>
      <c r="AH932" s="460" t="str">
        <f t="shared" ca="1" si="202"/>
        <v/>
      </c>
      <c r="AI932" s="460" t="str">
        <f t="shared" ca="1" si="202"/>
        <v/>
      </c>
      <c r="AJ932" s="460" t="str">
        <f t="shared" ca="1" si="202"/>
        <v/>
      </c>
      <c r="AK932" s="460" t="str">
        <f t="shared" ca="1" si="202"/>
        <v/>
      </c>
      <c r="AL932" s="460" t="str">
        <f t="shared" ca="1" si="202"/>
        <v/>
      </c>
      <c r="AM932" s="460" t="str">
        <f t="shared" ca="1" si="202"/>
        <v/>
      </c>
      <c r="AN932" s="461" t="str">
        <f t="shared" ca="1" si="202"/>
        <v/>
      </c>
      <c r="AO932" s="474" t="str">
        <f t="shared" ca="1" si="202"/>
        <v/>
      </c>
      <c r="AP932" s="475" t="str">
        <f t="shared" ca="1" si="202"/>
        <v/>
      </c>
      <c r="AQ932" s="479" t="str">
        <f t="array" aca="1" ref="AQ932" ca="1">IF(ROW()-5&lt;=COUNTIF(科目编号,$AR$2),SMALL(IF(科目编号=$AR$2,ROW(科目编号),""),ROW()-5),"")</f>
        <v/>
      </c>
      <c r="AR932" s="480" t="str">
        <f ca="1">IF($BG$2=0,"",IF(AR931="本月合计","本年累计",IF(OR(ROW()=$AU$3,ROW()=$AV$3,ROW()=$AW$3,ROW()=$AX$3,ROW()=$AY$3,ROW()=$AZ$3,ROW()=$BA$3,ROW()=$BB$3,ROW()=$BC$3,ROW()=$BD$3,ROW()=$BE$3,ROW()=$BF$3),"本月合计",IF(ROW()&lt;7,$AQ$6,OFFSET($AQ$6,COUNT($AR$6:AR931),0)))))</f>
        <v/>
      </c>
    </row>
    <row r="933" spans="1:44">
      <c r="A933" s="469" t="str">
        <f ca="1">IFERROR(INDEX(凭证录入!A:A,$AR933),"")</f>
        <v/>
      </c>
      <c r="B933" s="469" t="str">
        <f ca="1">IFERROR(INDEX(凭证录入!B:B,$AR933),"")</f>
        <v/>
      </c>
      <c r="C933" s="470" t="str">
        <f ca="1">IFERROR(INDEX(凭证录入!G:G,$AR933),"")</f>
        <v/>
      </c>
      <c r="D933" s="471" t="str">
        <f ca="1">IFERROR(INDEX(凭证录入!F:F,$AR933),"")</f>
        <v/>
      </c>
      <c r="E933" s="472" t="str">
        <f ca="1">IFERROR(INDEX(凭证录入!H:H,$AR933),$AR933)</f>
        <v/>
      </c>
      <c r="F933" s="473">
        <f ca="1">IF(OR($BG$2=0,$AR933=""),,IF($AR933="本月合计",IF(ROW()=$BG$3,SUM($F$6:$F932),SUM(INDIRECT("$F$"&amp;OFFSET($AU$3,,MATCH(ROW(),$AU$3:$BF$3,)-2)+2&amp;":$E"&amp;ROW()-1))),IF($AR933="本年累计",SUMIF($AR$6:$AR933,"本月合计",$F$6:$F932),INDEX(凭证录入!K:K,$AR933))))</f>
        <v>0</v>
      </c>
      <c r="G933" s="459" t="str">
        <f t="shared" ca="1" si="203"/>
        <v/>
      </c>
      <c r="H933" s="460" t="str">
        <f t="shared" ca="1" si="203"/>
        <v/>
      </c>
      <c r="I933" s="460" t="str">
        <f t="shared" ca="1" si="203"/>
        <v/>
      </c>
      <c r="J933" s="460" t="str">
        <f t="shared" ca="1" si="203"/>
        <v/>
      </c>
      <c r="K933" s="460" t="str">
        <f t="shared" ca="1" si="203"/>
        <v/>
      </c>
      <c r="L933" s="460" t="str">
        <f t="shared" ca="1" si="203"/>
        <v/>
      </c>
      <c r="M933" s="460" t="str">
        <f t="shared" ca="1" si="203"/>
        <v/>
      </c>
      <c r="N933" s="460" t="str">
        <f t="shared" ca="1" si="203"/>
        <v/>
      </c>
      <c r="O933" s="461" t="str">
        <f t="shared" ca="1" si="203"/>
        <v/>
      </c>
      <c r="P933" s="474" t="str">
        <f t="shared" ca="1" si="203"/>
        <v/>
      </c>
      <c r="Q933" s="475" t="str">
        <f t="shared" ca="1" si="203"/>
        <v/>
      </c>
      <c r="R933" s="476">
        <f ca="1">IF(OR($BG$2=0,$AR933=""),,IF($AR933="本月合计",IF(ROW()=$BG$3,SUM($R$6:$R932),SUM(INDIRECT("$R$"&amp;OFFSET($AU$3,,MATCH(ROW(),$AU$3:$BF$3,)-2)+2&amp;":$R"&amp;ROW()-1))),IF($AR933="本年累计",SUMIF($AR$6:$AR933,"本月合计",$R$6:$R932),INDEX(凭证录入!L:L,$AR933))))</f>
        <v>0</v>
      </c>
      <c r="S933" s="459" t="str">
        <f t="shared" ca="1" si="204"/>
        <v/>
      </c>
      <c r="T933" s="460" t="str">
        <f t="shared" ca="1" si="204"/>
        <v/>
      </c>
      <c r="U933" s="460" t="str">
        <f t="shared" ca="1" si="204"/>
        <v/>
      </c>
      <c r="V933" s="460" t="str">
        <f t="shared" ca="1" si="204"/>
        <v/>
      </c>
      <c r="W933" s="460" t="str">
        <f t="shared" ca="1" si="204"/>
        <v/>
      </c>
      <c r="X933" s="460" t="str">
        <f t="shared" ca="1" si="204"/>
        <v/>
      </c>
      <c r="Y933" s="460" t="str">
        <f t="shared" ca="1" si="204"/>
        <v/>
      </c>
      <c r="Z933" s="460" t="str">
        <f t="shared" ca="1" si="204"/>
        <v/>
      </c>
      <c r="AA933" s="461" t="str">
        <f t="shared" ca="1" si="204"/>
        <v/>
      </c>
      <c r="AB933" s="474" t="str">
        <f t="shared" ca="1" si="204"/>
        <v/>
      </c>
      <c r="AC933" s="475" t="str">
        <f t="shared" ca="1" si="204"/>
        <v/>
      </c>
      <c r="AD933" s="477" t="str">
        <f t="shared" ca="1" si="200"/>
        <v/>
      </c>
      <c r="AE933" s="478">
        <f t="shared" ca="1" si="201"/>
        <v>0</v>
      </c>
      <c r="AF933" s="459" t="str">
        <f t="shared" ref="AF933:AP948" ca="1" si="205">LEFT(RIGHT(TEXT($AE933/1%," ￥0; ￥-0;"),43-COLUMN()))</f>
        <v/>
      </c>
      <c r="AG933" s="460" t="str">
        <f t="shared" ca="1" si="205"/>
        <v/>
      </c>
      <c r="AH933" s="460" t="str">
        <f t="shared" ca="1" si="205"/>
        <v/>
      </c>
      <c r="AI933" s="460" t="str">
        <f t="shared" ca="1" si="205"/>
        <v/>
      </c>
      <c r="AJ933" s="460" t="str">
        <f t="shared" ca="1" si="205"/>
        <v/>
      </c>
      <c r="AK933" s="460" t="str">
        <f t="shared" ca="1" si="205"/>
        <v/>
      </c>
      <c r="AL933" s="460" t="str">
        <f t="shared" ca="1" si="205"/>
        <v/>
      </c>
      <c r="AM933" s="460" t="str">
        <f t="shared" ca="1" si="205"/>
        <v/>
      </c>
      <c r="AN933" s="461" t="str">
        <f t="shared" ca="1" si="205"/>
        <v/>
      </c>
      <c r="AO933" s="474" t="str">
        <f t="shared" ca="1" si="205"/>
        <v/>
      </c>
      <c r="AP933" s="475" t="str">
        <f t="shared" ca="1" si="205"/>
        <v/>
      </c>
      <c r="AQ933" s="479" t="str">
        <f t="array" aca="1" ref="AQ933" ca="1">IF(ROW()-5&lt;=COUNTIF(科目编号,$AR$2),SMALL(IF(科目编号=$AR$2,ROW(科目编号),""),ROW()-5),"")</f>
        <v/>
      </c>
      <c r="AR933" s="480" t="str">
        <f ca="1">IF($BG$2=0,"",IF(AR932="本月合计","本年累计",IF(OR(ROW()=$AU$3,ROW()=$AV$3,ROW()=$AW$3,ROW()=$AX$3,ROW()=$AY$3,ROW()=$AZ$3,ROW()=$BA$3,ROW()=$BB$3,ROW()=$BC$3,ROW()=$BD$3,ROW()=$BE$3,ROW()=$BF$3),"本月合计",IF(ROW()&lt;7,$AQ$6,OFFSET($AQ$6,COUNT($AR$6:AR932),0)))))</f>
        <v/>
      </c>
    </row>
    <row r="934" spans="1:44">
      <c r="A934" s="469" t="str">
        <f ca="1">IFERROR(INDEX(凭证录入!A:A,$AR934),"")</f>
        <v/>
      </c>
      <c r="B934" s="469" t="str">
        <f ca="1">IFERROR(INDEX(凭证录入!B:B,$AR934),"")</f>
        <v/>
      </c>
      <c r="C934" s="470" t="str">
        <f ca="1">IFERROR(INDEX(凭证录入!G:G,$AR934),"")</f>
        <v/>
      </c>
      <c r="D934" s="471" t="str">
        <f ca="1">IFERROR(INDEX(凭证录入!F:F,$AR934),"")</f>
        <v/>
      </c>
      <c r="E934" s="472" t="str">
        <f ca="1">IFERROR(INDEX(凭证录入!H:H,$AR934),$AR934)</f>
        <v/>
      </c>
      <c r="F934" s="473">
        <f ca="1">IF(OR($BG$2=0,$AR934=""),,IF($AR934="本月合计",IF(ROW()=$BG$3,SUM($F$6:$F933),SUM(INDIRECT("$F$"&amp;OFFSET($AU$3,,MATCH(ROW(),$AU$3:$BF$3,)-2)+2&amp;":$E"&amp;ROW()-1))),IF($AR934="本年累计",SUMIF($AR$6:$AR934,"本月合计",$F$6:$F933),INDEX(凭证录入!K:K,$AR934))))</f>
        <v>0</v>
      </c>
      <c r="G934" s="459" t="str">
        <f t="shared" ref="G934:Q949" ca="1" si="206">LEFT(RIGHT(TEXT($F934/1%," ￥0; ￥-0;"),18-COLUMN()))</f>
        <v/>
      </c>
      <c r="H934" s="460" t="str">
        <f t="shared" ca="1" si="206"/>
        <v/>
      </c>
      <c r="I934" s="460" t="str">
        <f t="shared" ca="1" si="206"/>
        <v/>
      </c>
      <c r="J934" s="460" t="str">
        <f t="shared" ca="1" si="206"/>
        <v/>
      </c>
      <c r="K934" s="460" t="str">
        <f t="shared" ca="1" si="206"/>
        <v/>
      </c>
      <c r="L934" s="460" t="str">
        <f t="shared" ca="1" si="206"/>
        <v/>
      </c>
      <c r="M934" s="460" t="str">
        <f t="shared" ca="1" si="206"/>
        <v/>
      </c>
      <c r="N934" s="460" t="str">
        <f t="shared" ca="1" si="206"/>
        <v/>
      </c>
      <c r="O934" s="461" t="str">
        <f t="shared" ca="1" si="206"/>
        <v/>
      </c>
      <c r="P934" s="474" t="str">
        <f t="shared" ca="1" si="206"/>
        <v/>
      </c>
      <c r="Q934" s="475" t="str">
        <f t="shared" ca="1" si="206"/>
        <v/>
      </c>
      <c r="R934" s="476">
        <f ca="1">IF(OR($BG$2=0,$AR934=""),,IF($AR934="本月合计",IF(ROW()=$BG$3,SUM($R$6:$R933),SUM(INDIRECT("$R$"&amp;OFFSET($AU$3,,MATCH(ROW(),$AU$3:$BF$3,)-2)+2&amp;":$R"&amp;ROW()-1))),IF($AR934="本年累计",SUMIF($AR$6:$AR934,"本月合计",$R$6:$R933),INDEX(凭证录入!L:L,$AR934))))</f>
        <v>0</v>
      </c>
      <c r="S934" s="459" t="str">
        <f t="shared" ref="S934:AC949" ca="1" si="207">LEFT(RIGHT(TEXT($R934/1%," ￥0; ￥-0;"),30-COLUMN()))</f>
        <v/>
      </c>
      <c r="T934" s="460" t="str">
        <f t="shared" ca="1" si="207"/>
        <v/>
      </c>
      <c r="U934" s="460" t="str">
        <f t="shared" ca="1" si="207"/>
        <v/>
      </c>
      <c r="V934" s="460" t="str">
        <f t="shared" ca="1" si="207"/>
        <v/>
      </c>
      <c r="W934" s="460" t="str">
        <f t="shared" ca="1" si="207"/>
        <v/>
      </c>
      <c r="X934" s="460" t="str">
        <f t="shared" ca="1" si="207"/>
        <v/>
      </c>
      <c r="Y934" s="460" t="str">
        <f t="shared" ca="1" si="207"/>
        <v/>
      </c>
      <c r="Z934" s="460" t="str">
        <f t="shared" ca="1" si="207"/>
        <v/>
      </c>
      <c r="AA934" s="461" t="str">
        <f t="shared" ca="1" si="207"/>
        <v/>
      </c>
      <c r="AB934" s="474" t="str">
        <f t="shared" ca="1" si="207"/>
        <v/>
      </c>
      <c r="AC934" s="475" t="str">
        <f t="shared" ca="1" si="207"/>
        <v/>
      </c>
      <c r="AD934" s="477" t="str">
        <f t="shared" ca="1" si="200"/>
        <v/>
      </c>
      <c r="AE934" s="478">
        <f t="shared" ca="1" si="201"/>
        <v>0</v>
      </c>
      <c r="AF934" s="459" t="str">
        <f t="shared" ca="1" si="205"/>
        <v/>
      </c>
      <c r="AG934" s="460" t="str">
        <f t="shared" ca="1" si="205"/>
        <v/>
      </c>
      <c r="AH934" s="460" t="str">
        <f t="shared" ca="1" si="205"/>
        <v/>
      </c>
      <c r="AI934" s="460" t="str">
        <f t="shared" ca="1" si="205"/>
        <v/>
      </c>
      <c r="AJ934" s="460" t="str">
        <f t="shared" ca="1" si="205"/>
        <v/>
      </c>
      <c r="AK934" s="460" t="str">
        <f t="shared" ca="1" si="205"/>
        <v/>
      </c>
      <c r="AL934" s="460" t="str">
        <f t="shared" ca="1" si="205"/>
        <v/>
      </c>
      <c r="AM934" s="460" t="str">
        <f t="shared" ca="1" si="205"/>
        <v/>
      </c>
      <c r="AN934" s="461" t="str">
        <f t="shared" ca="1" si="205"/>
        <v/>
      </c>
      <c r="AO934" s="474" t="str">
        <f t="shared" ca="1" si="205"/>
        <v/>
      </c>
      <c r="AP934" s="475" t="str">
        <f t="shared" ca="1" si="205"/>
        <v/>
      </c>
      <c r="AQ934" s="479" t="str">
        <f t="array" aca="1" ref="AQ934" ca="1">IF(ROW()-5&lt;=COUNTIF(科目编号,$AR$2),SMALL(IF(科目编号=$AR$2,ROW(科目编号),""),ROW()-5),"")</f>
        <v/>
      </c>
      <c r="AR934" s="480" t="str">
        <f ca="1">IF($BG$2=0,"",IF(AR933="本月合计","本年累计",IF(OR(ROW()=$AU$3,ROW()=$AV$3,ROW()=$AW$3,ROW()=$AX$3,ROW()=$AY$3,ROW()=$AZ$3,ROW()=$BA$3,ROW()=$BB$3,ROW()=$BC$3,ROW()=$BD$3,ROW()=$BE$3,ROW()=$BF$3),"本月合计",IF(ROW()&lt;7,$AQ$6,OFFSET($AQ$6,COUNT($AR$6:AR933),0)))))</f>
        <v/>
      </c>
    </row>
    <row r="935" spans="1:44">
      <c r="A935" s="469" t="str">
        <f ca="1">IFERROR(INDEX(凭证录入!A:A,$AR935),"")</f>
        <v/>
      </c>
      <c r="B935" s="469" t="str">
        <f ca="1">IFERROR(INDEX(凭证录入!B:B,$AR935),"")</f>
        <v/>
      </c>
      <c r="C935" s="470" t="str">
        <f ca="1">IFERROR(INDEX(凭证录入!G:G,$AR935),"")</f>
        <v/>
      </c>
      <c r="D935" s="471" t="str">
        <f ca="1">IFERROR(INDEX(凭证录入!F:F,$AR935),"")</f>
        <v/>
      </c>
      <c r="E935" s="472" t="str">
        <f ca="1">IFERROR(INDEX(凭证录入!H:H,$AR935),$AR935)</f>
        <v/>
      </c>
      <c r="F935" s="473">
        <f ca="1">IF(OR($BG$2=0,$AR935=""),,IF($AR935="本月合计",IF(ROW()=$BG$3,SUM($F$6:$F934),SUM(INDIRECT("$F$"&amp;OFFSET($AU$3,,MATCH(ROW(),$AU$3:$BF$3,)-2)+2&amp;":$E"&amp;ROW()-1))),IF($AR935="本年累计",SUMIF($AR$6:$AR935,"本月合计",$F$6:$F934),INDEX(凭证录入!K:K,$AR935))))</f>
        <v>0</v>
      </c>
      <c r="G935" s="459" t="str">
        <f t="shared" ca="1" si="206"/>
        <v/>
      </c>
      <c r="H935" s="460" t="str">
        <f t="shared" ca="1" si="206"/>
        <v/>
      </c>
      <c r="I935" s="460" t="str">
        <f t="shared" ca="1" si="206"/>
        <v/>
      </c>
      <c r="J935" s="460" t="str">
        <f t="shared" ca="1" si="206"/>
        <v/>
      </c>
      <c r="K935" s="460" t="str">
        <f t="shared" ca="1" si="206"/>
        <v/>
      </c>
      <c r="L935" s="460" t="str">
        <f t="shared" ca="1" si="206"/>
        <v/>
      </c>
      <c r="M935" s="460" t="str">
        <f t="shared" ca="1" si="206"/>
        <v/>
      </c>
      <c r="N935" s="460" t="str">
        <f t="shared" ca="1" si="206"/>
        <v/>
      </c>
      <c r="O935" s="461" t="str">
        <f t="shared" ca="1" si="206"/>
        <v/>
      </c>
      <c r="P935" s="474" t="str">
        <f t="shared" ca="1" si="206"/>
        <v/>
      </c>
      <c r="Q935" s="475" t="str">
        <f t="shared" ca="1" si="206"/>
        <v/>
      </c>
      <c r="R935" s="476">
        <f ca="1">IF(OR($BG$2=0,$AR935=""),,IF($AR935="本月合计",IF(ROW()=$BG$3,SUM($R$6:$R934),SUM(INDIRECT("$R$"&amp;OFFSET($AU$3,,MATCH(ROW(),$AU$3:$BF$3,)-2)+2&amp;":$R"&amp;ROW()-1))),IF($AR935="本年累计",SUMIF($AR$6:$AR935,"本月合计",$R$6:$R934),INDEX(凭证录入!L:L,$AR935))))</f>
        <v>0</v>
      </c>
      <c r="S935" s="459" t="str">
        <f t="shared" ca="1" si="207"/>
        <v/>
      </c>
      <c r="T935" s="460" t="str">
        <f t="shared" ca="1" si="207"/>
        <v/>
      </c>
      <c r="U935" s="460" t="str">
        <f t="shared" ca="1" si="207"/>
        <v/>
      </c>
      <c r="V935" s="460" t="str">
        <f t="shared" ca="1" si="207"/>
        <v/>
      </c>
      <c r="W935" s="460" t="str">
        <f t="shared" ca="1" si="207"/>
        <v/>
      </c>
      <c r="X935" s="460" t="str">
        <f t="shared" ca="1" si="207"/>
        <v/>
      </c>
      <c r="Y935" s="460" t="str">
        <f t="shared" ca="1" si="207"/>
        <v/>
      </c>
      <c r="Z935" s="460" t="str">
        <f t="shared" ca="1" si="207"/>
        <v/>
      </c>
      <c r="AA935" s="461" t="str">
        <f t="shared" ca="1" si="207"/>
        <v/>
      </c>
      <c r="AB935" s="474" t="str">
        <f t="shared" ca="1" si="207"/>
        <v/>
      </c>
      <c r="AC935" s="475" t="str">
        <f t="shared" ca="1" si="207"/>
        <v/>
      </c>
      <c r="AD935" s="477" t="str">
        <f t="shared" ca="1" si="200"/>
        <v/>
      </c>
      <c r="AE935" s="478">
        <f t="shared" ca="1" si="201"/>
        <v>0</v>
      </c>
      <c r="AF935" s="459" t="str">
        <f t="shared" ca="1" si="205"/>
        <v/>
      </c>
      <c r="AG935" s="460" t="str">
        <f t="shared" ca="1" si="205"/>
        <v/>
      </c>
      <c r="AH935" s="460" t="str">
        <f t="shared" ca="1" si="205"/>
        <v/>
      </c>
      <c r="AI935" s="460" t="str">
        <f t="shared" ca="1" si="205"/>
        <v/>
      </c>
      <c r="AJ935" s="460" t="str">
        <f t="shared" ca="1" si="205"/>
        <v/>
      </c>
      <c r="AK935" s="460" t="str">
        <f t="shared" ca="1" si="205"/>
        <v/>
      </c>
      <c r="AL935" s="460" t="str">
        <f t="shared" ca="1" si="205"/>
        <v/>
      </c>
      <c r="AM935" s="460" t="str">
        <f t="shared" ca="1" si="205"/>
        <v/>
      </c>
      <c r="AN935" s="461" t="str">
        <f t="shared" ca="1" si="205"/>
        <v/>
      </c>
      <c r="AO935" s="474" t="str">
        <f t="shared" ca="1" si="205"/>
        <v/>
      </c>
      <c r="AP935" s="475" t="str">
        <f t="shared" ca="1" si="205"/>
        <v/>
      </c>
      <c r="AQ935" s="479" t="str">
        <f t="array" aca="1" ref="AQ935" ca="1">IF(ROW()-5&lt;=COUNTIF(科目编号,$AR$2),SMALL(IF(科目编号=$AR$2,ROW(科目编号),""),ROW()-5),"")</f>
        <v/>
      </c>
      <c r="AR935" s="480" t="str">
        <f ca="1">IF($BG$2=0,"",IF(AR934="本月合计","本年累计",IF(OR(ROW()=$AU$3,ROW()=$AV$3,ROW()=$AW$3,ROW()=$AX$3,ROW()=$AY$3,ROW()=$AZ$3,ROW()=$BA$3,ROW()=$BB$3,ROW()=$BC$3,ROW()=$BD$3,ROW()=$BE$3,ROW()=$BF$3),"本月合计",IF(ROW()&lt;7,$AQ$6,OFFSET($AQ$6,COUNT($AR$6:AR934),0)))))</f>
        <v/>
      </c>
    </row>
    <row r="936" spans="1:44">
      <c r="A936" s="469" t="str">
        <f ca="1">IFERROR(INDEX(凭证录入!A:A,$AR936),"")</f>
        <v/>
      </c>
      <c r="B936" s="469" t="str">
        <f ca="1">IFERROR(INDEX(凭证录入!B:B,$AR936),"")</f>
        <v/>
      </c>
      <c r="C936" s="470" t="str">
        <f ca="1">IFERROR(INDEX(凭证录入!G:G,$AR936),"")</f>
        <v/>
      </c>
      <c r="D936" s="471" t="str">
        <f ca="1">IFERROR(INDEX(凭证录入!F:F,$AR936),"")</f>
        <v/>
      </c>
      <c r="E936" s="472" t="str">
        <f ca="1">IFERROR(INDEX(凭证录入!H:H,$AR936),$AR936)</f>
        <v/>
      </c>
      <c r="F936" s="473">
        <f ca="1">IF(OR($BG$2=0,$AR936=""),,IF($AR936="本月合计",IF(ROW()=$BG$3,SUM($F$6:$F935),SUM(INDIRECT("$F$"&amp;OFFSET($AU$3,,MATCH(ROW(),$AU$3:$BF$3,)-2)+2&amp;":$E"&amp;ROW()-1))),IF($AR936="本年累计",SUMIF($AR$6:$AR936,"本月合计",$F$6:$F935),INDEX(凭证录入!K:K,$AR936))))</f>
        <v>0</v>
      </c>
      <c r="G936" s="459" t="str">
        <f t="shared" ca="1" si="206"/>
        <v/>
      </c>
      <c r="H936" s="460" t="str">
        <f t="shared" ca="1" si="206"/>
        <v/>
      </c>
      <c r="I936" s="460" t="str">
        <f t="shared" ca="1" si="206"/>
        <v/>
      </c>
      <c r="J936" s="460" t="str">
        <f t="shared" ca="1" si="206"/>
        <v/>
      </c>
      <c r="K936" s="460" t="str">
        <f t="shared" ca="1" si="206"/>
        <v/>
      </c>
      <c r="L936" s="460" t="str">
        <f t="shared" ca="1" si="206"/>
        <v/>
      </c>
      <c r="M936" s="460" t="str">
        <f t="shared" ca="1" si="206"/>
        <v/>
      </c>
      <c r="N936" s="460" t="str">
        <f t="shared" ca="1" si="206"/>
        <v/>
      </c>
      <c r="O936" s="461" t="str">
        <f t="shared" ca="1" si="206"/>
        <v/>
      </c>
      <c r="P936" s="474" t="str">
        <f t="shared" ca="1" si="206"/>
        <v/>
      </c>
      <c r="Q936" s="475" t="str">
        <f t="shared" ca="1" si="206"/>
        <v/>
      </c>
      <c r="R936" s="476">
        <f ca="1">IF(OR($BG$2=0,$AR936=""),,IF($AR936="本月合计",IF(ROW()=$BG$3,SUM($R$6:$R935),SUM(INDIRECT("$R$"&amp;OFFSET($AU$3,,MATCH(ROW(),$AU$3:$BF$3,)-2)+2&amp;":$R"&amp;ROW()-1))),IF($AR936="本年累计",SUMIF($AR$6:$AR936,"本月合计",$R$6:$R935),INDEX(凭证录入!L:L,$AR936))))</f>
        <v>0</v>
      </c>
      <c r="S936" s="459" t="str">
        <f t="shared" ca="1" si="207"/>
        <v/>
      </c>
      <c r="T936" s="460" t="str">
        <f t="shared" ca="1" si="207"/>
        <v/>
      </c>
      <c r="U936" s="460" t="str">
        <f t="shared" ca="1" si="207"/>
        <v/>
      </c>
      <c r="V936" s="460" t="str">
        <f t="shared" ca="1" si="207"/>
        <v/>
      </c>
      <c r="W936" s="460" t="str">
        <f t="shared" ca="1" si="207"/>
        <v/>
      </c>
      <c r="X936" s="460" t="str">
        <f t="shared" ca="1" si="207"/>
        <v/>
      </c>
      <c r="Y936" s="460" t="str">
        <f t="shared" ca="1" si="207"/>
        <v/>
      </c>
      <c r="Z936" s="460" t="str">
        <f t="shared" ca="1" si="207"/>
        <v/>
      </c>
      <c r="AA936" s="461" t="str">
        <f t="shared" ca="1" si="207"/>
        <v/>
      </c>
      <c r="AB936" s="474" t="str">
        <f t="shared" ca="1" si="207"/>
        <v/>
      </c>
      <c r="AC936" s="475" t="str">
        <f t="shared" ca="1" si="207"/>
        <v/>
      </c>
      <c r="AD936" s="477" t="str">
        <f t="shared" ca="1" si="200"/>
        <v/>
      </c>
      <c r="AE936" s="478">
        <f t="shared" ca="1" si="201"/>
        <v>0</v>
      </c>
      <c r="AF936" s="459" t="str">
        <f t="shared" ca="1" si="205"/>
        <v/>
      </c>
      <c r="AG936" s="460" t="str">
        <f t="shared" ca="1" si="205"/>
        <v/>
      </c>
      <c r="AH936" s="460" t="str">
        <f t="shared" ca="1" si="205"/>
        <v/>
      </c>
      <c r="AI936" s="460" t="str">
        <f t="shared" ca="1" si="205"/>
        <v/>
      </c>
      <c r="AJ936" s="460" t="str">
        <f t="shared" ca="1" si="205"/>
        <v/>
      </c>
      <c r="AK936" s="460" t="str">
        <f t="shared" ca="1" si="205"/>
        <v/>
      </c>
      <c r="AL936" s="460" t="str">
        <f t="shared" ca="1" si="205"/>
        <v/>
      </c>
      <c r="AM936" s="460" t="str">
        <f t="shared" ca="1" si="205"/>
        <v/>
      </c>
      <c r="AN936" s="461" t="str">
        <f t="shared" ca="1" si="205"/>
        <v/>
      </c>
      <c r="AO936" s="474" t="str">
        <f t="shared" ca="1" si="205"/>
        <v/>
      </c>
      <c r="AP936" s="475" t="str">
        <f t="shared" ca="1" si="205"/>
        <v/>
      </c>
      <c r="AQ936" s="479" t="str">
        <f t="array" aca="1" ref="AQ936" ca="1">IF(ROW()-5&lt;=COUNTIF(科目编号,$AR$2),SMALL(IF(科目编号=$AR$2,ROW(科目编号),""),ROW()-5),"")</f>
        <v/>
      </c>
      <c r="AR936" s="480" t="str">
        <f ca="1">IF($BG$2=0,"",IF(AR935="本月合计","本年累计",IF(OR(ROW()=$AU$3,ROW()=$AV$3,ROW()=$AW$3,ROW()=$AX$3,ROW()=$AY$3,ROW()=$AZ$3,ROW()=$BA$3,ROW()=$BB$3,ROW()=$BC$3,ROW()=$BD$3,ROW()=$BE$3,ROW()=$BF$3),"本月合计",IF(ROW()&lt;7,$AQ$6,OFFSET($AQ$6,COUNT($AR$6:AR935),0)))))</f>
        <v/>
      </c>
    </row>
    <row r="937" spans="1:44">
      <c r="A937" s="469" t="str">
        <f ca="1">IFERROR(INDEX(凭证录入!A:A,$AR937),"")</f>
        <v/>
      </c>
      <c r="B937" s="469" t="str">
        <f ca="1">IFERROR(INDEX(凭证录入!B:B,$AR937),"")</f>
        <v/>
      </c>
      <c r="C937" s="470" t="str">
        <f ca="1">IFERROR(INDEX(凭证录入!G:G,$AR937),"")</f>
        <v/>
      </c>
      <c r="D937" s="471" t="str">
        <f ca="1">IFERROR(INDEX(凭证录入!F:F,$AR937),"")</f>
        <v/>
      </c>
      <c r="E937" s="472" t="str">
        <f ca="1">IFERROR(INDEX(凭证录入!H:H,$AR937),$AR937)</f>
        <v/>
      </c>
      <c r="F937" s="473">
        <f ca="1">IF(OR($BG$2=0,$AR937=""),,IF($AR937="本月合计",IF(ROW()=$BG$3,SUM($F$6:$F936),SUM(INDIRECT("$F$"&amp;OFFSET($AU$3,,MATCH(ROW(),$AU$3:$BF$3,)-2)+2&amp;":$E"&amp;ROW()-1))),IF($AR937="本年累计",SUMIF($AR$6:$AR937,"本月合计",$F$6:$F936),INDEX(凭证录入!K:K,$AR937))))</f>
        <v>0</v>
      </c>
      <c r="G937" s="459" t="str">
        <f t="shared" ca="1" si="206"/>
        <v/>
      </c>
      <c r="H937" s="460" t="str">
        <f t="shared" ca="1" si="206"/>
        <v/>
      </c>
      <c r="I937" s="460" t="str">
        <f t="shared" ca="1" si="206"/>
        <v/>
      </c>
      <c r="J937" s="460" t="str">
        <f t="shared" ca="1" si="206"/>
        <v/>
      </c>
      <c r="K937" s="460" t="str">
        <f t="shared" ca="1" si="206"/>
        <v/>
      </c>
      <c r="L937" s="460" t="str">
        <f t="shared" ca="1" si="206"/>
        <v/>
      </c>
      <c r="M937" s="460" t="str">
        <f t="shared" ca="1" si="206"/>
        <v/>
      </c>
      <c r="N937" s="460" t="str">
        <f t="shared" ca="1" si="206"/>
        <v/>
      </c>
      <c r="O937" s="461" t="str">
        <f t="shared" ca="1" si="206"/>
        <v/>
      </c>
      <c r="P937" s="474" t="str">
        <f t="shared" ca="1" si="206"/>
        <v/>
      </c>
      <c r="Q937" s="475" t="str">
        <f t="shared" ca="1" si="206"/>
        <v/>
      </c>
      <c r="R937" s="476">
        <f ca="1">IF(OR($BG$2=0,$AR937=""),,IF($AR937="本月合计",IF(ROW()=$BG$3,SUM($R$6:$R936),SUM(INDIRECT("$R$"&amp;OFFSET($AU$3,,MATCH(ROW(),$AU$3:$BF$3,)-2)+2&amp;":$R"&amp;ROW()-1))),IF($AR937="本年累计",SUMIF($AR$6:$AR937,"本月合计",$R$6:$R936),INDEX(凭证录入!L:L,$AR937))))</f>
        <v>0</v>
      </c>
      <c r="S937" s="459" t="str">
        <f t="shared" ca="1" si="207"/>
        <v/>
      </c>
      <c r="T937" s="460" t="str">
        <f t="shared" ca="1" si="207"/>
        <v/>
      </c>
      <c r="U937" s="460" t="str">
        <f t="shared" ca="1" si="207"/>
        <v/>
      </c>
      <c r="V937" s="460" t="str">
        <f t="shared" ca="1" si="207"/>
        <v/>
      </c>
      <c r="W937" s="460" t="str">
        <f t="shared" ca="1" si="207"/>
        <v/>
      </c>
      <c r="X937" s="460" t="str">
        <f t="shared" ca="1" si="207"/>
        <v/>
      </c>
      <c r="Y937" s="460" t="str">
        <f t="shared" ca="1" si="207"/>
        <v/>
      </c>
      <c r="Z937" s="460" t="str">
        <f t="shared" ca="1" si="207"/>
        <v/>
      </c>
      <c r="AA937" s="461" t="str">
        <f t="shared" ca="1" si="207"/>
        <v/>
      </c>
      <c r="AB937" s="474" t="str">
        <f t="shared" ca="1" si="207"/>
        <v/>
      </c>
      <c r="AC937" s="475" t="str">
        <f t="shared" ca="1" si="207"/>
        <v/>
      </c>
      <c r="AD937" s="477" t="str">
        <f t="shared" ca="1" si="200"/>
        <v/>
      </c>
      <c r="AE937" s="478">
        <f t="shared" ca="1" si="201"/>
        <v>0</v>
      </c>
      <c r="AF937" s="459" t="str">
        <f t="shared" ca="1" si="205"/>
        <v/>
      </c>
      <c r="AG937" s="460" t="str">
        <f t="shared" ca="1" si="205"/>
        <v/>
      </c>
      <c r="AH937" s="460" t="str">
        <f t="shared" ca="1" si="205"/>
        <v/>
      </c>
      <c r="AI937" s="460" t="str">
        <f t="shared" ca="1" si="205"/>
        <v/>
      </c>
      <c r="AJ937" s="460" t="str">
        <f t="shared" ca="1" si="205"/>
        <v/>
      </c>
      <c r="AK937" s="460" t="str">
        <f t="shared" ca="1" si="205"/>
        <v/>
      </c>
      <c r="AL937" s="460" t="str">
        <f t="shared" ca="1" si="205"/>
        <v/>
      </c>
      <c r="AM937" s="460" t="str">
        <f t="shared" ca="1" si="205"/>
        <v/>
      </c>
      <c r="AN937" s="461" t="str">
        <f t="shared" ca="1" si="205"/>
        <v/>
      </c>
      <c r="AO937" s="474" t="str">
        <f t="shared" ca="1" si="205"/>
        <v/>
      </c>
      <c r="AP937" s="475" t="str">
        <f t="shared" ca="1" si="205"/>
        <v/>
      </c>
      <c r="AQ937" s="479" t="str">
        <f t="array" aca="1" ref="AQ937" ca="1">IF(ROW()-5&lt;=COUNTIF(科目编号,$AR$2),SMALL(IF(科目编号=$AR$2,ROW(科目编号),""),ROW()-5),"")</f>
        <v/>
      </c>
      <c r="AR937" s="480" t="str">
        <f ca="1">IF($BG$2=0,"",IF(AR936="本月合计","本年累计",IF(OR(ROW()=$AU$3,ROW()=$AV$3,ROW()=$AW$3,ROW()=$AX$3,ROW()=$AY$3,ROW()=$AZ$3,ROW()=$BA$3,ROW()=$BB$3,ROW()=$BC$3,ROW()=$BD$3,ROW()=$BE$3,ROW()=$BF$3),"本月合计",IF(ROW()&lt;7,$AQ$6,OFFSET($AQ$6,COUNT($AR$6:AR936),0)))))</f>
        <v/>
      </c>
    </row>
    <row r="938" spans="1:44">
      <c r="A938" s="469" t="str">
        <f ca="1">IFERROR(INDEX(凭证录入!A:A,$AR938),"")</f>
        <v/>
      </c>
      <c r="B938" s="469" t="str">
        <f ca="1">IFERROR(INDEX(凭证录入!B:B,$AR938),"")</f>
        <v/>
      </c>
      <c r="C938" s="470" t="str">
        <f ca="1">IFERROR(INDEX(凭证录入!G:G,$AR938),"")</f>
        <v/>
      </c>
      <c r="D938" s="471" t="str">
        <f ca="1">IFERROR(INDEX(凭证录入!F:F,$AR938),"")</f>
        <v/>
      </c>
      <c r="E938" s="472" t="str">
        <f ca="1">IFERROR(INDEX(凭证录入!H:H,$AR938),$AR938)</f>
        <v/>
      </c>
      <c r="F938" s="473">
        <f ca="1">IF(OR($BG$2=0,$AR938=""),,IF($AR938="本月合计",IF(ROW()=$BG$3,SUM($F$6:$F937),SUM(INDIRECT("$F$"&amp;OFFSET($AU$3,,MATCH(ROW(),$AU$3:$BF$3,)-2)+2&amp;":$E"&amp;ROW()-1))),IF($AR938="本年累计",SUMIF($AR$6:$AR938,"本月合计",$F$6:$F937),INDEX(凭证录入!K:K,$AR938))))</f>
        <v>0</v>
      </c>
      <c r="G938" s="459" t="str">
        <f t="shared" ca="1" si="206"/>
        <v/>
      </c>
      <c r="H938" s="460" t="str">
        <f t="shared" ca="1" si="206"/>
        <v/>
      </c>
      <c r="I938" s="460" t="str">
        <f t="shared" ca="1" si="206"/>
        <v/>
      </c>
      <c r="J938" s="460" t="str">
        <f t="shared" ca="1" si="206"/>
        <v/>
      </c>
      <c r="K938" s="460" t="str">
        <f t="shared" ca="1" si="206"/>
        <v/>
      </c>
      <c r="L938" s="460" t="str">
        <f t="shared" ca="1" si="206"/>
        <v/>
      </c>
      <c r="M938" s="460" t="str">
        <f t="shared" ca="1" si="206"/>
        <v/>
      </c>
      <c r="N938" s="460" t="str">
        <f t="shared" ca="1" si="206"/>
        <v/>
      </c>
      <c r="O938" s="461" t="str">
        <f t="shared" ca="1" si="206"/>
        <v/>
      </c>
      <c r="P938" s="474" t="str">
        <f t="shared" ca="1" si="206"/>
        <v/>
      </c>
      <c r="Q938" s="475" t="str">
        <f t="shared" ca="1" si="206"/>
        <v/>
      </c>
      <c r="R938" s="476">
        <f ca="1">IF(OR($BG$2=0,$AR938=""),,IF($AR938="本月合计",IF(ROW()=$BG$3,SUM($R$6:$R937),SUM(INDIRECT("$R$"&amp;OFFSET($AU$3,,MATCH(ROW(),$AU$3:$BF$3,)-2)+2&amp;":$R"&amp;ROW()-1))),IF($AR938="本年累计",SUMIF($AR$6:$AR938,"本月合计",$R$6:$R937),INDEX(凭证录入!L:L,$AR938))))</f>
        <v>0</v>
      </c>
      <c r="S938" s="459" t="str">
        <f t="shared" ca="1" si="207"/>
        <v/>
      </c>
      <c r="T938" s="460" t="str">
        <f t="shared" ca="1" si="207"/>
        <v/>
      </c>
      <c r="U938" s="460" t="str">
        <f t="shared" ca="1" si="207"/>
        <v/>
      </c>
      <c r="V938" s="460" t="str">
        <f t="shared" ca="1" si="207"/>
        <v/>
      </c>
      <c r="W938" s="460" t="str">
        <f t="shared" ca="1" si="207"/>
        <v/>
      </c>
      <c r="X938" s="460" t="str">
        <f t="shared" ca="1" si="207"/>
        <v/>
      </c>
      <c r="Y938" s="460" t="str">
        <f t="shared" ca="1" si="207"/>
        <v/>
      </c>
      <c r="Z938" s="460" t="str">
        <f t="shared" ca="1" si="207"/>
        <v/>
      </c>
      <c r="AA938" s="461" t="str">
        <f t="shared" ca="1" si="207"/>
        <v/>
      </c>
      <c r="AB938" s="474" t="str">
        <f t="shared" ca="1" si="207"/>
        <v/>
      </c>
      <c r="AC938" s="475" t="str">
        <f t="shared" ca="1" si="207"/>
        <v/>
      </c>
      <c r="AD938" s="477" t="str">
        <f t="shared" ca="1" si="200"/>
        <v/>
      </c>
      <c r="AE938" s="478">
        <f t="shared" ca="1" si="201"/>
        <v>0</v>
      </c>
      <c r="AF938" s="459" t="str">
        <f t="shared" ca="1" si="205"/>
        <v/>
      </c>
      <c r="AG938" s="460" t="str">
        <f t="shared" ca="1" si="205"/>
        <v/>
      </c>
      <c r="AH938" s="460" t="str">
        <f t="shared" ca="1" si="205"/>
        <v/>
      </c>
      <c r="AI938" s="460" t="str">
        <f t="shared" ca="1" si="205"/>
        <v/>
      </c>
      <c r="AJ938" s="460" t="str">
        <f t="shared" ca="1" si="205"/>
        <v/>
      </c>
      <c r="AK938" s="460" t="str">
        <f t="shared" ca="1" si="205"/>
        <v/>
      </c>
      <c r="AL938" s="460" t="str">
        <f t="shared" ca="1" si="205"/>
        <v/>
      </c>
      <c r="AM938" s="460" t="str">
        <f t="shared" ca="1" si="205"/>
        <v/>
      </c>
      <c r="AN938" s="461" t="str">
        <f t="shared" ca="1" si="205"/>
        <v/>
      </c>
      <c r="AO938" s="474" t="str">
        <f t="shared" ca="1" si="205"/>
        <v/>
      </c>
      <c r="AP938" s="475" t="str">
        <f t="shared" ca="1" si="205"/>
        <v/>
      </c>
      <c r="AQ938" s="479" t="str">
        <f t="array" aca="1" ref="AQ938" ca="1">IF(ROW()-5&lt;=COUNTIF(科目编号,$AR$2),SMALL(IF(科目编号=$AR$2,ROW(科目编号),""),ROW()-5),"")</f>
        <v/>
      </c>
      <c r="AR938" s="480" t="str">
        <f ca="1">IF($BG$2=0,"",IF(AR937="本月合计","本年累计",IF(OR(ROW()=$AU$3,ROW()=$AV$3,ROW()=$AW$3,ROW()=$AX$3,ROW()=$AY$3,ROW()=$AZ$3,ROW()=$BA$3,ROW()=$BB$3,ROW()=$BC$3,ROW()=$BD$3,ROW()=$BE$3,ROW()=$BF$3),"本月合计",IF(ROW()&lt;7,$AQ$6,OFFSET($AQ$6,COUNT($AR$6:AR937),0)))))</f>
        <v/>
      </c>
    </row>
    <row r="939" spans="1:44">
      <c r="A939" s="469" t="str">
        <f ca="1">IFERROR(INDEX(凭证录入!A:A,$AR939),"")</f>
        <v/>
      </c>
      <c r="B939" s="469" t="str">
        <f ca="1">IFERROR(INDEX(凭证录入!B:B,$AR939),"")</f>
        <v/>
      </c>
      <c r="C939" s="470" t="str">
        <f ca="1">IFERROR(INDEX(凭证录入!G:G,$AR939),"")</f>
        <v/>
      </c>
      <c r="D939" s="471" t="str">
        <f ca="1">IFERROR(INDEX(凭证录入!F:F,$AR939),"")</f>
        <v/>
      </c>
      <c r="E939" s="472" t="str">
        <f ca="1">IFERROR(INDEX(凭证录入!H:H,$AR939),$AR939)</f>
        <v/>
      </c>
      <c r="F939" s="473">
        <f ca="1">IF(OR($BG$2=0,$AR939=""),,IF($AR939="本月合计",IF(ROW()=$BG$3,SUM($F$6:$F938),SUM(INDIRECT("$F$"&amp;OFFSET($AU$3,,MATCH(ROW(),$AU$3:$BF$3,)-2)+2&amp;":$E"&amp;ROW()-1))),IF($AR939="本年累计",SUMIF($AR$6:$AR939,"本月合计",$F$6:$F938),INDEX(凭证录入!K:K,$AR939))))</f>
        <v>0</v>
      </c>
      <c r="G939" s="459" t="str">
        <f t="shared" ca="1" si="206"/>
        <v/>
      </c>
      <c r="H939" s="460" t="str">
        <f t="shared" ca="1" si="206"/>
        <v/>
      </c>
      <c r="I939" s="460" t="str">
        <f t="shared" ca="1" si="206"/>
        <v/>
      </c>
      <c r="J939" s="460" t="str">
        <f t="shared" ca="1" si="206"/>
        <v/>
      </c>
      <c r="K939" s="460" t="str">
        <f t="shared" ca="1" si="206"/>
        <v/>
      </c>
      <c r="L939" s="460" t="str">
        <f t="shared" ca="1" si="206"/>
        <v/>
      </c>
      <c r="M939" s="460" t="str">
        <f t="shared" ca="1" si="206"/>
        <v/>
      </c>
      <c r="N939" s="460" t="str">
        <f t="shared" ca="1" si="206"/>
        <v/>
      </c>
      <c r="O939" s="461" t="str">
        <f t="shared" ca="1" si="206"/>
        <v/>
      </c>
      <c r="P939" s="474" t="str">
        <f t="shared" ca="1" si="206"/>
        <v/>
      </c>
      <c r="Q939" s="475" t="str">
        <f t="shared" ca="1" si="206"/>
        <v/>
      </c>
      <c r="R939" s="476">
        <f ca="1">IF(OR($BG$2=0,$AR939=""),,IF($AR939="本月合计",IF(ROW()=$BG$3,SUM($R$6:$R938),SUM(INDIRECT("$R$"&amp;OFFSET($AU$3,,MATCH(ROW(),$AU$3:$BF$3,)-2)+2&amp;":$R"&amp;ROW()-1))),IF($AR939="本年累计",SUMIF($AR$6:$AR939,"本月合计",$R$6:$R938),INDEX(凭证录入!L:L,$AR939))))</f>
        <v>0</v>
      </c>
      <c r="S939" s="459" t="str">
        <f t="shared" ca="1" si="207"/>
        <v/>
      </c>
      <c r="T939" s="460" t="str">
        <f t="shared" ca="1" si="207"/>
        <v/>
      </c>
      <c r="U939" s="460" t="str">
        <f t="shared" ca="1" si="207"/>
        <v/>
      </c>
      <c r="V939" s="460" t="str">
        <f t="shared" ca="1" si="207"/>
        <v/>
      </c>
      <c r="W939" s="460" t="str">
        <f t="shared" ca="1" si="207"/>
        <v/>
      </c>
      <c r="X939" s="460" t="str">
        <f t="shared" ca="1" si="207"/>
        <v/>
      </c>
      <c r="Y939" s="460" t="str">
        <f t="shared" ca="1" si="207"/>
        <v/>
      </c>
      <c r="Z939" s="460" t="str">
        <f t="shared" ca="1" si="207"/>
        <v/>
      </c>
      <c r="AA939" s="461" t="str">
        <f t="shared" ca="1" si="207"/>
        <v/>
      </c>
      <c r="AB939" s="474" t="str">
        <f t="shared" ca="1" si="207"/>
        <v/>
      </c>
      <c r="AC939" s="475" t="str">
        <f t="shared" ca="1" si="207"/>
        <v/>
      </c>
      <c r="AD939" s="477" t="str">
        <f t="shared" ca="1" si="200"/>
        <v/>
      </c>
      <c r="AE939" s="478">
        <f t="shared" ca="1" si="201"/>
        <v>0</v>
      </c>
      <c r="AF939" s="459" t="str">
        <f t="shared" ca="1" si="205"/>
        <v/>
      </c>
      <c r="AG939" s="460" t="str">
        <f t="shared" ca="1" si="205"/>
        <v/>
      </c>
      <c r="AH939" s="460" t="str">
        <f t="shared" ca="1" si="205"/>
        <v/>
      </c>
      <c r="AI939" s="460" t="str">
        <f t="shared" ca="1" si="205"/>
        <v/>
      </c>
      <c r="AJ939" s="460" t="str">
        <f t="shared" ca="1" si="205"/>
        <v/>
      </c>
      <c r="AK939" s="460" t="str">
        <f t="shared" ca="1" si="205"/>
        <v/>
      </c>
      <c r="AL939" s="460" t="str">
        <f t="shared" ca="1" si="205"/>
        <v/>
      </c>
      <c r="AM939" s="460" t="str">
        <f t="shared" ca="1" si="205"/>
        <v/>
      </c>
      <c r="AN939" s="461" t="str">
        <f t="shared" ca="1" si="205"/>
        <v/>
      </c>
      <c r="AO939" s="474" t="str">
        <f t="shared" ca="1" si="205"/>
        <v/>
      </c>
      <c r="AP939" s="475" t="str">
        <f t="shared" ca="1" si="205"/>
        <v/>
      </c>
      <c r="AQ939" s="479" t="str">
        <f t="array" aca="1" ref="AQ939" ca="1">IF(ROW()-5&lt;=COUNTIF(科目编号,$AR$2),SMALL(IF(科目编号=$AR$2,ROW(科目编号),""),ROW()-5),"")</f>
        <v/>
      </c>
      <c r="AR939" s="480" t="str">
        <f ca="1">IF($BG$2=0,"",IF(AR938="本月合计","本年累计",IF(OR(ROW()=$AU$3,ROW()=$AV$3,ROW()=$AW$3,ROW()=$AX$3,ROW()=$AY$3,ROW()=$AZ$3,ROW()=$BA$3,ROW()=$BB$3,ROW()=$BC$3,ROW()=$BD$3,ROW()=$BE$3,ROW()=$BF$3),"本月合计",IF(ROW()&lt;7,$AQ$6,OFFSET($AQ$6,COUNT($AR$6:AR938),0)))))</f>
        <v/>
      </c>
    </row>
    <row r="940" spans="1:44">
      <c r="A940" s="469" t="str">
        <f ca="1">IFERROR(INDEX(凭证录入!A:A,$AR940),"")</f>
        <v/>
      </c>
      <c r="B940" s="469" t="str">
        <f ca="1">IFERROR(INDEX(凭证录入!B:B,$AR940),"")</f>
        <v/>
      </c>
      <c r="C940" s="470" t="str">
        <f ca="1">IFERROR(INDEX(凭证录入!G:G,$AR940),"")</f>
        <v/>
      </c>
      <c r="D940" s="471" t="str">
        <f ca="1">IFERROR(INDEX(凭证录入!F:F,$AR940),"")</f>
        <v/>
      </c>
      <c r="E940" s="472" t="str">
        <f ca="1">IFERROR(INDEX(凭证录入!H:H,$AR940),$AR940)</f>
        <v/>
      </c>
      <c r="F940" s="473">
        <f ca="1">IF(OR($BG$2=0,$AR940=""),,IF($AR940="本月合计",IF(ROW()=$BG$3,SUM($F$6:$F939),SUM(INDIRECT("$F$"&amp;OFFSET($AU$3,,MATCH(ROW(),$AU$3:$BF$3,)-2)+2&amp;":$E"&amp;ROW()-1))),IF($AR940="本年累计",SUMIF($AR$6:$AR940,"本月合计",$F$6:$F939),INDEX(凭证录入!K:K,$AR940))))</f>
        <v>0</v>
      </c>
      <c r="G940" s="459" t="str">
        <f t="shared" ca="1" si="206"/>
        <v/>
      </c>
      <c r="H940" s="460" t="str">
        <f t="shared" ca="1" si="206"/>
        <v/>
      </c>
      <c r="I940" s="460" t="str">
        <f t="shared" ca="1" si="206"/>
        <v/>
      </c>
      <c r="J940" s="460" t="str">
        <f t="shared" ca="1" si="206"/>
        <v/>
      </c>
      <c r="K940" s="460" t="str">
        <f t="shared" ca="1" si="206"/>
        <v/>
      </c>
      <c r="L940" s="460" t="str">
        <f t="shared" ca="1" si="206"/>
        <v/>
      </c>
      <c r="M940" s="460" t="str">
        <f t="shared" ca="1" si="206"/>
        <v/>
      </c>
      <c r="N940" s="460" t="str">
        <f t="shared" ca="1" si="206"/>
        <v/>
      </c>
      <c r="O940" s="461" t="str">
        <f t="shared" ca="1" si="206"/>
        <v/>
      </c>
      <c r="P940" s="474" t="str">
        <f t="shared" ca="1" si="206"/>
        <v/>
      </c>
      <c r="Q940" s="475" t="str">
        <f t="shared" ca="1" si="206"/>
        <v/>
      </c>
      <c r="R940" s="476">
        <f ca="1">IF(OR($BG$2=0,$AR940=""),,IF($AR940="本月合计",IF(ROW()=$BG$3,SUM($R$6:$R939),SUM(INDIRECT("$R$"&amp;OFFSET($AU$3,,MATCH(ROW(),$AU$3:$BF$3,)-2)+2&amp;":$R"&amp;ROW()-1))),IF($AR940="本年累计",SUMIF($AR$6:$AR940,"本月合计",$R$6:$R939),INDEX(凭证录入!L:L,$AR940))))</f>
        <v>0</v>
      </c>
      <c r="S940" s="459" t="str">
        <f t="shared" ca="1" si="207"/>
        <v/>
      </c>
      <c r="T940" s="460" t="str">
        <f t="shared" ca="1" si="207"/>
        <v/>
      </c>
      <c r="U940" s="460" t="str">
        <f t="shared" ca="1" si="207"/>
        <v/>
      </c>
      <c r="V940" s="460" t="str">
        <f t="shared" ca="1" si="207"/>
        <v/>
      </c>
      <c r="W940" s="460" t="str">
        <f t="shared" ca="1" si="207"/>
        <v/>
      </c>
      <c r="X940" s="460" t="str">
        <f t="shared" ca="1" si="207"/>
        <v/>
      </c>
      <c r="Y940" s="460" t="str">
        <f t="shared" ca="1" si="207"/>
        <v/>
      </c>
      <c r="Z940" s="460" t="str">
        <f t="shared" ca="1" si="207"/>
        <v/>
      </c>
      <c r="AA940" s="461" t="str">
        <f t="shared" ca="1" si="207"/>
        <v/>
      </c>
      <c r="AB940" s="474" t="str">
        <f t="shared" ca="1" si="207"/>
        <v/>
      </c>
      <c r="AC940" s="475" t="str">
        <f t="shared" ca="1" si="207"/>
        <v/>
      </c>
      <c r="AD940" s="477" t="str">
        <f t="shared" ca="1" si="200"/>
        <v/>
      </c>
      <c r="AE940" s="478">
        <f t="shared" ca="1" si="201"/>
        <v>0</v>
      </c>
      <c r="AF940" s="459" t="str">
        <f t="shared" ca="1" si="205"/>
        <v/>
      </c>
      <c r="AG940" s="460" t="str">
        <f t="shared" ca="1" si="205"/>
        <v/>
      </c>
      <c r="AH940" s="460" t="str">
        <f t="shared" ca="1" si="205"/>
        <v/>
      </c>
      <c r="AI940" s="460" t="str">
        <f t="shared" ca="1" si="205"/>
        <v/>
      </c>
      <c r="AJ940" s="460" t="str">
        <f t="shared" ca="1" si="205"/>
        <v/>
      </c>
      <c r="AK940" s="460" t="str">
        <f t="shared" ca="1" si="205"/>
        <v/>
      </c>
      <c r="AL940" s="460" t="str">
        <f t="shared" ca="1" si="205"/>
        <v/>
      </c>
      <c r="AM940" s="460" t="str">
        <f t="shared" ca="1" si="205"/>
        <v/>
      </c>
      <c r="AN940" s="461" t="str">
        <f t="shared" ca="1" si="205"/>
        <v/>
      </c>
      <c r="AO940" s="474" t="str">
        <f t="shared" ca="1" si="205"/>
        <v/>
      </c>
      <c r="AP940" s="475" t="str">
        <f t="shared" ca="1" si="205"/>
        <v/>
      </c>
      <c r="AQ940" s="479" t="str">
        <f t="array" aca="1" ref="AQ940" ca="1">IF(ROW()-5&lt;=COUNTIF(科目编号,$AR$2),SMALL(IF(科目编号=$AR$2,ROW(科目编号),""),ROW()-5),"")</f>
        <v/>
      </c>
      <c r="AR940" s="480" t="str">
        <f ca="1">IF($BG$2=0,"",IF(AR939="本月合计","本年累计",IF(OR(ROW()=$AU$3,ROW()=$AV$3,ROW()=$AW$3,ROW()=$AX$3,ROW()=$AY$3,ROW()=$AZ$3,ROW()=$BA$3,ROW()=$BB$3,ROW()=$BC$3,ROW()=$BD$3,ROW()=$BE$3,ROW()=$BF$3),"本月合计",IF(ROW()&lt;7,$AQ$6,OFFSET($AQ$6,COUNT($AR$6:AR939),0)))))</f>
        <v/>
      </c>
    </row>
    <row r="941" spans="1:44">
      <c r="A941" s="469" t="str">
        <f ca="1">IFERROR(INDEX(凭证录入!A:A,$AR941),"")</f>
        <v/>
      </c>
      <c r="B941" s="469" t="str">
        <f ca="1">IFERROR(INDEX(凭证录入!B:B,$AR941),"")</f>
        <v/>
      </c>
      <c r="C941" s="470" t="str">
        <f ca="1">IFERROR(INDEX(凭证录入!G:G,$AR941),"")</f>
        <v/>
      </c>
      <c r="D941" s="471" t="str">
        <f ca="1">IFERROR(INDEX(凭证录入!F:F,$AR941),"")</f>
        <v/>
      </c>
      <c r="E941" s="472" t="str">
        <f ca="1">IFERROR(INDEX(凭证录入!H:H,$AR941),$AR941)</f>
        <v/>
      </c>
      <c r="F941" s="473">
        <f ca="1">IF(OR($BG$2=0,$AR941=""),,IF($AR941="本月合计",IF(ROW()=$BG$3,SUM($F$6:$F940),SUM(INDIRECT("$F$"&amp;OFFSET($AU$3,,MATCH(ROW(),$AU$3:$BF$3,)-2)+2&amp;":$E"&amp;ROW()-1))),IF($AR941="本年累计",SUMIF($AR$6:$AR941,"本月合计",$F$6:$F940),INDEX(凭证录入!K:K,$AR941))))</f>
        <v>0</v>
      </c>
      <c r="G941" s="459" t="str">
        <f t="shared" ca="1" si="206"/>
        <v/>
      </c>
      <c r="H941" s="460" t="str">
        <f t="shared" ca="1" si="206"/>
        <v/>
      </c>
      <c r="I941" s="460" t="str">
        <f t="shared" ca="1" si="206"/>
        <v/>
      </c>
      <c r="J941" s="460" t="str">
        <f t="shared" ca="1" si="206"/>
        <v/>
      </c>
      <c r="K941" s="460" t="str">
        <f t="shared" ca="1" si="206"/>
        <v/>
      </c>
      <c r="L941" s="460" t="str">
        <f t="shared" ca="1" si="206"/>
        <v/>
      </c>
      <c r="M941" s="460" t="str">
        <f t="shared" ca="1" si="206"/>
        <v/>
      </c>
      <c r="N941" s="460" t="str">
        <f t="shared" ca="1" si="206"/>
        <v/>
      </c>
      <c r="O941" s="461" t="str">
        <f t="shared" ca="1" si="206"/>
        <v/>
      </c>
      <c r="P941" s="474" t="str">
        <f t="shared" ca="1" si="206"/>
        <v/>
      </c>
      <c r="Q941" s="475" t="str">
        <f t="shared" ca="1" si="206"/>
        <v/>
      </c>
      <c r="R941" s="476">
        <f ca="1">IF(OR($BG$2=0,$AR941=""),,IF($AR941="本月合计",IF(ROW()=$BG$3,SUM($R$6:$R940),SUM(INDIRECT("$R$"&amp;OFFSET($AU$3,,MATCH(ROW(),$AU$3:$BF$3,)-2)+2&amp;":$R"&amp;ROW()-1))),IF($AR941="本年累计",SUMIF($AR$6:$AR941,"本月合计",$R$6:$R940),INDEX(凭证录入!L:L,$AR941))))</f>
        <v>0</v>
      </c>
      <c r="S941" s="459" t="str">
        <f t="shared" ca="1" si="207"/>
        <v/>
      </c>
      <c r="T941" s="460" t="str">
        <f t="shared" ca="1" si="207"/>
        <v/>
      </c>
      <c r="U941" s="460" t="str">
        <f t="shared" ca="1" si="207"/>
        <v/>
      </c>
      <c r="V941" s="460" t="str">
        <f t="shared" ca="1" si="207"/>
        <v/>
      </c>
      <c r="W941" s="460" t="str">
        <f t="shared" ca="1" si="207"/>
        <v/>
      </c>
      <c r="X941" s="460" t="str">
        <f t="shared" ca="1" si="207"/>
        <v/>
      </c>
      <c r="Y941" s="460" t="str">
        <f t="shared" ca="1" si="207"/>
        <v/>
      </c>
      <c r="Z941" s="460" t="str">
        <f t="shared" ca="1" si="207"/>
        <v/>
      </c>
      <c r="AA941" s="461" t="str">
        <f t="shared" ca="1" si="207"/>
        <v/>
      </c>
      <c r="AB941" s="474" t="str">
        <f t="shared" ca="1" si="207"/>
        <v/>
      </c>
      <c r="AC941" s="475" t="str">
        <f t="shared" ca="1" si="207"/>
        <v/>
      </c>
      <c r="AD941" s="477" t="str">
        <f t="shared" ca="1" si="200"/>
        <v/>
      </c>
      <c r="AE941" s="478">
        <f t="shared" ca="1" si="201"/>
        <v>0</v>
      </c>
      <c r="AF941" s="459" t="str">
        <f t="shared" ca="1" si="205"/>
        <v/>
      </c>
      <c r="AG941" s="460" t="str">
        <f t="shared" ca="1" si="205"/>
        <v/>
      </c>
      <c r="AH941" s="460" t="str">
        <f t="shared" ca="1" si="205"/>
        <v/>
      </c>
      <c r="AI941" s="460" t="str">
        <f t="shared" ca="1" si="205"/>
        <v/>
      </c>
      <c r="AJ941" s="460" t="str">
        <f t="shared" ca="1" si="205"/>
        <v/>
      </c>
      <c r="AK941" s="460" t="str">
        <f t="shared" ca="1" si="205"/>
        <v/>
      </c>
      <c r="AL941" s="460" t="str">
        <f t="shared" ca="1" si="205"/>
        <v/>
      </c>
      <c r="AM941" s="460" t="str">
        <f t="shared" ca="1" si="205"/>
        <v/>
      </c>
      <c r="AN941" s="461" t="str">
        <f t="shared" ca="1" si="205"/>
        <v/>
      </c>
      <c r="AO941" s="474" t="str">
        <f t="shared" ca="1" si="205"/>
        <v/>
      </c>
      <c r="AP941" s="475" t="str">
        <f t="shared" ca="1" si="205"/>
        <v/>
      </c>
      <c r="AQ941" s="479" t="str">
        <f t="array" aca="1" ref="AQ941" ca="1">IF(ROW()-5&lt;=COUNTIF(科目编号,$AR$2),SMALL(IF(科目编号=$AR$2,ROW(科目编号),""),ROW()-5),"")</f>
        <v/>
      </c>
      <c r="AR941" s="480" t="str">
        <f ca="1">IF($BG$2=0,"",IF(AR940="本月合计","本年累计",IF(OR(ROW()=$AU$3,ROW()=$AV$3,ROW()=$AW$3,ROW()=$AX$3,ROW()=$AY$3,ROW()=$AZ$3,ROW()=$BA$3,ROW()=$BB$3,ROW()=$BC$3,ROW()=$BD$3,ROW()=$BE$3,ROW()=$BF$3),"本月合计",IF(ROW()&lt;7,$AQ$6,OFFSET($AQ$6,COUNT($AR$6:AR940),0)))))</f>
        <v/>
      </c>
    </row>
    <row r="942" spans="1:44">
      <c r="A942" s="469" t="str">
        <f ca="1">IFERROR(INDEX(凭证录入!A:A,$AR942),"")</f>
        <v/>
      </c>
      <c r="B942" s="469" t="str">
        <f ca="1">IFERROR(INDEX(凭证录入!B:B,$AR942),"")</f>
        <v/>
      </c>
      <c r="C942" s="470" t="str">
        <f ca="1">IFERROR(INDEX(凭证录入!G:G,$AR942),"")</f>
        <v/>
      </c>
      <c r="D942" s="471" t="str">
        <f ca="1">IFERROR(INDEX(凭证录入!F:F,$AR942),"")</f>
        <v/>
      </c>
      <c r="E942" s="472" t="str">
        <f ca="1">IFERROR(INDEX(凭证录入!H:H,$AR942),$AR942)</f>
        <v/>
      </c>
      <c r="F942" s="473">
        <f ca="1">IF(OR($BG$2=0,$AR942=""),,IF($AR942="本月合计",IF(ROW()=$BG$3,SUM($F$6:$F941),SUM(INDIRECT("$F$"&amp;OFFSET($AU$3,,MATCH(ROW(),$AU$3:$BF$3,)-2)+2&amp;":$E"&amp;ROW()-1))),IF($AR942="本年累计",SUMIF($AR$6:$AR942,"本月合计",$F$6:$F941),INDEX(凭证录入!K:K,$AR942))))</f>
        <v>0</v>
      </c>
      <c r="G942" s="459" t="str">
        <f t="shared" ca="1" si="206"/>
        <v/>
      </c>
      <c r="H942" s="460" t="str">
        <f t="shared" ca="1" si="206"/>
        <v/>
      </c>
      <c r="I942" s="460" t="str">
        <f t="shared" ca="1" si="206"/>
        <v/>
      </c>
      <c r="J942" s="460" t="str">
        <f t="shared" ca="1" si="206"/>
        <v/>
      </c>
      <c r="K942" s="460" t="str">
        <f t="shared" ca="1" si="206"/>
        <v/>
      </c>
      <c r="L942" s="460" t="str">
        <f t="shared" ca="1" si="206"/>
        <v/>
      </c>
      <c r="M942" s="460" t="str">
        <f t="shared" ca="1" si="206"/>
        <v/>
      </c>
      <c r="N942" s="460" t="str">
        <f t="shared" ca="1" si="206"/>
        <v/>
      </c>
      <c r="O942" s="461" t="str">
        <f t="shared" ca="1" si="206"/>
        <v/>
      </c>
      <c r="P942" s="474" t="str">
        <f t="shared" ca="1" si="206"/>
        <v/>
      </c>
      <c r="Q942" s="475" t="str">
        <f t="shared" ca="1" si="206"/>
        <v/>
      </c>
      <c r="R942" s="476">
        <f ca="1">IF(OR($BG$2=0,$AR942=""),,IF($AR942="本月合计",IF(ROW()=$BG$3,SUM($R$6:$R941),SUM(INDIRECT("$R$"&amp;OFFSET($AU$3,,MATCH(ROW(),$AU$3:$BF$3,)-2)+2&amp;":$R"&amp;ROW()-1))),IF($AR942="本年累计",SUMIF($AR$6:$AR942,"本月合计",$R$6:$R941),INDEX(凭证录入!L:L,$AR942))))</f>
        <v>0</v>
      </c>
      <c r="S942" s="459" t="str">
        <f t="shared" ca="1" si="207"/>
        <v/>
      </c>
      <c r="T942" s="460" t="str">
        <f t="shared" ca="1" si="207"/>
        <v/>
      </c>
      <c r="U942" s="460" t="str">
        <f t="shared" ca="1" si="207"/>
        <v/>
      </c>
      <c r="V942" s="460" t="str">
        <f t="shared" ca="1" si="207"/>
        <v/>
      </c>
      <c r="W942" s="460" t="str">
        <f t="shared" ca="1" si="207"/>
        <v/>
      </c>
      <c r="X942" s="460" t="str">
        <f t="shared" ca="1" si="207"/>
        <v/>
      </c>
      <c r="Y942" s="460" t="str">
        <f t="shared" ca="1" si="207"/>
        <v/>
      </c>
      <c r="Z942" s="460" t="str">
        <f t="shared" ca="1" si="207"/>
        <v/>
      </c>
      <c r="AA942" s="461" t="str">
        <f t="shared" ca="1" si="207"/>
        <v/>
      </c>
      <c r="AB942" s="474" t="str">
        <f t="shared" ca="1" si="207"/>
        <v/>
      </c>
      <c r="AC942" s="475" t="str">
        <f t="shared" ca="1" si="207"/>
        <v/>
      </c>
      <c r="AD942" s="477" t="str">
        <f t="shared" ca="1" si="200"/>
        <v/>
      </c>
      <c r="AE942" s="478">
        <f t="shared" ca="1" si="201"/>
        <v>0</v>
      </c>
      <c r="AF942" s="459" t="str">
        <f t="shared" ca="1" si="205"/>
        <v/>
      </c>
      <c r="AG942" s="460" t="str">
        <f t="shared" ca="1" si="205"/>
        <v/>
      </c>
      <c r="AH942" s="460" t="str">
        <f t="shared" ca="1" si="205"/>
        <v/>
      </c>
      <c r="AI942" s="460" t="str">
        <f t="shared" ca="1" si="205"/>
        <v/>
      </c>
      <c r="AJ942" s="460" t="str">
        <f t="shared" ca="1" si="205"/>
        <v/>
      </c>
      <c r="AK942" s="460" t="str">
        <f t="shared" ca="1" si="205"/>
        <v/>
      </c>
      <c r="AL942" s="460" t="str">
        <f t="shared" ca="1" si="205"/>
        <v/>
      </c>
      <c r="AM942" s="460" t="str">
        <f t="shared" ca="1" si="205"/>
        <v/>
      </c>
      <c r="AN942" s="461" t="str">
        <f t="shared" ca="1" si="205"/>
        <v/>
      </c>
      <c r="AO942" s="474" t="str">
        <f t="shared" ca="1" si="205"/>
        <v/>
      </c>
      <c r="AP942" s="475" t="str">
        <f t="shared" ca="1" si="205"/>
        <v/>
      </c>
      <c r="AQ942" s="479" t="str">
        <f t="array" aca="1" ref="AQ942" ca="1">IF(ROW()-5&lt;=COUNTIF(科目编号,$AR$2),SMALL(IF(科目编号=$AR$2,ROW(科目编号),""),ROW()-5),"")</f>
        <v/>
      </c>
      <c r="AR942" s="480" t="str">
        <f ca="1">IF($BG$2=0,"",IF(AR941="本月合计","本年累计",IF(OR(ROW()=$AU$3,ROW()=$AV$3,ROW()=$AW$3,ROW()=$AX$3,ROW()=$AY$3,ROW()=$AZ$3,ROW()=$BA$3,ROW()=$BB$3,ROW()=$BC$3,ROW()=$BD$3,ROW()=$BE$3,ROW()=$BF$3),"本月合计",IF(ROW()&lt;7,$AQ$6,OFFSET($AQ$6,COUNT($AR$6:AR941),0)))))</f>
        <v/>
      </c>
    </row>
    <row r="943" spans="1:44">
      <c r="A943" s="469" t="str">
        <f ca="1">IFERROR(INDEX(凭证录入!A:A,$AR943),"")</f>
        <v/>
      </c>
      <c r="B943" s="469" t="str">
        <f ca="1">IFERROR(INDEX(凭证录入!B:B,$AR943),"")</f>
        <v/>
      </c>
      <c r="C943" s="470" t="str">
        <f ca="1">IFERROR(INDEX(凭证录入!G:G,$AR943),"")</f>
        <v/>
      </c>
      <c r="D943" s="471" t="str">
        <f ca="1">IFERROR(INDEX(凭证录入!F:F,$AR943),"")</f>
        <v/>
      </c>
      <c r="E943" s="472" t="str">
        <f ca="1">IFERROR(INDEX(凭证录入!H:H,$AR943),$AR943)</f>
        <v/>
      </c>
      <c r="F943" s="473">
        <f ca="1">IF(OR($BG$2=0,$AR943=""),,IF($AR943="本月合计",IF(ROW()=$BG$3,SUM($F$6:$F942),SUM(INDIRECT("$F$"&amp;OFFSET($AU$3,,MATCH(ROW(),$AU$3:$BF$3,)-2)+2&amp;":$E"&amp;ROW()-1))),IF($AR943="本年累计",SUMIF($AR$6:$AR943,"本月合计",$F$6:$F942),INDEX(凭证录入!K:K,$AR943))))</f>
        <v>0</v>
      </c>
      <c r="G943" s="459" t="str">
        <f t="shared" ca="1" si="206"/>
        <v/>
      </c>
      <c r="H943" s="460" t="str">
        <f t="shared" ca="1" si="206"/>
        <v/>
      </c>
      <c r="I943" s="460" t="str">
        <f t="shared" ca="1" si="206"/>
        <v/>
      </c>
      <c r="J943" s="460" t="str">
        <f t="shared" ca="1" si="206"/>
        <v/>
      </c>
      <c r="K943" s="460" t="str">
        <f t="shared" ca="1" si="206"/>
        <v/>
      </c>
      <c r="L943" s="460" t="str">
        <f t="shared" ca="1" si="206"/>
        <v/>
      </c>
      <c r="M943" s="460" t="str">
        <f t="shared" ca="1" si="206"/>
        <v/>
      </c>
      <c r="N943" s="460" t="str">
        <f t="shared" ca="1" si="206"/>
        <v/>
      </c>
      <c r="O943" s="461" t="str">
        <f t="shared" ca="1" si="206"/>
        <v/>
      </c>
      <c r="P943" s="474" t="str">
        <f t="shared" ca="1" si="206"/>
        <v/>
      </c>
      <c r="Q943" s="475" t="str">
        <f t="shared" ca="1" si="206"/>
        <v/>
      </c>
      <c r="R943" s="476">
        <f ca="1">IF(OR($BG$2=0,$AR943=""),,IF($AR943="本月合计",IF(ROW()=$BG$3,SUM($R$6:$R942),SUM(INDIRECT("$R$"&amp;OFFSET($AU$3,,MATCH(ROW(),$AU$3:$BF$3,)-2)+2&amp;":$R"&amp;ROW()-1))),IF($AR943="本年累计",SUMIF($AR$6:$AR943,"本月合计",$R$6:$R942),INDEX(凭证录入!L:L,$AR943))))</f>
        <v>0</v>
      </c>
      <c r="S943" s="459" t="str">
        <f t="shared" ca="1" si="207"/>
        <v/>
      </c>
      <c r="T943" s="460" t="str">
        <f t="shared" ca="1" si="207"/>
        <v/>
      </c>
      <c r="U943" s="460" t="str">
        <f t="shared" ca="1" si="207"/>
        <v/>
      </c>
      <c r="V943" s="460" t="str">
        <f t="shared" ca="1" si="207"/>
        <v/>
      </c>
      <c r="W943" s="460" t="str">
        <f t="shared" ca="1" si="207"/>
        <v/>
      </c>
      <c r="X943" s="460" t="str">
        <f t="shared" ca="1" si="207"/>
        <v/>
      </c>
      <c r="Y943" s="460" t="str">
        <f t="shared" ca="1" si="207"/>
        <v/>
      </c>
      <c r="Z943" s="460" t="str">
        <f t="shared" ca="1" si="207"/>
        <v/>
      </c>
      <c r="AA943" s="461" t="str">
        <f t="shared" ca="1" si="207"/>
        <v/>
      </c>
      <c r="AB943" s="474" t="str">
        <f t="shared" ca="1" si="207"/>
        <v/>
      </c>
      <c r="AC943" s="475" t="str">
        <f t="shared" ca="1" si="207"/>
        <v/>
      </c>
      <c r="AD943" s="477" t="str">
        <f t="shared" ca="1" si="200"/>
        <v/>
      </c>
      <c r="AE943" s="478">
        <f t="shared" ca="1" si="201"/>
        <v>0</v>
      </c>
      <c r="AF943" s="459" t="str">
        <f t="shared" ca="1" si="205"/>
        <v/>
      </c>
      <c r="AG943" s="460" t="str">
        <f t="shared" ca="1" si="205"/>
        <v/>
      </c>
      <c r="AH943" s="460" t="str">
        <f t="shared" ca="1" si="205"/>
        <v/>
      </c>
      <c r="AI943" s="460" t="str">
        <f t="shared" ca="1" si="205"/>
        <v/>
      </c>
      <c r="AJ943" s="460" t="str">
        <f t="shared" ca="1" si="205"/>
        <v/>
      </c>
      <c r="AK943" s="460" t="str">
        <f t="shared" ca="1" si="205"/>
        <v/>
      </c>
      <c r="AL943" s="460" t="str">
        <f t="shared" ca="1" si="205"/>
        <v/>
      </c>
      <c r="AM943" s="460" t="str">
        <f t="shared" ca="1" si="205"/>
        <v/>
      </c>
      <c r="AN943" s="461" t="str">
        <f t="shared" ca="1" si="205"/>
        <v/>
      </c>
      <c r="AO943" s="474" t="str">
        <f t="shared" ca="1" si="205"/>
        <v/>
      </c>
      <c r="AP943" s="475" t="str">
        <f t="shared" ca="1" si="205"/>
        <v/>
      </c>
      <c r="AQ943" s="479" t="str">
        <f t="array" aca="1" ref="AQ943" ca="1">IF(ROW()-5&lt;=COUNTIF(科目编号,$AR$2),SMALL(IF(科目编号=$AR$2,ROW(科目编号),""),ROW()-5),"")</f>
        <v/>
      </c>
      <c r="AR943" s="480" t="str">
        <f ca="1">IF($BG$2=0,"",IF(AR942="本月合计","本年累计",IF(OR(ROW()=$AU$3,ROW()=$AV$3,ROW()=$AW$3,ROW()=$AX$3,ROW()=$AY$3,ROW()=$AZ$3,ROW()=$BA$3,ROW()=$BB$3,ROW()=$BC$3,ROW()=$BD$3,ROW()=$BE$3,ROW()=$BF$3),"本月合计",IF(ROW()&lt;7,$AQ$6,OFFSET($AQ$6,COUNT($AR$6:AR942),0)))))</f>
        <v/>
      </c>
    </row>
    <row r="944" spans="1:44">
      <c r="A944" s="469" t="str">
        <f ca="1">IFERROR(INDEX(凭证录入!A:A,$AR944),"")</f>
        <v/>
      </c>
      <c r="B944" s="469" t="str">
        <f ca="1">IFERROR(INDEX(凭证录入!B:B,$AR944),"")</f>
        <v/>
      </c>
      <c r="C944" s="470" t="str">
        <f ca="1">IFERROR(INDEX(凭证录入!G:G,$AR944),"")</f>
        <v/>
      </c>
      <c r="D944" s="471" t="str">
        <f ca="1">IFERROR(INDEX(凭证录入!F:F,$AR944),"")</f>
        <v/>
      </c>
      <c r="E944" s="472" t="str">
        <f ca="1">IFERROR(INDEX(凭证录入!H:H,$AR944),$AR944)</f>
        <v/>
      </c>
      <c r="F944" s="473">
        <f ca="1">IF(OR($BG$2=0,$AR944=""),,IF($AR944="本月合计",IF(ROW()=$BG$3,SUM($F$6:$F943),SUM(INDIRECT("$F$"&amp;OFFSET($AU$3,,MATCH(ROW(),$AU$3:$BF$3,)-2)+2&amp;":$E"&amp;ROW()-1))),IF($AR944="本年累计",SUMIF($AR$6:$AR944,"本月合计",$F$6:$F943),INDEX(凭证录入!K:K,$AR944))))</f>
        <v>0</v>
      </c>
      <c r="G944" s="459" t="str">
        <f t="shared" ca="1" si="206"/>
        <v/>
      </c>
      <c r="H944" s="460" t="str">
        <f t="shared" ca="1" si="206"/>
        <v/>
      </c>
      <c r="I944" s="460" t="str">
        <f t="shared" ca="1" si="206"/>
        <v/>
      </c>
      <c r="J944" s="460" t="str">
        <f t="shared" ca="1" si="206"/>
        <v/>
      </c>
      <c r="K944" s="460" t="str">
        <f t="shared" ca="1" si="206"/>
        <v/>
      </c>
      <c r="L944" s="460" t="str">
        <f t="shared" ca="1" si="206"/>
        <v/>
      </c>
      <c r="M944" s="460" t="str">
        <f t="shared" ca="1" si="206"/>
        <v/>
      </c>
      <c r="N944" s="460" t="str">
        <f t="shared" ca="1" si="206"/>
        <v/>
      </c>
      <c r="O944" s="461" t="str">
        <f t="shared" ca="1" si="206"/>
        <v/>
      </c>
      <c r="P944" s="474" t="str">
        <f t="shared" ca="1" si="206"/>
        <v/>
      </c>
      <c r="Q944" s="475" t="str">
        <f t="shared" ca="1" si="206"/>
        <v/>
      </c>
      <c r="R944" s="476">
        <f ca="1">IF(OR($BG$2=0,$AR944=""),,IF($AR944="本月合计",IF(ROW()=$BG$3,SUM($R$6:$R943),SUM(INDIRECT("$R$"&amp;OFFSET($AU$3,,MATCH(ROW(),$AU$3:$BF$3,)-2)+2&amp;":$R"&amp;ROW()-1))),IF($AR944="本年累计",SUMIF($AR$6:$AR944,"本月合计",$R$6:$R943),INDEX(凭证录入!L:L,$AR944))))</f>
        <v>0</v>
      </c>
      <c r="S944" s="459" t="str">
        <f t="shared" ca="1" si="207"/>
        <v/>
      </c>
      <c r="T944" s="460" t="str">
        <f t="shared" ca="1" si="207"/>
        <v/>
      </c>
      <c r="U944" s="460" t="str">
        <f t="shared" ca="1" si="207"/>
        <v/>
      </c>
      <c r="V944" s="460" t="str">
        <f t="shared" ca="1" si="207"/>
        <v/>
      </c>
      <c r="W944" s="460" t="str">
        <f t="shared" ca="1" si="207"/>
        <v/>
      </c>
      <c r="X944" s="460" t="str">
        <f t="shared" ca="1" si="207"/>
        <v/>
      </c>
      <c r="Y944" s="460" t="str">
        <f t="shared" ca="1" si="207"/>
        <v/>
      </c>
      <c r="Z944" s="460" t="str">
        <f t="shared" ca="1" si="207"/>
        <v/>
      </c>
      <c r="AA944" s="461" t="str">
        <f t="shared" ca="1" si="207"/>
        <v/>
      </c>
      <c r="AB944" s="474" t="str">
        <f t="shared" ca="1" si="207"/>
        <v/>
      </c>
      <c r="AC944" s="475" t="str">
        <f t="shared" ca="1" si="207"/>
        <v/>
      </c>
      <c r="AD944" s="477" t="str">
        <f t="shared" ca="1" si="200"/>
        <v/>
      </c>
      <c r="AE944" s="478">
        <f t="shared" ca="1" si="201"/>
        <v>0</v>
      </c>
      <c r="AF944" s="459" t="str">
        <f t="shared" ca="1" si="205"/>
        <v/>
      </c>
      <c r="AG944" s="460" t="str">
        <f t="shared" ca="1" si="205"/>
        <v/>
      </c>
      <c r="AH944" s="460" t="str">
        <f t="shared" ca="1" si="205"/>
        <v/>
      </c>
      <c r="AI944" s="460" t="str">
        <f t="shared" ca="1" si="205"/>
        <v/>
      </c>
      <c r="AJ944" s="460" t="str">
        <f t="shared" ca="1" si="205"/>
        <v/>
      </c>
      <c r="AK944" s="460" t="str">
        <f t="shared" ca="1" si="205"/>
        <v/>
      </c>
      <c r="AL944" s="460" t="str">
        <f t="shared" ca="1" si="205"/>
        <v/>
      </c>
      <c r="AM944" s="460" t="str">
        <f t="shared" ca="1" si="205"/>
        <v/>
      </c>
      <c r="AN944" s="461" t="str">
        <f t="shared" ca="1" si="205"/>
        <v/>
      </c>
      <c r="AO944" s="474" t="str">
        <f t="shared" ca="1" si="205"/>
        <v/>
      </c>
      <c r="AP944" s="475" t="str">
        <f t="shared" ca="1" si="205"/>
        <v/>
      </c>
      <c r="AQ944" s="479" t="str">
        <f t="array" aca="1" ref="AQ944" ca="1">IF(ROW()-5&lt;=COUNTIF(科目编号,$AR$2),SMALL(IF(科目编号=$AR$2,ROW(科目编号),""),ROW()-5),"")</f>
        <v/>
      </c>
      <c r="AR944" s="480" t="str">
        <f ca="1">IF($BG$2=0,"",IF(AR943="本月合计","本年累计",IF(OR(ROW()=$AU$3,ROW()=$AV$3,ROW()=$AW$3,ROW()=$AX$3,ROW()=$AY$3,ROW()=$AZ$3,ROW()=$BA$3,ROW()=$BB$3,ROW()=$BC$3,ROW()=$BD$3,ROW()=$BE$3,ROW()=$BF$3),"本月合计",IF(ROW()&lt;7,$AQ$6,OFFSET($AQ$6,COUNT($AR$6:AR943),0)))))</f>
        <v/>
      </c>
    </row>
    <row r="945" spans="1:44">
      <c r="A945" s="469" t="str">
        <f ca="1">IFERROR(INDEX(凭证录入!A:A,$AR945),"")</f>
        <v/>
      </c>
      <c r="B945" s="469" t="str">
        <f ca="1">IFERROR(INDEX(凭证录入!B:B,$AR945),"")</f>
        <v/>
      </c>
      <c r="C945" s="470" t="str">
        <f ca="1">IFERROR(INDEX(凭证录入!G:G,$AR945),"")</f>
        <v/>
      </c>
      <c r="D945" s="471" t="str">
        <f ca="1">IFERROR(INDEX(凭证录入!F:F,$AR945),"")</f>
        <v/>
      </c>
      <c r="E945" s="472" t="str">
        <f ca="1">IFERROR(INDEX(凭证录入!H:H,$AR945),$AR945)</f>
        <v/>
      </c>
      <c r="F945" s="473">
        <f ca="1">IF(OR($BG$2=0,$AR945=""),,IF($AR945="本月合计",IF(ROW()=$BG$3,SUM($F$6:$F944),SUM(INDIRECT("$F$"&amp;OFFSET($AU$3,,MATCH(ROW(),$AU$3:$BF$3,)-2)+2&amp;":$E"&amp;ROW()-1))),IF($AR945="本年累计",SUMIF($AR$6:$AR945,"本月合计",$F$6:$F944),INDEX(凭证录入!K:K,$AR945))))</f>
        <v>0</v>
      </c>
      <c r="G945" s="459" t="str">
        <f t="shared" ca="1" si="206"/>
        <v/>
      </c>
      <c r="H945" s="460" t="str">
        <f t="shared" ca="1" si="206"/>
        <v/>
      </c>
      <c r="I945" s="460" t="str">
        <f t="shared" ca="1" si="206"/>
        <v/>
      </c>
      <c r="J945" s="460" t="str">
        <f t="shared" ca="1" si="206"/>
        <v/>
      </c>
      <c r="K945" s="460" t="str">
        <f t="shared" ca="1" si="206"/>
        <v/>
      </c>
      <c r="L945" s="460" t="str">
        <f t="shared" ca="1" si="206"/>
        <v/>
      </c>
      <c r="M945" s="460" t="str">
        <f t="shared" ca="1" si="206"/>
        <v/>
      </c>
      <c r="N945" s="460" t="str">
        <f t="shared" ca="1" si="206"/>
        <v/>
      </c>
      <c r="O945" s="461" t="str">
        <f t="shared" ca="1" si="206"/>
        <v/>
      </c>
      <c r="P945" s="474" t="str">
        <f t="shared" ca="1" si="206"/>
        <v/>
      </c>
      <c r="Q945" s="475" t="str">
        <f t="shared" ca="1" si="206"/>
        <v/>
      </c>
      <c r="R945" s="476">
        <f ca="1">IF(OR($BG$2=0,$AR945=""),,IF($AR945="本月合计",IF(ROW()=$BG$3,SUM($R$6:$R944),SUM(INDIRECT("$R$"&amp;OFFSET($AU$3,,MATCH(ROW(),$AU$3:$BF$3,)-2)+2&amp;":$R"&amp;ROW()-1))),IF($AR945="本年累计",SUMIF($AR$6:$AR945,"本月合计",$R$6:$R944),INDEX(凭证录入!L:L,$AR945))))</f>
        <v>0</v>
      </c>
      <c r="S945" s="459" t="str">
        <f t="shared" ca="1" si="207"/>
        <v/>
      </c>
      <c r="T945" s="460" t="str">
        <f t="shared" ca="1" si="207"/>
        <v/>
      </c>
      <c r="U945" s="460" t="str">
        <f t="shared" ca="1" si="207"/>
        <v/>
      </c>
      <c r="V945" s="460" t="str">
        <f t="shared" ca="1" si="207"/>
        <v/>
      </c>
      <c r="W945" s="460" t="str">
        <f t="shared" ca="1" si="207"/>
        <v/>
      </c>
      <c r="X945" s="460" t="str">
        <f t="shared" ca="1" si="207"/>
        <v/>
      </c>
      <c r="Y945" s="460" t="str">
        <f t="shared" ca="1" si="207"/>
        <v/>
      </c>
      <c r="Z945" s="460" t="str">
        <f t="shared" ca="1" si="207"/>
        <v/>
      </c>
      <c r="AA945" s="461" t="str">
        <f t="shared" ca="1" si="207"/>
        <v/>
      </c>
      <c r="AB945" s="474" t="str">
        <f t="shared" ca="1" si="207"/>
        <v/>
      </c>
      <c r="AC945" s="475" t="str">
        <f t="shared" ca="1" si="207"/>
        <v/>
      </c>
      <c r="AD945" s="477" t="str">
        <f t="shared" ca="1" si="200"/>
        <v/>
      </c>
      <c r="AE945" s="478">
        <f t="shared" ca="1" si="201"/>
        <v>0</v>
      </c>
      <c r="AF945" s="459" t="str">
        <f t="shared" ca="1" si="205"/>
        <v/>
      </c>
      <c r="AG945" s="460" t="str">
        <f t="shared" ca="1" si="205"/>
        <v/>
      </c>
      <c r="AH945" s="460" t="str">
        <f t="shared" ca="1" si="205"/>
        <v/>
      </c>
      <c r="AI945" s="460" t="str">
        <f t="shared" ca="1" si="205"/>
        <v/>
      </c>
      <c r="AJ945" s="460" t="str">
        <f t="shared" ca="1" si="205"/>
        <v/>
      </c>
      <c r="AK945" s="460" t="str">
        <f t="shared" ca="1" si="205"/>
        <v/>
      </c>
      <c r="AL945" s="460" t="str">
        <f t="shared" ca="1" si="205"/>
        <v/>
      </c>
      <c r="AM945" s="460" t="str">
        <f t="shared" ca="1" si="205"/>
        <v/>
      </c>
      <c r="AN945" s="461" t="str">
        <f t="shared" ca="1" si="205"/>
        <v/>
      </c>
      <c r="AO945" s="474" t="str">
        <f t="shared" ca="1" si="205"/>
        <v/>
      </c>
      <c r="AP945" s="475" t="str">
        <f t="shared" ca="1" si="205"/>
        <v/>
      </c>
      <c r="AQ945" s="479" t="str">
        <f t="array" aca="1" ref="AQ945" ca="1">IF(ROW()-5&lt;=COUNTIF(科目编号,$AR$2),SMALL(IF(科目编号=$AR$2,ROW(科目编号),""),ROW()-5),"")</f>
        <v/>
      </c>
      <c r="AR945" s="480" t="str">
        <f ca="1">IF($BG$2=0,"",IF(AR944="本月合计","本年累计",IF(OR(ROW()=$AU$3,ROW()=$AV$3,ROW()=$AW$3,ROW()=$AX$3,ROW()=$AY$3,ROW()=$AZ$3,ROW()=$BA$3,ROW()=$BB$3,ROW()=$BC$3,ROW()=$BD$3,ROW()=$BE$3,ROW()=$BF$3),"本月合计",IF(ROW()&lt;7,$AQ$6,OFFSET($AQ$6,COUNT($AR$6:AR944),0)))))</f>
        <v/>
      </c>
    </row>
    <row r="946" spans="1:44">
      <c r="A946" s="469" t="str">
        <f ca="1">IFERROR(INDEX(凭证录入!A:A,$AR946),"")</f>
        <v/>
      </c>
      <c r="B946" s="469" t="str">
        <f ca="1">IFERROR(INDEX(凭证录入!B:B,$AR946),"")</f>
        <v/>
      </c>
      <c r="C946" s="470" t="str">
        <f ca="1">IFERROR(INDEX(凭证录入!G:G,$AR946),"")</f>
        <v/>
      </c>
      <c r="D946" s="471" t="str">
        <f ca="1">IFERROR(INDEX(凭证录入!F:F,$AR946),"")</f>
        <v/>
      </c>
      <c r="E946" s="472" t="str">
        <f ca="1">IFERROR(INDEX(凭证录入!H:H,$AR946),$AR946)</f>
        <v/>
      </c>
      <c r="F946" s="473">
        <f ca="1">IF(OR($BG$2=0,$AR946=""),,IF($AR946="本月合计",IF(ROW()=$BG$3,SUM($F$6:$F945),SUM(INDIRECT("$F$"&amp;OFFSET($AU$3,,MATCH(ROW(),$AU$3:$BF$3,)-2)+2&amp;":$E"&amp;ROW()-1))),IF($AR946="本年累计",SUMIF($AR$6:$AR946,"本月合计",$F$6:$F945),INDEX(凭证录入!K:K,$AR946))))</f>
        <v>0</v>
      </c>
      <c r="G946" s="459" t="str">
        <f t="shared" ca="1" si="206"/>
        <v/>
      </c>
      <c r="H946" s="460" t="str">
        <f t="shared" ca="1" si="206"/>
        <v/>
      </c>
      <c r="I946" s="460" t="str">
        <f t="shared" ca="1" si="206"/>
        <v/>
      </c>
      <c r="J946" s="460" t="str">
        <f t="shared" ca="1" si="206"/>
        <v/>
      </c>
      <c r="K946" s="460" t="str">
        <f t="shared" ca="1" si="206"/>
        <v/>
      </c>
      <c r="L946" s="460" t="str">
        <f t="shared" ca="1" si="206"/>
        <v/>
      </c>
      <c r="M946" s="460" t="str">
        <f t="shared" ca="1" si="206"/>
        <v/>
      </c>
      <c r="N946" s="460" t="str">
        <f t="shared" ca="1" si="206"/>
        <v/>
      </c>
      <c r="O946" s="461" t="str">
        <f t="shared" ca="1" si="206"/>
        <v/>
      </c>
      <c r="P946" s="474" t="str">
        <f t="shared" ca="1" si="206"/>
        <v/>
      </c>
      <c r="Q946" s="475" t="str">
        <f t="shared" ca="1" si="206"/>
        <v/>
      </c>
      <c r="R946" s="476">
        <f ca="1">IF(OR($BG$2=0,$AR946=""),,IF($AR946="本月合计",IF(ROW()=$BG$3,SUM($R$6:$R945),SUM(INDIRECT("$R$"&amp;OFFSET($AU$3,,MATCH(ROW(),$AU$3:$BF$3,)-2)+2&amp;":$R"&amp;ROW()-1))),IF($AR946="本年累计",SUMIF($AR$6:$AR946,"本月合计",$R$6:$R945),INDEX(凭证录入!L:L,$AR946))))</f>
        <v>0</v>
      </c>
      <c r="S946" s="459" t="str">
        <f t="shared" ca="1" si="207"/>
        <v/>
      </c>
      <c r="T946" s="460" t="str">
        <f t="shared" ca="1" si="207"/>
        <v/>
      </c>
      <c r="U946" s="460" t="str">
        <f t="shared" ca="1" si="207"/>
        <v/>
      </c>
      <c r="V946" s="460" t="str">
        <f t="shared" ca="1" si="207"/>
        <v/>
      </c>
      <c r="W946" s="460" t="str">
        <f t="shared" ca="1" si="207"/>
        <v/>
      </c>
      <c r="X946" s="460" t="str">
        <f t="shared" ca="1" si="207"/>
        <v/>
      </c>
      <c r="Y946" s="460" t="str">
        <f t="shared" ca="1" si="207"/>
        <v/>
      </c>
      <c r="Z946" s="460" t="str">
        <f t="shared" ca="1" si="207"/>
        <v/>
      </c>
      <c r="AA946" s="461" t="str">
        <f t="shared" ca="1" si="207"/>
        <v/>
      </c>
      <c r="AB946" s="474" t="str">
        <f t="shared" ca="1" si="207"/>
        <v/>
      </c>
      <c r="AC946" s="475" t="str">
        <f t="shared" ca="1" si="207"/>
        <v/>
      </c>
      <c r="AD946" s="477" t="str">
        <f t="shared" ca="1" si="200"/>
        <v/>
      </c>
      <c r="AE946" s="478">
        <f t="shared" ca="1" si="201"/>
        <v>0</v>
      </c>
      <c r="AF946" s="459" t="str">
        <f t="shared" ca="1" si="205"/>
        <v/>
      </c>
      <c r="AG946" s="460" t="str">
        <f t="shared" ca="1" si="205"/>
        <v/>
      </c>
      <c r="AH946" s="460" t="str">
        <f t="shared" ca="1" si="205"/>
        <v/>
      </c>
      <c r="AI946" s="460" t="str">
        <f t="shared" ca="1" si="205"/>
        <v/>
      </c>
      <c r="AJ946" s="460" t="str">
        <f t="shared" ca="1" si="205"/>
        <v/>
      </c>
      <c r="AK946" s="460" t="str">
        <f t="shared" ca="1" si="205"/>
        <v/>
      </c>
      <c r="AL946" s="460" t="str">
        <f t="shared" ca="1" si="205"/>
        <v/>
      </c>
      <c r="AM946" s="460" t="str">
        <f t="shared" ca="1" si="205"/>
        <v/>
      </c>
      <c r="AN946" s="461" t="str">
        <f t="shared" ca="1" si="205"/>
        <v/>
      </c>
      <c r="AO946" s="474" t="str">
        <f t="shared" ca="1" si="205"/>
        <v/>
      </c>
      <c r="AP946" s="475" t="str">
        <f t="shared" ca="1" si="205"/>
        <v/>
      </c>
      <c r="AQ946" s="479" t="str">
        <f t="array" aca="1" ref="AQ946" ca="1">IF(ROW()-5&lt;=COUNTIF(科目编号,$AR$2),SMALL(IF(科目编号=$AR$2,ROW(科目编号),""),ROW()-5),"")</f>
        <v/>
      </c>
      <c r="AR946" s="480" t="str">
        <f ca="1">IF($BG$2=0,"",IF(AR945="本月合计","本年累计",IF(OR(ROW()=$AU$3,ROW()=$AV$3,ROW()=$AW$3,ROW()=$AX$3,ROW()=$AY$3,ROW()=$AZ$3,ROW()=$BA$3,ROW()=$BB$3,ROW()=$BC$3,ROW()=$BD$3,ROW()=$BE$3,ROW()=$BF$3),"本月合计",IF(ROW()&lt;7,$AQ$6,OFFSET($AQ$6,COUNT($AR$6:AR945),0)))))</f>
        <v/>
      </c>
    </row>
    <row r="947" spans="1:44">
      <c r="A947" s="469" t="str">
        <f ca="1">IFERROR(INDEX(凭证录入!A:A,$AR947),"")</f>
        <v/>
      </c>
      <c r="B947" s="469" t="str">
        <f ca="1">IFERROR(INDEX(凭证录入!B:B,$AR947),"")</f>
        <v/>
      </c>
      <c r="C947" s="470" t="str">
        <f ca="1">IFERROR(INDEX(凭证录入!G:G,$AR947),"")</f>
        <v/>
      </c>
      <c r="D947" s="471" t="str">
        <f ca="1">IFERROR(INDEX(凭证录入!F:F,$AR947),"")</f>
        <v/>
      </c>
      <c r="E947" s="472" t="str">
        <f ca="1">IFERROR(INDEX(凭证录入!H:H,$AR947),$AR947)</f>
        <v/>
      </c>
      <c r="F947" s="473">
        <f ca="1">IF(OR($BG$2=0,$AR947=""),,IF($AR947="本月合计",IF(ROW()=$BG$3,SUM($F$6:$F946),SUM(INDIRECT("$F$"&amp;OFFSET($AU$3,,MATCH(ROW(),$AU$3:$BF$3,)-2)+2&amp;":$E"&amp;ROW()-1))),IF($AR947="本年累计",SUMIF($AR$6:$AR947,"本月合计",$F$6:$F946),INDEX(凭证录入!K:K,$AR947))))</f>
        <v>0</v>
      </c>
      <c r="G947" s="459" t="str">
        <f t="shared" ca="1" si="206"/>
        <v/>
      </c>
      <c r="H947" s="460" t="str">
        <f t="shared" ca="1" si="206"/>
        <v/>
      </c>
      <c r="I947" s="460" t="str">
        <f t="shared" ca="1" si="206"/>
        <v/>
      </c>
      <c r="J947" s="460" t="str">
        <f t="shared" ca="1" si="206"/>
        <v/>
      </c>
      <c r="K947" s="460" t="str">
        <f t="shared" ca="1" si="206"/>
        <v/>
      </c>
      <c r="L947" s="460" t="str">
        <f t="shared" ca="1" si="206"/>
        <v/>
      </c>
      <c r="M947" s="460" t="str">
        <f t="shared" ca="1" si="206"/>
        <v/>
      </c>
      <c r="N947" s="460" t="str">
        <f t="shared" ca="1" si="206"/>
        <v/>
      </c>
      <c r="O947" s="461" t="str">
        <f t="shared" ca="1" si="206"/>
        <v/>
      </c>
      <c r="P947" s="474" t="str">
        <f t="shared" ca="1" si="206"/>
        <v/>
      </c>
      <c r="Q947" s="475" t="str">
        <f t="shared" ca="1" si="206"/>
        <v/>
      </c>
      <c r="R947" s="476">
        <f ca="1">IF(OR($BG$2=0,$AR947=""),,IF($AR947="本月合计",IF(ROW()=$BG$3,SUM($R$6:$R946),SUM(INDIRECT("$R$"&amp;OFFSET($AU$3,,MATCH(ROW(),$AU$3:$BF$3,)-2)+2&amp;":$R"&amp;ROW()-1))),IF($AR947="本年累计",SUMIF($AR$6:$AR947,"本月合计",$R$6:$R946),INDEX(凭证录入!L:L,$AR947))))</f>
        <v>0</v>
      </c>
      <c r="S947" s="459" t="str">
        <f t="shared" ca="1" si="207"/>
        <v/>
      </c>
      <c r="T947" s="460" t="str">
        <f t="shared" ca="1" si="207"/>
        <v/>
      </c>
      <c r="U947" s="460" t="str">
        <f t="shared" ca="1" si="207"/>
        <v/>
      </c>
      <c r="V947" s="460" t="str">
        <f t="shared" ca="1" si="207"/>
        <v/>
      </c>
      <c r="W947" s="460" t="str">
        <f t="shared" ca="1" si="207"/>
        <v/>
      </c>
      <c r="X947" s="460" t="str">
        <f t="shared" ca="1" si="207"/>
        <v/>
      </c>
      <c r="Y947" s="460" t="str">
        <f t="shared" ca="1" si="207"/>
        <v/>
      </c>
      <c r="Z947" s="460" t="str">
        <f t="shared" ca="1" si="207"/>
        <v/>
      </c>
      <c r="AA947" s="461" t="str">
        <f t="shared" ca="1" si="207"/>
        <v/>
      </c>
      <c r="AB947" s="474" t="str">
        <f t="shared" ca="1" si="207"/>
        <v/>
      </c>
      <c r="AC947" s="475" t="str">
        <f t="shared" ca="1" si="207"/>
        <v/>
      </c>
      <c r="AD947" s="477" t="str">
        <f t="shared" ca="1" si="200"/>
        <v/>
      </c>
      <c r="AE947" s="478">
        <f t="shared" ca="1" si="201"/>
        <v>0</v>
      </c>
      <c r="AF947" s="459" t="str">
        <f t="shared" ca="1" si="205"/>
        <v/>
      </c>
      <c r="AG947" s="460" t="str">
        <f t="shared" ca="1" si="205"/>
        <v/>
      </c>
      <c r="AH947" s="460" t="str">
        <f t="shared" ca="1" si="205"/>
        <v/>
      </c>
      <c r="AI947" s="460" t="str">
        <f t="shared" ca="1" si="205"/>
        <v/>
      </c>
      <c r="AJ947" s="460" t="str">
        <f t="shared" ca="1" si="205"/>
        <v/>
      </c>
      <c r="AK947" s="460" t="str">
        <f t="shared" ca="1" si="205"/>
        <v/>
      </c>
      <c r="AL947" s="460" t="str">
        <f t="shared" ca="1" si="205"/>
        <v/>
      </c>
      <c r="AM947" s="460" t="str">
        <f t="shared" ca="1" si="205"/>
        <v/>
      </c>
      <c r="AN947" s="461" t="str">
        <f t="shared" ca="1" si="205"/>
        <v/>
      </c>
      <c r="AO947" s="474" t="str">
        <f t="shared" ca="1" si="205"/>
        <v/>
      </c>
      <c r="AP947" s="475" t="str">
        <f t="shared" ca="1" si="205"/>
        <v/>
      </c>
      <c r="AQ947" s="479" t="str">
        <f t="array" aca="1" ref="AQ947" ca="1">IF(ROW()-5&lt;=COUNTIF(科目编号,$AR$2),SMALL(IF(科目编号=$AR$2,ROW(科目编号),""),ROW()-5),"")</f>
        <v/>
      </c>
      <c r="AR947" s="480" t="str">
        <f ca="1">IF($BG$2=0,"",IF(AR946="本月合计","本年累计",IF(OR(ROW()=$AU$3,ROW()=$AV$3,ROW()=$AW$3,ROW()=$AX$3,ROW()=$AY$3,ROW()=$AZ$3,ROW()=$BA$3,ROW()=$BB$3,ROW()=$BC$3,ROW()=$BD$3,ROW()=$BE$3,ROW()=$BF$3),"本月合计",IF(ROW()&lt;7,$AQ$6,OFFSET($AQ$6,COUNT($AR$6:AR946),0)))))</f>
        <v/>
      </c>
    </row>
    <row r="948" spans="1:44">
      <c r="A948" s="469" t="str">
        <f ca="1">IFERROR(INDEX(凭证录入!A:A,$AR948),"")</f>
        <v/>
      </c>
      <c r="B948" s="469" t="str">
        <f ca="1">IFERROR(INDEX(凭证录入!B:B,$AR948),"")</f>
        <v/>
      </c>
      <c r="C948" s="470" t="str">
        <f ca="1">IFERROR(INDEX(凭证录入!G:G,$AR948),"")</f>
        <v/>
      </c>
      <c r="D948" s="471" t="str">
        <f ca="1">IFERROR(INDEX(凭证录入!F:F,$AR948),"")</f>
        <v/>
      </c>
      <c r="E948" s="472" t="str">
        <f ca="1">IFERROR(INDEX(凭证录入!H:H,$AR948),$AR948)</f>
        <v/>
      </c>
      <c r="F948" s="473">
        <f ca="1">IF(OR($BG$2=0,$AR948=""),,IF($AR948="本月合计",IF(ROW()=$BG$3,SUM($F$6:$F947),SUM(INDIRECT("$F$"&amp;OFFSET($AU$3,,MATCH(ROW(),$AU$3:$BF$3,)-2)+2&amp;":$E"&amp;ROW()-1))),IF($AR948="本年累计",SUMIF($AR$6:$AR948,"本月合计",$F$6:$F947),INDEX(凭证录入!K:K,$AR948))))</f>
        <v>0</v>
      </c>
      <c r="G948" s="459" t="str">
        <f t="shared" ca="1" si="206"/>
        <v/>
      </c>
      <c r="H948" s="460" t="str">
        <f t="shared" ca="1" si="206"/>
        <v/>
      </c>
      <c r="I948" s="460" t="str">
        <f t="shared" ca="1" si="206"/>
        <v/>
      </c>
      <c r="J948" s="460" t="str">
        <f t="shared" ca="1" si="206"/>
        <v/>
      </c>
      <c r="K948" s="460" t="str">
        <f t="shared" ca="1" si="206"/>
        <v/>
      </c>
      <c r="L948" s="460" t="str">
        <f t="shared" ca="1" si="206"/>
        <v/>
      </c>
      <c r="M948" s="460" t="str">
        <f t="shared" ca="1" si="206"/>
        <v/>
      </c>
      <c r="N948" s="460" t="str">
        <f t="shared" ca="1" si="206"/>
        <v/>
      </c>
      <c r="O948" s="461" t="str">
        <f t="shared" ca="1" si="206"/>
        <v/>
      </c>
      <c r="P948" s="474" t="str">
        <f t="shared" ca="1" si="206"/>
        <v/>
      </c>
      <c r="Q948" s="475" t="str">
        <f t="shared" ca="1" si="206"/>
        <v/>
      </c>
      <c r="R948" s="476">
        <f ca="1">IF(OR($BG$2=0,$AR948=""),,IF($AR948="本月合计",IF(ROW()=$BG$3,SUM($R$6:$R947),SUM(INDIRECT("$R$"&amp;OFFSET($AU$3,,MATCH(ROW(),$AU$3:$BF$3,)-2)+2&amp;":$R"&amp;ROW()-1))),IF($AR948="本年累计",SUMIF($AR$6:$AR948,"本月合计",$R$6:$R947),INDEX(凭证录入!L:L,$AR948))))</f>
        <v>0</v>
      </c>
      <c r="S948" s="459" t="str">
        <f t="shared" ca="1" si="207"/>
        <v/>
      </c>
      <c r="T948" s="460" t="str">
        <f t="shared" ca="1" si="207"/>
        <v/>
      </c>
      <c r="U948" s="460" t="str">
        <f t="shared" ca="1" si="207"/>
        <v/>
      </c>
      <c r="V948" s="460" t="str">
        <f t="shared" ca="1" si="207"/>
        <v/>
      </c>
      <c r="W948" s="460" t="str">
        <f t="shared" ca="1" si="207"/>
        <v/>
      </c>
      <c r="X948" s="460" t="str">
        <f t="shared" ca="1" si="207"/>
        <v/>
      </c>
      <c r="Y948" s="460" t="str">
        <f t="shared" ca="1" si="207"/>
        <v/>
      </c>
      <c r="Z948" s="460" t="str">
        <f t="shared" ca="1" si="207"/>
        <v/>
      </c>
      <c r="AA948" s="461" t="str">
        <f t="shared" ca="1" si="207"/>
        <v/>
      </c>
      <c r="AB948" s="474" t="str">
        <f t="shared" ca="1" si="207"/>
        <v/>
      </c>
      <c r="AC948" s="475" t="str">
        <f t="shared" ca="1" si="207"/>
        <v/>
      </c>
      <c r="AD948" s="477" t="str">
        <f t="shared" ca="1" si="200"/>
        <v/>
      </c>
      <c r="AE948" s="478">
        <f t="shared" ca="1" si="201"/>
        <v>0</v>
      </c>
      <c r="AF948" s="459" t="str">
        <f t="shared" ca="1" si="205"/>
        <v/>
      </c>
      <c r="AG948" s="460" t="str">
        <f t="shared" ca="1" si="205"/>
        <v/>
      </c>
      <c r="AH948" s="460" t="str">
        <f t="shared" ca="1" si="205"/>
        <v/>
      </c>
      <c r="AI948" s="460" t="str">
        <f t="shared" ca="1" si="205"/>
        <v/>
      </c>
      <c r="AJ948" s="460" t="str">
        <f t="shared" ca="1" si="205"/>
        <v/>
      </c>
      <c r="AK948" s="460" t="str">
        <f t="shared" ca="1" si="205"/>
        <v/>
      </c>
      <c r="AL948" s="460" t="str">
        <f t="shared" ca="1" si="205"/>
        <v/>
      </c>
      <c r="AM948" s="460" t="str">
        <f t="shared" ca="1" si="205"/>
        <v/>
      </c>
      <c r="AN948" s="461" t="str">
        <f t="shared" ca="1" si="205"/>
        <v/>
      </c>
      <c r="AO948" s="474" t="str">
        <f t="shared" ca="1" si="205"/>
        <v/>
      </c>
      <c r="AP948" s="475" t="str">
        <f t="shared" ca="1" si="205"/>
        <v/>
      </c>
      <c r="AQ948" s="479" t="str">
        <f t="array" aca="1" ref="AQ948" ca="1">IF(ROW()-5&lt;=COUNTIF(科目编号,$AR$2),SMALL(IF(科目编号=$AR$2,ROW(科目编号),""),ROW()-5),"")</f>
        <v/>
      </c>
      <c r="AR948" s="480" t="str">
        <f ca="1">IF($BG$2=0,"",IF(AR947="本月合计","本年累计",IF(OR(ROW()=$AU$3,ROW()=$AV$3,ROW()=$AW$3,ROW()=$AX$3,ROW()=$AY$3,ROW()=$AZ$3,ROW()=$BA$3,ROW()=$BB$3,ROW()=$BC$3,ROW()=$BD$3,ROW()=$BE$3,ROW()=$BF$3),"本月合计",IF(ROW()&lt;7,$AQ$6,OFFSET($AQ$6,COUNT($AR$6:AR947),0)))))</f>
        <v/>
      </c>
    </row>
    <row r="949" spans="1:44">
      <c r="A949" s="469" t="str">
        <f ca="1">IFERROR(INDEX(凭证录入!A:A,$AR949),"")</f>
        <v/>
      </c>
      <c r="B949" s="469" t="str">
        <f ca="1">IFERROR(INDEX(凭证录入!B:B,$AR949),"")</f>
        <v/>
      </c>
      <c r="C949" s="470" t="str">
        <f ca="1">IFERROR(INDEX(凭证录入!G:G,$AR949),"")</f>
        <v/>
      </c>
      <c r="D949" s="471" t="str">
        <f ca="1">IFERROR(INDEX(凭证录入!F:F,$AR949),"")</f>
        <v/>
      </c>
      <c r="E949" s="472" t="str">
        <f ca="1">IFERROR(INDEX(凭证录入!H:H,$AR949),$AR949)</f>
        <v/>
      </c>
      <c r="F949" s="473">
        <f ca="1">IF(OR($BG$2=0,$AR949=""),,IF($AR949="本月合计",IF(ROW()=$BG$3,SUM($F$6:$F948),SUM(INDIRECT("$F$"&amp;OFFSET($AU$3,,MATCH(ROW(),$AU$3:$BF$3,)-2)+2&amp;":$E"&amp;ROW()-1))),IF($AR949="本年累计",SUMIF($AR$6:$AR949,"本月合计",$F$6:$F948),INDEX(凭证录入!K:K,$AR949))))</f>
        <v>0</v>
      </c>
      <c r="G949" s="459" t="str">
        <f t="shared" ca="1" si="206"/>
        <v/>
      </c>
      <c r="H949" s="460" t="str">
        <f t="shared" ca="1" si="206"/>
        <v/>
      </c>
      <c r="I949" s="460" t="str">
        <f t="shared" ca="1" si="206"/>
        <v/>
      </c>
      <c r="J949" s="460" t="str">
        <f t="shared" ca="1" si="206"/>
        <v/>
      </c>
      <c r="K949" s="460" t="str">
        <f t="shared" ca="1" si="206"/>
        <v/>
      </c>
      <c r="L949" s="460" t="str">
        <f t="shared" ca="1" si="206"/>
        <v/>
      </c>
      <c r="M949" s="460" t="str">
        <f t="shared" ca="1" si="206"/>
        <v/>
      </c>
      <c r="N949" s="460" t="str">
        <f t="shared" ca="1" si="206"/>
        <v/>
      </c>
      <c r="O949" s="461" t="str">
        <f t="shared" ca="1" si="206"/>
        <v/>
      </c>
      <c r="P949" s="474" t="str">
        <f t="shared" ca="1" si="206"/>
        <v/>
      </c>
      <c r="Q949" s="475" t="str">
        <f t="shared" ca="1" si="206"/>
        <v/>
      </c>
      <c r="R949" s="476">
        <f ca="1">IF(OR($BG$2=0,$AR949=""),,IF($AR949="本月合计",IF(ROW()=$BG$3,SUM($R$6:$R948),SUM(INDIRECT("$R$"&amp;OFFSET($AU$3,,MATCH(ROW(),$AU$3:$BF$3,)-2)+2&amp;":$R"&amp;ROW()-1))),IF($AR949="本年累计",SUMIF($AR$6:$AR949,"本月合计",$R$6:$R948),INDEX(凭证录入!L:L,$AR949))))</f>
        <v>0</v>
      </c>
      <c r="S949" s="459" t="str">
        <f t="shared" ca="1" si="207"/>
        <v/>
      </c>
      <c r="T949" s="460" t="str">
        <f t="shared" ca="1" si="207"/>
        <v/>
      </c>
      <c r="U949" s="460" t="str">
        <f t="shared" ca="1" si="207"/>
        <v/>
      </c>
      <c r="V949" s="460" t="str">
        <f t="shared" ca="1" si="207"/>
        <v/>
      </c>
      <c r="W949" s="460" t="str">
        <f t="shared" ca="1" si="207"/>
        <v/>
      </c>
      <c r="X949" s="460" t="str">
        <f t="shared" ca="1" si="207"/>
        <v/>
      </c>
      <c r="Y949" s="460" t="str">
        <f t="shared" ca="1" si="207"/>
        <v/>
      </c>
      <c r="Z949" s="460" t="str">
        <f t="shared" ca="1" si="207"/>
        <v/>
      </c>
      <c r="AA949" s="461" t="str">
        <f t="shared" ca="1" si="207"/>
        <v/>
      </c>
      <c r="AB949" s="474" t="str">
        <f t="shared" ca="1" si="207"/>
        <v/>
      </c>
      <c r="AC949" s="475" t="str">
        <f t="shared" ca="1" si="207"/>
        <v/>
      </c>
      <c r="AD949" s="477" t="str">
        <f t="shared" ca="1" si="200"/>
        <v/>
      </c>
      <c r="AE949" s="478">
        <f t="shared" ca="1" si="201"/>
        <v>0</v>
      </c>
      <c r="AF949" s="459" t="str">
        <f t="shared" ref="AF949:AP964" ca="1" si="208">LEFT(RIGHT(TEXT($AE949/1%," ￥0; ￥-0;"),43-COLUMN()))</f>
        <v/>
      </c>
      <c r="AG949" s="460" t="str">
        <f t="shared" ca="1" si="208"/>
        <v/>
      </c>
      <c r="AH949" s="460" t="str">
        <f t="shared" ca="1" si="208"/>
        <v/>
      </c>
      <c r="AI949" s="460" t="str">
        <f t="shared" ca="1" si="208"/>
        <v/>
      </c>
      <c r="AJ949" s="460" t="str">
        <f t="shared" ca="1" si="208"/>
        <v/>
      </c>
      <c r="AK949" s="460" t="str">
        <f t="shared" ca="1" si="208"/>
        <v/>
      </c>
      <c r="AL949" s="460" t="str">
        <f t="shared" ca="1" si="208"/>
        <v/>
      </c>
      <c r="AM949" s="460" t="str">
        <f t="shared" ca="1" si="208"/>
        <v/>
      </c>
      <c r="AN949" s="461" t="str">
        <f t="shared" ca="1" si="208"/>
        <v/>
      </c>
      <c r="AO949" s="474" t="str">
        <f t="shared" ca="1" si="208"/>
        <v/>
      </c>
      <c r="AP949" s="475" t="str">
        <f t="shared" ca="1" si="208"/>
        <v/>
      </c>
      <c r="AQ949" s="479" t="str">
        <f t="array" aca="1" ref="AQ949" ca="1">IF(ROW()-5&lt;=COUNTIF(科目编号,$AR$2),SMALL(IF(科目编号=$AR$2,ROW(科目编号),""),ROW()-5),"")</f>
        <v/>
      </c>
      <c r="AR949" s="480" t="str">
        <f ca="1">IF($BG$2=0,"",IF(AR948="本月合计","本年累计",IF(OR(ROW()=$AU$3,ROW()=$AV$3,ROW()=$AW$3,ROW()=$AX$3,ROW()=$AY$3,ROW()=$AZ$3,ROW()=$BA$3,ROW()=$BB$3,ROW()=$BC$3,ROW()=$BD$3,ROW()=$BE$3,ROW()=$BF$3),"本月合计",IF(ROW()&lt;7,$AQ$6,OFFSET($AQ$6,COUNT($AR$6:AR948),0)))))</f>
        <v/>
      </c>
    </row>
    <row r="950" spans="1:44">
      <c r="A950" s="469" t="str">
        <f ca="1">IFERROR(INDEX(凭证录入!A:A,$AR950),"")</f>
        <v/>
      </c>
      <c r="B950" s="469" t="str">
        <f ca="1">IFERROR(INDEX(凭证录入!B:B,$AR950),"")</f>
        <v/>
      </c>
      <c r="C950" s="470" t="str">
        <f ca="1">IFERROR(INDEX(凭证录入!G:G,$AR950),"")</f>
        <v/>
      </c>
      <c r="D950" s="471" t="str">
        <f ca="1">IFERROR(INDEX(凭证录入!F:F,$AR950),"")</f>
        <v/>
      </c>
      <c r="E950" s="472" t="str">
        <f ca="1">IFERROR(INDEX(凭证录入!H:H,$AR950),$AR950)</f>
        <v/>
      </c>
      <c r="F950" s="473">
        <f ca="1">IF(OR($BG$2=0,$AR950=""),,IF($AR950="本月合计",IF(ROW()=$BG$3,SUM($F$6:$F949),SUM(INDIRECT("$F$"&amp;OFFSET($AU$3,,MATCH(ROW(),$AU$3:$BF$3,)-2)+2&amp;":$E"&amp;ROW()-1))),IF($AR950="本年累计",SUMIF($AR$6:$AR950,"本月合计",$F$6:$F949),INDEX(凭证录入!K:K,$AR950))))</f>
        <v>0</v>
      </c>
      <c r="G950" s="459" t="str">
        <f t="shared" ref="G950:Q965" ca="1" si="209">LEFT(RIGHT(TEXT($F950/1%," ￥0; ￥-0;"),18-COLUMN()))</f>
        <v/>
      </c>
      <c r="H950" s="460" t="str">
        <f t="shared" ca="1" si="209"/>
        <v/>
      </c>
      <c r="I950" s="460" t="str">
        <f t="shared" ca="1" si="209"/>
        <v/>
      </c>
      <c r="J950" s="460" t="str">
        <f t="shared" ca="1" si="209"/>
        <v/>
      </c>
      <c r="K950" s="460" t="str">
        <f t="shared" ca="1" si="209"/>
        <v/>
      </c>
      <c r="L950" s="460" t="str">
        <f t="shared" ca="1" si="209"/>
        <v/>
      </c>
      <c r="M950" s="460" t="str">
        <f t="shared" ca="1" si="209"/>
        <v/>
      </c>
      <c r="N950" s="460" t="str">
        <f t="shared" ca="1" si="209"/>
        <v/>
      </c>
      <c r="O950" s="461" t="str">
        <f t="shared" ca="1" si="209"/>
        <v/>
      </c>
      <c r="P950" s="474" t="str">
        <f t="shared" ca="1" si="209"/>
        <v/>
      </c>
      <c r="Q950" s="475" t="str">
        <f t="shared" ca="1" si="209"/>
        <v/>
      </c>
      <c r="R950" s="476">
        <f ca="1">IF(OR($BG$2=0,$AR950=""),,IF($AR950="本月合计",IF(ROW()=$BG$3,SUM($R$6:$R949),SUM(INDIRECT("$R$"&amp;OFFSET($AU$3,,MATCH(ROW(),$AU$3:$BF$3,)-2)+2&amp;":$R"&amp;ROW()-1))),IF($AR950="本年累计",SUMIF($AR$6:$AR950,"本月合计",$R$6:$R949),INDEX(凭证录入!L:L,$AR950))))</f>
        <v>0</v>
      </c>
      <c r="S950" s="459" t="str">
        <f t="shared" ref="S950:AC965" ca="1" si="210">LEFT(RIGHT(TEXT($R950/1%," ￥0; ￥-0;"),30-COLUMN()))</f>
        <v/>
      </c>
      <c r="T950" s="460" t="str">
        <f t="shared" ca="1" si="210"/>
        <v/>
      </c>
      <c r="U950" s="460" t="str">
        <f t="shared" ca="1" si="210"/>
        <v/>
      </c>
      <c r="V950" s="460" t="str">
        <f t="shared" ca="1" si="210"/>
        <v/>
      </c>
      <c r="W950" s="460" t="str">
        <f t="shared" ca="1" si="210"/>
        <v/>
      </c>
      <c r="X950" s="460" t="str">
        <f t="shared" ca="1" si="210"/>
        <v/>
      </c>
      <c r="Y950" s="460" t="str">
        <f t="shared" ca="1" si="210"/>
        <v/>
      </c>
      <c r="Z950" s="460" t="str">
        <f t="shared" ca="1" si="210"/>
        <v/>
      </c>
      <c r="AA950" s="461" t="str">
        <f t="shared" ca="1" si="210"/>
        <v/>
      </c>
      <c r="AB950" s="474" t="str">
        <f t="shared" ca="1" si="210"/>
        <v/>
      </c>
      <c r="AC950" s="475" t="str">
        <f t="shared" ca="1" si="210"/>
        <v/>
      </c>
      <c r="AD950" s="477" t="str">
        <f t="shared" ca="1" si="200"/>
        <v/>
      </c>
      <c r="AE950" s="478">
        <f t="shared" ca="1" si="201"/>
        <v>0</v>
      </c>
      <c r="AF950" s="459" t="str">
        <f t="shared" ca="1" si="208"/>
        <v/>
      </c>
      <c r="AG950" s="460" t="str">
        <f t="shared" ca="1" si="208"/>
        <v/>
      </c>
      <c r="AH950" s="460" t="str">
        <f t="shared" ca="1" si="208"/>
        <v/>
      </c>
      <c r="AI950" s="460" t="str">
        <f t="shared" ca="1" si="208"/>
        <v/>
      </c>
      <c r="AJ950" s="460" t="str">
        <f t="shared" ca="1" si="208"/>
        <v/>
      </c>
      <c r="AK950" s="460" t="str">
        <f t="shared" ca="1" si="208"/>
        <v/>
      </c>
      <c r="AL950" s="460" t="str">
        <f t="shared" ca="1" si="208"/>
        <v/>
      </c>
      <c r="AM950" s="460" t="str">
        <f t="shared" ca="1" si="208"/>
        <v/>
      </c>
      <c r="AN950" s="461" t="str">
        <f t="shared" ca="1" si="208"/>
        <v/>
      </c>
      <c r="AO950" s="474" t="str">
        <f t="shared" ca="1" si="208"/>
        <v/>
      </c>
      <c r="AP950" s="475" t="str">
        <f t="shared" ca="1" si="208"/>
        <v/>
      </c>
      <c r="AQ950" s="479" t="str">
        <f t="array" aca="1" ref="AQ950" ca="1">IF(ROW()-5&lt;=COUNTIF(科目编号,$AR$2),SMALL(IF(科目编号=$AR$2,ROW(科目编号),""),ROW()-5),"")</f>
        <v/>
      </c>
      <c r="AR950" s="480" t="str">
        <f ca="1">IF($BG$2=0,"",IF(AR949="本月合计","本年累计",IF(OR(ROW()=$AU$3,ROW()=$AV$3,ROW()=$AW$3,ROW()=$AX$3,ROW()=$AY$3,ROW()=$AZ$3,ROW()=$BA$3,ROW()=$BB$3,ROW()=$BC$3,ROW()=$BD$3,ROW()=$BE$3,ROW()=$BF$3),"本月合计",IF(ROW()&lt;7,$AQ$6,OFFSET($AQ$6,COUNT($AR$6:AR949),0)))))</f>
        <v/>
      </c>
    </row>
    <row r="951" spans="1:44">
      <c r="A951" s="469" t="str">
        <f ca="1">IFERROR(INDEX(凭证录入!A:A,$AR951),"")</f>
        <v/>
      </c>
      <c r="B951" s="469" t="str">
        <f ca="1">IFERROR(INDEX(凭证录入!B:B,$AR951),"")</f>
        <v/>
      </c>
      <c r="C951" s="470" t="str">
        <f ca="1">IFERROR(INDEX(凭证录入!G:G,$AR951),"")</f>
        <v/>
      </c>
      <c r="D951" s="471" t="str">
        <f ca="1">IFERROR(INDEX(凭证录入!F:F,$AR951),"")</f>
        <v/>
      </c>
      <c r="E951" s="472" t="str">
        <f ca="1">IFERROR(INDEX(凭证录入!H:H,$AR951),$AR951)</f>
        <v/>
      </c>
      <c r="F951" s="473">
        <f ca="1">IF(OR($BG$2=0,$AR951=""),,IF($AR951="本月合计",IF(ROW()=$BG$3,SUM($F$6:$F950),SUM(INDIRECT("$F$"&amp;OFFSET($AU$3,,MATCH(ROW(),$AU$3:$BF$3,)-2)+2&amp;":$E"&amp;ROW()-1))),IF($AR951="本年累计",SUMIF($AR$6:$AR951,"本月合计",$F$6:$F950),INDEX(凭证录入!K:K,$AR951))))</f>
        <v>0</v>
      </c>
      <c r="G951" s="459" t="str">
        <f t="shared" ca="1" si="209"/>
        <v/>
      </c>
      <c r="H951" s="460" t="str">
        <f t="shared" ca="1" si="209"/>
        <v/>
      </c>
      <c r="I951" s="460" t="str">
        <f t="shared" ca="1" si="209"/>
        <v/>
      </c>
      <c r="J951" s="460" t="str">
        <f t="shared" ca="1" si="209"/>
        <v/>
      </c>
      <c r="K951" s="460" t="str">
        <f t="shared" ca="1" si="209"/>
        <v/>
      </c>
      <c r="L951" s="460" t="str">
        <f t="shared" ca="1" si="209"/>
        <v/>
      </c>
      <c r="M951" s="460" t="str">
        <f t="shared" ca="1" si="209"/>
        <v/>
      </c>
      <c r="N951" s="460" t="str">
        <f t="shared" ca="1" si="209"/>
        <v/>
      </c>
      <c r="O951" s="461" t="str">
        <f t="shared" ca="1" si="209"/>
        <v/>
      </c>
      <c r="P951" s="474" t="str">
        <f t="shared" ca="1" si="209"/>
        <v/>
      </c>
      <c r="Q951" s="475" t="str">
        <f t="shared" ca="1" si="209"/>
        <v/>
      </c>
      <c r="R951" s="476">
        <f ca="1">IF(OR($BG$2=0,$AR951=""),,IF($AR951="本月合计",IF(ROW()=$BG$3,SUM($R$6:$R950),SUM(INDIRECT("$R$"&amp;OFFSET($AU$3,,MATCH(ROW(),$AU$3:$BF$3,)-2)+2&amp;":$R"&amp;ROW()-1))),IF($AR951="本年累计",SUMIF($AR$6:$AR951,"本月合计",$R$6:$R950),INDEX(凭证录入!L:L,$AR951))))</f>
        <v>0</v>
      </c>
      <c r="S951" s="459" t="str">
        <f t="shared" ca="1" si="210"/>
        <v/>
      </c>
      <c r="T951" s="460" t="str">
        <f t="shared" ca="1" si="210"/>
        <v/>
      </c>
      <c r="U951" s="460" t="str">
        <f t="shared" ca="1" si="210"/>
        <v/>
      </c>
      <c r="V951" s="460" t="str">
        <f t="shared" ca="1" si="210"/>
        <v/>
      </c>
      <c r="W951" s="460" t="str">
        <f t="shared" ca="1" si="210"/>
        <v/>
      </c>
      <c r="X951" s="460" t="str">
        <f t="shared" ca="1" si="210"/>
        <v/>
      </c>
      <c r="Y951" s="460" t="str">
        <f t="shared" ca="1" si="210"/>
        <v/>
      </c>
      <c r="Z951" s="460" t="str">
        <f t="shared" ca="1" si="210"/>
        <v/>
      </c>
      <c r="AA951" s="461" t="str">
        <f t="shared" ca="1" si="210"/>
        <v/>
      </c>
      <c r="AB951" s="474" t="str">
        <f t="shared" ca="1" si="210"/>
        <v/>
      </c>
      <c r="AC951" s="475" t="str">
        <f t="shared" ca="1" si="210"/>
        <v/>
      </c>
      <c r="AD951" s="477" t="str">
        <f t="shared" ca="1" si="200"/>
        <v/>
      </c>
      <c r="AE951" s="478">
        <f t="shared" ca="1" si="201"/>
        <v>0</v>
      </c>
      <c r="AF951" s="459" t="str">
        <f t="shared" ca="1" si="208"/>
        <v/>
      </c>
      <c r="AG951" s="460" t="str">
        <f t="shared" ca="1" si="208"/>
        <v/>
      </c>
      <c r="AH951" s="460" t="str">
        <f t="shared" ca="1" si="208"/>
        <v/>
      </c>
      <c r="AI951" s="460" t="str">
        <f t="shared" ca="1" si="208"/>
        <v/>
      </c>
      <c r="AJ951" s="460" t="str">
        <f t="shared" ca="1" si="208"/>
        <v/>
      </c>
      <c r="AK951" s="460" t="str">
        <f t="shared" ca="1" si="208"/>
        <v/>
      </c>
      <c r="AL951" s="460" t="str">
        <f t="shared" ca="1" si="208"/>
        <v/>
      </c>
      <c r="AM951" s="460" t="str">
        <f t="shared" ca="1" si="208"/>
        <v/>
      </c>
      <c r="AN951" s="461" t="str">
        <f t="shared" ca="1" si="208"/>
        <v/>
      </c>
      <c r="AO951" s="474" t="str">
        <f t="shared" ca="1" si="208"/>
        <v/>
      </c>
      <c r="AP951" s="475" t="str">
        <f t="shared" ca="1" si="208"/>
        <v/>
      </c>
      <c r="AQ951" s="479" t="str">
        <f t="array" aca="1" ref="AQ951" ca="1">IF(ROW()-5&lt;=COUNTIF(科目编号,$AR$2),SMALL(IF(科目编号=$AR$2,ROW(科目编号),""),ROW()-5),"")</f>
        <v/>
      </c>
      <c r="AR951" s="480" t="str">
        <f ca="1">IF($BG$2=0,"",IF(AR950="本月合计","本年累计",IF(OR(ROW()=$AU$3,ROW()=$AV$3,ROW()=$AW$3,ROW()=$AX$3,ROW()=$AY$3,ROW()=$AZ$3,ROW()=$BA$3,ROW()=$BB$3,ROW()=$BC$3,ROW()=$BD$3,ROW()=$BE$3,ROW()=$BF$3),"本月合计",IF(ROW()&lt;7,$AQ$6,OFFSET($AQ$6,COUNT($AR$6:AR950),0)))))</f>
        <v/>
      </c>
    </row>
    <row r="952" spans="1:44">
      <c r="A952" s="469" t="str">
        <f ca="1">IFERROR(INDEX(凭证录入!A:A,$AR952),"")</f>
        <v/>
      </c>
      <c r="B952" s="469" t="str">
        <f ca="1">IFERROR(INDEX(凭证录入!B:B,$AR952),"")</f>
        <v/>
      </c>
      <c r="C952" s="470" t="str">
        <f ca="1">IFERROR(INDEX(凭证录入!G:G,$AR952),"")</f>
        <v/>
      </c>
      <c r="D952" s="471" t="str">
        <f ca="1">IFERROR(INDEX(凭证录入!F:F,$AR952),"")</f>
        <v/>
      </c>
      <c r="E952" s="472" t="str">
        <f ca="1">IFERROR(INDEX(凭证录入!H:H,$AR952),$AR952)</f>
        <v/>
      </c>
      <c r="F952" s="473">
        <f ca="1">IF(OR($BG$2=0,$AR952=""),,IF($AR952="本月合计",IF(ROW()=$BG$3,SUM($F$6:$F951),SUM(INDIRECT("$F$"&amp;OFFSET($AU$3,,MATCH(ROW(),$AU$3:$BF$3,)-2)+2&amp;":$E"&amp;ROW()-1))),IF($AR952="本年累计",SUMIF($AR$6:$AR952,"本月合计",$F$6:$F951),INDEX(凭证录入!K:K,$AR952))))</f>
        <v>0</v>
      </c>
      <c r="G952" s="459" t="str">
        <f t="shared" ca="1" si="209"/>
        <v/>
      </c>
      <c r="H952" s="460" t="str">
        <f t="shared" ca="1" si="209"/>
        <v/>
      </c>
      <c r="I952" s="460" t="str">
        <f t="shared" ca="1" si="209"/>
        <v/>
      </c>
      <c r="J952" s="460" t="str">
        <f t="shared" ca="1" si="209"/>
        <v/>
      </c>
      <c r="K952" s="460" t="str">
        <f t="shared" ca="1" si="209"/>
        <v/>
      </c>
      <c r="L952" s="460" t="str">
        <f t="shared" ca="1" si="209"/>
        <v/>
      </c>
      <c r="M952" s="460" t="str">
        <f t="shared" ca="1" si="209"/>
        <v/>
      </c>
      <c r="N952" s="460" t="str">
        <f t="shared" ca="1" si="209"/>
        <v/>
      </c>
      <c r="O952" s="461" t="str">
        <f t="shared" ca="1" si="209"/>
        <v/>
      </c>
      <c r="P952" s="474" t="str">
        <f t="shared" ca="1" si="209"/>
        <v/>
      </c>
      <c r="Q952" s="475" t="str">
        <f t="shared" ca="1" si="209"/>
        <v/>
      </c>
      <c r="R952" s="476">
        <f ca="1">IF(OR($BG$2=0,$AR952=""),,IF($AR952="本月合计",IF(ROW()=$BG$3,SUM($R$6:$R951),SUM(INDIRECT("$R$"&amp;OFFSET($AU$3,,MATCH(ROW(),$AU$3:$BF$3,)-2)+2&amp;":$R"&amp;ROW()-1))),IF($AR952="本年累计",SUMIF($AR$6:$AR952,"本月合计",$R$6:$R951),INDEX(凭证录入!L:L,$AR952))))</f>
        <v>0</v>
      </c>
      <c r="S952" s="459" t="str">
        <f t="shared" ca="1" si="210"/>
        <v/>
      </c>
      <c r="T952" s="460" t="str">
        <f t="shared" ca="1" si="210"/>
        <v/>
      </c>
      <c r="U952" s="460" t="str">
        <f t="shared" ca="1" si="210"/>
        <v/>
      </c>
      <c r="V952" s="460" t="str">
        <f t="shared" ca="1" si="210"/>
        <v/>
      </c>
      <c r="W952" s="460" t="str">
        <f t="shared" ca="1" si="210"/>
        <v/>
      </c>
      <c r="X952" s="460" t="str">
        <f t="shared" ca="1" si="210"/>
        <v/>
      </c>
      <c r="Y952" s="460" t="str">
        <f t="shared" ca="1" si="210"/>
        <v/>
      </c>
      <c r="Z952" s="460" t="str">
        <f t="shared" ca="1" si="210"/>
        <v/>
      </c>
      <c r="AA952" s="461" t="str">
        <f t="shared" ca="1" si="210"/>
        <v/>
      </c>
      <c r="AB952" s="474" t="str">
        <f t="shared" ca="1" si="210"/>
        <v/>
      </c>
      <c r="AC952" s="475" t="str">
        <f t="shared" ca="1" si="210"/>
        <v/>
      </c>
      <c r="AD952" s="477" t="str">
        <f t="shared" ca="1" si="200"/>
        <v/>
      </c>
      <c r="AE952" s="478">
        <f t="shared" ca="1" si="201"/>
        <v>0</v>
      </c>
      <c r="AF952" s="459" t="str">
        <f t="shared" ca="1" si="208"/>
        <v/>
      </c>
      <c r="AG952" s="460" t="str">
        <f t="shared" ca="1" si="208"/>
        <v/>
      </c>
      <c r="AH952" s="460" t="str">
        <f t="shared" ca="1" si="208"/>
        <v/>
      </c>
      <c r="AI952" s="460" t="str">
        <f t="shared" ca="1" si="208"/>
        <v/>
      </c>
      <c r="AJ952" s="460" t="str">
        <f t="shared" ca="1" si="208"/>
        <v/>
      </c>
      <c r="AK952" s="460" t="str">
        <f t="shared" ca="1" si="208"/>
        <v/>
      </c>
      <c r="AL952" s="460" t="str">
        <f t="shared" ca="1" si="208"/>
        <v/>
      </c>
      <c r="AM952" s="460" t="str">
        <f t="shared" ca="1" si="208"/>
        <v/>
      </c>
      <c r="AN952" s="461" t="str">
        <f t="shared" ca="1" si="208"/>
        <v/>
      </c>
      <c r="AO952" s="474" t="str">
        <f t="shared" ca="1" si="208"/>
        <v/>
      </c>
      <c r="AP952" s="475" t="str">
        <f t="shared" ca="1" si="208"/>
        <v/>
      </c>
      <c r="AQ952" s="479" t="str">
        <f t="array" aca="1" ref="AQ952" ca="1">IF(ROW()-5&lt;=COUNTIF(科目编号,$AR$2),SMALL(IF(科目编号=$AR$2,ROW(科目编号),""),ROW()-5),"")</f>
        <v/>
      </c>
      <c r="AR952" s="480" t="str">
        <f ca="1">IF($BG$2=0,"",IF(AR951="本月合计","本年累计",IF(OR(ROW()=$AU$3,ROW()=$AV$3,ROW()=$AW$3,ROW()=$AX$3,ROW()=$AY$3,ROW()=$AZ$3,ROW()=$BA$3,ROW()=$BB$3,ROW()=$BC$3,ROW()=$BD$3,ROW()=$BE$3,ROW()=$BF$3),"本月合计",IF(ROW()&lt;7,$AQ$6,OFFSET($AQ$6,COUNT($AR$6:AR951),0)))))</f>
        <v/>
      </c>
    </row>
    <row r="953" spans="1:44">
      <c r="A953" s="469" t="str">
        <f ca="1">IFERROR(INDEX(凭证录入!A:A,$AR953),"")</f>
        <v/>
      </c>
      <c r="B953" s="469" t="str">
        <f ca="1">IFERROR(INDEX(凭证录入!B:B,$AR953),"")</f>
        <v/>
      </c>
      <c r="C953" s="470" t="str">
        <f ca="1">IFERROR(INDEX(凭证录入!G:G,$AR953),"")</f>
        <v/>
      </c>
      <c r="D953" s="471" t="str">
        <f ca="1">IFERROR(INDEX(凭证录入!F:F,$AR953),"")</f>
        <v/>
      </c>
      <c r="E953" s="472" t="str">
        <f ca="1">IFERROR(INDEX(凭证录入!H:H,$AR953),$AR953)</f>
        <v/>
      </c>
      <c r="F953" s="473">
        <f ca="1">IF(OR($BG$2=0,$AR953=""),,IF($AR953="本月合计",IF(ROW()=$BG$3,SUM($F$6:$F952),SUM(INDIRECT("$F$"&amp;OFFSET($AU$3,,MATCH(ROW(),$AU$3:$BF$3,)-2)+2&amp;":$E"&amp;ROW()-1))),IF($AR953="本年累计",SUMIF($AR$6:$AR953,"本月合计",$F$6:$F952),INDEX(凭证录入!K:K,$AR953))))</f>
        <v>0</v>
      </c>
      <c r="G953" s="459" t="str">
        <f t="shared" ca="1" si="209"/>
        <v/>
      </c>
      <c r="H953" s="460" t="str">
        <f t="shared" ca="1" si="209"/>
        <v/>
      </c>
      <c r="I953" s="460" t="str">
        <f t="shared" ca="1" si="209"/>
        <v/>
      </c>
      <c r="J953" s="460" t="str">
        <f t="shared" ca="1" si="209"/>
        <v/>
      </c>
      <c r="K953" s="460" t="str">
        <f t="shared" ca="1" si="209"/>
        <v/>
      </c>
      <c r="L953" s="460" t="str">
        <f t="shared" ca="1" si="209"/>
        <v/>
      </c>
      <c r="M953" s="460" t="str">
        <f t="shared" ca="1" si="209"/>
        <v/>
      </c>
      <c r="N953" s="460" t="str">
        <f t="shared" ca="1" si="209"/>
        <v/>
      </c>
      <c r="O953" s="461" t="str">
        <f t="shared" ca="1" si="209"/>
        <v/>
      </c>
      <c r="P953" s="474" t="str">
        <f t="shared" ca="1" si="209"/>
        <v/>
      </c>
      <c r="Q953" s="475" t="str">
        <f t="shared" ca="1" si="209"/>
        <v/>
      </c>
      <c r="R953" s="476">
        <f ca="1">IF(OR($BG$2=0,$AR953=""),,IF($AR953="本月合计",IF(ROW()=$BG$3,SUM($R$6:$R952),SUM(INDIRECT("$R$"&amp;OFFSET($AU$3,,MATCH(ROW(),$AU$3:$BF$3,)-2)+2&amp;":$R"&amp;ROW()-1))),IF($AR953="本年累计",SUMIF($AR$6:$AR953,"本月合计",$R$6:$R952),INDEX(凭证录入!L:L,$AR953))))</f>
        <v>0</v>
      </c>
      <c r="S953" s="459" t="str">
        <f t="shared" ca="1" si="210"/>
        <v/>
      </c>
      <c r="T953" s="460" t="str">
        <f t="shared" ca="1" si="210"/>
        <v/>
      </c>
      <c r="U953" s="460" t="str">
        <f t="shared" ca="1" si="210"/>
        <v/>
      </c>
      <c r="V953" s="460" t="str">
        <f t="shared" ca="1" si="210"/>
        <v/>
      </c>
      <c r="W953" s="460" t="str">
        <f t="shared" ca="1" si="210"/>
        <v/>
      </c>
      <c r="X953" s="460" t="str">
        <f t="shared" ca="1" si="210"/>
        <v/>
      </c>
      <c r="Y953" s="460" t="str">
        <f t="shared" ca="1" si="210"/>
        <v/>
      </c>
      <c r="Z953" s="460" t="str">
        <f t="shared" ca="1" si="210"/>
        <v/>
      </c>
      <c r="AA953" s="461" t="str">
        <f t="shared" ca="1" si="210"/>
        <v/>
      </c>
      <c r="AB953" s="474" t="str">
        <f t="shared" ca="1" si="210"/>
        <v/>
      </c>
      <c r="AC953" s="475" t="str">
        <f t="shared" ca="1" si="210"/>
        <v/>
      </c>
      <c r="AD953" s="477" t="str">
        <f t="shared" ca="1" si="200"/>
        <v/>
      </c>
      <c r="AE953" s="478">
        <f t="shared" ca="1" si="201"/>
        <v>0</v>
      </c>
      <c r="AF953" s="459" t="str">
        <f t="shared" ca="1" si="208"/>
        <v/>
      </c>
      <c r="AG953" s="460" t="str">
        <f t="shared" ca="1" si="208"/>
        <v/>
      </c>
      <c r="AH953" s="460" t="str">
        <f t="shared" ca="1" si="208"/>
        <v/>
      </c>
      <c r="AI953" s="460" t="str">
        <f t="shared" ca="1" si="208"/>
        <v/>
      </c>
      <c r="AJ953" s="460" t="str">
        <f t="shared" ca="1" si="208"/>
        <v/>
      </c>
      <c r="AK953" s="460" t="str">
        <f t="shared" ca="1" si="208"/>
        <v/>
      </c>
      <c r="AL953" s="460" t="str">
        <f t="shared" ca="1" si="208"/>
        <v/>
      </c>
      <c r="AM953" s="460" t="str">
        <f t="shared" ca="1" si="208"/>
        <v/>
      </c>
      <c r="AN953" s="461" t="str">
        <f t="shared" ca="1" si="208"/>
        <v/>
      </c>
      <c r="AO953" s="474" t="str">
        <f t="shared" ca="1" si="208"/>
        <v/>
      </c>
      <c r="AP953" s="475" t="str">
        <f t="shared" ca="1" si="208"/>
        <v/>
      </c>
      <c r="AQ953" s="479" t="str">
        <f t="array" aca="1" ref="AQ953" ca="1">IF(ROW()-5&lt;=COUNTIF(科目编号,$AR$2),SMALL(IF(科目编号=$AR$2,ROW(科目编号),""),ROW()-5),"")</f>
        <v/>
      </c>
      <c r="AR953" s="480" t="str">
        <f ca="1">IF($BG$2=0,"",IF(AR952="本月合计","本年累计",IF(OR(ROW()=$AU$3,ROW()=$AV$3,ROW()=$AW$3,ROW()=$AX$3,ROW()=$AY$3,ROW()=$AZ$3,ROW()=$BA$3,ROW()=$BB$3,ROW()=$BC$3,ROW()=$BD$3,ROW()=$BE$3,ROW()=$BF$3),"本月合计",IF(ROW()&lt;7,$AQ$6,OFFSET($AQ$6,COUNT($AR$6:AR952),0)))))</f>
        <v/>
      </c>
    </row>
    <row r="954" spans="1:44">
      <c r="A954" s="469" t="str">
        <f ca="1">IFERROR(INDEX(凭证录入!A:A,$AR954),"")</f>
        <v/>
      </c>
      <c r="B954" s="469" t="str">
        <f ca="1">IFERROR(INDEX(凭证录入!B:B,$AR954),"")</f>
        <v/>
      </c>
      <c r="C954" s="470" t="str">
        <f ca="1">IFERROR(INDEX(凭证录入!G:G,$AR954),"")</f>
        <v/>
      </c>
      <c r="D954" s="471" t="str">
        <f ca="1">IFERROR(INDEX(凭证录入!F:F,$AR954),"")</f>
        <v/>
      </c>
      <c r="E954" s="472" t="str">
        <f ca="1">IFERROR(INDEX(凭证录入!H:H,$AR954),$AR954)</f>
        <v/>
      </c>
      <c r="F954" s="473">
        <f ca="1">IF(OR($BG$2=0,$AR954=""),,IF($AR954="本月合计",IF(ROW()=$BG$3,SUM($F$6:$F953),SUM(INDIRECT("$F$"&amp;OFFSET($AU$3,,MATCH(ROW(),$AU$3:$BF$3,)-2)+2&amp;":$E"&amp;ROW()-1))),IF($AR954="本年累计",SUMIF($AR$6:$AR954,"本月合计",$F$6:$F953),INDEX(凭证录入!K:K,$AR954))))</f>
        <v>0</v>
      </c>
      <c r="G954" s="459" t="str">
        <f t="shared" ca="1" si="209"/>
        <v/>
      </c>
      <c r="H954" s="460" t="str">
        <f t="shared" ca="1" si="209"/>
        <v/>
      </c>
      <c r="I954" s="460" t="str">
        <f t="shared" ca="1" si="209"/>
        <v/>
      </c>
      <c r="J954" s="460" t="str">
        <f t="shared" ca="1" si="209"/>
        <v/>
      </c>
      <c r="K954" s="460" t="str">
        <f t="shared" ca="1" si="209"/>
        <v/>
      </c>
      <c r="L954" s="460" t="str">
        <f t="shared" ca="1" si="209"/>
        <v/>
      </c>
      <c r="M954" s="460" t="str">
        <f t="shared" ca="1" si="209"/>
        <v/>
      </c>
      <c r="N954" s="460" t="str">
        <f t="shared" ca="1" si="209"/>
        <v/>
      </c>
      <c r="O954" s="461" t="str">
        <f t="shared" ca="1" si="209"/>
        <v/>
      </c>
      <c r="P954" s="474" t="str">
        <f t="shared" ca="1" si="209"/>
        <v/>
      </c>
      <c r="Q954" s="475" t="str">
        <f t="shared" ca="1" si="209"/>
        <v/>
      </c>
      <c r="R954" s="476">
        <f ca="1">IF(OR($BG$2=0,$AR954=""),,IF($AR954="本月合计",IF(ROW()=$BG$3,SUM($R$6:$R953),SUM(INDIRECT("$R$"&amp;OFFSET($AU$3,,MATCH(ROW(),$AU$3:$BF$3,)-2)+2&amp;":$R"&amp;ROW()-1))),IF($AR954="本年累计",SUMIF($AR$6:$AR954,"本月合计",$R$6:$R953),INDEX(凭证录入!L:L,$AR954))))</f>
        <v>0</v>
      </c>
      <c r="S954" s="459" t="str">
        <f t="shared" ca="1" si="210"/>
        <v/>
      </c>
      <c r="T954" s="460" t="str">
        <f t="shared" ca="1" si="210"/>
        <v/>
      </c>
      <c r="U954" s="460" t="str">
        <f t="shared" ca="1" si="210"/>
        <v/>
      </c>
      <c r="V954" s="460" t="str">
        <f t="shared" ca="1" si="210"/>
        <v/>
      </c>
      <c r="W954" s="460" t="str">
        <f t="shared" ca="1" si="210"/>
        <v/>
      </c>
      <c r="X954" s="460" t="str">
        <f t="shared" ca="1" si="210"/>
        <v/>
      </c>
      <c r="Y954" s="460" t="str">
        <f t="shared" ca="1" si="210"/>
        <v/>
      </c>
      <c r="Z954" s="460" t="str">
        <f t="shared" ca="1" si="210"/>
        <v/>
      </c>
      <c r="AA954" s="461" t="str">
        <f t="shared" ca="1" si="210"/>
        <v/>
      </c>
      <c r="AB954" s="474" t="str">
        <f t="shared" ca="1" si="210"/>
        <v/>
      </c>
      <c r="AC954" s="475" t="str">
        <f t="shared" ca="1" si="210"/>
        <v/>
      </c>
      <c r="AD954" s="477" t="str">
        <f t="shared" ca="1" si="200"/>
        <v/>
      </c>
      <c r="AE954" s="478">
        <f t="shared" ca="1" si="201"/>
        <v>0</v>
      </c>
      <c r="AF954" s="459" t="str">
        <f t="shared" ca="1" si="208"/>
        <v/>
      </c>
      <c r="AG954" s="460" t="str">
        <f t="shared" ca="1" si="208"/>
        <v/>
      </c>
      <c r="AH954" s="460" t="str">
        <f t="shared" ca="1" si="208"/>
        <v/>
      </c>
      <c r="AI954" s="460" t="str">
        <f t="shared" ca="1" si="208"/>
        <v/>
      </c>
      <c r="AJ954" s="460" t="str">
        <f t="shared" ca="1" si="208"/>
        <v/>
      </c>
      <c r="AK954" s="460" t="str">
        <f t="shared" ca="1" si="208"/>
        <v/>
      </c>
      <c r="AL954" s="460" t="str">
        <f t="shared" ca="1" si="208"/>
        <v/>
      </c>
      <c r="AM954" s="460" t="str">
        <f t="shared" ca="1" si="208"/>
        <v/>
      </c>
      <c r="AN954" s="461" t="str">
        <f t="shared" ca="1" si="208"/>
        <v/>
      </c>
      <c r="AO954" s="474" t="str">
        <f t="shared" ca="1" si="208"/>
        <v/>
      </c>
      <c r="AP954" s="475" t="str">
        <f t="shared" ca="1" si="208"/>
        <v/>
      </c>
      <c r="AQ954" s="479" t="str">
        <f t="array" aca="1" ref="AQ954" ca="1">IF(ROW()-5&lt;=COUNTIF(科目编号,$AR$2),SMALL(IF(科目编号=$AR$2,ROW(科目编号),""),ROW()-5),"")</f>
        <v/>
      </c>
      <c r="AR954" s="480" t="str">
        <f ca="1">IF($BG$2=0,"",IF(AR953="本月合计","本年累计",IF(OR(ROW()=$AU$3,ROW()=$AV$3,ROW()=$AW$3,ROW()=$AX$3,ROW()=$AY$3,ROW()=$AZ$3,ROW()=$BA$3,ROW()=$BB$3,ROW()=$BC$3,ROW()=$BD$3,ROW()=$BE$3,ROW()=$BF$3),"本月合计",IF(ROW()&lt;7,$AQ$6,OFFSET($AQ$6,COUNT($AR$6:AR953),0)))))</f>
        <v/>
      </c>
    </row>
    <row r="955" spans="1:44">
      <c r="A955" s="469" t="str">
        <f ca="1">IFERROR(INDEX(凭证录入!A:A,$AR955),"")</f>
        <v/>
      </c>
      <c r="B955" s="469" t="str">
        <f ca="1">IFERROR(INDEX(凭证录入!B:B,$AR955),"")</f>
        <v/>
      </c>
      <c r="C955" s="470" t="str">
        <f ca="1">IFERROR(INDEX(凭证录入!G:G,$AR955),"")</f>
        <v/>
      </c>
      <c r="D955" s="471" t="str">
        <f ca="1">IFERROR(INDEX(凭证录入!F:F,$AR955),"")</f>
        <v/>
      </c>
      <c r="E955" s="472" t="str">
        <f ca="1">IFERROR(INDEX(凭证录入!H:H,$AR955),$AR955)</f>
        <v/>
      </c>
      <c r="F955" s="473">
        <f ca="1">IF(OR($BG$2=0,$AR955=""),,IF($AR955="本月合计",IF(ROW()=$BG$3,SUM($F$6:$F954),SUM(INDIRECT("$F$"&amp;OFFSET($AU$3,,MATCH(ROW(),$AU$3:$BF$3,)-2)+2&amp;":$E"&amp;ROW()-1))),IF($AR955="本年累计",SUMIF($AR$6:$AR955,"本月合计",$F$6:$F954),INDEX(凭证录入!K:K,$AR955))))</f>
        <v>0</v>
      </c>
      <c r="G955" s="459" t="str">
        <f t="shared" ca="1" si="209"/>
        <v/>
      </c>
      <c r="H955" s="460" t="str">
        <f t="shared" ca="1" si="209"/>
        <v/>
      </c>
      <c r="I955" s="460" t="str">
        <f t="shared" ca="1" si="209"/>
        <v/>
      </c>
      <c r="J955" s="460" t="str">
        <f t="shared" ca="1" si="209"/>
        <v/>
      </c>
      <c r="K955" s="460" t="str">
        <f t="shared" ca="1" si="209"/>
        <v/>
      </c>
      <c r="L955" s="460" t="str">
        <f t="shared" ca="1" si="209"/>
        <v/>
      </c>
      <c r="M955" s="460" t="str">
        <f t="shared" ca="1" si="209"/>
        <v/>
      </c>
      <c r="N955" s="460" t="str">
        <f t="shared" ca="1" si="209"/>
        <v/>
      </c>
      <c r="O955" s="461" t="str">
        <f t="shared" ca="1" si="209"/>
        <v/>
      </c>
      <c r="P955" s="474" t="str">
        <f t="shared" ca="1" si="209"/>
        <v/>
      </c>
      <c r="Q955" s="475" t="str">
        <f t="shared" ca="1" si="209"/>
        <v/>
      </c>
      <c r="R955" s="476">
        <f ca="1">IF(OR($BG$2=0,$AR955=""),,IF($AR955="本月合计",IF(ROW()=$BG$3,SUM($R$6:$R954),SUM(INDIRECT("$R$"&amp;OFFSET($AU$3,,MATCH(ROW(),$AU$3:$BF$3,)-2)+2&amp;":$R"&amp;ROW()-1))),IF($AR955="本年累计",SUMIF($AR$6:$AR955,"本月合计",$R$6:$R954),INDEX(凭证录入!L:L,$AR955))))</f>
        <v>0</v>
      </c>
      <c r="S955" s="459" t="str">
        <f t="shared" ca="1" si="210"/>
        <v/>
      </c>
      <c r="T955" s="460" t="str">
        <f t="shared" ca="1" si="210"/>
        <v/>
      </c>
      <c r="U955" s="460" t="str">
        <f t="shared" ca="1" si="210"/>
        <v/>
      </c>
      <c r="V955" s="460" t="str">
        <f t="shared" ca="1" si="210"/>
        <v/>
      </c>
      <c r="W955" s="460" t="str">
        <f t="shared" ca="1" si="210"/>
        <v/>
      </c>
      <c r="X955" s="460" t="str">
        <f t="shared" ca="1" si="210"/>
        <v/>
      </c>
      <c r="Y955" s="460" t="str">
        <f t="shared" ca="1" si="210"/>
        <v/>
      </c>
      <c r="Z955" s="460" t="str">
        <f t="shared" ca="1" si="210"/>
        <v/>
      </c>
      <c r="AA955" s="461" t="str">
        <f t="shared" ca="1" si="210"/>
        <v/>
      </c>
      <c r="AB955" s="474" t="str">
        <f t="shared" ca="1" si="210"/>
        <v/>
      </c>
      <c r="AC955" s="475" t="str">
        <f t="shared" ca="1" si="210"/>
        <v/>
      </c>
      <c r="AD955" s="477" t="str">
        <f t="shared" ca="1" si="200"/>
        <v/>
      </c>
      <c r="AE955" s="478">
        <f t="shared" ca="1" si="201"/>
        <v>0</v>
      </c>
      <c r="AF955" s="459" t="str">
        <f t="shared" ca="1" si="208"/>
        <v/>
      </c>
      <c r="AG955" s="460" t="str">
        <f t="shared" ca="1" si="208"/>
        <v/>
      </c>
      <c r="AH955" s="460" t="str">
        <f t="shared" ca="1" si="208"/>
        <v/>
      </c>
      <c r="AI955" s="460" t="str">
        <f t="shared" ca="1" si="208"/>
        <v/>
      </c>
      <c r="AJ955" s="460" t="str">
        <f t="shared" ca="1" si="208"/>
        <v/>
      </c>
      <c r="AK955" s="460" t="str">
        <f t="shared" ca="1" si="208"/>
        <v/>
      </c>
      <c r="AL955" s="460" t="str">
        <f t="shared" ca="1" si="208"/>
        <v/>
      </c>
      <c r="AM955" s="460" t="str">
        <f t="shared" ca="1" si="208"/>
        <v/>
      </c>
      <c r="AN955" s="461" t="str">
        <f t="shared" ca="1" si="208"/>
        <v/>
      </c>
      <c r="AO955" s="474" t="str">
        <f t="shared" ca="1" si="208"/>
        <v/>
      </c>
      <c r="AP955" s="475" t="str">
        <f t="shared" ca="1" si="208"/>
        <v/>
      </c>
      <c r="AQ955" s="479" t="str">
        <f t="array" aca="1" ref="AQ955" ca="1">IF(ROW()-5&lt;=COUNTIF(科目编号,$AR$2),SMALL(IF(科目编号=$AR$2,ROW(科目编号),""),ROW()-5),"")</f>
        <v/>
      </c>
      <c r="AR955" s="480" t="str">
        <f ca="1">IF($BG$2=0,"",IF(AR954="本月合计","本年累计",IF(OR(ROW()=$AU$3,ROW()=$AV$3,ROW()=$AW$3,ROW()=$AX$3,ROW()=$AY$3,ROW()=$AZ$3,ROW()=$BA$3,ROW()=$BB$3,ROW()=$BC$3,ROW()=$BD$3,ROW()=$BE$3,ROW()=$BF$3),"本月合计",IF(ROW()&lt;7,$AQ$6,OFFSET($AQ$6,COUNT($AR$6:AR954),0)))))</f>
        <v/>
      </c>
    </row>
    <row r="956" spans="1:44">
      <c r="A956" s="469" t="str">
        <f ca="1">IFERROR(INDEX(凭证录入!A:A,$AR956),"")</f>
        <v/>
      </c>
      <c r="B956" s="469" t="str">
        <f ca="1">IFERROR(INDEX(凭证录入!B:B,$AR956),"")</f>
        <v/>
      </c>
      <c r="C956" s="470" t="str">
        <f ca="1">IFERROR(INDEX(凭证录入!G:G,$AR956),"")</f>
        <v/>
      </c>
      <c r="D956" s="471" t="str">
        <f ca="1">IFERROR(INDEX(凭证录入!F:F,$AR956),"")</f>
        <v/>
      </c>
      <c r="E956" s="472" t="str">
        <f ca="1">IFERROR(INDEX(凭证录入!H:H,$AR956),$AR956)</f>
        <v/>
      </c>
      <c r="F956" s="473">
        <f ca="1">IF(OR($BG$2=0,$AR956=""),,IF($AR956="本月合计",IF(ROW()=$BG$3,SUM($F$6:$F955),SUM(INDIRECT("$F$"&amp;OFFSET($AU$3,,MATCH(ROW(),$AU$3:$BF$3,)-2)+2&amp;":$E"&amp;ROW()-1))),IF($AR956="本年累计",SUMIF($AR$6:$AR956,"本月合计",$F$6:$F955),INDEX(凭证录入!K:K,$AR956))))</f>
        <v>0</v>
      </c>
      <c r="G956" s="459" t="str">
        <f t="shared" ca="1" si="209"/>
        <v/>
      </c>
      <c r="H956" s="460" t="str">
        <f t="shared" ca="1" si="209"/>
        <v/>
      </c>
      <c r="I956" s="460" t="str">
        <f t="shared" ca="1" si="209"/>
        <v/>
      </c>
      <c r="J956" s="460" t="str">
        <f t="shared" ca="1" si="209"/>
        <v/>
      </c>
      <c r="K956" s="460" t="str">
        <f t="shared" ca="1" si="209"/>
        <v/>
      </c>
      <c r="L956" s="460" t="str">
        <f t="shared" ca="1" si="209"/>
        <v/>
      </c>
      <c r="M956" s="460" t="str">
        <f t="shared" ca="1" si="209"/>
        <v/>
      </c>
      <c r="N956" s="460" t="str">
        <f t="shared" ca="1" si="209"/>
        <v/>
      </c>
      <c r="O956" s="461" t="str">
        <f t="shared" ca="1" si="209"/>
        <v/>
      </c>
      <c r="P956" s="474" t="str">
        <f t="shared" ca="1" si="209"/>
        <v/>
      </c>
      <c r="Q956" s="475" t="str">
        <f t="shared" ca="1" si="209"/>
        <v/>
      </c>
      <c r="R956" s="476">
        <f ca="1">IF(OR($BG$2=0,$AR956=""),,IF($AR956="本月合计",IF(ROW()=$BG$3,SUM($R$6:$R955),SUM(INDIRECT("$R$"&amp;OFFSET($AU$3,,MATCH(ROW(),$AU$3:$BF$3,)-2)+2&amp;":$R"&amp;ROW()-1))),IF($AR956="本年累计",SUMIF($AR$6:$AR956,"本月合计",$R$6:$R955),INDEX(凭证录入!L:L,$AR956))))</f>
        <v>0</v>
      </c>
      <c r="S956" s="459" t="str">
        <f t="shared" ca="1" si="210"/>
        <v/>
      </c>
      <c r="T956" s="460" t="str">
        <f t="shared" ca="1" si="210"/>
        <v/>
      </c>
      <c r="U956" s="460" t="str">
        <f t="shared" ca="1" si="210"/>
        <v/>
      </c>
      <c r="V956" s="460" t="str">
        <f t="shared" ca="1" si="210"/>
        <v/>
      </c>
      <c r="W956" s="460" t="str">
        <f t="shared" ca="1" si="210"/>
        <v/>
      </c>
      <c r="X956" s="460" t="str">
        <f t="shared" ca="1" si="210"/>
        <v/>
      </c>
      <c r="Y956" s="460" t="str">
        <f t="shared" ca="1" si="210"/>
        <v/>
      </c>
      <c r="Z956" s="460" t="str">
        <f t="shared" ca="1" si="210"/>
        <v/>
      </c>
      <c r="AA956" s="461" t="str">
        <f t="shared" ca="1" si="210"/>
        <v/>
      </c>
      <c r="AB956" s="474" t="str">
        <f t="shared" ca="1" si="210"/>
        <v/>
      </c>
      <c r="AC956" s="475" t="str">
        <f t="shared" ca="1" si="210"/>
        <v/>
      </c>
      <c r="AD956" s="477" t="str">
        <f t="shared" ca="1" si="200"/>
        <v/>
      </c>
      <c r="AE956" s="478">
        <f t="shared" ca="1" si="201"/>
        <v>0</v>
      </c>
      <c r="AF956" s="459" t="str">
        <f t="shared" ca="1" si="208"/>
        <v/>
      </c>
      <c r="AG956" s="460" t="str">
        <f t="shared" ca="1" si="208"/>
        <v/>
      </c>
      <c r="AH956" s="460" t="str">
        <f t="shared" ca="1" si="208"/>
        <v/>
      </c>
      <c r="AI956" s="460" t="str">
        <f t="shared" ca="1" si="208"/>
        <v/>
      </c>
      <c r="AJ956" s="460" t="str">
        <f t="shared" ca="1" si="208"/>
        <v/>
      </c>
      <c r="AK956" s="460" t="str">
        <f t="shared" ca="1" si="208"/>
        <v/>
      </c>
      <c r="AL956" s="460" t="str">
        <f t="shared" ca="1" si="208"/>
        <v/>
      </c>
      <c r="AM956" s="460" t="str">
        <f t="shared" ca="1" si="208"/>
        <v/>
      </c>
      <c r="AN956" s="461" t="str">
        <f t="shared" ca="1" si="208"/>
        <v/>
      </c>
      <c r="AO956" s="474" t="str">
        <f t="shared" ca="1" si="208"/>
        <v/>
      </c>
      <c r="AP956" s="475" t="str">
        <f t="shared" ca="1" si="208"/>
        <v/>
      </c>
      <c r="AQ956" s="479" t="str">
        <f t="array" aca="1" ref="AQ956" ca="1">IF(ROW()-5&lt;=COUNTIF(科目编号,$AR$2),SMALL(IF(科目编号=$AR$2,ROW(科目编号),""),ROW()-5),"")</f>
        <v/>
      </c>
      <c r="AR956" s="480" t="str">
        <f ca="1">IF($BG$2=0,"",IF(AR955="本月合计","本年累计",IF(OR(ROW()=$AU$3,ROW()=$AV$3,ROW()=$AW$3,ROW()=$AX$3,ROW()=$AY$3,ROW()=$AZ$3,ROW()=$BA$3,ROW()=$BB$3,ROW()=$BC$3,ROW()=$BD$3,ROW()=$BE$3,ROW()=$BF$3),"本月合计",IF(ROW()&lt;7,$AQ$6,OFFSET($AQ$6,COUNT($AR$6:AR955),0)))))</f>
        <v/>
      </c>
    </row>
    <row r="957" spans="1:44">
      <c r="A957" s="469" t="str">
        <f ca="1">IFERROR(INDEX(凭证录入!A:A,$AR957),"")</f>
        <v/>
      </c>
      <c r="B957" s="469" t="str">
        <f ca="1">IFERROR(INDEX(凭证录入!B:B,$AR957),"")</f>
        <v/>
      </c>
      <c r="C957" s="470" t="str">
        <f ca="1">IFERROR(INDEX(凭证录入!G:G,$AR957),"")</f>
        <v/>
      </c>
      <c r="D957" s="471" t="str">
        <f ca="1">IFERROR(INDEX(凭证录入!F:F,$AR957),"")</f>
        <v/>
      </c>
      <c r="E957" s="472" t="str">
        <f ca="1">IFERROR(INDEX(凭证录入!H:H,$AR957),$AR957)</f>
        <v/>
      </c>
      <c r="F957" s="473">
        <f ca="1">IF(OR($BG$2=0,$AR957=""),,IF($AR957="本月合计",IF(ROW()=$BG$3,SUM($F$6:$F956),SUM(INDIRECT("$F$"&amp;OFFSET($AU$3,,MATCH(ROW(),$AU$3:$BF$3,)-2)+2&amp;":$E"&amp;ROW()-1))),IF($AR957="本年累计",SUMIF($AR$6:$AR957,"本月合计",$F$6:$F956),INDEX(凭证录入!K:K,$AR957))))</f>
        <v>0</v>
      </c>
      <c r="G957" s="459" t="str">
        <f t="shared" ca="1" si="209"/>
        <v/>
      </c>
      <c r="H957" s="460" t="str">
        <f t="shared" ca="1" si="209"/>
        <v/>
      </c>
      <c r="I957" s="460" t="str">
        <f t="shared" ca="1" si="209"/>
        <v/>
      </c>
      <c r="J957" s="460" t="str">
        <f t="shared" ca="1" si="209"/>
        <v/>
      </c>
      <c r="K957" s="460" t="str">
        <f t="shared" ca="1" si="209"/>
        <v/>
      </c>
      <c r="L957" s="460" t="str">
        <f t="shared" ca="1" si="209"/>
        <v/>
      </c>
      <c r="M957" s="460" t="str">
        <f t="shared" ca="1" si="209"/>
        <v/>
      </c>
      <c r="N957" s="460" t="str">
        <f t="shared" ca="1" si="209"/>
        <v/>
      </c>
      <c r="O957" s="461" t="str">
        <f t="shared" ca="1" si="209"/>
        <v/>
      </c>
      <c r="P957" s="474" t="str">
        <f t="shared" ca="1" si="209"/>
        <v/>
      </c>
      <c r="Q957" s="475" t="str">
        <f t="shared" ca="1" si="209"/>
        <v/>
      </c>
      <c r="R957" s="476">
        <f ca="1">IF(OR($BG$2=0,$AR957=""),,IF($AR957="本月合计",IF(ROW()=$BG$3,SUM($R$6:$R956),SUM(INDIRECT("$R$"&amp;OFFSET($AU$3,,MATCH(ROW(),$AU$3:$BF$3,)-2)+2&amp;":$R"&amp;ROW()-1))),IF($AR957="本年累计",SUMIF($AR$6:$AR957,"本月合计",$R$6:$R956),INDEX(凭证录入!L:L,$AR957))))</f>
        <v>0</v>
      </c>
      <c r="S957" s="459" t="str">
        <f t="shared" ca="1" si="210"/>
        <v/>
      </c>
      <c r="T957" s="460" t="str">
        <f t="shared" ca="1" si="210"/>
        <v/>
      </c>
      <c r="U957" s="460" t="str">
        <f t="shared" ca="1" si="210"/>
        <v/>
      </c>
      <c r="V957" s="460" t="str">
        <f t="shared" ca="1" si="210"/>
        <v/>
      </c>
      <c r="W957" s="460" t="str">
        <f t="shared" ca="1" si="210"/>
        <v/>
      </c>
      <c r="X957" s="460" t="str">
        <f t="shared" ca="1" si="210"/>
        <v/>
      </c>
      <c r="Y957" s="460" t="str">
        <f t="shared" ca="1" si="210"/>
        <v/>
      </c>
      <c r="Z957" s="460" t="str">
        <f t="shared" ca="1" si="210"/>
        <v/>
      </c>
      <c r="AA957" s="461" t="str">
        <f t="shared" ca="1" si="210"/>
        <v/>
      </c>
      <c r="AB957" s="474" t="str">
        <f t="shared" ca="1" si="210"/>
        <v/>
      </c>
      <c r="AC957" s="475" t="str">
        <f t="shared" ca="1" si="210"/>
        <v/>
      </c>
      <c r="AD957" s="477" t="str">
        <f t="shared" ca="1" si="200"/>
        <v/>
      </c>
      <c r="AE957" s="478">
        <f t="shared" ca="1" si="201"/>
        <v>0</v>
      </c>
      <c r="AF957" s="459" t="str">
        <f t="shared" ca="1" si="208"/>
        <v/>
      </c>
      <c r="AG957" s="460" t="str">
        <f t="shared" ca="1" si="208"/>
        <v/>
      </c>
      <c r="AH957" s="460" t="str">
        <f t="shared" ca="1" si="208"/>
        <v/>
      </c>
      <c r="AI957" s="460" t="str">
        <f t="shared" ca="1" si="208"/>
        <v/>
      </c>
      <c r="AJ957" s="460" t="str">
        <f t="shared" ca="1" si="208"/>
        <v/>
      </c>
      <c r="AK957" s="460" t="str">
        <f t="shared" ca="1" si="208"/>
        <v/>
      </c>
      <c r="AL957" s="460" t="str">
        <f t="shared" ca="1" si="208"/>
        <v/>
      </c>
      <c r="AM957" s="460" t="str">
        <f t="shared" ca="1" si="208"/>
        <v/>
      </c>
      <c r="AN957" s="461" t="str">
        <f t="shared" ca="1" si="208"/>
        <v/>
      </c>
      <c r="AO957" s="474" t="str">
        <f t="shared" ca="1" si="208"/>
        <v/>
      </c>
      <c r="AP957" s="475" t="str">
        <f t="shared" ca="1" si="208"/>
        <v/>
      </c>
      <c r="AQ957" s="479" t="str">
        <f t="array" aca="1" ref="AQ957" ca="1">IF(ROW()-5&lt;=COUNTIF(科目编号,$AR$2),SMALL(IF(科目编号=$AR$2,ROW(科目编号),""),ROW()-5),"")</f>
        <v/>
      </c>
      <c r="AR957" s="480" t="str">
        <f ca="1">IF($BG$2=0,"",IF(AR956="本月合计","本年累计",IF(OR(ROW()=$AU$3,ROW()=$AV$3,ROW()=$AW$3,ROW()=$AX$3,ROW()=$AY$3,ROW()=$AZ$3,ROW()=$BA$3,ROW()=$BB$3,ROW()=$BC$3,ROW()=$BD$3,ROW()=$BE$3,ROW()=$BF$3),"本月合计",IF(ROW()&lt;7,$AQ$6,OFFSET($AQ$6,COUNT($AR$6:AR956),0)))))</f>
        <v/>
      </c>
    </row>
    <row r="958" spans="1:44">
      <c r="A958" s="469" t="str">
        <f ca="1">IFERROR(INDEX(凭证录入!A:A,$AR958),"")</f>
        <v/>
      </c>
      <c r="B958" s="469" t="str">
        <f ca="1">IFERROR(INDEX(凭证录入!B:B,$AR958),"")</f>
        <v/>
      </c>
      <c r="C958" s="470" t="str">
        <f ca="1">IFERROR(INDEX(凭证录入!G:G,$AR958),"")</f>
        <v/>
      </c>
      <c r="D958" s="471" t="str">
        <f ca="1">IFERROR(INDEX(凭证录入!F:F,$AR958),"")</f>
        <v/>
      </c>
      <c r="E958" s="472" t="str">
        <f ca="1">IFERROR(INDEX(凭证录入!H:H,$AR958),$AR958)</f>
        <v/>
      </c>
      <c r="F958" s="473">
        <f ca="1">IF(OR($BG$2=0,$AR958=""),,IF($AR958="本月合计",IF(ROW()=$BG$3,SUM($F$6:$F957),SUM(INDIRECT("$F$"&amp;OFFSET($AU$3,,MATCH(ROW(),$AU$3:$BF$3,)-2)+2&amp;":$E"&amp;ROW()-1))),IF($AR958="本年累计",SUMIF($AR$6:$AR958,"本月合计",$F$6:$F957),INDEX(凭证录入!K:K,$AR958))))</f>
        <v>0</v>
      </c>
      <c r="G958" s="459" t="str">
        <f t="shared" ca="1" si="209"/>
        <v/>
      </c>
      <c r="H958" s="460" t="str">
        <f t="shared" ca="1" si="209"/>
        <v/>
      </c>
      <c r="I958" s="460" t="str">
        <f t="shared" ca="1" si="209"/>
        <v/>
      </c>
      <c r="J958" s="460" t="str">
        <f t="shared" ca="1" si="209"/>
        <v/>
      </c>
      <c r="K958" s="460" t="str">
        <f t="shared" ca="1" si="209"/>
        <v/>
      </c>
      <c r="L958" s="460" t="str">
        <f t="shared" ca="1" si="209"/>
        <v/>
      </c>
      <c r="M958" s="460" t="str">
        <f t="shared" ca="1" si="209"/>
        <v/>
      </c>
      <c r="N958" s="460" t="str">
        <f t="shared" ca="1" si="209"/>
        <v/>
      </c>
      <c r="O958" s="461" t="str">
        <f t="shared" ca="1" si="209"/>
        <v/>
      </c>
      <c r="P958" s="474" t="str">
        <f t="shared" ca="1" si="209"/>
        <v/>
      </c>
      <c r="Q958" s="475" t="str">
        <f t="shared" ca="1" si="209"/>
        <v/>
      </c>
      <c r="R958" s="476">
        <f ca="1">IF(OR($BG$2=0,$AR958=""),,IF($AR958="本月合计",IF(ROW()=$BG$3,SUM($R$6:$R957),SUM(INDIRECT("$R$"&amp;OFFSET($AU$3,,MATCH(ROW(),$AU$3:$BF$3,)-2)+2&amp;":$R"&amp;ROW()-1))),IF($AR958="本年累计",SUMIF($AR$6:$AR958,"本月合计",$R$6:$R957),INDEX(凭证录入!L:L,$AR958))))</f>
        <v>0</v>
      </c>
      <c r="S958" s="459" t="str">
        <f t="shared" ca="1" si="210"/>
        <v/>
      </c>
      <c r="T958" s="460" t="str">
        <f t="shared" ca="1" si="210"/>
        <v/>
      </c>
      <c r="U958" s="460" t="str">
        <f t="shared" ca="1" si="210"/>
        <v/>
      </c>
      <c r="V958" s="460" t="str">
        <f t="shared" ca="1" si="210"/>
        <v/>
      </c>
      <c r="W958" s="460" t="str">
        <f t="shared" ca="1" si="210"/>
        <v/>
      </c>
      <c r="X958" s="460" t="str">
        <f t="shared" ca="1" si="210"/>
        <v/>
      </c>
      <c r="Y958" s="460" t="str">
        <f t="shared" ca="1" si="210"/>
        <v/>
      </c>
      <c r="Z958" s="460" t="str">
        <f t="shared" ca="1" si="210"/>
        <v/>
      </c>
      <c r="AA958" s="461" t="str">
        <f t="shared" ca="1" si="210"/>
        <v/>
      </c>
      <c r="AB958" s="474" t="str">
        <f t="shared" ca="1" si="210"/>
        <v/>
      </c>
      <c r="AC958" s="475" t="str">
        <f t="shared" ca="1" si="210"/>
        <v/>
      </c>
      <c r="AD958" s="477" t="str">
        <f t="shared" ca="1" si="200"/>
        <v/>
      </c>
      <c r="AE958" s="478">
        <f t="shared" ca="1" si="201"/>
        <v>0</v>
      </c>
      <c r="AF958" s="459" t="str">
        <f t="shared" ca="1" si="208"/>
        <v/>
      </c>
      <c r="AG958" s="460" t="str">
        <f t="shared" ca="1" si="208"/>
        <v/>
      </c>
      <c r="AH958" s="460" t="str">
        <f t="shared" ca="1" si="208"/>
        <v/>
      </c>
      <c r="AI958" s="460" t="str">
        <f t="shared" ca="1" si="208"/>
        <v/>
      </c>
      <c r="AJ958" s="460" t="str">
        <f t="shared" ca="1" si="208"/>
        <v/>
      </c>
      <c r="AK958" s="460" t="str">
        <f t="shared" ca="1" si="208"/>
        <v/>
      </c>
      <c r="AL958" s="460" t="str">
        <f t="shared" ca="1" si="208"/>
        <v/>
      </c>
      <c r="AM958" s="460" t="str">
        <f t="shared" ca="1" si="208"/>
        <v/>
      </c>
      <c r="AN958" s="461" t="str">
        <f t="shared" ca="1" si="208"/>
        <v/>
      </c>
      <c r="AO958" s="474" t="str">
        <f t="shared" ca="1" si="208"/>
        <v/>
      </c>
      <c r="AP958" s="475" t="str">
        <f t="shared" ca="1" si="208"/>
        <v/>
      </c>
      <c r="AQ958" s="479" t="str">
        <f t="array" aca="1" ref="AQ958" ca="1">IF(ROW()-5&lt;=COUNTIF(科目编号,$AR$2),SMALL(IF(科目编号=$AR$2,ROW(科目编号),""),ROW()-5),"")</f>
        <v/>
      </c>
      <c r="AR958" s="480" t="str">
        <f ca="1">IF($BG$2=0,"",IF(AR957="本月合计","本年累计",IF(OR(ROW()=$AU$3,ROW()=$AV$3,ROW()=$AW$3,ROW()=$AX$3,ROW()=$AY$3,ROW()=$AZ$3,ROW()=$BA$3,ROW()=$BB$3,ROW()=$BC$3,ROW()=$BD$3,ROW()=$BE$3,ROW()=$BF$3),"本月合计",IF(ROW()&lt;7,$AQ$6,OFFSET($AQ$6,COUNT($AR$6:AR957),0)))))</f>
        <v/>
      </c>
    </row>
    <row r="959" spans="1:44">
      <c r="A959" s="469" t="str">
        <f ca="1">IFERROR(INDEX(凭证录入!A:A,$AR959),"")</f>
        <v/>
      </c>
      <c r="B959" s="469" t="str">
        <f ca="1">IFERROR(INDEX(凭证录入!B:B,$AR959),"")</f>
        <v/>
      </c>
      <c r="C959" s="470" t="str">
        <f ca="1">IFERROR(INDEX(凭证录入!G:G,$AR959),"")</f>
        <v/>
      </c>
      <c r="D959" s="471" t="str">
        <f ca="1">IFERROR(INDEX(凭证录入!F:F,$AR959),"")</f>
        <v/>
      </c>
      <c r="E959" s="472" t="str">
        <f ca="1">IFERROR(INDEX(凭证录入!H:H,$AR959),$AR959)</f>
        <v/>
      </c>
      <c r="F959" s="473">
        <f ca="1">IF(OR($BG$2=0,$AR959=""),,IF($AR959="本月合计",IF(ROW()=$BG$3,SUM($F$6:$F958),SUM(INDIRECT("$F$"&amp;OFFSET($AU$3,,MATCH(ROW(),$AU$3:$BF$3,)-2)+2&amp;":$E"&amp;ROW()-1))),IF($AR959="本年累计",SUMIF($AR$6:$AR959,"本月合计",$F$6:$F958),INDEX(凭证录入!K:K,$AR959))))</f>
        <v>0</v>
      </c>
      <c r="G959" s="459" t="str">
        <f t="shared" ca="1" si="209"/>
        <v/>
      </c>
      <c r="H959" s="460" t="str">
        <f t="shared" ca="1" si="209"/>
        <v/>
      </c>
      <c r="I959" s="460" t="str">
        <f t="shared" ca="1" si="209"/>
        <v/>
      </c>
      <c r="J959" s="460" t="str">
        <f t="shared" ca="1" si="209"/>
        <v/>
      </c>
      <c r="K959" s="460" t="str">
        <f t="shared" ca="1" si="209"/>
        <v/>
      </c>
      <c r="L959" s="460" t="str">
        <f t="shared" ca="1" si="209"/>
        <v/>
      </c>
      <c r="M959" s="460" t="str">
        <f t="shared" ca="1" si="209"/>
        <v/>
      </c>
      <c r="N959" s="460" t="str">
        <f t="shared" ca="1" si="209"/>
        <v/>
      </c>
      <c r="O959" s="461" t="str">
        <f t="shared" ca="1" si="209"/>
        <v/>
      </c>
      <c r="P959" s="474" t="str">
        <f t="shared" ca="1" si="209"/>
        <v/>
      </c>
      <c r="Q959" s="475" t="str">
        <f t="shared" ca="1" si="209"/>
        <v/>
      </c>
      <c r="R959" s="476">
        <f ca="1">IF(OR($BG$2=0,$AR959=""),,IF($AR959="本月合计",IF(ROW()=$BG$3,SUM($R$6:$R958),SUM(INDIRECT("$R$"&amp;OFFSET($AU$3,,MATCH(ROW(),$AU$3:$BF$3,)-2)+2&amp;":$R"&amp;ROW()-1))),IF($AR959="本年累计",SUMIF($AR$6:$AR959,"本月合计",$R$6:$R958),INDEX(凭证录入!L:L,$AR959))))</f>
        <v>0</v>
      </c>
      <c r="S959" s="459" t="str">
        <f t="shared" ca="1" si="210"/>
        <v/>
      </c>
      <c r="T959" s="460" t="str">
        <f t="shared" ca="1" si="210"/>
        <v/>
      </c>
      <c r="U959" s="460" t="str">
        <f t="shared" ca="1" si="210"/>
        <v/>
      </c>
      <c r="V959" s="460" t="str">
        <f t="shared" ca="1" si="210"/>
        <v/>
      </c>
      <c r="W959" s="460" t="str">
        <f t="shared" ca="1" si="210"/>
        <v/>
      </c>
      <c r="X959" s="460" t="str">
        <f t="shared" ca="1" si="210"/>
        <v/>
      </c>
      <c r="Y959" s="460" t="str">
        <f t="shared" ca="1" si="210"/>
        <v/>
      </c>
      <c r="Z959" s="460" t="str">
        <f t="shared" ca="1" si="210"/>
        <v/>
      </c>
      <c r="AA959" s="461" t="str">
        <f t="shared" ca="1" si="210"/>
        <v/>
      </c>
      <c r="AB959" s="474" t="str">
        <f t="shared" ca="1" si="210"/>
        <v/>
      </c>
      <c r="AC959" s="475" t="str">
        <f t="shared" ca="1" si="210"/>
        <v/>
      </c>
      <c r="AD959" s="477" t="str">
        <f t="shared" ca="1" si="200"/>
        <v/>
      </c>
      <c r="AE959" s="478">
        <f t="shared" ca="1" si="201"/>
        <v>0</v>
      </c>
      <c r="AF959" s="459" t="str">
        <f t="shared" ca="1" si="208"/>
        <v/>
      </c>
      <c r="AG959" s="460" t="str">
        <f t="shared" ca="1" si="208"/>
        <v/>
      </c>
      <c r="AH959" s="460" t="str">
        <f t="shared" ca="1" si="208"/>
        <v/>
      </c>
      <c r="AI959" s="460" t="str">
        <f t="shared" ca="1" si="208"/>
        <v/>
      </c>
      <c r="AJ959" s="460" t="str">
        <f t="shared" ca="1" si="208"/>
        <v/>
      </c>
      <c r="AK959" s="460" t="str">
        <f t="shared" ca="1" si="208"/>
        <v/>
      </c>
      <c r="AL959" s="460" t="str">
        <f t="shared" ca="1" si="208"/>
        <v/>
      </c>
      <c r="AM959" s="460" t="str">
        <f t="shared" ca="1" si="208"/>
        <v/>
      </c>
      <c r="AN959" s="461" t="str">
        <f t="shared" ca="1" si="208"/>
        <v/>
      </c>
      <c r="AO959" s="474" t="str">
        <f t="shared" ca="1" si="208"/>
        <v/>
      </c>
      <c r="AP959" s="475" t="str">
        <f t="shared" ca="1" si="208"/>
        <v/>
      </c>
      <c r="AQ959" s="479" t="str">
        <f t="array" aca="1" ref="AQ959" ca="1">IF(ROW()-5&lt;=COUNTIF(科目编号,$AR$2),SMALL(IF(科目编号=$AR$2,ROW(科目编号),""),ROW()-5),"")</f>
        <v/>
      </c>
      <c r="AR959" s="480" t="str">
        <f ca="1">IF($BG$2=0,"",IF(AR958="本月合计","本年累计",IF(OR(ROW()=$AU$3,ROW()=$AV$3,ROW()=$AW$3,ROW()=$AX$3,ROW()=$AY$3,ROW()=$AZ$3,ROW()=$BA$3,ROW()=$BB$3,ROW()=$BC$3,ROW()=$BD$3,ROW()=$BE$3,ROW()=$BF$3),"本月合计",IF(ROW()&lt;7,$AQ$6,OFFSET($AQ$6,COUNT($AR$6:AR958),0)))))</f>
        <v/>
      </c>
    </row>
    <row r="960" spans="1:44">
      <c r="A960" s="469" t="str">
        <f ca="1">IFERROR(INDEX(凭证录入!A:A,$AR960),"")</f>
        <v/>
      </c>
      <c r="B960" s="469" t="str">
        <f ca="1">IFERROR(INDEX(凭证录入!B:B,$AR960),"")</f>
        <v/>
      </c>
      <c r="C960" s="470" t="str">
        <f ca="1">IFERROR(INDEX(凭证录入!G:G,$AR960),"")</f>
        <v/>
      </c>
      <c r="D960" s="471" t="str">
        <f ca="1">IFERROR(INDEX(凭证录入!F:F,$AR960),"")</f>
        <v/>
      </c>
      <c r="E960" s="472" t="str">
        <f ca="1">IFERROR(INDEX(凭证录入!H:H,$AR960),$AR960)</f>
        <v/>
      </c>
      <c r="F960" s="473">
        <f ca="1">IF(OR($BG$2=0,$AR960=""),,IF($AR960="本月合计",IF(ROW()=$BG$3,SUM($F$6:$F959),SUM(INDIRECT("$F$"&amp;OFFSET($AU$3,,MATCH(ROW(),$AU$3:$BF$3,)-2)+2&amp;":$E"&amp;ROW()-1))),IF($AR960="本年累计",SUMIF($AR$6:$AR960,"本月合计",$F$6:$F959),INDEX(凭证录入!K:K,$AR960))))</f>
        <v>0</v>
      </c>
      <c r="G960" s="459" t="str">
        <f t="shared" ca="1" si="209"/>
        <v/>
      </c>
      <c r="H960" s="460" t="str">
        <f t="shared" ca="1" si="209"/>
        <v/>
      </c>
      <c r="I960" s="460" t="str">
        <f t="shared" ca="1" si="209"/>
        <v/>
      </c>
      <c r="J960" s="460" t="str">
        <f t="shared" ca="1" si="209"/>
        <v/>
      </c>
      <c r="K960" s="460" t="str">
        <f t="shared" ca="1" si="209"/>
        <v/>
      </c>
      <c r="L960" s="460" t="str">
        <f t="shared" ca="1" si="209"/>
        <v/>
      </c>
      <c r="M960" s="460" t="str">
        <f t="shared" ca="1" si="209"/>
        <v/>
      </c>
      <c r="N960" s="460" t="str">
        <f t="shared" ca="1" si="209"/>
        <v/>
      </c>
      <c r="O960" s="461" t="str">
        <f t="shared" ca="1" si="209"/>
        <v/>
      </c>
      <c r="P960" s="474" t="str">
        <f t="shared" ca="1" si="209"/>
        <v/>
      </c>
      <c r="Q960" s="475" t="str">
        <f t="shared" ca="1" si="209"/>
        <v/>
      </c>
      <c r="R960" s="476">
        <f ca="1">IF(OR($BG$2=0,$AR960=""),,IF($AR960="本月合计",IF(ROW()=$BG$3,SUM($R$6:$R959),SUM(INDIRECT("$R$"&amp;OFFSET($AU$3,,MATCH(ROW(),$AU$3:$BF$3,)-2)+2&amp;":$R"&amp;ROW()-1))),IF($AR960="本年累计",SUMIF($AR$6:$AR960,"本月合计",$R$6:$R959),INDEX(凭证录入!L:L,$AR960))))</f>
        <v>0</v>
      </c>
      <c r="S960" s="459" t="str">
        <f t="shared" ca="1" si="210"/>
        <v/>
      </c>
      <c r="T960" s="460" t="str">
        <f t="shared" ca="1" si="210"/>
        <v/>
      </c>
      <c r="U960" s="460" t="str">
        <f t="shared" ca="1" si="210"/>
        <v/>
      </c>
      <c r="V960" s="460" t="str">
        <f t="shared" ca="1" si="210"/>
        <v/>
      </c>
      <c r="W960" s="460" t="str">
        <f t="shared" ca="1" si="210"/>
        <v/>
      </c>
      <c r="X960" s="460" t="str">
        <f t="shared" ca="1" si="210"/>
        <v/>
      </c>
      <c r="Y960" s="460" t="str">
        <f t="shared" ca="1" si="210"/>
        <v/>
      </c>
      <c r="Z960" s="460" t="str">
        <f t="shared" ca="1" si="210"/>
        <v/>
      </c>
      <c r="AA960" s="461" t="str">
        <f t="shared" ca="1" si="210"/>
        <v/>
      </c>
      <c r="AB960" s="474" t="str">
        <f t="shared" ca="1" si="210"/>
        <v/>
      </c>
      <c r="AC960" s="475" t="str">
        <f t="shared" ca="1" si="210"/>
        <v/>
      </c>
      <c r="AD960" s="477" t="str">
        <f t="shared" ca="1" si="200"/>
        <v/>
      </c>
      <c r="AE960" s="478">
        <f t="shared" ca="1" si="201"/>
        <v>0</v>
      </c>
      <c r="AF960" s="459" t="str">
        <f t="shared" ca="1" si="208"/>
        <v/>
      </c>
      <c r="AG960" s="460" t="str">
        <f t="shared" ca="1" si="208"/>
        <v/>
      </c>
      <c r="AH960" s="460" t="str">
        <f t="shared" ca="1" si="208"/>
        <v/>
      </c>
      <c r="AI960" s="460" t="str">
        <f t="shared" ca="1" si="208"/>
        <v/>
      </c>
      <c r="AJ960" s="460" t="str">
        <f t="shared" ca="1" si="208"/>
        <v/>
      </c>
      <c r="AK960" s="460" t="str">
        <f t="shared" ca="1" si="208"/>
        <v/>
      </c>
      <c r="AL960" s="460" t="str">
        <f t="shared" ca="1" si="208"/>
        <v/>
      </c>
      <c r="AM960" s="460" t="str">
        <f t="shared" ca="1" si="208"/>
        <v/>
      </c>
      <c r="AN960" s="461" t="str">
        <f t="shared" ca="1" si="208"/>
        <v/>
      </c>
      <c r="AO960" s="474" t="str">
        <f t="shared" ca="1" si="208"/>
        <v/>
      </c>
      <c r="AP960" s="475" t="str">
        <f t="shared" ca="1" si="208"/>
        <v/>
      </c>
      <c r="AQ960" s="479" t="str">
        <f t="array" aca="1" ref="AQ960" ca="1">IF(ROW()-5&lt;=COUNTIF(科目编号,$AR$2),SMALL(IF(科目编号=$AR$2,ROW(科目编号),""),ROW()-5),"")</f>
        <v/>
      </c>
      <c r="AR960" s="480" t="str">
        <f ca="1">IF($BG$2=0,"",IF(AR959="本月合计","本年累计",IF(OR(ROW()=$AU$3,ROW()=$AV$3,ROW()=$AW$3,ROW()=$AX$3,ROW()=$AY$3,ROW()=$AZ$3,ROW()=$BA$3,ROW()=$BB$3,ROW()=$BC$3,ROW()=$BD$3,ROW()=$BE$3,ROW()=$BF$3),"本月合计",IF(ROW()&lt;7,$AQ$6,OFFSET($AQ$6,COUNT($AR$6:AR959),0)))))</f>
        <v/>
      </c>
    </row>
    <row r="961" spans="1:44">
      <c r="A961" s="469" t="str">
        <f ca="1">IFERROR(INDEX(凭证录入!A:A,$AR961),"")</f>
        <v/>
      </c>
      <c r="B961" s="469" t="str">
        <f ca="1">IFERROR(INDEX(凭证录入!B:B,$AR961),"")</f>
        <v/>
      </c>
      <c r="C961" s="470" t="str">
        <f ca="1">IFERROR(INDEX(凭证录入!G:G,$AR961),"")</f>
        <v/>
      </c>
      <c r="D961" s="471" t="str">
        <f ca="1">IFERROR(INDEX(凭证录入!F:F,$AR961),"")</f>
        <v/>
      </c>
      <c r="E961" s="472" t="str">
        <f ca="1">IFERROR(INDEX(凭证录入!H:H,$AR961),$AR961)</f>
        <v/>
      </c>
      <c r="F961" s="473">
        <f ca="1">IF(OR($BG$2=0,$AR961=""),,IF($AR961="本月合计",IF(ROW()=$BG$3,SUM($F$6:$F960),SUM(INDIRECT("$F$"&amp;OFFSET($AU$3,,MATCH(ROW(),$AU$3:$BF$3,)-2)+2&amp;":$E"&amp;ROW()-1))),IF($AR961="本年累计",SUMIF($AR$6:$AR961,"本月合计",$F$6:$F960),INDEX(凭证录入!K:K,$AR961))))</f>
        <v>0</v>
      </c>
      <c r="G961" s="459" t="str">
        <f t="shared" ca="1" si="209"/>
        <v/>
      </c>
      <c r="H961" s="460" t="str">
        <f t="shared" ca="1" si="209"/>
        <v/>
      </c>
      <c r="I961" s="460" t="str">
        <f t="shared" ca="1" si="209"/>
        <v/>
      </c>
      <c r="J961" s="460" t="str">
        <f t="shared" ca="1" si="209"/>
        <v/>
      </c>
      <c r="K961" s="460" t="str">
        <f t="shared" ca="1" si="209"/>
        <v/>
      </c>
      <c r="L961" s="460" t="str">
        <f t="shared" ca="1" si="209"/>
        <v/>
      </c>
      <c r="M961" s="460" t="str">
        <f t="shared" ca="1" si="209"/>
        <v/>
      </c>
      <c r="N961" s="460" t="str">
        <f t="shared" ca="1" si="209"/>
        <v/>
      </c>
      <c r="O961" s="461" t="str">
        <f t="shared" ca="1" si="209"/>
        <v/>
      </c>
      <c r="P961" s="474" t="str">
        <f t="shared" ca="1" si="209"/>
        <v/>
      </c>
      <c r="Q961" s="475" t="str">
        <f t="shared" ca="1" si="209"/>
        <v/>
      </c>
      <c r="R961" s="476">
        <f ca="1">IF(OR($BG$2=0,$AR961=""),,IF($AR961="本月合计",IF(ROW()=$BG$3,SUM($R$6:$R960),SUM(INDIRECT("$R$"&amp;OFFSET($AU$3,,MATCH(ROW(),$AU$3:$BF$3,)-2)+2&amp;":$R"&amp;ROW()-1))),IF($AR961="本年累计",SUMIF($AR$6:$AR961,"本月合计",$R$6:$R960),INDEX(凭证录入!L:L,$AR961))))</f>
        <v>0</v>
      </c>
      <c r="S961" s="459" t="str">
        <f t="shared" ca="1" si="210"/>
        <v/>
      </c>
      <c r="T961" s="460" t="str">
        <f t="shared" ca="1" si="210"/>
        <v/>
      </c>
      <c r="U961" s="460" t="str">
        <f t="shared" ca="1" si="210"/>
        <v/>
      </c>
      <c r="V961" s="460" t="str">
        <f t="shared" ca="1" si="210"/>
        <v/>
      </c>
      <c r="W961" s="460" t="str">
        <f t="shared" ca="1" si="210"/>
        <v/>
      </c>
      <c r="X961" s="460" t="str">
        <f t="shared" ca="1" si="210"/>
        <v/>
      </c>
      <c r="Y961" s="460" t="str">
        <f t="shared" ca="1" si="210"/>
        <v/>
      </c>
      <c r="Z961" s="460" t="str">
        <f t="shared" ca="1" si="210"/>
        <v/>
      </c>
      <c r="AA961" s="461" t="str">
        <f t="shared" ca="1" si="210"/>
        <v/>
      </c>
      <c r="AB961" s="474" t="str">
        <f t="shared" ca="1" si="210"/>
        <v/>
      </c>
      <c r="AC961" s="475" t="str">
        <f t="shared" ca="1" si="210"/>
        <v/>
      </c>
      <c r="AD961" s="477" t="str">
        <f t="shared" ca="1" si="200"/>
        <v/>
      </c>
      <c r="AE961" s="478">
        <f t="shared" ca="1" si="201"/>
        <v>0</v>
      </c>
      <c r="AF961" s="459" t="str">
        <f t="shared" ca="1" si="208"/>
        <v/>
      </c>
      <c r="AG961" s="460" t="str">
        <f t="shared" ca="1" si="208"/>
        <v/>
      </c>
      <c r="AH961" s="460" t="str">
        <f t="shared" ca="1" si="208"/>
        <v/>
      </c>
      <c r="AI961" s="460" t="str">
        <f t="shared" ca="1" si="208"/>
        <v/>
      </c>
      <c r="AJ961" s="460" t="str">
        <f t="shared" ca="1" si="208"/>
        <v/>
      </c>
      <c r="AK961" s="460" t="str">
        <f t="shared" ca="1" si="208"/>
        <v/>
      </c>
      <c r="AL961" s="460" t="str">
        <f t="shared" ca="1" si="208"/>
        <v/>
      </c>
      <c r="AM961" s="460" t="str">
        <f t="shared" ca="1" si="208"/>
        <v/>
      </c>
      <c r="AN961" s="461" t="str">
        <f t="shared" ca="1" si="208"/>
        <v/>
      </c>
      <c r="AO961" s="474" t="str">
        <f t="shared" ca="1" si="208"/>
        <v/>
      </c>
      <c r="AP961" s="475" t="str">
        <f t="shared" ca="1" si="208"/>
        <v/>
      </c>
      <c r="AQ961" s="479" t="str">
        <f t="array" aca="1" ref="AQ961" ca="1">IF(ROW()-5&lt;=COUNTIF(科目编号,$AR$2),SMALL(IF(科目编号=$AR$2,ROW(科目编号),""),ROW()-5),"")</f>
        <v/>
      </c>
      <c r="AR961" s="480" t="str">
        <f ca="1">IF($BG$2=0,"",IF(AR960="本月合计","本年累计",IF(OR(ROW()=$AU$3,ROW()=$AV$3,ROW()=$AW$3,ROW()=$AX$3,ROW()=$AY$3,ROW()=$AZ$3,ROW()=$BA$3,ROW()=$BB$3,ROW()=$BC$3,ROW()=$BD$3,ROW()=$BE$3,ROW()=$BF$3),"本月合计",IF(ROW()&lt;7,$AQ$6,OFFSET($AQ$6,COUNT($AR$6:AR960),0)))))</f>
        <v/>
      </c>
    </row>
    <row r="962" spans="1:44">
      <c r="A962" s="469" t="str">
        <f ca="1">IFERROR(INDEX(凭证录入!A:A,$AR962),"")</f>
        <v/>
      </c>
      <c r="B962" s="469" t="str">
        <f ca="1">IFERROR(INDEX(凭证录入!B:B,$AR962),"")</f>
        <v/>
      </c>
      <c r="C962" s="470" t="str">
        <f ca="1">IFERROR(INDEX(凭证录入!G:G,$AR962),"")</f>
        <v/>
      </c>
      <c r="D962" s="471" t="str">
        <f ca="1">IFERROR(INDEX(凭证录入!F:F,$AR962),"")</f>
        <v/>
      </c>
      <c r="E962" s="472" t="str">
        <f ca="1">IFERROR(INDEX(凭证录入!H:H,$AR962),$AR962)</f>
        <v/>
      </c>
      <c r="F962" s="473">
        <f ca="1">IF(OR($BG$2=0,$AR962=""),,IF($AR962="本月合计",IF(ROW()=$BG$3,SUM($F$6:$F961),SUM(INDIRECT("$F$"&amp;OFFSET($AU$3,,MATCH(ROW(),$AU$3:$BF$3,)-2)+2&amp;":$E"&amp;ROW()-1))),IF($AR962="本年累计",SUMIF($AR$6:$AR962,"本月合计",$F$6:$F961),INDEX(凭证录入!K:K,$AR962))))</f>
        <v>0</v>
      </c>
      <c r="G962" s="459" t="str">
        <f t="shared" ca="1" si="209"/>
        <v/>
      </c>
      <c r="H962" s="460" t="str">
        <f t="shared" ca="1" si="209"/>
        <v/>
      </c>
      <c r="I962" s="460" t="str">
        <f t="shared" ca="1" si="209"/>
        <v/>
      </c>
      <c r="J962" s="460" t="str">
        <f t="shared" ca="1" si="209"/>
        <v/>
      </c>
      <c r="K962" s="460" t="str">
        <f t="shared" ca="1" si="209"/>
        <v/>
      </c>
      <c r="L962" s="460" t="str">
        <f t="shared" ca="1" si="209"/>
        <v/>
      </c>
      <c r="M962" s="460" t="str">
        <f t="shared" ca="1" si="209"/>
        <v/>
      </c>
      <c r="N962" s="460" t="str">
        <f t="shared" ca="1" si="209"/>
        <v/>
      </c>
      <c r="O962" s="461" t="str">
        <f t="shared" ca="1" si="209"/>
        <v/>
      </c>
      <c r="P962" s="474" t="str">
        <f t="shared" ca="1" si="209"/>
        <v/>
      </c>
      <c r="Q962" s="475" t="str">
        <f t="shared" ca="1" si="209"/>
        <v/>
      </c>
      <c r="R962" s="476">
        <f ca="1">IF(OR($BG$2=0,$AR962=""),,IF($AR962="本月合计",IF(ROW()=$BG$3,SUM($R$6:$R961),SUM(INDIRECT("$R$"&amp;OFFSET($AU$3,,MATCH(ROW(),$AU$3:$BF$3,)-2)+2&amp;":$R"&amp;ROW()-1))),IF($AR962="本年累计",SUMIF($AR$6:$AR962,"本月合计",$R$6:$R961),INDEX(凭证录入!L:L,$AR962))))</f>
        <v>0</v>
      </c>
      <c r="S962" s="459" t="str">
        <f t="shared" ca="1" si="210"/>
        <v/>
      </c>
      <c r="T962" s="460" t="str">
        <f t="shared" ca="1" si="210"/>
        <v/>
      </c>
      <c r="U962" s="460" t="str">
        <f t="shared" ca="1" si="210"/>
        <v/>
      </c>
      <c r="V962" s="460" t="str">
        <f t="shared" ca="1" si="210"/>
        <v/>
      </c>
      <c r="W962" s="460" t="str">
        <f t="shared" ca="1" si="210"/>
        <v/>
      </c>
      <c r="X962" s="460" t="str">
        <f t="shared" ca="1" si="210"/>
        <v/>
      </c>
      <c r="Y962" s="460" t="str">
        <f t="shared" ca="1" si="210"/>
        <v/>
      </c>
      <c r="Z962" s="460" t="str">
        <f t="shared" ca="1" si="210"/>
        <v/>
      </c>
      <c r="AA962" s="461" t="str">
        <f t="shared" ca="1" si="210"/>
        <v/>
      </c>
      <c r="AB962" s="474" t="str">
        <f t="shared" ca="1" si="210"/>
        <v/>
      </c>
      <c r="AC962" s="475" t="str">
        <f t="shared" ca="1" si="210"/>
        <v/>
      </c>
      <c r="AD962" s="477" t="str">
        <f t="shared" ca="1" si="200"/>
        <v/>
      </c>
      <c r="AE962" s="478">
        <f t="shared" ca="1" si="201"/>
        <v>0</v>
      </c>
      <c r="AF962" s="459" t="str">
        <f t="shared" ca="1" si="208"/>
        <v/>
      </c>
      <c r="AG962" s="460" t="str">
        <f t="shared" ca="1" si="208"/>
        <v/>
      </c>
      <c r="AH962" s="460" t="str">
        <f t="shared" ca="1" si="208"/>
        <v/>
      </c>
      <c r="AI962" s="460" t="str">
        <f t="shared" ca="1" si="208"/>
        <v/>
      </c>
      <c r="AJ962" s="460" t="str">
        <f t="shared" ca="1" si="208"/>
        <v/>
      </c>
      <c r="AK962" s="460" t="str">
        <f t="shared" ca="1" si="208"/>
        <v/>
      </c>
      <c r="AL962" s="460" t="str">
        <f t="shared" ca="1" si="208"/>
        <v/>
      </c>
      <c r="AM962" s="460" t="str">
        <f t="shared" ca="1" si="208"/>
        <v/>
      </c>
      <c r="AN962" s="461" t="str">
        <f t="shared" ca="1" si="208"/>
        <v/>
      </c>
      <c r="AO962" s="474" t="str">
        <f t="shared" ca="1" si="208"/>
        <v/>
      </c>
      <c r="AP962" s="475" t="str">
        <f t="shared" ca="1" si="208"/>
        <v/>
      </c>
      <c r="AQ962" s="479" t="str">
        <f t="array" aca="1" ref="AQ962" ca="1">IF(ROW()-5&lt;=COUNTIF(科目编号,$AR$2),SMALL(IF(科目编号=$AR$2,ROW(科目编号),""),ROW()-5),"")</f>
        <v/>
      </c>
      <c r="AR962" s="480" t="str">
        <f ca="1">IF($BG$2=0,"",IF(AR961="本月合计","本年累计",IF(OR(ROW()=$AU$3,ROW()=$AV$3,ROW()=$AW$3,ROW()=$AX$3,ROW()=$AY$3,ROW()=$AZ$3,ROW()=$BA$3,ROW()=$BB$3,ROW()=$BC$3,ROW()=$BD$3,ROW()=$BE$3,ROW()=$BF$3),"本月合计",IF(ROW()&lt;7,$AQ$6,OFFSET($AQ$6,COUNT($AR$6:AR961),0)))))</f>
        <v/>
      </c>
    </row>
    <row r="963" spans="1:44">
      <c r="A963" s="469" t="str">
        <f ca="1">IFERROR(INDEX(凭证录入!A:A,$AR963),"")</f>
        <v/>
      </c>
      <c r="B963" s="469" t="str">
        <f ca="1">IFERROR(INDEX(凭证录入!B:B,$AR963),"")</f>
        <v/>
      </c>
      <c r="C963" s="470" t="str">
        <f ca="1">IFERROR(INDEX(凭证录入!G:G,$AR963),"")</f>
        <v/>
      </c>
      <c r="D963" s="471" t="str">
        <f ca="1">IFERROR(INDEX(凭证录入!F:F,$AR963),"")</f>
        <v/>
      </c>
      <c r="E963" s="472" t="str">
        <f ca="1">IFERROR(INDEX(凭证录入!H:H,$AR963),$AR963)</f>
        <v/>
      </c>
      <c r="F963" s="473">
        <f ca="1">IF(OR($BG$2=0,$AR963=""),,IF($AR963="本月合计",IF(ROW()=$BG$3,SUM($F$6:$F962),SUM(INDIRECT("$F$"&amp;OFFSET($AU$3,,MATCH(ROW(),$AU$3:$BF$3,)-2)+2&amp;":$E"&amp;ROW()-1))),IF($AR963="本年累计",SUMIF($AR$6:$AR963,"本月合计",$F$6:$F962),INDEX(凭证录入!K:K,$AR963))))</f>
        <v>0</v>
      </c>
      <c r="G963" s="459" t="str">
        <f t="shared" ca="1" si="209"/>
        <v/>
      </c>
      <c r="H963" s="460" t="str">
        <f t="shared" ca="1" si="209"/>
        <v/>
      </c>
      <c r="I963" s="460" t="str">
        <f t="shared" ca="1" si="209"/>
        <v/>
      </c>
      <c r="J963" s="460" t="str">
        <f t="shared" ca="1" si="209"/>
        <v/>
      </c>
      <c r="K963" s="460" t="str">
        <f t="shared" ca="1" si="209"/>
        <v/>
      </c>
      <c r="L963" s="460" t="str">
        <f t="shared" ca="1" si="209"/>
        <v/>
      </c>
      <c r="M963" s="460" t="str">
        <f t="shared" ca="1" si="209"/>
        <v/>
      </c>
      <c r="N963" s="460" t="str">
        <f t="shared" ca="1" si="209"/>
        <v/>
      </c>
      <c r="O963" s="461" t="str">
        <f t="shared" ca="1" si="209"/>
        <v/>
      </c>
      <c r="P963" s="474" t="str">
        <f t="shared" ca="1" si="209"/>
        <v/>
      </c>
      <c r="Q963" s="475" t="str">
        <f t="shared" ca="1" si="209"/>
        <v/>
      </c>
      <c r="R963" s="476">
        <f ca="1">IF(OR($BG$2=0,$AR963=""),,IF($AR963="本月合计",IF(ROW()=$BG$3,SUM($R$6:$R962),SUM(INDIRECT("$R$"&amp;OFFSET($AU$3,,MATCH(ROW(),$AU$3:$BF$3,)-2)+2&amp;":$R"&amp;ROW()-1))),IF($AR963="本年累计",SUMIF($AR$6:$AR963,"本月合计",$R$6:$R962),INDEX(凭证录入!L:L,$AR963))))</f>
        <v>0</v>
      </c>
      <c r="S963" s="459" t="str">
        <f t="shared" ca="1" si="210"/>
        <v/>
      </c>
      <c r="T963" s="460" t="str">
        <f t="shared" ca="1" si="210"/>
        <v/>
      </c>
      <c r="U963" s="460" t="str">
        <f t="shared" ca="1" si="210"/>
        <v/>
      </c>
      <c r="V963" s="460" t="str">
        <f t="shared" ca="1" si="210"/>
        <v/>
      </c>
      <c r="W963" s="460" t="str">
        <f t="shared" ca="1" si="210"/>
        <v/>
      </c>
      <c r="X963" s="460" t="str">
        <f t="shared" ca="1" si="210"/>
        <v/>
      </c>
      <c r="Y963" s="460" t="str">
        <f t="shared" ca="1" si="210"/>
        <v/>
      </c>
      <c r="Z963" s="460" t="str">
        <f t="shared" ca="1" si="210"/>
        <v/>
      </c>
      <c r="AA963" s="461" t="str">
        <f t="shared" ca="1" si="210"/>
        <v/>
      </c>
      <c r="AB963" s="474" t="str">
        <f t="shared" ca="1" si="210"/>
        <v/>
      </c>
      <c r="AC963" s="475" t="str">
        <f t="shared" ca="1" si="210"/>
        <v/>
      </c>
      <c r="AD963" s="477" t="str">
        <f t="shared" ca="1" si="200"/>
        <v/>
      </c>
      <c r="AE963" s="478">
        <f t="shared" ca="1" si="201"/>
        <v>0</v>
      </c>
      <c r="AF963" s="459" t="str">
        <f t="shared" ca="1" si="208"/>
        <v/>
      </c>
      <c r="AG963" s="460" t="str">
        <f t="shared" ca="1" si="208"/>
        <v/>
      </c>
      <c r="AH963" s="460" t="str">
        <f t="shared" ca="1" si="208"/>
        <v/>
      </c>
      <c r="AI963" s="460" t="str">
        <f t="shared" ca="1" si="208"/>
        <v/>
      </c>
      <c r="AJ963" s="460" t="str">
        <f t="shared" ca="1" si="208"/>
        <v/>
      </c>
      <c r="AK963" s="460" t="str">
        <f t="shared" ca="1" si="208"/>
        <v/>
      </c>
      <c r="AL963" s="460" t="str">
        <f t="shared" ca="1" si="208"/>
        <v/>
      </c>
      <c r="AM963" s="460" t="str">
        <f t="shared" ca="1" si="208"/>
        <v/>
      </c>
      <c r="AN963" s="461" t="str">
        <f t="shared" ca="1" si="208"/>
        <v/>
      </c>
      <c r="AO963" s="474" t="str">
        <f t="shared" ca="1" si="208"/>
        <v/>
      </c>
      <c r="AP963" s="475" t="str">
        <f t="shared" ca="1" si="208"/>
        <v/>
      </c>
      <c r="AQ963" s="479" t="str">
        <f t="array" aca="1" ref="AQ963" ca="1">IF(ROW()-5&lt;=COUNTIF(科目编号,$AR$2),SMALL(IF(科目编号=$AR$2,ROW(科目编号),""),ROW()-5),"")</f>
        <v/>
      </c>
      <c r="AR963" s="480" t="str">
        <f ca="1">IF($BG$2=0,"",IF(AR962="本月合计","本年累计",IF(OR(ROW()=$AU$3,ROW()=$AV$3,ROW()=$AW$3,ROW()=$AX$3,ROW()=$AY$3,ROW()=$AZ$3,ROW()=$BA$3,ROW()=$BB$3,ROW()=$BC$3,ROW()=$BD$3,ROW()=$BE$3,ROW()=$BF$3),"本月合计",IF(ROW()&lt;7,$AQ$6,OFFSET($AQ$6,COUNT($AR$6:AR962),0)))))</f>
        <v/>
      </c>
    </row>
    <row r="964" spans="1:44">
      <c r="A964" s="469" t="str">
        <f ca="1">IFERROR(INDEX(凭证录入!A:A,$AR964),"")</f>
        <v/>
      </c>
      <c r="B964" s="469" t="str">
        <f ca="1">IFERROR(INDEX(凭证录入!B:B,$AR964),"")</f>
        <v/>
      </c>
      <c r="C964" s="470" t="str">
        <f ca="1">IFERROR(INDEX(凭证录入!G:G,$AR964),"")</f>
        <v/>
      </c>
      <c r="D964" s="471" t="str">
        <f ca="1">IFERROR(INDEX(凭证录入!F:F,$AR964),"")</f>
        <v/>
      </c>
      <c r="E964" s="472" t="str">
        <f ca="1">IFERROR(INDEX(凭证录入!H:H,$AR964),$AR964)</f>
        <v/>
      </c>
      <c r="F964" s="473">
        <f ca="1">IF(OR($BG$2=0,$AR964=""),,IF($AR964="本月合计",IF(ROW()=$BG$3,SUM($F$6:$F963),SUM(INDIRECT("$F$"&amp;OFFSET($AU$3,,MATCH(ROW(),$AU$3:$BF$3,)-2)+2&amp;":$E"&amp;ROW()-1))),IF($AR964="本年累计",SUMIF($AR$6:$AR964,"本月合计",$F$6:$F963),INDEX(凭证录入!K:K,$AR964))))</f>
        <v>0</v>
      </c>
      <c r="G964" s="459" t="str">
        <f t="shared" ca="1" si="209"/>
        <v/>
      </c>
      <c r="H964" s="460" t="str">
        <f t="shared" ca="1" si="209"/>
        <v/>
      </c>
      <c r="I964" s="460" t="str">
        <f t="shared" ca="1" si="209"/>
        <v/>
      </c>
      <c r="J964" s="460" t="str">
        <f t="shared" ca="1" si="209"/>
        <v/>
      </c>
      <c r="K964" s="460" t="str">
        <f t="shared" ca="1" si="209"/>
        <v/>
      </c>
      <c r="L964" s="460" t="str">
        <f t="shared" ca="1" si="209"/>
        <v/>
      </c>
      <c r="M964" s="460" t="str">
        <f t="shared" ca="1" si="209"/>
        <v/>
      </c>
      <c r="N964" s="460" t="str">
        <f t="shared" ca="1" si="209"/>
        <v/>
      </c>
      <c r="O964" s="461" t="str">
        <f t="shared" ca="1" si="209"/>
        <v/>
      </c>
      <c r="P964" s="474" t="str">
        <f t="shared" ca="1" si="209"/>
        <v/>
      </c>
      <c r="Q964" s="475" t="str">
        <f t="shared" ca="1" si="209"/>
        <v/>
      </c>
      <c r="R964" s="476">
        <f ca="1">IF(OR($BG$2=0,$AR964=""),,IF($AR964="本月合计",IF(ROW()=$BG$3,SUM($R$6:$R963),SUM(INDIRECT("$R$"&amp;OFFSET($AU$3,,MATCH(ROW(),$AU$3:$BF$3,)-2)+2&amp;":$R"&amp;ROW()-1))),IF($AR964="本年累计",SUMIF($AR$6:$AR964,"本月合计",$R$6:$R963),INDEX(凭证录入!L:L,$AR964))))</f>
        <v>0</v>
      </c>
      <c r="S964" s="459" t="str">
        <f t="shared" ca="1" si="210"/>
        <v/>
      </c>
      <c r="T964" s="460" t="str">
        <f t="shared" ca="1" si="210"/>
        <v/>
      </c>
      <c r="U964" s="460" t="str">
        <f t="shared" ca="1" si="210"/>
        <v/>
      </c>
      <c r="V964" s="460" t="str">
        <f t="shared" ca="1" si="210"/>
        <v/>
      </c>
      <c r="W964" s="460" t="str">
        <f t="shared" ca="1" si="210"/>
        <v/>
      </c>
      <c r="X964" s="460" t="str">
        <f t="shared" ca="1" si="210"/>
        <v/>
      </c>
      <c r="Y964" s="460" t="str">
        <f t="shared" ca="1" si="210"/>
        <v/>
      </c>
      <c r="Z964" s="460" t="str">
        <f t="shared" ca="1" si="210"/>
        <v/>
      </c>
      <c r="AA964" s="461" t="str">
        <f t="shared" ca="1" si="210"/>
        <v/>
      </c>
      <c r="AB964" s="474" t="str">
        <f t="shared" ca="1" si="210"/>
        <v/>
      </c>
      <c r="AC964" s="475" t="str">
        <f t="shared" ca="1" si="210"/>
        <v/>
      </c>
      <c r="AD964" s="477" t="str">
        <f t="shared" ca="1" si="200"/>
        <v/>
      </c>
      <c r="AE964" s="478">
        <f t="shared" ca="1" si="201"/>
        <v>0</v>
      </c>
      <c r="AF964" s="459" t="str">
        <f t="shared" ca="1" si="208"/>
        <v/>
      </c>
      <c r="AG964" s="460" t="str">
        <f t="shared" ca="1" si="208"/>
        <v/>
      </c>
      <c r="AH964" s="460" t="str">
        <f t="shared" ca="1" si="208"/>
        <v/>
      </c>
      <c r="AI964" s="460" t="str">
        <f t="shared" ca="1" si="208"/>
        <v/>
      </c>
      <c r="AJ964" s="460" t="str">
        <f t="shared" ca="1" si="208"/>
        <v/>
      </c>
      <c r="AK964" s="460" t="str">
        <f t="shared" ca="1" si="208"/>
        <v/>
      </c>
      <c r="AL964" s="460" t="str">
        <f t="shared" ca="1" si="208"/>
        <v/>
      </c>
      <c r="AM964" s="460" t="str">
        <f t="shared" ca="1" si="208"/>
        <v/>
      </c>
      <c r="AN964" s="461" t="str">
        <f t="shared" ca="1" si="208"/>
        <v/>
      </c>
      <c r="AO964" s="474" t="str">
        <f t="shared" ca="1" si="208"/>
        <v/>
      </c>
      <c r="AP964" s="475" t="str">
        <f t="shared" ca="1" si="208"/>
        <v/>
      </c>
      <c r="AQ964" s="479" t="str">
        <f t="array" aca="1" ref="AQ964" ca="1">IF(ROW()-5&lt;=COUNTIF(科目编号,$AR$2),SMALL(IF(科目编号=$AR$2,ROW(科目编号),""),ROW()-5),"")</f>
        <v/>
      </c>
      <c r="AR964" s="480" t="str">
        <f ca="1">IF($BG$2=0,"",IF(AR963="本月合计","本年累计",IF(OR(ROW()=$AU$3,ROW()=$AV$3,ROW()=$AW$3,ROW()=$AX$3,ROW()=$AY$3,ROW()=$AZ$3,ROW()=$BA$3,ROW()=$BB$3,ROW()=$BC$3,ROW()=$BD$3,ROW()=$BE$3,ROW()=$BF$3),"本月合计",IF(ROW()&lt;7,$AQ$6,OFFSET($AQ$6,COUNT($AR$6:AR963),0)))))</f>
        <v/>
      </c>
    </row>
    <row r="965" spans="1:44">
      <c r="A965" s="469" t="str">
        <f ca="1">IFERROR(INDEX(凭证录入!A:A,$AR965),"")</f>
        <v/>
      </c>
      <c r="B965" s="469" t="str">
        <f ca="1">IFERROR(INDEX(凭证录入!B:B,$AR965),"")</f>
        <v/>
      </c>
      <c r="C965" s="470" t="str">
        <f ca="1">IFERROR(INDEX(凭证录入!G:G,$AR965),"")</f>
        <v/>
      </c>
      <c r="D965" s="471" t="str">
        <f ca="1">IFERROR(INDEX(凭证录入!F:F,$AR965),"")</f>
        <v/>
      </c>
      <c r="E965" s="472" t="str">
        <f ca="1">IFERROR(INDEX(凭证录入!H:H,$AR965),$AR965)</f>
        <v/>
      </c>
      <c r="F965" s="473">
        <f ca="1">IF(OR($BG$2=0,$AR965=""),,IF($AR965="本月合计",IF(ROW()=$BG$3,SUM($F$6:$F964),SUM(INDIRECT("$F$"&amp;OFFSET($AU$3,,MATCH(ROW(),$AU$3:$BF$3,)-2)+2&amp;":$E"&amp;ROW()-1))),IF($AR965="本年累计",SUMIF($AR$6:$AR965,"本月合计",$F$6:$F964),INDEX(凭证录入!K:K,$AR965))))</f>
        <v>0</v>
      </c>
      <c r="G965" s="459" t="str">
        <f t="shared" ca="1" si="209"/>
        <v/>
      </c>
      <c r="H965" s="460" t="str">
        <f t="shared" ca="1" si="209"/>
        <v/>
      </c>
      <c r="I965" s="460" t="str">
        <f t="shared" ca="1" si="209"/>
        <v/>
      </c>
      <c r="J965" s="460" t="str">
        <f t="shared" ca="1" si="209"/>
        <v/>
      </c>
      <c r="K965" s="460" t="str">
        <f t="shared" ca="1" si="209"/>
        <v/>
      </c>
      <c r="L965" s="460" t="str">
        <f t="shared" ca="1" si="209"/>
        <v/>
      </c>
      <c r="M965" s="460" t="str">
        <f t="shared" ca="1" si="209"/>
        <v/>
      </c>
      <c r="N965" s="460" t="str">
        <f t="shared" ca="1" si="209"/>
        <v/>
      </c>
      <c r="O965" s="461" t="str">
        <f t="shared" ca="1" si="209"/>
        <v/>
      </c>
      <c r="P965" s="474" t="str">
        <f t="shared" ca="1" si="209"/>
        <v/>
      </c>
      <c r="Q965" s="475" t="str">
        <f t="shared" ca="1" si="209"/>
        <v/>
      </c>
      <c r="R965" s="476">
        <f ca="1">IF(OR($BG$2=0,$AR965=""),,IF($AR965="本月合计",IF(ROW()=$BG$3,SUM($R$6:$R964),SUM(INDIRECT("$R$"&amp;OFFSET($AU$3,,MATCH(ROW(),$AU$3:$BF$3,)-2)+2&amp;":$R"&amp;ROW()-1))),IF($AR965="本年累计",SUMIF($AR$6:$AR965,"本月合计",$R$6:$R964),INDEX(凭证录入!L:L,$AR965))))</f>
        <v>0</v>
      </c>
      <c r="S965" s="459" t="str">
        <f t="shared" ca="1" si="210"/>
        <v/>
      </c>
      <c r="T965" s="460" t="str">
        <f t="shared" ca="1" si="210"/>
        <v/>
      </c>
      <c r="U965" s="460" t="str">
        <f t="shared" ca="1" si="210"/>
        <v/>
      </c>
      <c r="V965" s="460" t="str">
        <f t="shared" ca="1" si="210"/>
        <v/>
      </c>
      <c r="W965" s="460" t="str">
        <f t="shared" ca="1" si="210"/>
        <v/>
      </c>
      <c r="X965" s="460" t="str">
        <f t="shared" ca="1" si="210"/>
        <v/>
      </c>
      <c r="Y965" s="460" t="str">
        <f t="shared" ca="1" si="210"/>
        <v/>
      </c>
      <c r="Z965" s="460" t="str">
        <f t="shared" ca="1" si="210"/>
        <v/>
      </c>
      <c r="AA965" s="461" t="str">
        <f t="shared" ca="1" si="210"/>
        <v/>
      </c>
      <c r="AB965" s="474" t="str">
        <f t="shared" ca="1" si="210"/>
        <v/>
      </c>
      <c r="AC965" s="475" t="str">
        <f t="shared" ca="1" si="210"/>
        <v/>
      </c>
      <c r="AD965" s="477" t="str">
        <f t="shared" ca="1" si="200"/>
        <v/>
      </c>
      <c r="AE965" s="478">
        <f t="shared" ca="1" si="201"/>
        <v>0</v>
      </c>
      <c r="AF965" s="459" t="str">
        <f t="shared" ref="AF965:AP980" ca="1" si="211">LEFT(RIGHT(TEXT($AE965/1%," ￥0; ￥-0;"),43-COLUMN()))</f>
        <v/>
      </c>
      <c r="AG965" s="460" t="str">
        <f t="shared" ca="1" si="211"/>
        <v/>
      </c>
      <c r="AH965" s="460" t="str">
        <f t="shared" ca="1" si="211"/>
        <v/>
      </c>
      <c r="AI965" s="460" t="str">
        <f t="shared" ca="1" si="211"/>
        <v/>
      </c>
      <c r="AJ965" s="460" t="str">
        <f t="shared" ca="1" si="211"/>
        <v/>
      </c>
      <c r="AK965" s="460" t="str">
        <f t="shared" ca="1" si="211"/>
        <v/>
      </c>
      <c r="AL965" s="460" t="str">
        <f t="shared" ca="1" si="211"/>
        <v/>
      </c>
      <c r="AM965" s="460" t="str">
        <f t="shared" ca="1" si="211"/>
        <v/>
      </c>
      <c r="AN965" s="461" t="str">
        <f t="shared" ca="1" si="211"/>
        <v/>
      </c>
      <c r="AO965" s="474" t="str">
        <f t="shared" ca="1" si="211"/>
        <v/>
      </c>
      <c r="AP965" s="475" t="str">
        <f t="shared" ca="1" si="211"/>
        <v/>
      </c>
      <c r="AQ965" s="479" t="str">
        <f t="array" aca="1" ref="AQ965" ca="1">IF(ROW()-5&lt;=COUNTIF(科目编号,$AR$2),SMALL(IF(科目编号=$AR$2,ROW(科目编号),""),ROW()-5),"")</f>
        <v/>
      </c>
      <c r="AR965" s="480" t="str">
        <f ca="1">IF($BG$2=0,"",IF(AR964="本月合计","本年累计",IF(OR(ROW()=$AU$3,ROW()=$AV$3,ROW()=$AW$3,ROW()=$AX$3,ROW()=$AY$3,ROW()=$AZ$3,ROW()=$BA$3,ROW()=$BB$3,ROW()=$BC$3,ROW()=$BD$3,ROW()=$BE$3,ROW()=$BF$3),"本月合计",IF(ROW()&lt;7,$AQ$6,OFFSET($AQ$6,COUNT($AR$6:AR964),0)))))</f>
        <v/>
      </c>
    </row>
    <row r="966" spans="1:44">
      <c r="A966" s="469" t="str">
        <f ca="1">IFERROR(INDEX(凭证录入!A:A,$AR966),"")</f>
        <v/>
      </c>
      <c r="B966" s="469" t="str">
        <f ca="1">IFERROR(INDEX(凭证录入!B:B,$AR966),"")</f>
        <v/>
      </c>
      <c r="C966" s="470" t="str">
        <f ca="1">IFERROR(INDEX(凭证录入!G:G,$AR966),"")</f>
        <v/>
      </c>
      <c r="D966" s="471" t="str">
        <f ca="1">IFERROR(INDEX(凭证录入!F:F,$AR966),"")</f>
        <v/>
      </c>
      <c r="E966" s="472" t="str">
        <f ca="1">IFERROR(INDEX(凭证录入!H:H,$AR966),$AR966)</f>
        <v/>
      </c>
      <c r="F966" s="473">
        <f ca="1">IF(OR($BG$2=0,$AR966=""),,IF($AR966="本月合计",IF(ROW()=$BG$3,SUM($F$6:$F965),SUM(INDIRECT("$F$"&amp;OFFSET($AU$3,,MATCH(ROW(),$AU$3:$BF$3,)-2)+2&amp;":$E"&amp;ROW()-1))),IF($AR966="本年累计",SUMIF($AR$6:$AR966,"本月合计",$F$6:$F965),INDEX(凭证录入!K:K,$AR966))))</f>
        <v>0</v>
      </c>
      <c r="G966" s="459" t="str">
        <f t="shared" ref="G966:Q981" ca="1" si="212">LEFT(RIGHT(TEXT($F966/1%," ￥0; ￥-0;"),18-COLUMN()))</f>
        <v/>
      </c>
      <c r="H966" s="460" t="str">
        <f t="shared" ca="1" si="212"/>
        <v/>
      </c>
      <c r="I966" s="460" t="str">
        <f t="shared" ca="1" si="212"/>
        <v/>
      </c>
      <c r="J966" s="460" t="str">
        <f t="shared" ca="1" si="212"/>
        <v/>
      </c>
      <c r="K966" s="460" t="str">
        <f t="shared" ca="1" si="212"/>
        <v/>
      </c>
      <c r="L966" s="460" t="str">
        <f t="shared" ca="1" si="212"/>
        <v/>
      </c>
      <c r="M966" s="460" t="str">
        <f t="shared" ca="1" si="212"/>
        <v/>
      </c>
      <c r="N966" s="460" t="str">
        <f t="shared" ca="1" si="212"/>
        <v/>
      </c>
      <c r="O966" s="461" t="str">
        <f t="shared" ca="1" si="212"/>
        <v/>
      </c>
      <c r="P966" s="474" t="str">
        <f t="shared" ca="1" si="212"/>
        <v/>
      </c>
      <c r="Q966" s="475" t="str">
        <f t="shared" ca="1" si="212"/>
        <v/>
      </c>
      <c r="R966" s="476">
        <f ca="1">IF(OR($BG$2=0,$AR966=""),,IF($AR966="本月合计",IF(ROW()=$BG$3,SUM($R$6:$R965),SUM(INDIRECT("$R$"&amp;OFFSET($AU$3,,MATCH(ROW(),$AU$3:$BF$3,)-2)+2&amp;":$R"&amp;ROW()-1))),IF($AR966="本年累计",SUMIF($AR$6:$AR966,"本月合计",$R$6:$R965),INDEX(凭证录入!L:L,$AR966))))</f>
        <v>0</v>
      </c>
      <c r="S966" s="459" t="str">
        <f t="shared" ref="S966:AC981" ca="1" si="213">LEFT(RIGHT(TEXT($R966/1%," ￥0; ￥-0;"),30-COLUMN()))</f>
        <v/>
      </c>
      <c r="T966" s="460" t="str">
        <f t="shared" ca="1" si="213"/>
        <v/>
      </c>
      <c r="U966" s="460" t="str">
        <f t="shared" ca="1" si="213"/>
        <v/>
      </c>
      <c r="V966" s="460" t="str">
        <f t="shared" ca="1" si="213"/>
        <v/>
      </c>
      <c r="W966" s="460" t="str">
        <f t="shared" ca="1" si="213"/>
        <v/>
      </c>
      <c r="X966" s="460" t="str">
        <f t="shared" ca="1" si="213"/>
        <v/>
      </c>
      <c r="Y966" s="460" t="str">
        <f t="shared" ca="1" si="213"/>
        <v/>
      </c>
      <c r="Z966" s="460" t="str">
        <f t="shared" ca="1" si="213"/>
        <v/>
      </c>
      <c r="AA966" s="461" t="str">
        <f t="shared" ca="1" si="213"/>
        <v/>
      </c>
      <c r="AB966" s="474" t="str">
        <f t="shared" ca="1" si="213"/>
        <v/>
      </c>
      <c r="AC966" s="475" t="str">
        <f t="shared" ca="1" si="213"/>
        <v/>
      </c>
      <c r="AD966" s="477" t="str">
        <f t="shared" ref="AD966:AD1000" ca="1" si="214">IF(OR($BG$2=0,$AR966="",$AR966="本月合计",$AR966="本年累计"),"",IF(OR(AND($AD965="",$AE965="",$AD963&lt;&gt;"借",$AD963&lt;&gt;"贷",($F966-$R966)&gt;=0),AND($AD965="",$AE965&lt;&gt;"",$AD963="借",($AE964+$F966-$R966)&gt;=0),AND($AD965="",$AE965&lt;&gt;"",$AD963="贷",(-$AE964+$F966-$R966)&gt;=0),AND($AD965="借",($AE965+$F966-$R966)&gt;=0),AND($AD965="贷",(-$AE965+$F966-$R966)&gt;=0),),"借","贷"))</f>
        <v/>
      </c>
      <c r="AE966" s="478">
        <f t="shared" ref="AE966:AE1000" ca="1" si="215">IF(OR($BG$2=0,$AR966=""),,IF(OR($AR966="本月合计",$AR966="本年累计"),$AE965,IF(OR(AD965="借",AND(AD965="",AD964="",AD963="借")),ABS(AE965+F966-R966),ABS(-AE965+F966-R966))))</f>
        <v>0</v>
      </c>
      <c r="AF966" s="459" t="str">
        <f t="shared" ca="1" si="211"/>
        <v/>
      </c>
      <c r="AG966" s="460" t="str">
        <f t="shared" ca="1" si="211"/>
        <v/>
      </c>
      <c r="AH966" s="460" t="str">
        <f t="shared" ca="1" si="211"/>
        <v/>
      </c>
      <c r="AI966" s="460" t="str">
        <f t="shared" ca="1" si="211"/>
        <v/>
      </c>
      <c r="AJ966" s="460" t="str">
        <f t="shared" ca="1" si="211"/>
        <v/>
      </c>
      <c r="AK966" s="460" t="str">
        <f t="shared" ca="1" si="211"/>
        <v/>
      </c>
      <c r="AL966" s="460" t="str">
        <f t="shared" ca="1" si="211"/>
        <v/>
      </c>
      <c r="AM966" s="460" t="str">
        <f t="shared" ca="1" si="211"/>
        <v/>
      </c>
      <c r="AN966" s="461" t="str">
        <f t="shared" ca="1" si="211"/>
        <v/>
      </c>
      <c r="AO966" s="474" t="str">
        <f t="shared" ca="1" si="211"/>
        <v/>
      </c>
      <c r="AP966" s="475" t="str">
        <f t="shared" ca="1" si="211"/>
        <v/>
      </c>
      <c r="AQ966" s="479" t="str">
        <f t="array" aca="1" ref="AQ966" ca="1">IF(ROW()-5&lt;=COUNTIF(科目编号,$AR$2),SMALL(IF(科目编号=$AR$2,ROW(科目编号),""),ROW()-5),"")</f>
        <v/>
      </c>
      <c r="AR966" s="480" t="str">
        <f ca="1">IF($BG$2=0,"",IF(AR965="本月合计","本年累计",IF(OR(ROW()=$AU$3,ROW()=$AV$3,ROW()=$AW$3,ROW()=$AX$3,ROW()=$AY$3,ROW()=$AZ$3,ROW()=$BA$3,ROW()=$BB$3,ROW()=$BC$3,ROW()=$BD$3,ROW()=$BE$3,ROW()=$BF$3),"本月合计",IF(ROW()&lt;7,$AQ$6,OFFSET($AQ$6,COUNT($AR$6:AR965),0)))))</f>
        <v/>
      </c>
    </row>
    <row r="967" spans="1:44">
      <c r="A967" s="469" t="str">
        <f ca="1">IFERROR(INDEX(凭证录入!A:A,$AR967),"")</f>
        <v/>
      </c>
      <c r="B967" s="469" t="str">
        <f ca="1">IFERROR(INDEX(凭证录入!B:B,$AR967),"")</f>
        <v/>
      </c>
      <c r="C967" s="470" t="str">
        <f ca="1">IFERROR(INDEX(凭证录入!G:G,$AR967),"")</f>
        <v/>
      </c>
      <c r="D967" s="471" t="str">
        <f ca="1">IFERROR(INDEX(凭证录入!F:F,$AR967),"")</f>
        <v/>
      </c>
      <c r="E967" s="472" t="str">
        <f ca="1">IFERROR(INDEX(凭证录入!H:H,$AR967),$AR967)</f>
        <v/>
      </c>
      <c r="F967" s="473">
        <f ca="1">IF(OR($BG$2=0,$AR967=""),,IF($AR967="本月合计",IF(ROW()=$BG$3,SUM($F$6:$F966),SUM(INDIRECT("$F$"&amp;OFFSET($AU$3,,MATCH(ROW(),$AU$3:$BF$3,)-2)+2&amp;":$E"&amp;ROW()-1))),IF($AR967="本年累计",SUMIF($AR$6:$AR967,"本月合计",$F$6:$F966),INDEX(凭证录入!K:K,$AR967))))</f>
        <v>0</v>
      </c>
      <c r="G967" s="459" t="str">
        <f t="shared" ca="1" si="212"/>
        <v/>
      </c>
      <c r="H967" s="460" t="str">
        <f t="shared" ca="1" si="212"/>
        <v/>
      </c>
      <c r="I967" s="460" t="str">
        <f t="shared" ca="1" si="212"/>
        <v/>
      </c>
      <c r="J967" s="460" t="str">
        <f t="shared" ca="1" si="212"/>
        <v/>
      </c>
      <c r="K967" s="460" t="str">
        <f t="shared" ca="1" si="212"/>
        <v/>
      </c>
      <c r="L967" s="460" t="str">
        <f t="shared" ca="1" si="212"/>
        <v/>
      </c>
      <c r="M967" s="460" t="str">
        <f t="shared" ca="1" si="212"/>
        <v/>
      </c>
      <c r="N967" s="460" t="str">
        <f t="shared" ca="1" si="212"/>
        <v/>
      </c>
      <c r="O967" s="461" t="str">
        <f t="shared" ca="1" si="212"/>
        <v/>
      </c>
      <c r="P967" s="474" t="str">
        <f t="shared" ca="1" si="212"/>
        <v/>
      </c>
      <c r="Q967" s="475" t="str">
        <f t="shared" ca="1" si="212"/>
        <v/>
      </c>
      <c r="R967" s="476">
        <f ca="1">IF(OR($BG$2=0,$AR967=""),,IF($AR967="本月合计",IF(ROW()=$BG$3,SUM($R$6:$R966),SUM(INDIRECT("$R$"&amp;OFFSET($AU$3,,MATCH(ROW(),$AU$3:$BF$3,)-2)+2&amp;":$R"&amp;ROW()-1))),IF($AR967="本年累计",SUMIF($AR$6:$AR967,"本月合计",$R$6:$R966),INDEX(凭证录入!L:L,$AR967))))</f>
        <v>0</v>
      </c>
      <c r="S967" s="459" t="str">
        <f t="shared" ca="1" si="213"/>
        <v/>
      </c>
      <c r="T967" s="460" t="str">
        <f t="shared" ca="1" si="213"/>
        <v/>
      </c>
      <c r="U967" s="460" t="str">
        <f t="shared" ca="1" si="213"/>
        <v/>
      </c>
      <c r="V967" s="460" t="str">
        <f t="shared" ca="1" si="213"/>
        <v/>
      </c>
      <c r="W967" s="460" t="str">
        <f t="shared" ca="1" si="213"/>
        <v/>
      </c>
      <c r="X967" s="460" t="str">
        <f t="shared" ca="1" si="213"/>
        <v/>
      </c>
      <c r="Y967" s="460" t="str">
        <f t="shared" ca="1" si="213"/>
        <v/>
      </c>
      <c r="Z967" s="460" t="str">
        <f t="shared" ca="1" si="213"/>
        <v/>
      </c>
      <c r="AA967" s="461" t="str">
        <f t="shared" ca="1" si="213"/>
        <v/>
      </c>
      <c r="AB967" s="474" t="str">
        <f t="shared" ca="1" si="213"/>
        <v/>
      </c>
      <c r="AC967" s="475" t="str">
        <f t="shared" ca="1" si="213"/>
        <v/>
      </c>
      <c r="AD967" s="477" t="str">
        <f t="shared" ca="1" si="214"/>
        <v/>
      </c>
      <c r="AE967" s="478">
        <f t="shared" ca="1" si="215"/>
        <v>0</v>
      </c>
      <c r="AF967" s="459" t="str">
        <f t="shared" ca="1" si="211"/>
        <v/>
      </c>
      <c r="AG967" s="460" t="str">
        <f t="shared" ca="1" si="211"/>
        <v/>
      </c>
      <c r="AH967" s="460" t="str">
        <f t="shared" ca="1" si="211"/>
        <v/>
      </c>
      <c r="AI967" s="460" t="str">
        <f t="shared" ca="1" si="211"/>
        <v/>
      </c>
      <c r="AJ967" s="460" t="str">
        <f t="shared" ca="1" si="211"/>
        <v/>
      </c>
      <c r="AK967" s="460" t="str">
        <f t="shared" ca="1" si="211"/>
        <v/>
      </c>
      <c r="AL967" s="460" t="str">
        <f t="shared" ca="1" si="211"/>
        <v/>
      </c>
      <c r="AM967" s="460" t="str">
        <f t="shared" ca="1" si="211"/>
        <v/>
      </c>
      <c r="AN967" s="461" t="str">
        <f t="shared" ca="1" si="211"/>
        <v/>
      </c>
      <c r="AO967" s="474" t="str">
        <f t="shared" ca="1" si="211"/>
        <v/>
      </c>
      <c r="AP967" s="475" t="str">
        <f t="shared" ca="1" si="211"/>
        <v/>
      </c>
      <c r="AQ967" s="479" t="str">
        <f t="array" aca="1" ref="AQ967" ca="1">IF(ROW()-5&lt;=COUNTIF(科目编号,$AR$2),SMALL(IF(科目编号=$AR$2,ROW(科目编号),""),ROW()-5),"")</f>
        <v/>
      </c>
      <c r="AR967" s="480" t="str">
        <f ca="1">IF($BG$2=0,"",IF(AR966="本月合计","本年累计",IF(OR(ROW()=$AU$3,ROW()=$AV$3,ROW()=$AW$3,ROW()=$AX$3,ROW()=$AY$3,ROW()=$AZ$3,ROW()=$BA$3,ROW()=$BB$3,ROW()=$BC$3,ROW()=$BD$3,ROW()=$BE$3,ROW()=$BF$3),"本月合计",IF(ROW()&lt;7,$AQ$6,OFFSET($AQ$6,COUNT($AR$6:AR966),0)))))</f>
        <v/>
      </c>
    </row>
    <row r="968" spans="1:44">
      <c r="A968" s="469" t="str">
        <f ca="1">IFERROR(INDEX(凭证录入!A:A,$AR968),"")</f>
        <v/>
      </c>
      <c r="B968" s="469" t="str">
        <f ca="1">IFERROR(INDEX(凭证录入!B:B,$AR968),"")</f>
        <v/>
      </c>
      <c r="C968" s="470" t="str">
        <f ca="1">IFERROR(INDEX(凭证录入!G:G,$AR968),"")</f>
        <v/>
      </c>
      <c r="D968" s="471" t="str">
        <f ca="1">IFERROR(INDEX(凭证录入!F:F,$AR968),"")</f>
        <v/>
      </c>
      <c r="E968" s="472" t="str">
        <f ca="1">IFERROR(INDEX(凭证录入!H:H,$AR968),$AR968)</f>
        <v/>
      </c>
      <c r="F968" s="473">
        <f ca="1">IF(OR($BG$2=0,$AR968=""),,IF($AR968="本月合计",IF(ROW()=$BG$3,SUM($F$6:$F967),SUM(INDIRECT("$F$"&amp;OFFSET($AU$3,,MATCH(ROW(),$AU$3:$BF$3,)-2)+2&amp;":$E"&amp;ROW()-1))),IF($AR968="本年累计",SUMIF($AR$6:$AR968,"本月合计",$F$6:$F967),INDEX(凭证录入!K:K,$AR968))))</f>
        <v>0</v>
      </c>
      <c r="G968" s="459" t="str">
        <f t="shared" ca="1" si="212"/>
        <v/>
      </c>
      <c r="H968" s="460" t="str">
        <f t="shared" ca="1" si="212"/>
        <v/>
      </c>
      <c r="I968" s="460" t="str">
        <f t="shared" ca="1" si="212"/>
        <v/>
      </c>
      <c r="J968" s="460" t="str">
        <f t="shared" ca="1" si="212"/>
        <v/>
      </c>
      <c r="K968" s="460" t="str">
        <f t="shared" ca="1" si="212"/>
        <v/>
      </c>
      <c r="L968" s="460" t="str">
        <f t="shared" ca="1" si="212"/>
        <v/>
      </c>
      <c r="M968" s="460" t="str">
        <f t="shared" ca="1" si="212"/>
        <v/>
      </c>
      <c r="N968" s="460" t="str">
        <f t="shared" ca="1" si="212"/>
        <v/>
      </c>
      <c r="O968" s="461" t="str">
        <f t="shared" ca="1" si="212"/>
        <v/>
      </c>
      <c r="P968" s="474" t="str">
        <f t="shared" ca="1" si="212"/>
        <v/>
      </c>
      <c r="Q968" s="475" t="str">
        <f t="shared" ca="1" si="212"/>
        <v/>
      </c>
      <c r="R968" s="476">
        <f ca="1">IF(OR($BG$2=0,$AR968=""),,IF($AR968="本月合计",IF(ROW()=$BG$3,SUM($R$6:$R967),SUM(INDIRECT("$R$"&amp;OFFSET($AU$3,,MATCH(ROW(),$AU$3:$BF$3,)-2)+2&amp;":$R"&amp;ROW()-1))),IF($AR968="本年累计",SUMIF($AR$6:$AR968,"本月合计",$R$6:$R967),INDEX(凭证录入!L:L,$AR968))))</f>
        <v>0</v>
      </c>
      <c r="S968" s="459" t="str">
        <f t="shared" ca="1" si="213"/>
        <v/>
      </c>
      <c r="T968" s="460" t="str">
        <f t="shared" ca="1" si="213"/>
        <v/>
      </c>
      <c r="U968" s="460" t="str">
        <f t="shared" ca="1" si="213"/>
        <v/>
      </c>
      <c r="V968" s="460" t="str">
        <f t="shared" ca="1" si="213"/>
        <v/>
      </c>
      <c r="W968" s="460" t="str">
        <f t="shared" ca="1" si="213"/>
        <v/>
      </c>
      <c r="X968" s="460" t="str">
        <f t="shared" ca="1" si="213"/>
        <v/>
      </c>
      <c r="Y968" s="460" t="str">
        <f t="shared" ca="1" si="213"/>
        <v/>
      </c>
      <c r="Z968" s="460" t="str">
        <f t="shared" ca="1" si="213"/>
        <v/>
      </c>
      <c r="AA968" s="461" t="str">
        <f t="shared" ca="1" si="213"/>
        <v/>
      </c>
      <c r="AB968" s="474" t="str">
        <f t="shared" ca="1" si="213"/>
        <v/>
      </c>
      <c r="AC968" s="475" t="str">
        <f t="shared" ca="1" si="213"/>
        <v/>
      </c>
      <c r="AD968" s="477" t="str">
        <f t="shared" ca="1" si="214"/>
        <v/>
      </c>
      <c r="AE968" s="478">
        <f t="shared" ca="1" si="215"/>
        <v>0</v>
      </c>
      <c r="AF968" s="459" t="str">
        <f t="shared" ca="1" si="211"/>
        <v/>
      </c>
      <c r="AG968" s="460" t="str">
        <f t="shared" ca="1" si="211"/>
        <v/>
      </c>
      <c r="AH968" s="460" t="str">
        <f t="shared" ca="1" si="211"/>
        <v/>
      </c>
      <c r="AI968" s="460" t="str">
        <f t="shared" ca="1" si="211"/>
        <v/>
      </c>
      <c r="AJ968" s="460" t="str">
        <f t="shared" ca="1" si="211"/>
        <v/>
      </c>
      <c r="AK968" s="460" t="str">
        <f t="shared" ca="1" si="211"/>
        <v/>
      </c>
      <c r="AL968" s="460" t="str">
        <f t="shared" ca="1" si="211"/>
        <v/>
      </c>
      <c r="AM968" s="460" t="str">
        <f t="shared" ca="1" si="211"/>
        <v/>
      </c>
      <c r="AN968" s="461" t="str">
        <f t="shared" ca="1" si="211"/>
        <v/>
      </c>
      <c r="AO968" s="474" t="str">
        <f t="shared" ca="1" si="211"/>
        <v/>
      </c>
      <c r="AP968" s="475" t="str">
        <f t="shared" ca="1" si="211"/>
        <v/>
      </c>
      <c r="AQ968" s="479" t="str">
        <f t="array" aca="1" ref="AQ968" ca="1">IF(ROW()-5&lt;=COUNTIF(科目编号,$AR$2),SMALL(IF(科目编号=$AR$2,ROW(科目编号),""),ROW()-5),"")</f>
        <v/>
      </c>
      <c r="AR968" s="480" t="str">
        <f ca="1">IF($BG$2=0,"",IF(AR967="本月合计","本年累计",IF(OR(ROW()=$AU$3,ROW()=$AV$3,ROW()=$AW$3,ROW()=$AX$3,ROW()=$AY$3,ROW()=$AZ$3,ROW()=$BA$3,ROW()=$BB$3,ROW()=$BC$3,ROW()=$BD$3,ROW()=$BE$3,ROW()=$BF$3),"本月合计",IF(ROW()&lt;7,$AQ$6,OFFSET($AQ$6,COUNT($AR$6:AR967),0)))))</f>
        <v/>
      </c>
    </row>
    <row r="969" spans="1:44">
      <c r="A969" s="469" t="str">
        <f ca="1">IFERROR(INDEX(凭证录入!A:A,$AR969),"")</f>
        <v/>
      </c>
      <c r="B969" s="469" t="str">
        <f ca="1">IFERROR(INDEX(凭证录入!B:B,$AR969),"")</f>
        <v/>
      </c>
      <c r="C969" s="470" t="str">
        <f ca="1">IFERROR(INDEX(凭证录入!G:G,$AR969),"")</f>
        <v/>
      </c>
      <c r="D969" s="471" t="str">
        <f ca="1">IFERROR(INDEX(凭证录入!F:F,$AR969),"")</f>
        <v/>
      </c>
      <c r="E969" s="472" t="str">
        <f ca="1">IFERROR(INDEX(凭证录入!H:H,$AR969),$AR969)</f>
        <v/>
      </c>
      <c r="F969" s="473">
        <f ca="1">IF(OR($BG$2=0,$AR969=""),,IF($AR969="本月合计",IF(ROW()=$BG$3,SUM($F$6:$F968),SUM(INDIRECT("$F$"&amp;OFFSET($AU$3,,MATCH(ROW(),$AU$3:$BF$3,)-2)+2&amp;":$E"&amp;ROW()-1))),IF($AR969="本年累计",SUMIF($AR$6:$AR969,"本月合计",$F$6:$F968),INDEX(凭证录入!K:K,$AR969))))</f>
        <v>0</v>
      </c>
      <c r="G969" s="459" t="str">
        <f t="shared" ca="1" si="212"/>
        <v/>
      </c>
      <c r="H969" s="460" t="str">
        <f t="shared" ca="1" si="212"/>
        <v/>
      </c>
      <c r="I969" s="460" t="str">
        <f t="shared" ca="1" si="212"/>
        <v/>
      </c>
      <c r="J969" s="460" t="str">
        <f t="shared" ca="1" si="212"/>
        <v/>
      </c>
      <c r="K969" s="460" t="str">
        <f t="shared" ca="1" si="212"/>
        <v/>
      </c>
      <c r="L969" s="460" t="str">
        <f t="shared" ca="1" si="212"/>
        <v/>
      </c>
      <c r="M969" s="460" t="str">
        <f t="shared" ca="1" si="212"/>
        <v/>
      </c>
      <c r="N969" s="460" t="str">
        <f t="shared" ca="1" si="212"/>
        <v/>
      </c>
      <c r="O969" s="461" t="str">
        <f t="shared" ca="1" si="212"/>
        <v/>
      </c>
      <c r="P969" s="474" t="str">
        <f t="shared" ca="1" si="212"/>
        <v/>
      </c>
      <c r="Q969" s="475" t="str">
        <f t="shared" ca="1" si="212"/>
        <v/>
      </c>
      <c r="R969" s="476">
        <f ca="1">IF(OR($BG$2=0,$AR969=""),,IF($AR969="本月合计",IF(ROW()=$BG$3,SUM($R$6:$R968),SUM(INDIRECT("$R$"&amp;OFFSET($AU$3,,MATCH(ROW(),$AU$3:$BF$3,)-2)+2&amp;":$R"&amp;ROW()-1))),IF($AR969="本年累计",SUMIF($AR$6:$AR969,"本月合计",$R$6:$R968),INDEX(凭证录入!L:L,$AR969))))</f>
        <v>0</v>
      </c>
      <c r="S969" s="459" t="str">
        <f t="shared" ca="1" si="213"/>
        <v/>
      </c>
      <c r="T969" s="460" t="str">
        <f t="shared" ca="1" si="213"/>
        <v/>
      </c>
      <c r="U969" s="460" t="str">
        <f t="shared" ca="1" si="213"/>
        <v/>
      </c>
      <c r="V969" s="460" t="str">
        <f t="shared" ca="1" si="213"/>
        <v/>
      </c>
      <c r="W969" s="460" t="str">
        <f t="shared" ca="1" si="213"/>
        <v/>
      </c>
      <c r="X969" s="460" t="str">
        <f t="shared" ca="1" si="213"/>
        <v/>
      </c>
      <c r="Y969" s="460" t="str">
        <f t="shared" ca="1" si="213"/>
        <v/>
      </c>
      <c r="Z969" s="460" t="str">
        <f t="shared" ca="1" si="213"/>
        <v/>
      </c>
      <c r="AA969" s="461" t="str">
        <f t="shared" ca="1" si="213"/>
        <v/>
      </c>
      <c r="AB969" s="474" t="str">
        <f t="shared" ca="1" si="213"/>
        <v/>
      </c>
      <c r="AC969" s="475" t="str">
        <f t="shared" ca="1" si="213"/>
        <v/>
      </c>
      <c r="AD969" s="477" t="str">
        <f t="shared" ca="1" si="214"/>
        <v/>
      </c>
      <c r="AE969" s="478">
        <f t="shared" ca="1" si="215"/>
        <v>0</v>
      </c>
      <c r="AF969" s="459" t="str">
        <f t="shared" ca="1" si="211"/>
        <v/>
      </c>
      <c r="AG969" s="460" t="str">
        <f t="shared" ca="1" si="211"/>
        <v/>
      </c>
      <c r="AH969" s="460" t="str">
        <f t="shared" ca="1" si="211"/>
        <v/>
      </c>
      <c r="AI969" s="460" t="str">
        <f t="shared" ca="1" si="211"/>
        <v/>
      </c>
      <c r="AJ969" s="460" t="str">
        <f t="shared" ca="1" si="211"/>
        <v/>
      </c>
      <c r="AK969" s="460" t="str">
        <f t="shared" ca="1" si="211"/>
        <v/>
      </c>
      <c r="AL969" s="460" t="str">
        <f t="shared" ca="1" si="211"/>
        <v/>
      </c>
      <c r="AM969" s="460" t="str">
        <f t="shared" ca="1" si="211"/>
        <v/>
      </c>
      <c r="AN969" s="461" t="str">
        <f t="shared" ca="1" si="211"/>
        <v/>
      </c>
      <c r="AO969" s="474" t="str">
        <f t="shared" ca="1" si="211"/>
        <v/>
      </c>
      <c r="AP969" s="475" t="str">
        <f t="shared" ca="1" si="211"/>
        <v/>
      </c>
      <c r="AQ969" s="479" t="str">
        <f t="array" aca="1" ref="AQ969" ca="1">IF(ROW()-5&lt;=COUNTIF(科目编号,$AR$2),SMALL(IF(科目编号=$AR$2,ROW(科目编号),""),ROW()-5),"")</f>
        <v/>
      </c>
      <c r="AR969" s="480" t="str">
        <f ca="1">IF($BG$2=0,"",IF(AR968="本月合计","本年累计",IF(OR(ROW()=$AU$3,ROW()=$AV$3,ROW()=$AW$3,ROW()=$AX$3,ROW()=$AY$3,ROW()=$AZ$3,ROW()=$BA$3,ROW()=$BB$3,ROW()=$BC$3,ROW()=$BD$3,ROW()=$BE$3,ROW()=$BF$3),"本月合计",IF(ROW()&lt;7,$AQ$6,OFFSET($AQ$6,COUNT($AR$6:AR968),0)))))</f>
        <v/>
      </c>
    </row>
    <row r="970" spans="1:44">
      <c r="A970" s="469" t="str">
        <f ca="1">IFERROR(INDEX(凭证录入!A:A,$AR970),"")</f>
        <v/>
      </c>
      <c r="B970" s="469" t="str">
        <f ca="1">IFERROR(INDEX(凭证录入!B:B,$AR970),"")</f>
        <v/>
      </c>
      <c r="C970" s="470" t="str">
        <f ca="1">IFERROR(INDEX(凭证录入!G:G,$AR970),"")</f>
        <v/>
      </c>
      <c r="D970" s="471" t="str">
        <f ca="1">IFERROR(INDEX(凭证录入!F:F,$AR970),"")</f>
        <v/>
      </c>
      <c r="E970" s="472" t="str">
        <f ca="1">IFERROR(INDEX(凭证录入!H:H,$AR970),$AR970)</f>
        <v/>
      </c>
      <c r="F970" s="473">
        <f ca="1">IF(OR($BG$2=0,$AR970=""),,IF($AR970="本月合计",IF(ROW()=$BG$3,SUM($F$6:$F969),SUM(INDIRECT("$F$"&amp;OFFSET($AU$3,,MATCH(ROW(),$AU$3:$BF$3,)-2)+2&amp;":$E"&amp;ROW()-1))),IF($AR970="本年累计",SUMIF($AR$6:$AR970,"本月合计",$F$6:$F969),INDEX(凭证录入!K:K,$AR970))))</f>
        <v>0</v>
      </c>
      <c r="G970" s="459" t="str">
        <f t="shared" ca="1" si="212"/>
        <v/>
      </c>
      <c r="H970" s="460" t="str">
        <f t="shared" ca="1" si="212"/>
        <v/>
      </c>
      <c r="I970" s="460" t="str">
        <f t="shared" ca="1" si="212"/>
        <v/>
      </c>
      <c r="J970" s="460" t="str">
        <f t="shared" ca="1" si="212"/>
        <v/>
      </c>
      <c r="K970" s="460" t="str">
        <f t="shared" ca="1" si="212"/>
        <v/>
      </c>
      <c r="L970" s="460" t="str">
        <f t="shared" ca="1" si="212"/>
        <v/>
      </c>
      <c r="M970" s="460" t="str">
        <f t="shared" ca="1" si="212"/>
        <v/>
      </c>
      <c r="N970" s="460" t="str">
        <f t="shared" ca="1" si="212"/>
        <v/>
      </c>
      <c r="O970" s="461" t="str">
        <f t="shared" ca="1" si="212"/>
        <v/>
      </c>
      <c r="P970" s="474" t="str">
        <f t="shared" ca="1" si="212"/>
        <v/>
      </c>
      <c r="Q970" s="475" t="str">
        <f t="shared" ca="1" si="212"/>
        <v/>
      </c>
      <c r="R970" s="476">
        <f ca="1">IF(OR($BG$2=0,$AR970=""),,IF($AR970="本月合计",IF(ROW()=$BG$3,SUM($R$6:$R969),SUM(INDIRECT("$R$"&amp;OFFSET($AU$3,,MATCH(ROW(),$AU$3:$BF$3,)-2)+2&amp;":$R"&amp;ROW()-1))),IF($AR970="本年累计",SUMIF($AR$6:$AR970,"本月合计",$R$6:$R969),INDEX(凭证录入!L:L,$AR970))))</f>
        <v>0</v>
      </c>
      <c r="S970" s="459" t="str">
        <f t="shared" ca="1" si="213"/>
        <v/>
      </c>
      <c r="T970" s="460" t="str">
        <f t="shared" ca="1" si="213"/>
        <v/>
      </c>
      <c r="U970" s="460" t="str">
        <f t="shared" ca="1" si="213"/>
        <v/>
      </c>
      <c r="V970" s="460" t="str">
        <f t="shared" ca="1" si="213"/>
        <v/>
      </c>
      <c r="W970" s="460" t="str">
        <f t="shared" ca="1" si="213"/>
        <v/>
      </c>
      <c r="X970" s="460" t="str">
        <f t="shared" ca="1" si="213"/>
        <v/>
      </c>
      <c r="Y970" s="460" t="str">
        <f t="shared" ca="1" si="213"/>
        <v/>
      </c>
      <c r="Z970" s="460" t="str">
        <f t="shared" ca="1" si="213"/>
        <v/>
      </c>
      <c r="AA970" s="461" t="str">
        <f t="shared" ca="1" si="213"/>
        <v/>
      </c>
      <c r="AB970" s="474" t="str">
        <f t="shared" ca="1" si="213"/>
        <v/>
      </c>
      <c r="AC970" s="475" t="str">
        <f t="shared" ca="1" si="213"/>
        <v/>
      </c>
      <c r="AD970" s="477" t="str">
        <f t="shared" ca="1" si="214"/>
        <v/>
      </c>
      <c r="AE970" s="478">
        <f t="shared" ca="1" si="215"/>
        <v>0</v>
      </c>
      <c r="AF970" s="459" t="str">
        <f t="shared" ca="1" si="211"/>
        <v/>
      </c>
      <c r="AG970" s="460" t="str">
        <f t="shared" ca="1" si="211"/>
        <v/>
      </c>
      <c r="AH970" s="460" t="str">
        <f t="shared" ca="1" si="211"/>
        <v/>
      </c>
      <c r="AI970" s="460" t="str">
        <f t="shared" ca="1" si="211"/>
        <v/>
      </c>
      <c r="AJ970" s="460" t="str">
        <f t="shared" ca="1" si="211"/>
        <v/>
      </c>
      <c r="AK970" s="460" t="str">
        <f t="shared" ca="1" si="211"/>
        <v/>
      </c>
      <c r="AL970" s="460" t="str">
        <f t="shared" ca="1" si="211"/>
        <v/>
      </c>
      <c r="AM970" s="460" t="str">
        <f t="shared" ca="1" si="211"/>
        <v/>
      </c>
      <c r="AN970" s="461" t="str">
        <f t="shared" ca="1" si="211"/>
        <v/>
      </c>
      <c r="AO970" s="474" t="str">
        <f t="shared" ca="1" si="211"/>
        <v/>
      </c>
      <c r="AP970" s="475" t="str">
        <f t="shared" ca="1" si="211"/>
        <v/>
      </c>
      <c r="AQ970" s="479" t="str">
        <f t="array" aca="1" ref="AQ970" ca="1">IF(ROW()-5&lt;=COUNTIF(科目编号,$AR$2),SMALL(IF(科目编号=$AR$2,ROW(科目编号),""),ROW()-5),"")</f>
        <v/>
      </c>
      <c r="AR970" s="480" t="str">
        <f ca="1">IF($BG$2=0,"",IF(AR969="本月合计","本年累计",IF(OR(ROW()=$AU$3,ROW()=$AV$3,ROW()=$AW$3,ROW()=$AX$3,ROW()=$AY$3,ROW()=$AZ$3,ROW()=$BA$3,ROW()=$BB$3,ROW()=$BC$3,ROW()=$BD$3,ROW()=$BE$3,ROW()=$BF$3),"本月合计",IF(ROW()&lt;7,$AQ$6,OFFSET($AQ$6,COUNT($AR$6:AR969),0)))))</f>
        <v/>
      </c>
    </row>
    <row r="971" spans="1:44">
      <c r="A971" s="469" t="str">
        <f ca="1">IFERROR(INDEX(凭证录入!A:A,$AR971),"")</f>
        <v/>
      </c>
      <c r="B971" s="469" t="str">
        <f ca="1">IFERROR(INDEX(凭证录入!B:B,$AR971),"")</f>
        <v/>
      </c>
      <c r="C971" s="470" t="str">
        <f ca="1">IFERROR(INDEX(凭证录入!G:G,$AR971),"")</f>
        <v/>
      </c>
      <c r="D971" s="471" t="str">
        <f ca="1">IFERROR(INDEX(凭证录入!F:F,$AR971),"")</f>
        <v/>
      </c>
      <c r="E971" s="472" t="str">
        <f ca="1">IFERROR(INDEX(凭证录入!H:H,$AR971),$AR971)</f>
        <v/>
      </c>
      <c r="F971" s="473">
        <f ca="1">IF(OR($BG$2=0,$AR971=""),,IF($AR971="本月合计",IF(ROW()=$BG$3,SUM($F$6:$F970),SUM(INDIRECT("$F$"&amp;OFFSET($AU$3,,MATCH(ROW(),$AU$3:$BF$3,)-2)+2&amp;":$E"&amp;ROW()-1))),IF($AR971="本年累计",SUMIF($AR$6:$AR971,"本月合计",$F$6:$F970),INDEX(凭证录入!K:K,$AR971))))</f>
        <v>0</v>
      </c>
      <c r="G971" s="459" t="str">
        <f t="shared" ca="1" si="212"/>
        <v/>
      </c>
      <c r="H971" s="460" t="str">
        <f t="shared" ca="1" si="212"/>
        <v/>
      </c>
      <c r="I971" s="460" t="str">
        <f t="shared" ca="1" si="212"/>
        <v/>
      </c>
      <c r="J971" s="460" t="str">
        <f t="shared" ca="1" si="212"/>
        <v/>
      </c>
      <c r="K971" s="460" t="str">
        <f t="shared" ca="1" si="212"/>
        <v/>
      </c>
      <c r="L971" s="460" t="str">
        <f t="shared" ca="1" si="212"/>
        <v/>
      </c>
      <c r="M971" s="460" t="str">
        <f t="shared" ca="1" si="212"/>
        <v/>
      </c>
      <c r="N971" s="460" t="str">
        <f t="shared" ca="1" si="212"/>
        <v/>
      </c>
      <c r="O971" s="461" t="str">
        <f t="shared" ca="1" si="212"/>
        <v/>
      </c>
      <c r="P971" s="474" t="str">
        <f t="shared" ca="1" si="212"/>
        <v/>
      </c>
      <c r="Q971" s="475" t="str">
        <f t="shared" ca="1" si="212"/>
        <v/>
      </c>
      <c r="R971" s="476">
        <f ca="1">IF(OR($BG$2=0,$AR971=""),,IF($AR971="本月合计",IF(ROW()=$BG$3,SUM($R$6:$R970),SUM(INDIRECT("$R$"&amp;OFFSET($AU$3,,MATCH(ROW(),$AU$3:$BF$3,)-2)+2&amp;":$R"&amp;ROW()-1))),IF($AR971="本年累计",SUMIF($AR$6:$AR971,"本月合计",$R$6:$R970),INDEX(凭证录入!L:L,$AR971))))</f>
        <v>0</v>
      </c>
      <c r="S971" s="459" t="str">
        <f t="shared" ca="1" si="213"/>
        <v/>
      </c>
      <c r="T971" s="460" t="str">
        <f t="shared" ca="1" si="213"/>
        <v/>
      </c>
      <c r="U971" s="460" t="str">
        <f t="shared" ca="1" si="213"/>
        <v/>
      </c>
      <c r="V971" s="460" t="str">
        <f t="shared" ca="1" si="213"/>
        <v/>
      </c>
      <c r="W971" s="460" t="str">
        <f t="shared" ca="1" si="213"/>
        <v/>
      </c>
      <c r="X971" s="460" t="str">
        <f t="shared" ca="1" si="213"/>
        <v/>
      </c>
      <c r="Y971" s="460" t="str">
        <f t="shared" ca="1" si="213"/>
        <v/>
      </c>
      <c r="Z971" s="460" t="str">
        <f t="shared" ca="1" si="213"/>
        <v/>
      </c>
      <c r="AA971" s="461" t="str">
        <f t="shared" ca="1" si="213"/>
        <v/>
      </c>
      <c r="AB971" s="474" t="str">
        <f t="shared" ca="1" si="213"/>
        <v/>
      </c>
      <c r="AC971" s="475" t="str">
        <f t="shared" ca="1" si="213"/>
        <v/>
      </c>
      <c r="AD971" s="477" t="str">
        <f t="shared" ca="1" si="214"/>
        <v/>
      </c>
      <c r="AE971" s="478">
        <f t="shared" ca="1" si="215"/>
        <v>0</v>
      </c>
      <c r="AF971" s="459" t="str">
        <f t="shared" ca="1" si="211"/>
        <v/>
      </c>
      <c r="AG971" s="460" t="str">
        <f t="shared" ca="1" si="211"/>
        <v/>
      </c>
      <c r="AH971" s="460" t="str">
        <f t="shared" ca="1" si="211"/>
        <v/>
      </c>
      <c r="AI971" s="460" t="str">
        <f t="shared" ca="1" si="211"/>
        <v/>
      </c>
      <c r="AJ971" s="460" t="str">
        <f t="shared" ca="1" si="211"/>
        <v/>
      </c>
      <c r="AK971" s="460" t="str">
        <f t="shared" ca="1" si="211"/>
        <v/>
      </c>
      <c r="AL971" s="460" t="str">
        <f t="shared" ca="1" si="211"/>
        <v/>
      </c>
      <c r="AM971" s="460" t="str">
        <f t="shared" ca="1" si="211"/>
        <v/>
      </c>
      <c r="AN971" s="461" t="str">
        <f t="shared" ca="1" si="211"/>
        <v/>
      </c>
      <c r="AO971" s="474" t="str">
        <f t="shared" ca="1" si="211"/>
        <v/>
      </c>
      <c r="AP971" s="475" t="str">
        <f t="shared" ca="1" si="211"/>
        <v/>
      </c>
      <c r="AQ971" s="479" t="str">
        <f t="array" aca="1" ref="AQ971" ca="1">IF(ROW()-5&lt;=COUNTIF(科目编号,$AR$2),SMALL(IF(科目编号=$AR$2,ROW(科目编号),""),ROW()-5),"")</f>
        <v/>
      </c>
      <c r="AR971" s="480" t="str">
        <f ca="1">IF($BG$2=0,"",IF(AR970="本月合计","本年累计",IF(OR(ROW()=$AU$3,ROW()=$AV$3,ROW()=$AW$3,ROW()=$AX$3,ROW()=$AY$3,ROW()=$AZ$3,ROW()=$BA$3,ROW()=$BB$3,ROW()=$BC$3,ROW()=$BD$3,ROW()=$BE$3,ROW()=$BF$3),"本月合计",IF(ROW()&lt;7,$AQ$6,OFFSET($AQ$6,COUNT($AR$6:AR970),0)))))</f>
        <v/>
      </c>
    </row>
    <row r="972" spans="1:44">
      <c r="A972" s="469" t="str">
        <f ca="1">IFERROR(INDEX(凭证录入!A:A,$AR972),"")</f>
        <v/>
      </c>
      <c r="B972" s="469" t="str">
        <f ca="1">IFERROR(INDEX(凭证录入!B:B,$AR972),"")</f>
        <v/>
      </c>
      <c r="C972" s="470" t="str">
        <f ca="1">IFERROR(INDEX(凭证录入!G:G,$AR972),"")</f>
        <v/>
      </c>
      <c r="D972" s="471" t="str">
        <f ca="1">IFERROR(INDEX(凭证录入!F:F,$AR972),"")</f>
        <v/>
      </c>
      <c r="E972" s="472" t="str">
        <f ca="1">IFERROR(INDEX(凭证录入!H:H,$AR972),$AR972)</f>
        <v/>
      </c>
      <c r="F972" s="473">
        <f ca="1">IF(OR($BG$2=0,$AR972=""),,IF($AR972="本月合计",IF(ROW()=$BG$3,SUM($F$6:$F971),SUM(INDIRECT("$F$"&amp;OFFSET($AU$3,,MATCH(ROW(),$AU$3:$BF$3,)-2)+2&amp;":$E"&amp;ROW()-1))),IF($AR972="本年累计",SUMIF($AR$6:$AR972,"本月合计",$F$6:$F971),INDEX(凭证录入!K:K,$AR972))))</f>
        <v>0</v>
      </c>
      <c r="G972" s="459" t="str">
        <f t="shared" ca="1" si="212"/>
        <v/>
      </c>
      <c r="H972" s="460" t="str">
        <f t="shared" ca="1" si="212"/>
        <v/>
      </c>
      <c r="I972" s="460" t="str">
        <f t="shared" ca="1" si="212"/>
        <v/>
      </c>
      <c r="J972" s="460" t="str">
        <f t="shared" ca="1" si="212"/>
        <v/>
      </c>
      <c r="K972" s="460" t="str">
        <f t="shared" ca="1" si="212"/>
        <v/>
      </c>
      <c r="L972" s="460" t="str">
        <f t="shared" ca="1" si="212"/>
        <v/>
      </c>
      <c r="M972" s="460" t="str">
        <f t="shared" ca="1" si="212"/>
        <v/>
      </c>
      <c r="N972" s="460" t="str">
        <f t="shared" ca="1" si="212"/>
        <v/>
      </c>
      <c r="O972" s="461" t="str">
        <f t="shared" ca="1" si="212"/>
        <v/>
      </c>
      <c r="P972" s="474" t="str">
        <f t="shared" ca="1" si="212"/>
        <v/>
      </c>
      <c r="Q972" s="475" t="str">
        <f t="shared" ca="1" si="212"/>
        <v/>
      </c>
      <c r="R972" s="476">
        <f ca="1">IF(OR($BG$2=0,$AR972=""),,IF($AR972="本月合计",IF(ROW()=$BG$3,SUM($R$6:$R971),SUM(INDIRECT("$R$"&amp;OFFSET($AU$3,,MATCH(ROW(),$AU$3:$BF$3,)-2)+2&amp;":$R"&amp;ROW()-1))),IF($AR972="本年累计",SUMIF($AR$6:$AR972,"本月合计",$R$6:$R971),INDEX(凭证录入!L:L,$AR972))))</f>
        <v>0</v>
      </c>
      <c r="S972" s="459" t="str">
        <f t="shared" ca="1" si="213"/>
        <v/>
      </c>
      <c r="T972" s="460" t="str">
        <f t="shared" ca="1" si="213"/>
        <v/>
      </c>
      <c r="U972" s="460" t="str">
        <f t="shared" ca="1" si="213"/>
        <v/>
      </c>
      <c r="V972" s="460" t="str">
        <f t="shared" ca="1" si="213"/>
        <v/>
      </c>
      <c r="W972" s="460" t="str">
        <f t="shared" ca="1" si="213"/>
        <v/>
      </c>
      <c r="X972" s="460" t="str">
        <f t="shared" ca="1" si="213"/>
        <v/>
      </c>
      <c r="Y972" s="460" t="str">
        <f t="shared" ca="1" si="213"/>
        <v/>
      </c>
      <c r="Z972" s="460" t="str">
        <f t="shared" ca="1" si="213"/>
        <v/>
      </c>
      <c r="AA972" s="461" t="str">
        <f t="shared" ca="1" si="213"/>
        <v/>
      </c>
      <c r="AB972" s="474" t="str">
        <f t="shared" ca="1" si="213"/>
        <v/>
      </c>
      <c r="AC972" s="475" t="str">
        <f t="shared" ca="1" si="213"/>
        <v/>
      </c>
      <c r="AD972" s="477" t="str">
        <f t="shared" ca="1" si="214"/>
        <v/>
      </c>
      <c r="AE972" s="478">
        <f t="shared" ca="1" si="215"/>
        <v>0</v>
      </c>
      <c r="AF972" s="459" t="str">
        <f t="shared" ca="1" si="211"/>
        <v/>
      </c>
      <c r="AG972" s="460" t="str">
        <f t="shared" ca="1" si="211"/>
        <v/>
      </c>
      <c r="AH972" s="460" t="str">
        <f t="shared" ca="1" si="211"/>
        <v/>
      </c>
      <c r="AI972" s="460" t="str">
        <f t="shared" ca="1" si="211"/>
        <v/>
      </c>
      <c r="AJ972" s="460" t="str">
        <f t="shared" ca="1" si="211"/>
        <v/>
      </c>
      <c r="AK972" s="460" t="str">
        <f t="shared" ca="1" si="211"/>
        <v/>
      </c>
      <c r="AL972" s="460" t="str">
        <f t="shared" ca="1" si="211"/>
        <v/>
      </c>
      <c r="AM972" s="460" t="str">
        <f t="shared" ca="1" si="211"/>
        <v/>
      </c>
      <c r="AN972" s="461" t="str">
        <f t="shared" ca="1" si="211"/>
        <v/>
      </c>
      <c r="AO972" s="474" t="str">
        <f t="shared" ca="1" si="211"/>
        <v/>
      </c>
      <c r="AP972" s="475" t="str">
        <f t="shared" ca="1" si="211"/>
        <v/>
      </c>
      <c r="AQ972" s="479" t="str">
        <f t="array" aca="1" ref="AQ972" ca="1">IF(ROW()-5&lt;=COUNTIF(科目编号,$AR$2),SMALL(IF(科目编号=$AR$2,ROW(科目编号),""),ROW()-5),"")</f>
        <v/>
      </c>
      <c r="AR972" s="480" t="str">
        <f ca="1">IF($BG$2=0,"",IF(AR971="本月合计","本年累计",IF(OR(ROW()=$AU$3,ROW()=$AV$3,ROW()=$AW$3,ROW()=$AX$3,ROW()=$AY$3,ROW()=$AZ$3,ROW()=$BA$3,ROW()=$BB$3,ROW()=$BC$3,ROW()=$BD$3,ROW()=$BE$3,ROW()=$BF$3),"本月合计",IF(ROW()&lt;7,$AQ$6,OFFSET($AQ$6,COUNT($AR$6:AR971),0)))))</f>
        <v/>
      </c>
    </row>
    <row r="973" spans="1:44">
      <c r="A973" s="469" t="str">
        <f ca="1">IFERROR(INDEX(凭证录入!A:A,$AR973),"")</f>
        <v/>
      </c>
      <c r="B973" s="469" t="str">
        <f ca="1">IFERROR(INDEX(凭证录入!B:B,$AR973),"")</f>
        <v/>
      </c>
      <c r="C973" s="470" t="str">
        <f ca="1">IFERROR(INDEX(凭证录入!G:G,$AR973),"")</f>
        <v/>
      </c>
      <c r="D973" s="471" t="str">
        <f ca="1">IFERROR(INDEX(凭证录入!F:F,$AR973),"")</f>
        <v/>
      </c>
      <c r="E973" s="472" t="str">
        <f ca="1">IFERROR(INDEX(凭证录入!H:H,$AR973),$AR973)</f>
        <v/>
      </c>
      <c r="F973" s="473">
        <f ca="1">IF(OR($BG$2=0,$AR973=""),,IF($AR973="本月合计",IF(ROW()=$BG$3,SUM($F$6:$F972),SUM(INDIRECT("$F$"&amp;OFFSET($AU$3,,MATCH(ROW(),$AU$3:$BF$3,)-2)+2&amp;":$E"&amp;ROW()-1))),IF($AR973="本年累计",SUMIF($AR$6:$AR973,"本月合计",$F$6:$F972),INDEX(凭证录入!K:K,$AR973))))</f>
        <v>0</v>
      </c>
      <c r="G973" s="459" t="str">
        <f t="shared" ca="1" si="212"/>
        <v/>
      </c>
      <c r="H973" s="460" t="str">
        <f t="shared" ca="1" si="212"/>
        <v/>
      </c>
      <c r="I973" s="460" t="str">
        <f t="shared" ca="1" si="212"/>
        <v/>
      </c>
      <c r="J973" s="460" t="str">
        <f t="shared" ca="1" si="212"/>
        <v/>
      </c>
      <c r="K973" s="460" t="str">
        <f t="shared" ca="1" si="212"/>
        <v/>
      </c>
      <c r="L973" s="460" t="str">
        <f t="shared" ca="1" si="212"/>
        <v/>
      </c>
      <c r="M973" s="460" t="str">
        <f t="shared" ca="1" si="212"/>
        <v/>
      </c>
      <c r="N973" s="460" t="str">
        <f t="shared" ca="1" si="212"/>
        <v/>
      </c>
      <c r="O973" s="461" t="str">
        <f t="shared" ca="1" si="212"/>
        <v/>
      </c>
      <c r="P973" s="474" t="str">
        <f t="shared" ca="1" si="212"/>
        <v/>
      </c>
      <c r="Q973" s="475" t="str">
        <f t="shared" ca="1" si="212"/>
        <v/>
      </c>
      <c r="R973" s="476">
        <f ca="1">IF(OR($BG$2=0,$AR973=""),,IF($AR973="本月合计",IF(ROW()=$BG$3,SUM($R$6:$R972),SUM(INDIRECT("$R$"&amp;OFFSET($AU$3,,MATCH(ROW(),$AU$3:$BF$3,)-2)+2&amp;":$R"&amp;ROW()-1))),IF($AR973="本年累计",SUMIF($AR$6:$AR973,"本月合计",$R$6:$R972),INDEX(凭证录入!L:L,$AR973))))</f>
        <v>0</v>
      </c>
      <c r="S973" s="459" t="str">
        <f t="shared" ca="1" si="213"/>
        <v/>
      </c>
      <c r="T973" s="460" t="str">
        <f t="shared" ca="1" si="213"/>
        <v/>
      </c>
      <c r="U973" s="460" t="str">
        <f t="shared" ca="1" si="213"/>
        <v/>
      </c>
      <c r="V973" s="460" t="str">
        <f t="shared" ca="1" si="213"/>
        <v/>
      </c>
      <c r="W973" s="460" t="str">
        <f t="shared" ca="1" si="213"/>
        <v/>
      </c>
      <c r="X973" s="460" t="str">
        <f t="shared" ca="1" si="213"/>
        <v/>
      </c>
      <c r="Y973" s="460" t="str">
        <f t="shared" ca="1" si="213"/>
        <v/>
      </c>
      <c r="Z973" s="460" t="str">
        <f t="shared" ca="1" si="213"/>
        <v/>
      </c>
      <c r="AA973" s="461" t="str">
        <f t="shared" ca="1" si="213"/>
        <v/>
      </c>
      <c r="AB973" s="474" t="str">
        <f t="shared" ca="1" si="213"/>
        <v/>
      </c>
      <c r="AC973" s="475" t="str">
        <f t="shared" ca="1" si="213"/>
        <v/>
      </c>
      <c r="AD973" s="477" t="str">
        <f t="shared" ca="1" si="214"/>
        <v/>
      </c>
      <c r="AE973" s="478">
        <f t="shared" ca="1" si="215"/>
        <v>0</v>
      </c>
      <c r="AF973" s="459" t="str">
        <f t="shared" ca="1" si="211"/>
        <v/>
      </c>
      <c r="AG973" s="460" t="str">
        <f t="shared" ca="1" si="211"/>
        <v/>
      </c>
      <c r="AH973" s="460" t="str">
        <f t="shared" ca="1" si="211"/>
        <v/>
      </c>
      <c r="AI973" s="460" t="str">
        <f t="shared" ca="1" si="211"/>
        <v/>
      </c>
      <c r="AJ973" s="460" t="str">
        <f t="shared" ca="1" si="211"/>
        <v/>
      </c>
      <c r="AK973" s="460" t="str">
        <f t="shared" ca="1" si="211"/>
        <v/>
      </c>
      <c r="AL973" s="460" t="str">
        <f t="shared" ca="1" si="211"/>
        <v/>
      </c>
      <c r="AM973" s="460" t="str">
        <f t="shared" ca="1" si="211"/>
        <v/>
      </c>
      <c r="AN973" s="461" t="str">
        <f t="shared" ca="1" si="211"/>
        <v/>
      </c>
      <c r="AO973" s="474" t="str">
        <f t="shared" ca="1" si="211"/>
        <v/>
      </c>
      <c r="AP973" s="475" t="str">
        <f t="shared" ca="1" si="211"/>
        <v/>
      </c>
      <c r="AQ973" s="479" t="str">
        <f t="array" aca="1" ref="AQ973" ca="1">IF(ROW()-5&lt;=COUNTIF(科目编号,$AR$2),SMALL(IF(科目编号=$AR$2,ROW(科目编号),""),ROW()-5),"")</f>
        <v/>
      </c>
      <c r="AR973" s="480" t="str">
        <f ca="1">IF($BG$2=0,"",IF(AR972="本月合计","本年累计",IF(OR(ROW()=$AU$3,ROW()=$AV$3,ROW()=$AW$3,ROW()=$AX$3,ROW()=$AY$3,ROW()=$AZ$3,ROW()=$BA$3,ROW()=$BB$3,ROW()=$BC$3,ROW()=$BD$3,ROW()=$BE$3,ROW()=$BF$3),"本月合计",IF(ROW()&lt;7,$AQ$6,OFFSET($AQ$6,COUNT($AR$6:AR972),0)))))</f>
        <v/>
      </c>
    </row>
    <row r="974" spans="1:44">
      <c r="A974" s="469" t="str">
        <f ca="1">IFERROR(INDEX(凭证录入!A:A,$AR974),"")</f>
        <v/>
      </c>
      <c r="B974" s="469" t="str">
        <f ca="1">IFERROR(INDEX(凭证录入!B:B,$AR974),"")</f>
        <v/>
      </c>
      <c r="C974" s="470" t="str">
        <f ca="1">IFERROR(INDEX(凭证录入!G:G,$AR974),"")</f>
        <v/>
      </c>
      <c r="D974" s="471" t="str">
        <f ca="1">IFERROR(INDEX(凭证录入!F:F,$AR974),"")</f>
        <v/>
      </c>
      <c r="E974" s="472" t="str">
        <f ca="1">IFERROR(INDEX(凭证录入!H:H,$AR974),$AR974)</f>
        <v/>
      </c>
      <c r="F974" s="473">
        <f ca="1">IF(OR($BG$2=0,$AR974=""),,IF($AR974="本月合计",IF(ROW()=$BG$3,SUM($F$6:$F973),SUM(INDIRECT("$F$"&amp;OFFSET($AU$3,,MATCH(ROW(),$AU$3:$BF$3,)-2)+2&amp;":$E"&amp;ROW()-1))),IF($AR974="本年累计",SUMIF($AR$6:$AR974,"本月合计",$F$6:$F973),INDEX(凭证录入!K:K,$AR974))))</f>
        <v>0</v>
      </c>
      <c r="G974" s="459" t="str">
        <f t="shared" ca="1" si="212"/>
        <v/>
      </c>
      <c r="H974" s="460" t="str">
        <f t="shared" ca="1" si="212"/>
        <v/>
      </c>
      <c r="I974" s="460" t="str">
        <f t="shared" ca="1" si="212"/>
        <v/>
      </c>
      <c r="J974" s="460" t="str">
        <f t="shared" ca="1" si="212"/>
        <v/>
      </c>
      <c r="K974" s="460" t="str">
        <f t="shared" ca="1" si="212"/>
        <v/>
      </c>
      <c r="L974" s="460" t="str">
        <f t="shared" ca="1" si="212"/>
        <v/>
      </c>
      <c r="M974" s="460" t="str">
        <f t="shared" ca="1" si="212"/>
        <v/>
      </c>
      <c r="N974" s="460" t="str">
        <f t="shared" ca="1" si="212"/>
        <v/>
      </c>
      <c r="O974" s="461" t="str">
        <f t="shared" ca="1" si="212"/>
        <v/>
      </c>
      <c r="P974" s="474" t="str">
        <f t="shared" ca="1" si="212"/>
        <v/>
      </c>
      <c r="Q974" s="475" t="str">
        <f t="shared" ca="1" si="212"/>
        <v/>
      </c>
      <c r="R974" s="476">
        <f ca="1">IF(OR($BG$2=0,$AR974=""),,IF($AR974="本月合计",IF(ROW()=$BG$3,SUM($R$6:$R973),SUM(INDIRECT("$R$"&amp;OFFSET($AU$3,,MATCH(ROW(),$AU$3:$BF$3,)-2)+2&amp;":$R"&amp;ROW()-1))),IF($AR974="本年累计",SUMIF($AR$6:$AR974,"本月合计",$R$6:$R973),INDEX(凭证录入!L:L,$AR974))))</f>
        <v>0</v>
      </c>
      <c r="S974" s="459" t="str">
        <f t="shared" ca="1" si="213"/>
        <v/>
      </c>
      <c r="T974" s="460" t="str">
        <f t="shared" ca="1" si="213"/>
        <v/>
      </c>
      <c r="U974" s="460" t="str">
        <f t="shared" ca="1" si="213"/>
        <v/>
      </c>
      <c r="V974" s="460" t="str">
        <f t="shared" ca="1" si="213"/>
        <v/>
      </c>
      <c r="W974" s="460" t="str">
        <f t="shared" ca="1" si="213"/>
        <v/>
      </c>
      <c r="X974" s="460" t="str">
        <f t="shared" ca="1" si="213"/>
        <v/>
      </c>
      <c r="Y974" s="460" t="str">
        <f t="shared" ca="1" si="213"/>
        <v/>
      </c>
      <c r="Z974" s="460" t="str">
        <f t="shared" ca="1" si="213"/>
        <v/>
      </c>
      <c r="AA974" s="461" t="str">
        <f t="shared" ca="1" si="213"/>
        <v/>
      </c>
      <c r="AB974" s="474" t="str">
        <f t="shared" ca="1" si="213"/>
        <v/>
      </c>
      <c r="AC974" s="475" t="str">
        <f t="shared" ca="1" si="213"/>
        <v/>
      </c>
      <c r="AD974" s="477" t="str">
        <f t="shared" ca="1" si="214"/>
        <v/>
      </c>
      <c r="AE974" s="478">
        <f t="shared" ca="1" si="215"/>
        <v>0</v>
      </c>
      <c r="AF974" s="459" t="str">
        <f t="shared" ca="1" si="211"/>
        <v/>
      </c>
      <c r="AG974" s="460" t="str">
        <f t="shared" ca="1" si="211"/>
        <v/>
      </c>
      <c r="AH974" s="460" t="str">
        <f t="shared" ca="1" si="211"/>
        <v/>
      </c>
      <c r="AI974" s="460" t="str">
        <f t="shared" ca="1" si="211"/>
        <v/>
      </c>
      <c r="AJ974" s="460" t="str">
        <f t="shared" ca="1" si="211"/>
        <v/>
      </c>
      <c r="AK974" s="460" t="str">
        <f t="shared" ca="1" si="211"/>
        <v/>
      </c>
      <c r="AL974" s="460" t="str">
        <f t="shared" ca="1" si="211"/>
        <v/>
      </c>
      <c r="AM974" s="460" t="str">
        <f t="shared" ca="1" si="211"/>
        <v/>
      </c>
      <c r="AN974" s="461" t="str">
        <f t="shared" ca="1" si="211"/>
        <v/>
      </c>
      <c r="AO974" s="474" t="str">
        <f t="shared" ca="1" si="211"/>
        <v/>
      </c>
      <c r="AP974" s="475" t="str">
        <f t="shared" ca="1" si="211"/>
        <v/>
      </c>
      <c r="AQ974" s="479" t="str">
        <f t="array" aca="1" ref="AQ974" ca="1">IF(ROW()-5&lt;=COUNTIF(科目编号,$AR$2),SMALL(IF(科目编号=$AR$2,ROW(科目编号),""),ROW()-5),"")</f>
        <v/>
      </c>
      <c r="AR974" s="480" t="str">
        <f ca="1">IF($BG$2=0,"",IF(AR973="本月合计","本年累计",IF(OR(ROW()=$AU$3,ROW()=$AV$3,ROW()=$AW$3,ROW()=$AX$3,ROW()=$AY$3,ROW()=$AZ$3,ROW()=$BA$3,ROW()=$BB$3,ROW()=$BC$3,ROW()=$BD$3,ROW()=$BE$3,ROW()=$BF$3),"本月合计",IF(ROW()&lt;7,$AQ$6,OFFSET($AQ$6,COUNT($AR$6:AR973),0)))))</f>
        <v/>
      </c>
    </row>
    <row r="975" spans="1:44">
      <c r="A975" s="469" t="str">
        <f ca="1">IFERROR(INDEX(凭证录入!A:A,$AR975),"")</f>
        <v/>
      </c>
      <c r="B975" s="469" t="str">
        <f ca="1">IFERROR(INDEX(凭证录入!B:B,$AR975),"")</f>
        <v/>
      </c>
      <c r="C975" s="470" t="str">
        <f ca="1">IFERROR(INDEX(凭证录入!G:G,$AR975),"")</f>
        <v/>
      </c>
      <c r="D975" s="471" t="str">
        <f ca="1">IFERROR(INDEX(凭证录入!F:F,$AR975),"")</f>
        <v/>
      </c>
      <c r="E975" s="472" t="str">
        <f ca="1">IFERROR(INDEX(凭证录入!H:H,$AR975),$AR975)</f>
        <v/>
      </c>
      <c r="F975" s="473">
        <f ca="1">IF(OR($BG$2=0,$AR975=""),,IF($AR975="本月合计",IF(ROW()=$BG$3,SUM($F$6:$F974),SUM(INDIRECT("$F$"&amp;OFFSET($AU$3,,MATCH(ROW(),$AU$3:$BF$3,)-2)+2&amp;":$E"&amp;ROW()-1))),IF($AR975="本年累计",SUMIF($AR$6:$AR975,"本月合计",$F$6:$F974),INDEX(凭证录入!K:K,$AR975))))</f>
        <v>0</v>
      </c>
      <c r="G975" s="459" t="str">
        <f t="shared" ca="1" si="212"/>
        <v/>
      </c>
      <c r="H975" s="460" t="str">
        <f t="shared" ca="1" si="212"/>
        <v/>
      </c>
      <c r="I975" s="460" t="str">
        <f t="shared" ca="1" si="212"/>
        <v/>
      </c>
      <c r="J975" s="460" t="str">
        <f t="shared" ca="1" si="212"/>
        <v/>
      </c>
      <c r="K975" s="460" t="str">
        <f t="shared" ca="1" si="212"/>
        <v/>
      </c>
      <c r="L975" s="460" t="str">
        <f t="shared" ca="1" si="212"/>
        <v/>
      </c>
      <c r="M975" s="460" t="str">
        <f t="shared" ca="1" si="212"/>
        <v/>
      </c>
      <c r="N975" s="460" t="str">
        <f t="shared" ca="1" si="212"/>
        <v/>
      </c>
      <c r="O975" s="461" t="str">
        <f t="shared" ca="1" si="212"/>
        <v/>
      </c>
      <c r="P975" s="474" t="str">
        <f t="shared" ca="1" si="212"/>
        <v/>
      </c>
      <c r="Q975" s="475" t="str">
        <f t="shared" ca="1" si="212"/>
        <v/>
      </c>
      <c r="R975" s="476">
        <f ca="1">IF(OR($BG$2=0,$AR975=""),,IF($AR975="本月合计",IF(ROW()=$BG$3,SUM($R$6:$R974),SUM(INDIRECT("$R$"&amp;OFFSET($AU$3,,MATCH(ROW(),$AU$3:$BF$3,)-2)+2&amp;":$R"&amp;ROW()-1))),IF($AR975="本年累计",SUMIF($AR$6:$AR975,"本月合计",$R$6:$R974),INDEX(凭证录入!L:L,$AR975))))</f>
        <v>0</v>
      </c>
      <c r="S975" s="459" t="str">
        <f t="shared" ca="1" si="213"/>
        <v/>
      </c>
      <c r="T975" s="460" t="str">
        <f t="shared" ca="1" si="213"/>
        <v/>
      </c>
      <c r="U975" s="460" t="str">
        <f t="shared" ca="1" si="213"/>
        <v/>
      </c>
      <c r="V975" s="460" t="str">
        <f t="shared" ca="1" si="213"/>
        <v/>
      </c>
      <c r="W975" s="460" t="str">
        <f t="shared" ca="1" si="213"/>
        <v/>
      </c>
      <c r="X975" s="460" t="str">
        <f t="shared" ca="1" si="213"/>
        <v/>
      </c>
      <c r="Y975" s="460" t="str">
        <f t="shared" ca="1" si="213"/>
        <v/>
      </c>
      <c r="Z975" s="460" t="str">
        <f t="shared" ca="1" si="213"/>
        <v/>
      </c>
      <c r="AA975" s="461" t="str">
        <f t="shared" ca="1" si="213"/>
        <v/>
      </c>
      <c r="AB975" s="474" t="str">
        <f t="shared" ca="1" si="213"/>
        <v/>
      </c>
      <c r="AC975" s="475" t="str">
        <f t="shared" ca="1" si="213"/>
        <v/>
      </c>
      <c r="AD975" s="477" t="str">
        <f t="shared" ca="1" si="214"/>
        <v/>
      </c>
      <c r="AE975" s="478">
        <f t="shared" ca="1" si="215"/>
        <v>0</v>
      </c>
      <c r="AF975" s="459" t="str">
        <f t="shared" ca="1" si="211"/>
        <v/>
      </c>
      <c r="AG975" s="460" t="str">
        <f t="shared" ca="1" si="211"/>
        <v/>
      </c>
      <c r="AH975" s="460" t="str">
        <f t="shared" ca="1" si="211"/>
        <v/>
      </c>
      <c r="AI975" s="460" t="str">
        <f t="shared" ca="1" si="211"/>
        <v/>
      </c>
      <c r="AJ975" s="460" t="str">
        <f t="shared" ca="1" si="211"/>
        <v/>
      </c>
      <c r="AK975" s="460" t="str">
        <f t="shared" ca="1" si="211"/>
        <v/>
      </c>
      <c r="AL975" s="460" t="str">
        <f t="shared" ca="1" si="211"/>
        <v/>
      </c>
      <c r="AM975" s="460" t="str">
        <f t="shared" ca="1" si="211"/>
        <v/>
      </c>
      <c r="AN975" s="461" t="str">
        <f t="shared" ca="1" si="211"/>
        <v/>
      </c>
      <c r="AO975" s="474" t="str">
        <f t="shared" ca="1" si="211"/>
        <v/>
      </c>
      <c r="AP975" s="475" t="str">
        <f t="shared" ca="1" si="211"/>
        <v/>
      </c>
      <c r="AQ975" s="479" t="str">
        <f t="array" aca="1" ref="AQ975" ca="1">IF(ROW()-5&lt;=COUNTIF(科目编号,$AR$2),SMALL(IF(科目编号=$AR$2,ROW(科目编号),""),ROW()-5),"")</f>
        <v/>
      </c>
      <c r="AR975" s="480" t="str">
        <f ca="1">IF($BG$2=0,"",IF(AR974="本月合计","本年累计",IF(OR(ROW()=$AU$3,ROW()=$AV$3,ROW()=$AW$3,ROW()=$AX$3,ROW()=$AY$3,ROW()=$AZ$3,ROW()=$BA$3,ROW()=$BB$3,ROW()=$BC$3,ROW()=$BD$3,ROW()=$BE$3,ROW()=$BF$3),"本月合计",IF(ROW()&lt;7,$AQ$6,OFFSET($AQ$6,COUNT($AR$6:AR974),0)))))</f>
        <v/>
      </c>
    </row>
    <row r="976" spans="1:44">
      <c r="A976" s="469" t="str">
        <f ca="1">IFERROR(INDEX(凭证录入!A:A,$AR976),"")</f>
        <v/>
      </c>
      <c r="B976" s="469" t="str">
        <f ca="1">IFERROR(INDEX(凭证录入!B:B,$AR976),"")</f>
        <v/>
      </c>
      <c r="C976" s="470" t="str">
        <f ca="1">IFERROR(INDEX(凭证录入!G:G,$AR976),"")</f>
        <v/>
      </c>
      <c r="D976" s="471" t="str">
        <f ca="1">IFERROR(INDEX(凭证录入!F:F,$AR976),"")</f>
        <v/>
      </c>
      <c r="E976" s="472" t="str">
        <f ca="1">IFERROR(INDEX(凭证录入!H:H,$AR976),$AR976)</f>
        <v/>
      </c>
      <c r="F976" s="473">
        <f ca="1">IF(OR($BG$2=0,$AR976=""),,IF($AR976="本月合计",IF(ROW()=$BG$3,SUM($F$6:$F975),SUM(INDIRECT("$F$"&amp;OFFSET($AU$3,,MATCH(ROW(),$AU$3:$BF$3,)-2)+2&amp;":$E"&amp;ROW()-1))),IF($AR976="本年累计",SUMIF($AR$6:$AR976,"本月合计",$F$6:$F975),INDEX(凭证录入!K:K,$AR976))))</f>
        <v>0</v>
      </c>
      <c r="G976" s="459" t="str">
        <f t="shared" ca="1" si="212"/>
        <v/>
      </c>
      <c r="H976" s="460" t="str">
        <f t="shared" ca="1" si="212"/>
        <v/>
      </c>
      <c r="I976" s="460" t="str">
        <f t="shared" ca="1" si="212"/>
        <v/>
      </c>
      <c r="J976" s="460" t="str">
        <f t="shared" ca="1" si="212"/>
        <v/>
      </c>
      <c r="K976" s="460" t="str">
        <f t="shared" ca="1" si="212"/>
        <v/>
      </c>
      <c r="L976" s="460" t="str">
        <f t="shared" ca="1" si="212"/>
        <v/>
      </c>
      <c r="M976" s="460" t="str">
        <f t="shared" ca="1" si="212"/>
        <v/>
      </c>
      <c r="N976" s="460" t="str">
        <f t="shared" ca="1" si="212"/>
        <v/>
      </c>
      <c r="O976" s="461" t="str">
        <f t="shared" ca="1" si="212"/>
        <v/>
      </c>
      <c r="P976" s="474" t="str">
        <f t="shared" ca="1" si="212"/>
        <v/>
      </c>
      <c r="Q976" s="475" t="str">
        <f t="shared" ca="1" si="212"/>
        <v/>
      </c>
      <c r="R976" s="476">
        <f ca="1">IF(OR($BG$2=0,$AR976=""),,IF($AR976="本月合计",IF(ROW()=$BG$3,SUM($R$6:$R975),SUM(INDIRECT("$R$"&amp;OFFSET($AU$3,,MATCH(ROW(),$AU$3:$BF$3,)-2)+2&amp;":$R"&amp;ROW()-1))),IF($AR976="本年累计",SUMIF($AR$6:$AR976,"本月合计",$R$6:$R975),INDEX(凭证录入!L:L,$AR976))))</f>
        <v>0</v>
      </c>
      <c r="S976" s="459" t="str">
        <f t="shared" ca="1" si="213"/>
        <v/>
      </c>
      <c r="T976" s="460" t="str">
        <f t="shared" ca="1" si="213"/>
        <v/>
      </c>
      <c r="U976" s="460" t="str">
        <f t="shared" ca="1" si="213"/>
        <v/>
      </c>
      <c r="V976" s="460" t="str">
        <f t="shared" ca="1" si="213"/>
        <v/>
      </c>
      <c r="W976" s="460" t="str">
        <f t="shared" ca="1" si="213"/>
        <v/>
      </c>
      <c r="X976" s="460" t="str">
        <f t="shared" ca="1" si="213"/>
        <v/>
      </c>
      <c r="Y976" s="460" t="str">
        <f t="shared" ca="1" si="213"/>
        <v/>
      </c>
      <c r="Z976" s="460" t="str">
        <f t="shared" ca="1" si="213"/>
        <v/>
      </c>
      <c r="AA976" s="461" t="str">
        <f t="shared" ca="1" si="213"/>
        <v/>
      </c>
      <c r="AB976" s="474" t="str">
        <f t="shared" ca="1" si="213"/>
        <v/>
      </c>
      <c r="AC976" s="475" t="str">
        <f t="shared" ca="1" si="213"/>
        <v/>
      </c>
      <c r="AD976" s="477" t="str">
        <f t="shared" ca="1" si="214"/>
        <v/>
      </c>
      <c r="AE976" s="478">
        <f t="shared" ca="1" si="215"/>
        <v>0</v>
      </c>
      <c r="AF976" s="459" t="str">
        <f t="shared" ca="1" si="211"/>
        <v/>
      </c>
      <c r="AG976" s="460" t="str">
        <f t="shared" ca="1" si="211"/>
        <v/>
      </c>
      <c r="AH976" s="460" t="str">
        <f t="shared" ca="1" si="211"/>
        <v/>
      </c>
      <c r="AI976" s="460" t="str">
        <f t="shared" ca="1" si="211"/>
        <v/>
      </c>
      <c r="AJ976" s="460" t="str">
        <f t="shared" ca="1" si="211"/>
        <v/>
      </c>
      <c r="AK976" s="460" t="str">
        <f t="shared" ca="1" si="211"/>
        <v/>
      </c>
      <c r="AL976" s="460" t="str">
        <f t="shared" ca="1" si="211"/>
        <v/>
      </c>
      <c r="AM976" s="460" t="str">
        <f t="shared" ca="1" si="211"/>
        <v/>
      </c>
      <c r="AN976" s="461" t="str">
        <f t="shared" ca="1" si="211"/>
        <v/>
      </c>
      <c r="AO976" s="474" t="str">
        <f t="shared" ca="1" si="211"/>
        <v/>
      </c>
      <c r="AP976" s="475" t="str">
        <f t="shared" ca="1" si="211"/>
        <v/>
      </c>
      <c r="AQ976" s="479" t="str">
        <f t="array" aca="1" ref="AQ976" ca="1">IF(ROW()-5&lt;=COUNTIF(科目编号,$AR$2),SMALL(IF(科目编号=$AR$2,ROW(科目编号),""),ROW()-5),"")</f>
        <v/>
      </c>
      <c r="AR976" s="480" t="str">
        <f ca="1">IF($BG$2=0,"",IF(AR975="本月合计","本年累计",IF(OR(ROW()=$AU$3,ROW()=$AV$3,ROW()=$AW$3,ROW()=$AX$3,ROW()=$AY$3,ROW()=$AZ$3,ROW()=$BA$3,ROW()=$BB$3,ROW()=$BC$3,ROW()=$BD$3,ROW()=$BE$3,ROW()=$BF$3),"本月合计",IF(ROW()&lt;7,$AQ$6,OFFSET($AQ$6,COUNT($AR$6:AR975),0)))))</f>
        <v/>
      </c>
    </row>
    <row r="977" spans="1:44">
      <c r="A977" s="469" t="str">
        <f ca="1">IFERROR(INDEX(凭证录入!A:A,$AR977),"")</f>
        <v/>
      </c>
      <c r="B977" s="469" t="str">
        <f ca="1">IFERROR(INDEX(凭证录入!B:B,$AR977),"")</f>
        <v/>
      </c>
      <c r="C977" s="470" t="str">
        <f ca="1">IFERROR(INDEX(凭证录入!G:G,$AR977),"")</f>
        <v/>
      </c>
      <c r="D977" s="471" t="str">
        <f ca="1">IFERROR(INDEX(凭证录入!F:F,$AR977),"")</f>
        <v/>
      </c>
      <c r="E977" s="472" t="str">
        <f ca="1">IFERROR(INDEX(凭证录入!H:H,$AR977),$AR977)</f>
        <v/>
      </c>
      <c r="F977" s="473">
        <f ca="1">IF(OR($BG$2=0,$AR977=""),,IF($AR977="本月合计",IF(ROW()=$BG$3,SUM($F$6:$F976),SUM(INDIRECT("$F$"&amp;OFFSET($AU$3,,MATCH(ROW(),$AU$3:$BF$3,)-2)+2&amp;":$E"&amp;ROW()-1))),IF($AR977="本年累计",SUMIF($AR$6:$AR977,"本月合计",$F$6:$F976),INDEX(凭证录入!K:K,$AR977))))</f>
        <v>0</v>
      </c>
      <c r="G977" s="459" t="str">
        <f t="shared" ca="1" si="212"/>
        <v/>
      </c>
      <c r="H977" s="460" t="str">
        <f t="shared" ca="1" si="212"/>
        <v/>
      </c>
      <c r="I977" s="460" t="str">
        <f t="shared" ca="1" si="212"/>
        <v/>
      </c>
      <c r="J977" s="460" t="str">
        <f t="shared" ca="1" si="212"/>
        <v/>
      </c>
      <c r="K977" s="460" t="str">
        <f t="shared" ca="1" si="212"/>
        <v/>
      </c>
      <c r="L977" s="460" t="str">
        <f t="shared" ca="1" si="212"/>
        <v/>
      </c>
      <c r="M977" s="460" t="str">
        <f t="shared" ca="1" si="212"/>
        <v/>
      </c>
      <c r="N977" s="460" t="str">
        <f t="shared" ca="1" si="212"/>
        <v/>
      </c>
      <c r="O977" s="461" t="str">
        <f t="shared" ca="1" si="212"/>
        <v/>
      </c>
      <c r="P977" s="474" t="str">
        <f t="shared" ca="1" si="212"/>
        <v/>
      </c>
      <c r="Q977" s="475" t="str">
        <f t="shared" ca="1" si="212"/>
        <v/>
      </c>
      <c r="R977" s="476">
        <f ca="1">IF(OR($BG$2=0,$AR977=""),,IF($AR977="本月合计",IF(ROW()=$BG$3,SUM($R$6:$R976),SUM(INDIRECT("$R$"&amp;OFFSET($AU$3,,MATCH(ROW(),$AU$3:$BF$3,)-2)+2&amp;":$R"&amp;ROW()-1))),IF($AR977="本年累计",SUMIF($AR$6:$AR977,"本月合计",$R$6:$R976),INDEX(凭证录入!L:L,$AR977))))</f>
        <v>0</v>
      </c>
      <c r="S977" s="459" t="str">
        <f t="shared" ca="1" si="213"/>
        <v/>
      </c>
      <c r="T977" s="460" t="str">
        <f t="shared" ca="1" si="213"/>
        <v/>
      </c>
      <c r="U977" s="460" t="str">
        <f t="shared" ca="1" si="213"/>
        <v/>
      </c>
      <c r="V977" s="460" t="str">
        <f t="shared" ca="1" si="213"/>
        <v/>
      </c>
      <c r="W977" s="460" t="str">
        <f t="shared" ca="1" si="213"/>
        <v/>
      </c>
      <c r="X977" s="460" t="str">
        <f t="shared" ca="1" si="213"/>
        <v/>
      </c>
      <c r="Y977" s="460" t="str">
        <f t="shared" ca="1" si="213"/>
        <v/>
      </c>
      <c r="Z977" s="460" t="str">
        <f t="shared" ca="1" si="213"/>
        <v/>
      </c>
      <c r="AA977" s="461" t="str">
        <f t="shared" ca="1" si="213"/>
        <v/>
      </c>
      <c r="AB977" s="474" t="str">
        <f t="shared" ca="1" si="213"/>
        <v/>
      </c>
      <c r="AC977" s="475" t="str">
        <f t="shared" ca="1" si="213"/>
        <v/>
      </c>
      <c r="AD977" s="477" t="str">
        <f t="shared" ca="1" si="214"/>
        <v/>
      </c>
      <c r="AE977" s="478">
        <f t="shared" ca="1" si="215"/>
        <v>0</v>
      </c>
      <c r="AF977" s="459" t="str">
        <f t="shared" ca="1" si="211"/>
        <v/>
      </c>
      <c r="AG977" s="460" t="str">
        <f t="shared" ca="1" si="211"/>
        <v/>
      </c>
      <c r="AH977" s="460" t="str">
        <f t="shared" ca="1" si="211"/>
        <v/>
      </c>
      <c r="AI977" s="460" t="str">
        <f t="shared" ca="1" si="211"/>
        <v/>
      </c>
      <c r="AJ977" s="460" t="str">
        <f t="shared" ca="1" si="211"/>
        <v/>
      </c>
      <c r="AK977" s="460" t="str">
        <f t="shared" ca="1" si="211"/>
        <v/>
      </c>
      <c r="AL977" s="460" t="str">
        <f t="shared" ca="1" si="211"/>
        <v/>
      </c>
      <c r="AM977" s="460" t="str">
        <f t="shared" ca="1" si="211"/>
        <v/>
      </c>
      <c r="AN977" s="461" t="str">
        <f t="shared" ca="1" si="211"/>
        <v/>
      </c>
      <c r="AO977" s="474" t="str">
        <f t="shared" ca="1" si="211"/>
        <v/>
      </c>
      <c r="AP977" s="475" t="str">
        <f t="shared" ca="1" si="211"/>
        <v/>
      </c>
      <c r="AQ977" s="479" t="str">
        <f t="array" aca="1" ref="AQ977" ca="1">IF(ROW()-5&lt;=COUNTIF(科目编号,$AR$2),SMALL(IF(科目编号=$AR$2,ROW(科目编号),""),ROW()-5),"")</f>
        <v/>
      </c>
      <c r="AR977" s="480" t="str">
        <f ca="1">IF($BG$2=0,"",IF(AR976="本月合计","本年累计",IF(OR(ROW()=$AU$3,ROW()=$AV$3,ROW()=$AW$3,ROW()=$AX$3,ROW()=$AY$3,ROW()=$AZ$3,ROW()=$BA$3,ROW()=$BB$3,ROW()=$BC$3,ROW()=$BD$3,ROW()=$BE$3,ROW()=$BF$3),"本月合计",IF(ROW()&lt;7,$AQ$6,OFFSET($AQ$6,COUNT($AR$6:AR976),0)))))</f>
        <v/>
      </c>
    </row>
    <row r="978" spans="1:44">
      <c r="A978" s="469" t="str">
        <f ca="1">IFERROR(INDEX(凭证录入!A:A,$AR978),"")</f>
        <v/>
      </c>
      <c r="B978" s="469" t="str">
        <f ca="1">IFERROR(INDEX(凭证录入!B:B,$AR978),"")</f>
        <v/>
      </c>
      <c r="C978" s="470" t="str">
        <f ca="1">IFERROR(INDEX(凭证录入!G:G,$AR978),"")</f>
        <v/>
      </c>
      <c r="D978" s="471" t="str">
        <f ca="1">IFERROR(INDEX(凭证录入!F:F,$AR978),"")</f>
        <v/>
      </c>
      <c r="E978" s="472" t="str">
        <f ca="1">IFERROR(INDEX(凭证录入!H:H,$AR978),$AR978)</f>
        <v/>
      </c>
      <c r="F978" s="473">
        <f ca="1">IF(OR($BG$2=0,$AR978=""),,IF($AR978="本月合计",IF(ROW()=$BG$3,SUM($F$6:$F977),SUM(INDIRECT("$F$"&amp;OFFSET($AU$3,,MATCH(ROW(),$AU$3:$BF$3,)-2)+2&amp;":$E"&amp;ROW()-1))),IF($AR978="本年累计",SUMIF($AR$6:$AR978,"本月合计",$F$6:$F977),INDEX(凭证录入!K:K,$AR978))))</f>
        <v>0</v>
      </c>
      <c r="G978" s="459" t="str">
        <f t="shared" ca="1" si="212"/>
        <v/>
      </c>
      <c r="H978" s="460" t="str">
        <f t="shared" ca="1" si="212"/>
        <v/>
      </c>
      <c r="I978" s="460" t="str">
        <f t="shared" ca="1" si="212"/>
        <v/>
      </c>
      <c r="J978" s="460" t="str">
        <f t="shared" ca="1" si="212"/>
        <v/>
      </c>
      <c r="K978" s="460" t="str">
        <f t="shared" ca="1" si="212"/>
        <v/>
      </c>
      <c r="L978" s="460" t="str">
        <f t="shared" ca="1" si="212"/>
        <v/>
      </c>
      <c r="M978" s="460" t="str">
        <f t="shared" ca="1" si="212"/>
        <v/>
      </c>
      <c r="N978" s="460" t="str">
        <f t="shared" ca="1" si="212"/>
        <v/>
      </c>
      <c r="O978" s="461" t="str">
        <f t="shared" ca="1" si="212"/>
        <v/>
      </c>
      <c r="P978" s="474" t="str">
        <f t="shared" ca="1" si="212"/>
        <v/>
      </c>
      <c r="Q978" s="475" t="str">
        <f t="shared" ca="1" si="212"/>
        <v/>
      </c>
      <c r="R978" s="476">
        <f ca="1">IF(OR($BG$2=0,$AR978=""),,IF($AR978="本月合计",IF(ROW()=$BG$3,SUM($R$6:$R977),SUM(INDIRECT("$R$"&amp;OFFSET($AU$3,,MATCH(ROW(),$AU$3:$BF$3,)-2)+2&amp;":$R"&amp;ROW()-1))),IF($AR978="本年累计",SUMIF($AR$6:$AR978,"本月合计",$R$6:$R977),INDEX(凭证录入!L:L,$AR978))))</f>
        <v>0</v>
      </c>
      <c r="S978" s="459" t="str">
        <f t="shared" ca="1" si="213"/>
        <v/>
      </c>
      <c r="T978" s="460" t="str">
        <f t="shared" ca="1" si="213"/>
        <v/>
      </c>
      <c r="U978" s="460" t="str">
        <f t="shared" ca="1" si="213"/>
        <v/>
      </c>
      <c r="V978" s="460" t="str">
        <f t="shared" ca="1" si="213"/>
        <v/>
      </c>
      <c r="W978" s="460" t="str">
        <f t="shared" ca="1" si="213"/>
        <v/>
      </c>
      <c r="X978" s="460" t="str">
        <f t="shared" ca="1" si="213"/>
        <v/>
      </c>
      <c r="Y978" s="460" t="str">
        <f t="shared" ca="1" si="213"/>
        <v/>
      </c>
      <c r="Z978" s="460" t="str">
        <f t="shared" ca="1" si="213"/>
        <v/>
      </c>
      <c r="AA978" s="461" t="str">
        <f t="shared" ca="1" si="213"/>
        <v/>
      </c>
      <c r="AB978" s="474" t="str">
        <f t="shared" ca="1" si="213"/>
        <v/>
      </c>
      <c r="AC978" s="475" t="str">
        <f t="shared" ca="1" si="213"/>
        <v/>
      </c>
      <c r="AD978" s="477" t="str">
        <f t="shared" ca="1" si="214"/>
        <v/>
      </c>
      <c r="AE978" s="478">
        <f t="shared" ca="1" si="215"/>
        <v>0</v>
      </c>
      <c r="AF978" s="459" t="str">
        <f t="shared" ca="1" si="211"/>
        <v/>
      </c>
      <c r="AG978" s="460" t="str">
        <f t="shared" ca="1" si="211"/>
        <v/>
      </c>
      <c r="AH978" s="460" t="str">
        <f t="shared" ca="1" si="211"/>
        <v/>
      </c>
      <c r="AI978" s="460" t="str">
        <f t="shared" ca="1" si="211"/>
        <v/>
      </c>
      <c r="AJ978" s="460" t="str">
        <f t="shared" ca="1" si="211"/>
        <v/>
      </c>
      <c r="AK978" s="460" t="str">
        <f t="shared" ca="1" si="211"/>
        <v/>
      </c>
      <c r="AL978" s="460" t="str">
        <f t="shared" ca="1" si="211"/>
        <v/>
      </c>
      <c r="AM978" s="460" t="str">
        <f t="shared" ca="1" si="211"/>
        <v/>
      </c>
      <c r="AN978" s="461" t="str">
        <f t="shared" ca="1" si="211"/>
        <v/>
      </c>
      <c r="AO978" s="474" t="str">
        <f t="shared" ca="1" si="211"/>
        <v/>
      </c>
      <c r="AP978" s="475" t="str">
        <f t="shared" ca="1" si="211"/>
        <v/>
      </c>
      <c r="AQ978" s="479" t="str">
        <f t="array" aca="1" ref="AQ978" ca="1">IF(ROW()-5&lt;=COUNTIF(科目编号,$AR$2),SMALL(IF(科目编号=$AR$2,ROW(科目编号),""),ROW()-5),"")</f>
        <v/>
      </c>
      <c r="AR978" s="480" t="str">
        <f ca="1">IF($BG$2=0,"",IF(AR977="本月合计","本年累计",IF(OR(ROW()=$AU$3,ROW()=$AV$3,ROW()=$AW$3,ROW()=$AX$3,ROW()=$AY$3,ROW()=$AZ$3,ROW()=$BA$3,ROW()=$BB$3,ROW()=$BC$3,ROW()=$BD$3,ROW()=$BE$3,ROW()=$BF$3),"本月合计",IF(ROW()&lt;7,$AQ$6,OFFSET($AQ$6,COUNT($AR$6:AR977),0)))))</f>
        <v/>
      </c>
    </row>
    <row r="979" spans="1:44">
      <c r="A979" s="469" t="str">
        <f ca="1">IFERROR(INDEX(凭证录入!A:A,$AR979),"")</f>
        <v/>
      </c>
      <c r="B979" s="469" t="str">
        <f ca="1">IFERROR(INDEX(凭证录入!B:B,$AR979),"")</f>
        <v/>
      </c>
      <c r="C979" s="470" t="str">
        <f ca="1">IFERROR(INDEX(凭证录入!G:G,$AR979),"")</f>
        <v/>
      </c>
      <c r="D979" s="471" t="str">
        <f ca="1">IFERROR(INDEX(凭证录入!F:F,$AR979),"")</f>
        <v/>
      </c>
      <c r="E979" s="472" t="str">
        <f ca="1">IFERROR(INDEX(凭证录入!H:H,$AR979),$AR979)</f>
        <v/>
      </c>
      <c r="F979" s="473">
        <f ca="1">IF(OR($BG$2=0,$AR979=""),,IF($AR979="本月合计",IF(ROW()=$BG$3,SUM($F$6:$F978),SUM(INDIRECT("$F$"&amp;OFFSET($AU$3,,MATCH(ROW(),$AU$3:$BF$3,)-2)+2&amp;":$E"&amp;ROW()-1))),IF($AR979="本年累计",SUMIF($AR$6:$AR979,"本月合计",$F$6:$F978),INDEX(凭证录入!K:K,$AR979))))</f>
        <v>0</v>
      </c>
      <c r="G979" s="459" t="str">
        <f t="shared" ca="1" si="212"/>
        <v/>
      </c>
      <c r="H979" s="460" t="str">
        <f t="shared" ca="1" si="212"/>
        <v/>
      </c>
      <c r="I979" s="460" t="str">
        <f t="shared" ca="1" si="212"/>
        <v/>
      </c>
      <c r="J979" s="460" t="str">
        <f t="shared" ca="1" si="212"/>
        <v/>
      </c>
      <c r="K979" s="460" t="str">
        <f t="shared" ca="1" si="212"/>
        <v/>
      </c>
      <c r="L979" s="460" t="str">
        <f t="shared" ca="1" si="212"/>
        <v/>
      </c>
      <c r="M979" s="460" t="str">
        <f t="shared" ca="1" si="212"/>
        <v/>
      </c>
      <c r="N979" s="460" t="str">
        <f t="shared" ca="1" si="212"/>
        <v/>
      </c>
      <c r="O979" s="461" t="str">
        <f t="shared" ca="1" si="212"/>
        <v/>
      </c>
      <c r="P979" s="474" t="str">
        <f t="shared" ca="1" si="212"/>
        <v/>
      </c>
      <c r="Q979" s="475" t="str">
        <f t="shared" ca="1" si="212"/>
        <v/>
      </c>
      <c r="R979" s="476">
        <f ca="1">IF(OR($BG$2=0,$AR979=""),,IF($AR979="本月合计",IF(ROW()=$BG$3,SUM($R$6:$R978),SUM(INDIRECT("$R$"&amp;OFFSET($AU$3,,MATCH(ROW(),$AU$3:$BF$3,)-2)+2&amp;":$R"&amp;ROW()-1))),IF($AR979="本年累计",SUMIF($AR$6:$AR979,"本月合计",$R$6:$R978),INDEX(凭证录入!L:L,$AR979))))</f>
        <v>0</v>
      </c>
      <c r="S979" s="459" t="str">
        <f t="shared" ca="1" si="213"/>
        <v/>
      </c>
      <c r="T979" s="460" t="str">
        <f t="shared" ca="1" si="213"/>
        <v/>
      </c>
      <c r="U979" s="460" t="str">
        <f t="shared" ca="1" si="213"/>
        <v/>
      </c>
      <c r="V979" s="460" t="str">
        <f t="shared" ca="1" si="213"/>
        <v/>
      </c>
      <c r="W979" s="460" t="str">
        <f t="shared" ca="1" si="213"/>
        <v/>
      </c>
      <c r="X979" s="460" t="str">
        <f t="shared" ca="1" si="213"/>
        <v/>
      </c>
      <c r="Y979" s="460" t="str">
        <f t="shared" ca="1" si="213"/>
        <v/>
      </c>
      <c r="Z979" s="460" t="str">
        <f t="shared" ca="1" si="213"/>
        <v/>
      </c>
      <c r="AA979" s="461" t="str">
        <f t="shared" ca="1" si="213"/>
        <v/>
      </c>
      <c r="AB979" s="474" t="str">
        <f t="shared" ca="1" si="213"/>
        <v/>
      </c>
      <c r="AC979" s="475" t="str">
        <f t="shared" ca="1" si="213"/>
        <v/>
      </c>
      <c r="AD979" s="477" t="str">
        <f t="shared" ca="1" si="214"/>
        <v/>
      </c>
      <c r="AE979" s="478">
        <f t="shared" ca="1" si="215"/>
        <v>0</v>
      </c>
      <c r="AF979" s="459" t="str">
        <f t="shared" ca="1" si="211"/>
        <v/>
      </c>
      <c r="AG979" s="460" t="str">
        <f t="shared" ca="1" si="211"/>
        <v/>
      </c>
      <c r="AH979" s="460" t="str">
        <f t="shared" ca="1" si="211"/>
        <v/>
      </c>
      <c r="AI979" s="460" t="str">
        <f t="shared" ca="1" si="211"/>
        <v/>
      </c>
      <c r="AJ979" s="460" t="str">
        <f t="shared" ca="1" si="211"/>
        <v/>
      </c>
      <c r="AK979" s="460" t="str">
        <f t="shared" ca="1" si="211"/>
        <v/>
      </c>
      <c r="AL979" s="460" t="str">
        <f t="shared" ca="1" si="211"/>
        <v/>
      </c>
      <c r="AM979" s="460" t="str">
        <f t="shared" ca="1" si="211"/>
        <v/>
      </c>
      <c r="AN979" s="461" t="str">
        <f t="shared" ca="1" si="211"/>
        <v/>
      </c>
      <c r="AO979" s="474" t="str">
        <f t="shared" ca="1" si="211"/>
        <v/>
      </c>
      <c r="AP979" s="475" t="str">
        <f t="shared" ca="1" si="211"/>
        <v/>
      </c>
      <c r="AQ979" s="479" t="str">
        <f t="array" aca="1" ref="AQ979" ca="1">IF(ROW()-5&lt;=COUNTIF(科目编号,$AR$2),SMALL(IF(科目编号=$AR$2,ROW(科目编号),""),ROW()-5),"")</f>
        <v/>
      </c>
      <c r="AR979" s="480" t="str">
        <f ca="1">IF($BG$2=0,"",IF(AR978="本月合计","本年累计",IF(OR(ROW()=$AU$3,ROW()=$AV$3,ROW()=$AW$3,ROW()=$AX$3,ROW()=$AY$3,ROW()=$AZ$3,ROW()=$BA$3,ROW()=$BB$3,ROW()=$BC$3,ROW()=$BD$3,ROW()=$BE$3,ROW()=$BF$3),"本月合计",IF(ROW()&lt;7,$AQ$6,OFFSET($AQ$6,COUNT($AR$6:AR978),0)))))</f>
        <v/>
      </c>
    </row>
    <row r="980" spans="1:44">
      <c r="A980" s="469" t="str">
        <f ca="1">IFERROR(INDEX(凭证录入!A:A,$AR980),"")</f>
        <v/>
      </c>
      <c r="B980" s="469" t="str">
        <f ca="1">IFERROR(INDEX(凭证录入!B:B,$AR980),"")</f>
        <v/>
      </c>
      <c r="C980" s="470" t="str">
        <f ca="1">IFERROR(INDEX(凭证录入!G:G,$AR980),"")</f>
        <v/>
      </c>
      <c r="D980" s="471" t="str">
        <f ca="1">IFERROR(INDEX(凭证录入!F:F,$AR980),"")</f>
        <v/>
      </c>
      <c r="E980" s="472" t="str">
        <f ca="1">IFERROR(INDEX(凭证录入!H:H,$AR980),$AR980)</f>
        <v/>
      </c>
      <c r="F980" s="473">
        <f ca="1">IF(OR($BG$2=0,$AR980=""),,IF($AR980="本月合计",IF(ROW()=$BG$3,SUM($F$6:$F979),SUM(INDIRECT("$F$"&amp;OFFSET($AU$3,,MATCH(ROW(),$AU$3:$BF$3,)-2)+2&amp;":$E"&amp;ROW()-1))),IF($AR980="本年累计",SUMIF($AR$6:$AR980,"本月合计",$F$6:$F979),INDEX(凭证录入!K:K,$AR980))))</f>
        <v>0</v>
      </c>
      <c r="G980" s="459" t="str">
        <f t="shared" ca="1" si="212"/>
        <v/>
      </c>
      <c r="H980" s="460" t="str">
        <f t="shared" ca="1" si="212"/>
        <v/>
      </c>
      <c r="I980" s="460" t="str">
        <f t="shared" ca="1" si="212"/>
        <v/>
      </c>
      <c r="J980" s="460" t="str">
        <f t="shared" ca="1" si="212"/>
        <v/>
      </c>
      <c r="K980" s="460" t="str">
        <f t="shared" ca="1" si="212"/>
        <v/>
      </c>
      <c r="L980" s="460" t="str">
        <f t="shared" ca="1" si="212"/>
        <v/>
      </c>
      <c r="M980" s="460" t="str">
        <f t="shared" ca="1" si="212"/>
        <v/>
      </c>
      <c r="N980" s="460" t="str">
        <f t="shared" ca="1" si="212"/>
        <v/>
      </c>
      <c r="O980" s="461" t="str">
        <f t="shared" ca="1" si="212"/>
        <v/>
      </c>
      <c r="P980" s="474" t="str">
        <f t="shared" ca="1" si="212"/>
        <v/>
      </c>
      <c r="Q980" s="475" t="str">
        <f t="shared" ca="1" si="212"/>
        <v/>
      </c>
      <c r="R980" s="476">
        <f ca="1">IF(OR($BG$2=0,$AR980=""),,IF($AR980="本月合计",IF(ROW()=$BG$3,SUM($R$6:$R979),SUM(INDIRECT("$R$"&amp;OFFSET($AU$3,,MATCH(ROW(),$AU$3:$BF$3,)-2)+2&amp;":$R"&amp;ROW()-1))),IF($AR980="本年累计",SUMIF($AR$6:$AR980,"本月合计",$R$6:$R979),INDEX(凭证录入!L:L,$AR980))))</f>
        <v>0</v>
      </c>
      <c r="S980" s="459" t="str">
        <f t="shared" ca="1" si="213"/>
        <v/>
      </c>
      <c r="T980" s="460" t="str">
        <f t="shared" ca="1" si="213"/>
        <v/>
      </c>
      <c r="U980" s="460" t="str">
        <f t="shared" ca="1" si="213"/>
        <v/>
      </c>
      <c r="V980" s="460" t="str">
        <f t="shared" ca="1" si="213"/>
        <v/>
      </c>
      <c r="W980" s="460" t="str">
        <f t="shared" ca="1" si="213"/>
        <v/>
      </c>
      <c r="X980" s="460" t="str">
        <f t="shared" ca="1" si="213"/>
        <v/>
      </c>
      <c r="Y980" s="460" t="str">
        <f t="shared" ca="1" si="213"/>
        <v/>
      </c>
      <c r="Z980" s="460" t="str">
        <f t="shared" ca="1" si="213"/>
        <v/>
      </c>
      <c r="AA980" s="461" t="str">
        <f t="shared" ca="1" si="213"/>
        <v/>
      </c>
      <c r="AB980" s="474" t="str">
        <f t="shared" ca="1" si="213"/>
        <v/>
      </c>
      <c r="AC980" s="475" t="str">
        <f t="shared" ca="1" si="213"/>
        <v/>
      </c>
      <c r="AD980" s="477" t="str">
        <f t="shared" ca="1" si="214"/>
        <v/>
      </c>
      <c r="AE980" s="478">
        <f t="shared" ca="1" si="215"/>
        <v>0</v>
      </c>
      <c r="AF980" s="459" t="str">
        <f t="shared" ca="1" si="211"/>
        <v/>
      </c>
      <c r="AG980" s="460" t="str">
        <f t="shared" ca="1" si="211"/>
        <v/>
      </c>
      <c r="AH980" s="460" t="str">
        <f t="shared" ca="1" si="211"/>
        <v/>
      </c>
      <c r="AI980" s="460" t="str">
        <f t="shared" ca="1" si="211"/>
        <v/>
      </c>
      <c r="AJ980" s="460" t="str">
        <f t="shared" ca="1" si="211"/>
        <v/>
      </c>
      <c r="AK980" s="460" t="str">
        <f t="shared" ca="1" si="211"/>
        <v/>
      </c>
      <c r="AL980" s="460" t="str">
        <f t="shared" ca="1" si="211"/>
        <v/>
      </c>
      <c r="AM980" s="460" t="str">
        <f t="shared" ca="1" si="211"/>
        <v/>
      </c>
      <c r="AN980" s="461" t="str">
        <f t="shared" ca="1" si="211"/>
        <v/>
      </c>
      <c r="AO980" s="474" t="str">
        <f t="shared" ca="1" si="211"/>
        <v/>
      </c>
      <c r="AP980" s="475" t="str">
        <f t="shared" ca="1" si="211"/>
        <v/>
      </c>
      <c r="AQ980" s="479" t="str">
        <f t="array" aca="1" ref="AQ980" ca="1">IF(ROW()-5&lt;=COUNTIF(科目编号,$AR$2),SMALL(IF(科目编号=$AR$2,ROW(科目编号),""),ROW()-5),"")</f>
        <v/>
      </c>
      <c r="AR980" s="480" t="str">
        <f ca="1">IF($BG$2=0,"",IF(AR979="本月合计","本年累计",IF(OR(ROW()=$AU$3,ROW()=$AV$3,ROW()=$AW$3,ROW()=$AX$3,ROW()=$AY$3,ROW()=$AZ$3,ROW()=$BA$3,ROW()=$BB$3,ROW()=$BC$3,ROW()=$BD$3,ROW()=$BE$3,ROW()=$BF$3),"本月合计",IF(ROW()&lt;7,$AQ$6,OFFSET($AQ$6,COUNT($AR$6:AR979),0)))))</f>
        <v/>
      </c>
    </row>
    <row r="981" spans="1:44">
      <c r="A981" s="469" t="str">
        <f ca="1">IFERROR(INDEX(凭证录入!A:A,$AR981),"")</f>
        <v/>
      </c>
      <c r="B981" s="469" t="str">
        <f ca="1">IFERROR(INDEX(凭证录入!B:B,$AR981),"")</f>
        <v/>
      </c>
      <c r="C981" s="470" t="str">
        <f ca="1">IFERROR(INDEX(凭证录入!G:G,$AR981),"")</f>
        <v/>
      </c>
      <c r="D981" s="471" t="str">
        <f ca="1">IFERROR(INDEX(凭证录入!F:F,$AR981),"")</f>
        <v/>
      </c>
      <c r="E981" s="472" t="str">
        <f ca="1">IFERROR(INDEX(凭证录入!H:H,$AR981),$AR981)</f>
        <v/>
      </c>
      <c r="F981" s="473">
        <f ca="1">IF(OR($BG$2=0,$AR981=""),,IF($AR981="本月合计",IF(ROW()=$BG$3,SUM($F$6:$F980),SUM(INDIRECT("$F$"&amp;OFFSET($AU$3,,MATCH(ROW(),$AU$3:$BF$3,)-2)+2&amp;":$E"&amp;ROW()-1))),IF($AR981="本年累计",SUMIF($AR$6:$AR981,"本月合计",$F$6:$F980),INDEX(凭证录入!K:K,$AR981))))</f>
        <v>0</v>
      </c>
      <c r="G981" s="459" t="str">
        <f t="shared" ca="1" si="212"/>
        <v/>
      </c>
      <c r="H981" s="460" t="str">
        <f t="shared" ca="1" si="212"/>
        <v/>
      </c>
      <c r="I981" s="460" t="str">
        <f t="shared" ca="1" si="212"/>
        <v/>
      </c>
      <c r="J981" s="460" t="str">
        <f t="shared" ca="1" si="212"/>
        <v/>
      </c>
      <c r="K981" s="460" t="str">
        <f t="shared" ca="1" si="212"/>
        <v/>
      </c>
      <c r="L981" s="460" t="str">
        <f t="shared" ca="1" si="212"/>
        <v/>
      </c>
      <c r="M981" s="460" t="str">
        <f t="shared" ca="1" si="212"/>
        <v/>
      </c>
      <c r="N981" s="460" t="str">
        <f t="shared" ca="1" si="212"/>
        <v/>
      </c>
      <c r="O981" s="461" t="str">
        <f t="shared" ca="1" si="212"/>
        <v/>
      </c>
      <c r="P981" s="474" t="str">
        <f t="shared" ca="1" si="212"/>
        <v/>
      </c>
      <c r="Q981" s="475" t="str">
        <f t="shared" ca="1" si="212"/>
        <v/>
      </c>
      <c r="R981" s="476">
        <f ca="1">IF(OR($BG$2=0,$AR981=""),,IF($AR981="本月合计",IF(ROW()=$BG$3,SUM($R$6:$R980),SUM(INDIRECT("$R$"&amp;OFFSET($AU$3,,MATCH(ROW(),$AU$3:$BF$3,)-2)+2&amp;":$R"&amp;ROW()-1))),IF($AR981="本年累计",SUMIF($AR$6:$AR981,"本月合计",$R$6:$R980),INDEX(凭证录入!L:L,$AR981))))</f>
        <v>0</v>
      </c>
      <c r="S981" s="459" t="str">
        <f t="shared" ca="1" si="213"/>
        <v/>
      </c>
      <c r="T981" s="460" t="str">
        <f t="shared" ca="1" si="213"/>
        <v/>
      </c>
      <c r="U981" s="460" t="str">
        <f t="shared" ca="1" si="213"/>
        <v/>
      </c>
      <c r="V981" s="460" t="str">
        <f t="shared" ca="1" si="213"/>
        <v/>
      </c>
      <c r="W981" s="460" t="str">
        <f t="shared" ca="1" si="213"/>
        <v/>
      </c>
      <c r="X981" s="460" t="str">
        <f t="shared" ca="1" si="213"/>
        <v/>
      </c>
      <c r="Y981" s="460" t="str">
        <f t="shared" ca="1" si="213"/>
        <v/>
      </c>
      <c r="Z981" s="460" t="str">
        <f t="shared" ca="1" si="213"/>
        <v/>
      </c>
      <c r="AA981" s="461" t="str">
        <f t="shared" ca="1" si="213"/>
        <v/>
      </c>
      <c r="AB981" s="474" t="str">
        <f t="shared" ca="1" si="213"/>
        <v/>
      </c>
      <c r="AC981" s="475" t="str">
        <f t="shared" ca="1" si="213"/>
        <v/>
      </c>
      <c r="AD981" s="477" t="str">
        <f t="shared" ca="1" si="214"/>
        <v/>
      </c>
      <c r="AE981" s="478">
        <f t="shared" ca="1" si="215"/>
        <v>0</v>
      </c>
      <c r="AF981" s="459" t="str">
        <f t="shared" ref="AF981:AP996" ca="1" si="216">LEFT(RIGHT(TEXT($AE981/1%," ￥0; ￥-0;"),43-COLUMN()))</f>
        <v/>
      </c>
      <c r="AG981" s="460" t="str">
        <f t="shared" ca="1" si="216"/>
        <v/>
      </c>
      <c r="AH981" s="460" t="str">
        <f t="shared" ca="1" si="216"/>
        <v/>
      </c>
      <c r="AI981" s="460" t="str">
        <f t="shared" ca="1" si="216"/>
        <v/>
      </c>
      <c r="AJ981" s="460" t="str">
        <f t="shared" ca="1" si="216"/>
        <v/>
      </c>
      <c r="AK981" s="460" t="str">
        <f t="shared" ca="1" si="216"/>
        <v/>
      </c>
      <c r="AL981" s="460" t="str">
        <f t="shared" ca="1" si="216"/>
        <v/>
      </c>
      <c r="AM981" s="460" t="str">
        <f t="shared" ca="1" si="216"/>
        <v/>
      </c>
      <c r="AN981" s="461" t="str">
        <f t="shared" ca="1" si="216"/>
        <v/>
      </c>
      <c r="AO981" s="474" t="str">
        <f t="shared" ca="1" si="216"/>
        <v/>
      </c>
      <c r="AP981" s="475" t="str">
        <f t="shared" ca="1" si="216"/>
        <v/>
      </c>
      <c r="AQ981" s="479" t="str">
        <f t="array" aca="1" ref="AQ981" ca="1">IF(ROW()-5&lt;=COUNTIF(科目编号,$AR$2),SMALL(IF(科目编号=$AR$2,ROW(科目编号),""),ROW()-5),"")</f>
        <v/>
      </c>
      <c r="AR981" s="480" t="str">
        <f ca="1">IF($BG$2=0,"",IF(AR980="本月合计","本年累计",IF(OR(ROW()=$AU$3,ROW()=$AV$3,ROW()=$AW$3,ROW()=$AX$3,ROW()=$AY$3,ROW()=$AZ$3,ROW()=$BA$3,ROW()=$BB$3,ROW()=$BC$3,ROW()=$BD$3,ROW()=$BE$3,ROW()=$BF$3),"本月合计",IF(ROW()&lt;7,$AQ$6,OFFSET($AQ$6,COUNT($AR$6:AR980),0)))))</f>
        <v/>
      </c>
    </row>
    <row r="982" spans="1:44">
      <c r="A982" s="469" t="str">
        <f ca="1">IFERROR(INDEX(凭证录入!A:A,$AR982),"")</f>
        <v/>
      </c>
      <c r="B982" s="469" t="str">
        <f ca="1">IFERROR(INDEX(凭证录入!B:B,$AR982),"")</f>
        <v/>
      </c>
      <c r="C982" s="470" t="str">
        <f ca="1">IFERROR(INDEX(凭证录入!G:G,$AR982),"")</f>
        <v/>
      </c>
      <c r="D982" s="471" t="str">
        <f ca="1">IFERROR(INDEX(凭证录入!F:F,$AR982),"")</f>
        <v/>
      </c>
      <c r="E982" s="472" t="str">
        <f ca="1">IFERROR(INDEX(凭证录入!H:H,$AR982),$AR982)</f>
        <v/>
      </c>
      <c r="F982" s="473">
        <f ca="1">IF(OR($BG$2=0,$AR982=""),,IF($AR982="本月合计",IF(ROW()=$BG$3,SUM($F$6:$F981),SUM(INDIRECT("$F$"&amp;OFFSET($AU$3,,MATCH(ROW(),$AU$3:$BF$3,)-2)+2&amp;":$E"&amp;ROW()-1))),IF($AR982="本年累计",SUMIF($AR$6:$AR982,"本月合计",$F$6:$F981),INDEX(凭证录入!K:K,$AR982))))</f>
        <v>0</v>
      </c>
      <c r="G982" s="459" t="str">
        <f t="shared" ref="G982:Q997" ca="1" si="217">LEFT(RIGHT(TEXT($F982/1%," ￥0; ￥-0;"),18-COLUMN()))</f>
        <v/>
      </c>
      <c r="H982" s="460" t="str">
        <f t="shared" ca="1" si="217"/>
        <v/>
      </c>
      <c r="I982" s="460" t="str">
        <f t="shared" ca="1" si="217"/>
        <v/>
      </c>
      <c r="J982" s="460" t="str">
        <f t="shared" ca="1" si="217"/>
        <v/>
      </c>
      <c r="K982" s="460" t="str">
        <f t="shared" ca="1" si="217"/>
        <v/>
      </c>
      <c r="L982" s="460" t="str">
        <f t="shared" ca="1" si="217"/>
        <v/>
      </c>
      <c r="M982" s="460" t="str">
        <f t="shared" ca="1" si="217"/>
        <v/>
      </c>
      <c r="N982" s="460" t="str">
        <f t="shared" ca="1" si="217"/>
        <v/>
      </c>
      <c r="O982" s="461" t="str">
        <f t="shared" ca="1" si="217"/>
        <v/>
      </c>
      <c r="P982" s="474" t="str">
        <f t="shared" ca="1" si="217"/>
        <v/>
      </c>
      <c r="Q982" s="475" t="str">
        <f t="shared" ca="1" si="217"/>
        <v/>
      </c>
      <c r="R982" s="476">
        <f ca="1">IF(OR($BG$2=0,$AR982=""),,IF($AR982="本月合计",IF(ROW()=$BG$3,SUM($R$6:$R981),SUM(INDIRECT("$R$"&amp;OFFSET($AU$3,,MATCH(ROW(),$AU$3:$BF$3,)-2)+2&amp;":$R"&amp;ROW()-1))),IF($AR982="本年累计",SUMIF($AR$6:$AR982,"本月合计",$R$6:$R981),INDEX(凭证录入!L:L,$AR982))))</f>
        <v>0</v>
      </c>
      <c r="S982" s="459" t="str">
        <f t="shared" ref="S982:AC997" ca="1" si="218">LEFT(RIGHT(TEXT($R982/1%," ￥0; ￥-0;"),30-COLUMN()))</f>
        <v/>
      </c>
      <c r="T982" s="460" t="str">
        <f t="shared" ca="1" si="218"/>
        <v/>
      </c>
      <c r="U982" s="460" t="str">
        <f t="shared" ca="1" si="218"/>
        <v/>
      </c>
      <c r="V982" s="460" t="str">
        <f t="shared" ca="1" si="218"/>
        <v/>
      </c>
      <c r="W982" s="460" t="str">
        <f t="shared" ca="1" si="218"/>
        <v/>
      </c>
      <c r="X982" s="460" t="str">
        <f t="shared" ca="1" si="218"/>
        <v/>
      </c>
      <c r="Y982" s="460" t="str">
        <f t="shared" ca="1" si="218"/>
        <v/>
      </c>
      <c r="Z982" s="460" t="str">
        <f t="shared" ca="1" si="218"/>
        <v/>
      </c>
      <c r="AA982" s="461" t="str">
        <f t="shared" ca="1" si="218"/>
        <v/>
      </c>
      <c r="AB982" s="474" t="str">
        <f t="shared" ca="1" si="218"/>
        <v/>
      </c>
      <c r="AC982" s="475" t="str">
        <f t="shared" ca="1" si="218"/>
        <v/>
      </c>
      <c r="AD982" s="477" t="str">
        <f t="shared" ca="1" si="214"/>
        <v/>
      </c>
      <c r="AE982" s="478">
        <f t="shared" ca="1" si="215"/>
        <v>0</v>
      </c>
      <c r="AF982" s="459" t="str">
        <f t="shared" ca="1" si="216"/>
        <v/>
      </c>
      <c r="AG982" s="460" t="str">
        <f t="shared" ca="1" si="216"/>
        <v/>
      </c>
      <c r="AH982" s="460" t="str">
        <f t="shared" ca="1" si="216"/>
        <v/>
      </c>
      <c r="AI982" s="460" t="str">
        <f t="shared" ca="1" si="216"/>
        <v/>
      </c>
      <c r="AJ982" s="460" t="str">
        <f t="shared" ca="1" si="216"/>
        <v/>
      </c>
      <c r="AK982" s="460" t="str">
        <f t="shared" ca="1" si="216"/>
        <v/>
      </c>
      <c r="AL982" s="460" t="str">
        <f t="shared" ca="1" si="216"/>
        <v/>
      </c>
      <c r="AM982" s="460" t="str">
        <f t="shared" ca="1" si="216"/>
        <v/>
      </c>
      <c r="AN982" s="461" t="str">
        <f t="shared" ca="1" si="216"/>
        <v/>
      </c>
      <c r="AO982" s="474" t="str">
        <f t="shared" ca="1" si="216"/>
        <v/>
      </c>
      <c r="AP982" s="475" t="str">
        <f t="shared" ca="1" si="216"/>
        <v/>
      </c>
      <c r="AQ982" s="479" t="str">
        <f t="array" aca="1" ref="AQ982" ca="1">IF(ROW()-5&lt;=COUNTIF(科目编号,$AR$2),SMALL(IF(科目编号=$AR$2,ROW(科目编号),""),ROW()-5),"")</f>
        <v/>
      </c>
      <c r="AR982" s="480" t="str">
        <f ca="1">IF($BG$2=0,"",IF(AR981="本月合计","本年累计",IF(OR(ROW()=$AU$3,ROW()=$AV$3,ROW()=$AW$3,ROW()=$AX$3,ROW()=$AY$3,ROW()=$AZ$3,ROW()=$BA$3,ROW()=$BB$3,ROW()=$BC$3,ROW()=$BD$3,ROW()=$BE$3,ROW()=$BF$3),"本月合计",IF(ROW()&lt;7,$AQ$6,OFFSET($AQ$6,COUNT($AR$6:AR981),0)))))</f>
        <v/>
      </c>
    </row>
    <row r="983" spans="1:44">
      <c r="A983" s="469" t="str">
        <f ca="1">IFERROR(INDEX(凭证录入!A:A,$AR983),"")</f>
        <v/>
      </c>
      <c r="B983" s="469" t="str">
        <f ca="1">IFERROR(INDEX(凭证录入!B:B,$AR983),"")</f>
        <v/>
      </c>
      <c r="C983" s="470" t="str">
        <f ca="1">IFERROR(INDEX(凭证录入!G:G,$AR983),"")</f>
        <v/>
      </c>
      <c r="D983" s="471" t="str">
        <f ca="1">IFERROR(INDEX(凭证录入!F:F,$AR983),"")</f>
        <v/>
      </c>
      <c r="E983" s="472" t="str">
        <f ca="1">IFERROR(INDEX(凭证录入!H:H,$AR983),$AR983)</f>
        <v/>
      </c>
      <c r="F983" s="473">
        <f ca="1">IF(OR($BG$2=0,$AR983=""),,IF($AR983="本月合计",IF(ROW()=$BG$3,SUM($F$6:$F982),SUM(INDIRECT("$F$"&amp;OFFSET($AU$3,,MATCH(ROW(),$AU$3:$BF$3,)-2)+2&amp;":$E"&amp;ROW()-1))),IF($AR983="本年累计",SUMIF($AR$6:$AR983,"本月合计",$F$6:$F982),INDEX(凭证录入!K:K,$AR983))))</f>
        <v>0</v>
      </c>
      <c r="G983" s="459" t="str">
        <f t="shared" ca="1" si="217"/>
        <v/>
      </c>
      <c r="H983" s="460" t="str">
        <f t="shared" ca="1" si="217"/>
        <v/>
      </c>
      <c r="I983" s="460" t="str">
        <f t="shared" ca="1" si="217"/>
        <v/>
      </c>
      <c r="J983" s="460" t="str">
        <f t="shared" ca="1" si="217"/>
        <v/>
      </c>
      <c r="K983" s="460" t="str">
        <f t="shared" ca="1" si="217"/>
        <v/>
      </c>
      <c r="L983" s="460" t="str">
        <f t="shared" ca="1" si="217"/>
        <v/>
      </c>
      <c r="M983" s="460" t="str">
        <f t="shared" ca="1" si="217"/>
        <v/>
      </c>
      <c r="N983" s="460" t="str">
        <f t="shared" ca="1" si="217"/>
        <v/>
      </c>
      <c r="O983" s="461" t="str">
        <f t="shared" ca="1" si="217"/>
        <v/>
      </c>
      <c r="P983" s="474" t="str">
        <f t="shared" ca="1" si="217"/>
        <v/>
      </c>
      <c r="Q983" s="475" t="str">
        <f t="shared" ca="1" si="217"/>
        <v/>
      </c>
      <c r="R983" s="476">
        <f ca="1">IF(OR($BG$2=0,$AR983=""),,IF($AR983="本月合计",IF(ROW()=$BG$3,SUM($R$6:$R982),SUM(INDIRECT("$R$"&amp;OFFSET($AU$3,,MATCH(ROW(),$AU$3:$BF$3,)-2)+2&amp;":$R"&amp;ROW()-1))),IF($AR983="本年累计",SUMIF($AR$6:$AR983,"本月合计",$R$6:$R982),INDEX(凭证录入!L:L,$AR983))))</f>
        <v>0</v>
      </c>
      <c r="S983" s="459" t="str">
        <f t="shared" ca="1" si="218"/>
        <v/>
      </c>
      <c r="T983" s="460" t="str">
        <f t="shared" ca="1" si="218"/>
        <v/>
      </c>
      <c r="U983" s="460" t="str">
        <f t="shared" ca="1" si="218"/>
        <v/>
      </c>
      <c r="V983" s="460" t="str">
        <f t="shared" ca="1" si="218"/>
        <v/>
      </c>
      <c r="W983" s="460" t="str">
        <f t="shared" ca="1" si="218"/>
        <v/>
      </c>
      <c r="X983" s="460" t="str">
        <f t="shared" ca="1" si="218"/>
        <v/>
      </c>
      <c r="Y983" s="460" t="str">
        <f t="shared" ca="1" si="218"/>
        <v/>
      </c>
      <c r="Z983" s="460" t="str">
        <f t="shared" ca="1" si="218"/>
        <v/>
      </c>
      <c r="AA983" s="461" t="str">
        <f t="shared" ca="1" si="218"/>
        <v/>
      </c>
      <c r="AB983" s="474" t="str">
        <f t="shared" ca="1" si="218"/>
        <v/>
      </c>
      <c r="AC983" s="475" t="str">
        <f t="shared" ca="1" si="218"/>
        <v/>
      </c>
      <c r="AD983" s="477" t="str">
        <f t="shared" ca="1" si="214"/>
        <v/>
      </c>
      <c r="AE983" s="478">
        <f t="shared" ca="1" si="215"/>
        <v>0</v>
      </c>
      <c r="AF983" s="459" t="str">
        <f t="shared" ca="1" si="216"/>
        <v/>
      </c>
      <c r="AG983" s="460" t="str">
        <f t="shared" ca="1" si="216"/>
        <v/>
      </c>
      <c r="AH983" s="460" t="str">
        <f t="shared" ca="1" si="216"/>
        <v/>
      </c>
      <c r="AI983" s="460" t="str">
        <f t="shared" ca="1" si="216"/>
        <v/>
      </c>
      <c r="AJ983" s="460" t="str">
        <f t="shared" ca="1" si="216"/>
        <v/>
      </c>
      <c r="AK983" s="460" t="str">
        <f t="shared" ca="1" si="216"/>
        <v/>
      </c>
      <c r="AL983" s="460" t="str">
        <f t="shared" ca="1" si="216"/>
        <v/>
      </c>
      <c r="AM983" s="460" t="str">
        <f t="shared" ca="1" si="216"/>
        <v/>
      </c>
      <c r="AN983" s="461" t="str">
        <f t="shared" ca="1" si="216"/>
        <v/>
      </c>
      <c r="AO983" s="474" t="str">
        <f t="shared" ca="1" si="216"/>
        <v/>
      </c>
      <c r="AP983" s="475" t="str">
        <f t="shared" ca="1" si="216"/>
        <v/>
      </c>
      <c r="AQ983" s="479" t="str">
        <f t="array" aca="1" ref="AQ983" ca="1">IF(ROW()-5&lt;=COUNTIF(科目编号,$AR$2),SMALL(IF(科目编号=$AR$2,ROW(科目编号),""),ROW()-5),"")</f>
        <v/>
      </c>
      <c r="AR983" s="480" t="str">
        <f ca="1">IF($BG$2=0,"",IF(AR982="本月合计","本年累计",IF(OR(ROW()=$AU$3,ROW()=$AV$3,ROW()=$AW$3,ROW()=$AX$3,ROW()=$AY$3,ROW()=$AZ$3,ROW()=$BA$3,ROW()=$BB$3,ROW()=$BC$3,ROW()=$BD$3,ROW()=$BE$3,ROW()=$BF$3),"本月合计",IF(ROW()&lt;7,$AQ$6,OFFSET($AQ$6,COUNT($AR$6:AR982),0)))))</f>
        <v/>
      </c>
    </row>
    <row r="984" spans="1:44">
      <c r="A984" s="469" t="str">
        <f ca="1">IFERROR(INDEX(凭证录入!A:A,$AR984),"")</f>
        <v/>
      </c>
      <c r="B984" s="469" t="str">
        <f ca="1">IFERROR(INDEX(凭证录入!B:B,$AR984),"")</f>
        <v/>
      </c>
      <c r="C984" s="470" t="str">
        <f ca="1">IFERROR(INDEX(凭证录入!G:G,$AR984),"")</f>
        <v/>
      </c>
      <c r="D984" s="471" t="str">
        <f ca="1">IFERROR(INDEX(凭证录入!F:F,$AR984),"")</f>
        <v/>
      </c>
      <c r="E984" s="472" t="str">
        <f ca="1">IFERROR(INDEX(凭证录入!H:H,$AR984),$AR984)</f>
        <v/>
      </c>
      <c r="F984" s="473">
        <f ca="1">IF(OR($BG$2=0,$AR984=""),,IF($AR984="本月合计",IF(ROW()=$BG$3,SUM($F$6:$F983),SUM(INDIRECT("$F$"&amp;OFFSET($AU$3,,MATCH(ROW(),$AU$3:$BF$3,)-2)+2&amp;":$E"&amp;ROW()-1))),IF($AR984="本年累计",SUMIF($AR$6:$AR984,"本月合计",$F$6:$F983),INDEX(凭证录入!K:K,$AR984))))</f>
        <v>0</v>
      </c>
      <c r="G984" s="459" t="str">
        <f t="shared" ca="1" si="217"/>
        <v/>
      </c>
      <c r="H984" s="460" t="str">
        <f t="shared" ca="1" si="217"/>
        <v/>
      </c>
      <c r="I984" s="460" t="str">
        <f t="shared" ca="1" si="217"/>
        <v/>
      </c>
      <c r="J984" s="460" t="str">
        <f t="shared" ca="1" si="217"/>
        <v/>
      </c>
      <c r="K984" s="460" t="str">
        <f t="shared" ca="1" si="217"/>
        <v/>
      </c>
      <c r="L984" s="460" t="str">
        <f t="shared" ca="1" si="217"/>
        <v/>
      </c>
      <c r="M984" s="460" t="str">
        <f t="shared" ca="1" si="217"/>
        <v/>
      </c>
      <c r="N984" s="460" t="str">
        <f t="shared" ca="1" si="217"/>
        <v/>
      </c>
      <c r="O984" s="461" t="str">
        <f t="shared" ca="1" si="217"/>
        <v/>
      </c>
      <c r="P984" s="474" t="str">
        <f t="shared" ca="1" si="217"/>
        <v/>
      </c>
      <c r="Q984" s="475" t="str">
        <f t="shared" ca="1" si="217"/>
        <v/>
      </c>
      <c r="R984" s="476">
        <f ca="1">IF(OR($BG$2=0,$AR984=""),,IF($AR984="本月合计",IF(ROW()=$BG$3,SUM($R$6:$R983),SUM(INDIRECT("$R$"&amp;OFFSET($AU$3,,MATCH(ROW(),$AU$3:$BF$3,)-2)+2&amp;":$R"&amp;ROW()-1))),IF($AR984="本年累计",SUMIF($AR$6:$AR984,"本月合计",$R$6:$R983),INDEX(凭证录入!L:L,$AR984))))</f>
        <v>0</v>
      </c>
      <c r="S984" s="459" t="str">
        <f t="shared" ca="1" si="218"/>
        <v/>
      </c>
      <c r="T984" s="460" t="str">
        <f t="shared" ca="1" si="218"/>
        <v/>
      </c>
      <c r="U984" s="460" t="str">
        <f t="shared" ca="1" si="218"/>
        <v/>
      </c>
      <c r="V984" s="460" t="str">
        <f t="shared" ca="1" si="218"/>
        <v/>
      </c>
      <c r="W984" s="460" t="str">
        <f t="shared" ca="1" si="218"/>
        <v/>
      </c>
      <c r="X984" s="460" t="str">
        <f t="shared" ca="1" si="218"/>
        <v/>
      </c>
      <c r="Y984" s="460" t="str">
        <f t="shared" ca="1" si="218"/>
        <v/>
      </c>
      <c r="Z984" s="460" t="str">
        <f t="shared" ca="1" si="218"/>
        <v/>
      </c>
      <c r="AA984" s="461" t="str">
        <f t="shared" ca="1" si="218"/>
        <v/>
      </c>
      <c r="AB984" s="474" t="str">
        <f t="shared" ca="1" si="218"/>
        <v/>
      </c>
      <c r="AC984" s="475" t="str">
        <f t="shared" ca="1" si="218"/>
        <v/>
      </c>
      <c r="AD984" s="477" t="str">
        <f t="shared" ca="1" si="214"/>
        <v/>
      </c>
      <c r="AE984" s="478">
        <f t="shared" ca="1" si="215"/>
        <v>0</v>
      </c>
      <c r="AF984" s="459" t="str">
        <f t="shared" ca="1" si="216"/>
        <v/>
      </c>
      <c r="AG984" s="460" t="str">
        <f t="shared" ca="1" si="216"/>
        <v/>
      </c>
      <c r="AH984" s="460" t="str">
        <f t="shared" ca="1" si="216"/>
        <v/>
      </c>
      <c r="AI984" s="460" t="str">
        <f t="shared" ca="1" si="216"/>
        <v/>
      </c>
      <c r="AJ984" s="460" t="str">
        <f t="shared" ca="1" si="216"/>
        <v/>
      </c>
      <c r="AK984" s="460" t="str">
        <f t="shared" ca="1" si="216"/>
        <v/>
      </c>
      <c r="AL984" s="460" t="str">
        <f t="shared" ca="1" si="216"/>
        <v/>
      </c>
      <c r="AM984" s="460" t="str">
        <f t="shared" ca="1" si="216"/>
        <v/>
      </c>
      <c r="AN984" s="461" t="str">
        <f t="shared" ca="1" si="216"/>
        <v/>
      </c>
      <c r="AO984" s="474" t="str">
        <f t="shared" ca="1" si="216"/>
        <v/>
      </c>
      <c r="AP984" s="475" t="str">
        <f t="shared" ca="1" si="216"/>
        <v/>
      </c>
      <c r="AQ984" s="479" t="str">
        <f t="array" aca="1" ref="AQ984" ca="1">IF(ROW()-5&lt;=COUNTIF(科目编号,$AR$2),SMALL(IF(科目编号=$AR$2,ROW(科目编号),""),ROW()-5),"")</f>
        <v/>
      </c>
      <c r="AR984" s="480" t="str">
        <f ca="1">IF($BG$2=0,"",IF(AR983="本月合计","本年累计",IF(OR(ROW()=$AU$3,ROW()=$AV$3,ROW()=$AW$3,ROW()=$AX$3,ROW()=$AY$3,ROW()=$AZ$3,ROW()=$BA$3,ROW()=$BB$3,ROW()=$BC$3,ROW()=$BD$3,ROW()=$BE$3,ROW()=$BF$3),"本月合计",IF(ROW()&lt;7,$AQ$6,OFFSET($AQ$6,COUNT($AR$6:AR983),0)))))</f>
        <v/>
      </c>
    </row>
    <row r="985" spans="1:44">
      <c r="A985" s="469" t="str">
        <f ca="1">IFERROR(INDEX(凭证录入!A:A,$AR985),"")</f>
        <v/>
      </c>
      <c r="B985" s="469" t="str">
        <f ca="1">IFERROR(INDEX(凭证录入!B:B,$AR985),"")</f>
        <v/>
      </c>
      <c r="C985" s="470" t="str">
        <f ca="1">IFERROR(INDEX(凭证录入!G:G,$AR985),"")</f>
        <v/>
      </c>
      <c r="D985" s="471" t="str">
        <f ca="1">IFERROR(INDEX(凭证录入!F:F,$AR985),"")</f>
        <v/>
      </c>
      <c r="E985" s="472" t="str">
        <f ca="1">IFERROR(INDEX(凭证录入!H:H,$AR985),$AR985)</f>
        <v/>
      </c>
      <c r="F985" s="473">
        <f ca="1">IF(OR($BG$2=0,$AR985=""),,IF($AR985="本月合计",IF(ROW()=$BG$3,SUM($F$6:$F984),SUM(INDIRECT("$F$"&amp;OFFSET($AU$3,,MATCH(ROW(),$AU$3:$BF$3,)-2)+2&amp;":$E"&amp;ROW()-1))),IF($AR985="本年累计",SUMIF($AR$6:$AR985,"本月合计",$F$6:$F984),INDEX(凭证录入!K:K,$AR985))))</f>
        <v>0</v>
      </c>
      <c r="G985" s="459" t="str">
        <f t="shared" ca="1" si="217"/>
        <v/>
      </c>
      <c r="H985" s="460" t="str">
        <f t="shared" ca="1" si="217"/>
        <v/>
      </c>
      <c r="I985" s="460" t="str">
        <f t="shared" ca="1" si="217"/>
        <v/>
      </c>
      <c r="J985" s="460" t="str">
        <f t="shared" ca="1" si="217"/>
        <v/>
      </c>
      <c r="K985" s="460" t="str">
        <f t="shared" ca="1" si="217"/>
        <v/>
      </c>
      <c r="L985" s="460" t="str">
        <f t="shared" ca="1" si="217"/>
        <v/>
      </c>
      <c r="M985" s="460" t="str">
        <f t="shared" ca="1" si="217"/>
        <v/>
      </c>
      <c r="N985" s="460" t="str">
        <f t="shared" ca="1" si="217"/>
        <v/>
      </c>
      <c r="O985" s="461" t="str">
        <f t="shared" ca="1" si="217"/>
        <v/>
      </c>
      <c r="P985" s="474" t="str">
        <f t="shared" ca="1" si="217"/>
        <v/>
      </c>
      <c r="Q985" s="475" t="str">
        <f t="shared" ca="1" si="217"/>
        <v/>
      </c>
      <c r="R985" s="476">
        <f ca="1">IF(OR($BG$2=0,$AR985=""),,IF($AR985="本月合计",IF(ROW()=$BG$3,SUM($R$6:$R984),SUM(INDIRECT("$R$"&amp;OFFSET($AU$3,,MATCH(ROW(),$AU$3:$BF$3,)-2)+2&amp;":$R"&amp;ROW()-1))),IF($AR985="本年累计",SUMIF($AR$6:$AR985,"本月合计",$R$6:$R984),INDEX(凭证录入!L:L,$AR985))))</f>
        <v>0</v>
      </c>
      <c r="S985" s="459" t="str">
        <f t="shared" ca="1" si="218"/>
        <v/>
      </c>
      <c r="T985" s="460" t="str">
        <f t="shared" ca="1" si="218"/>
        <v/>
      </c>
      <c r="U985" s="460" t="str">
        <f t="shared" ca="1" si="218"/>
        <v/>
      </c>
      <c r="V985" s="460" t="str">
        <f t="shared" ca="1" si="218"/>
        <v/>
      </c>
      <c r="W985" s="460" t="str">
        <f t="shared" ca="1" si="218"/>
        <v/>
      </c>
      <c r="X985" s="460" t="str">
        <f t="shared" ca="1" si="218"/>
        <v/>
      </c>
      <c r="Y985" s="460" t="str">
        <f t="shared" ca="1" si="218"/>
        <v/>
      </c>
      <c r="Z985" s="460" t="str">
        <f t="shared" ca="1" si="218"/>
        <v/>
      </c>
      <c r="AA985" s="461" t="str">
        <f t="shared" ca="1" si="218"/>
        <v/>
      </c>
      <c r="AB985" s="474" t="str">
        <f t="shared" ca="1" si="218"/>
        <v/>
      </c>
      <c r="AC985" s="475" t="str">
        <f t="shared" ca="1" si="218"/>
        <v/>
      </c>
      <c r="AD985" s="477" t="str">
        <f t="shared" ca="1" si="214"/>
        <v/>
      </c>
      <c r="AE985" s="478">
        <f t="shared" ca="1" si="215"/>
        <v>0</v>
      </c>
      <c r="AF985" s="459" t="str">
        <f t="shared" ca="1" si="216"/>
        <v/>
      </c>
      <c r="AG985" s="460" t="str">
        <f t="shared" ca="1" si="216"/>
        <v/>
      </c>
      <c r="AH985" s="460" t="str">
        <f t="shared" ca="1" si="216"/>
        <v/>
      </c>
      <c r="AI985" s="460" t="str">
        <f t="shared" ca="1" si="216"/>
        <v/>
      </c>
      <c r="AJ985" s="460" t="str">
        <f t="shared" ca="1" si="216"/>
        <v/>
      </c>
      <c r="AK985" s="460" t="str">
        <f t="shared" ca="1" si="216"/>
        <v/>
      </c>
      <c r="AL985" s="460" t="str">
        <f t="shared" ca="1" si="216"/>
        <v/>
      </c>
      <c r="AM985" s="460" t="str">
        <f t="shared" ca="1" si="216"/>
        <v/>
      </c>
      <c r="AN985" s="461" t="str">
        <f t="shared" ca="1" si="216"/>
        <v/>
      </c>
      <c r="AO985" s="474" t="str">
        <f t="shared" ca="1" si="216"/>
        <v/>
      </c>
      <c r="AP985" s="475" t="str">
        <f t="shared" ca="1" si="216"/>
        <v/>
      </c>
      <c r="AQ985" s="479" t="str">
        <f t="array" aca="1" ref="AQ985" ca="1">IF(ROW()-5&lt;=COUNTIF(科目编号,$AR$2),SMALL(IF(科目编号=$AR$2,ROW(科目编号),""),ROW()-5),"")</f>
        <v/>
      </c>
      <c r="AR985" s="480" t="str">
        <f ca="1">IF($BG$2=0,"",IF(AR984="本月合计","本年累计",IF(OR(ROW()=$AU$3,ROW()=$AV$3,ROW()=$AW$3,ROW()=$AX$3,ROW()=$AY$3,ROW()=$AZ$3,ROW()=$BA$3,ROW()=$BB$3,ROW()=$BC$3,ROW()=$BD$3,ROW()=$BE$3,ROW()=$BF$3),"本月合计",IF(ROW()&lt;7,$AQ$6,OFFSET($AQ$6,COUNT($AR$6:AR984),0)))))</f>
        <v/>
      </c>
    </row>
    <row r="986" spans="1:44">
      <c r="A986" s="469" t="str">
        <f ca="1">IFERROR(INDEX(凭证录入!A:A,$AR986),"")</f>
        <v/>
      </c>
      <c r="B986" s="469" t="str">
        <f ca="1">IFERROR(INDEX(凭证录入!B:B,$AR986),"")</f>
        <v/>
      </c>
      <c r="C986" s="470" t="str">
        <f ca="1">IFERROR(INDEX(凭证录入!G:G,$AR986),"")</f>
        <v/>
      </c>
      <c r="D986" s="471" t="str">
        <f ca="1">IFERROR(INDEX(凭证录入!F:F,$AR986),"")</f>
        <v/>
      </c>
      <c r="E986" s="472" t="str">
        <f ca="1">IFERROR(INDEX(凭证录入!H:H,$AR986),$AR986)</f>
        <v/>
      </c>
      <c r="F986" s="473">
        <f ca="1">IF(OR($BG$2=0,$AR986=""),,IF($AR986="本月合计",IF(ROW()=$BG$3,SUM($F$6:$F985),SUM(INDIRECT("$F$"&amp;OFFSET($AU$3,,MATCH(ROW(),$AU$3:$BF$3,)-2)+2&amp;":$E"&amp;ROW()-1))),IF($AR986="本年累计",SUMIF($AR$6:$AR986,"本月合计",$F$6:$F985),INDEX(凭证录入!K:K,$AR986))))</f>
        <v>0</v>
      </c>
      <c r="G986" s="459" t="str">
        <f t="shared" ca="1" si="217"/>
        <v/>
      </c>
      <c r="H986" s="460" t="str">
        <f t="shared" ca="1" si="217"/>
        <v/>
      </c>
      <c r="I986" s="460" t="str">
        <f t="shared" ca="1" si="217"/>
        <v/>
      </c>
      <c r="J986" s="460" t="str">
        <f t="shared" ca="1" si="217"/>
        <v/>
      </c>
      <c r="K986" s="460" t="str">
        <f t="shared" ca="1" si="217"/>
        <v/>
      </c>
      <c r="L986" s="460" t="str">
        <f t="shared" ca="1" si="217"/>
        <v/>
      </c>
      <c r="M986" s="460" t="str">
        <f t="shared" ca="1" si="217"/>
        <v/>
      </c>
      <c r="N986" s="460" t="str">
        <f t="shared" ca="1" si="217"/>
        <v/>
      </c>
      <c r="O986" s="461" t="str">
        <f t="shared" ca="1" si="217"/>
        <v/>
      </c>
      <c r="P986" s="474" t="str">
        <f t="shared" ca="1" si="217"/>
        <v/>
      </c>
      <c r="Q986" s="475" t="str">
        <f t="shared" ca="1" si="217"/>
        <v/>
      </c>
      <c r="R986" s="476">
        <f ca="1">IF(OR($BG$2=0,$AR986=""),,IF($AR986="本月合计",IF(ROW()=$BG$3,SUM($R$6:$R985),SUM(INDIRECT("$R$"&amp;OFFSET($AU$3,,MATCH(ROW(),$AU$3:$BF$3,)-2)+2&amp;":$R"&amp;ROW()-1))),IF($AR986="本年累计",SUMIF($AR$6:$AR986,"本月合计",$R$6:$R985),INDEX(凭证录入!L:L,$AR986))))</f>
        <v>0</v>
      </c>
      <c r="S986" s="459" t="str">
        <f t="shared" ca="1" si="218"/>
        <v/>
      </c>
      <c r="T986" s="460" t="str">
        <f t="shared" ca="1" si="218"/>
        <v/>
      </c>
      <c r="U986" s="460" t="str">
        <f t="shared" ca="1" si="218"/>
        <v/>
      </c>
      <c r="V986" s="460" t="str">
        <f t="shared" ca="1" si="218"/>
        <v/>
      </c>
      <c r="W986" s="460" t="str">
        <f t="shared" ca="1" si="218"/>
        <v/>
      </c>
      <c r="X986" s="460" t="str">
        <f t="shared" ca="1" si="218"/>
        <v/>
      </c>
      <c r="Y986" s="460" t="str">
        <f t="shared" ca="1" si="218"/>
        <v/>
      </c>
      <c r="Z986" s="460" t="str">
        <f t="shared" ca="1" si="218"/>
        <v/>
      </c>
      <c r="AA986" s="461" t="str">
        <f t="shared" ca="1" si="218"/>
        <v/>
      </c>
      <c r="AB986" s="474" t="str">
        <f t="shared" ca="1" si="218"/>
        <v/>
      </c>
      <c r="AC986" s="475" t="str">
        <f t="shared" ca="1" si="218"/>
        <v/>
      </c>
      <c r="AD986" s="477" t="str">
        <f t="shared" ca="1" si="214"/>
        <v/>
      </c>
      <c r="AE986" s="478">
        <f t="shared" ca="1" si="215"/>
        <v>0</v>
      </c>
      <c r="AF986" s="459" t="str">
        <f t="shared" ca="1" si="216"/>
        <v/>
      </c>
      <c r="AG986" s="460" t="str">
        <f t="shared" ca="1" si="216"/>
        <v/>
      </c>
      <c r="AH986" s="460" t="str">
        <f t="shared" ca="1" si="216"/>
        <v/>
      </c>
      <c r="AI986" s="460" t="str">
        <f t="shared" ca="1" si="216"/>
        <v/>
      </c>
      <c r="AJ986" s="460" t="str">
        <f t="shared" ca="1" si="216"/>
        <v/>
      </c>
      <c r="AK986" s="460" t="str">
        <f t="shared" ca="1" si="216"/>
        <v/>
      </c>
      <c r="AL986" s="460" t="str">
        <f t="shared" ca="1" si="216"/>
        <v/>
      </c>
      <c r="AM986" s="460" t="str">
        <f t="shared" ca="1" si="216"/>
        <v/>
      </c>
      <c r="AN986" s="461" t="str">
        <f t="shared" ca="1" si="216"/>
        <v/>
      </c>
      <c r="AO986" s="474" t="str">
        <f t="shared" ca="1" si="216"/>
        <v/>
      </c>
      <c r="AP986" s="475" t="str">
        <f t="shared" ca="1" si="216"/>
        <v/>
      </c>
      <c r="AQ986" s="479" t="str">
        <f t="array" aca="1" ref="AQ986" ca="1">IF(ROW()-5&lt;=COUNTIF(科目编号,$AR$2),SMALL(IF(科目编号=$AR$2,ROW(科目编号),""),ROW()-5),"")</f>
        <v/>
      </c>
      <c r="AR986" s="480" t="str">
        <f ca="1">IF($BG$2=0,"",IF(AR985="本月合计","本年累计",IF(OR(ROW()=$AU$3,ROW()=$AV$3,ROW()=$AW$3,ROW()=$AX$3,ROW()=$AY$3,ROW()=$AZ$3,ROW()=$BA$3,ROW()=$BB$3,ROW()=$BC$3,ROW()=$BD$3,ROW()=$BE$3,ROW()=$BF$3),"本月合计",IF(ROW()&lt;7,$AQ$6,OFFSET($AQ$6,COUNT($AR$6:AR985),0)))))</f>
        <v/>
      </c>
    </row>
    <row r="987" spans="1:44">
      <c r="A987" s="469" t="str">
        <f ca="1">IFERROR(INDEX(凭证录入!A:A,$AR987),"")</f>
        <v/>
      </c>
      <c r="B987" s="469" t="str">
        <f ca="1">IFERROR(INDEX(凭证录入!B:B,$AR987),"")</f>
        <v/>
      </c>
      <c r="C987" s="470" t="str">
        <f ca="1">IFERROR(INDEX(凭证录入!G:G,$AR987),"")</f>
        <v/>
      </c>
      <c r="D987" s="471" t="str">
        <f ca="1">IFERROR(INDEX(凭证录入!F:F,$AR987),"")</f>
        <v/>
      </c>
      <c r="E987" s="472" t="str">
        <f ca="1">IFERROR(INDEX(凭证录入!H:H,$AR987),$AR987)</f>
        <v/>
      </c>
      <c r="F987" s="473">
        <f ca="1">IF(OR($BG$2=0,$AR987=""),,IF($AR987="本月合计",IF(ROW()=$BG$3,SUM($F$6:$F986),SUM(INDIRECT("$F$"&amp;OFFSET($AU$3,,MATCH(ROW(),$AU$3:$BF$3,)-2)+2&amp;":$E"&amp;ROW()-1))),IF($AR987="本年累计",SUMIF($AR$6:$AR987,"本月合计",$F$6:$F986),INDEX(凭证录入!K:K,$AR987))))</f>
        <v>0</v>
      </c>
      <c r="G987" s="459" t="str">
        <f t="shared" ca="1" si="217"/>
        <v/>
      </c>
      <c r="H987" s="460" t="str">
        <f t="shared" ca="1" si="217"/>
        <v/>
      </c>
      <c r="I987" s="460" t="str">
        <f t="shared" ca="1" si="217"/>
        <v/>
      </c>
      <c r="J987" s="460" t="str">
        <f t="shared" ca="1" si="217"/>
        <v/>
      </c>
      <c r="K987" s="460" t="str">
        <f t="shared" ca="1" si="217"/>
        <v/>
      </c>
      <c r="L987" s="460" t="str">
        <f t="shared" ca="1" si="217"/>
        <v/>
      </c>
      <c r="M987" s="460" t="str">
        <f t="shared" ca="1" si="217"/>
        <v/>
      </c>
      <c r="N987" s="460" t="str">
        <f t="shared" ca="1" si="217"/>
        <v/>
      </c>
      <c r="O987" s="461" t="str">
        <f t="shared" ca="1" si="217"/>
        <v/>
      </c>
      <c r="P987" s="474" t="str">
        <f t="shared" ca="1" si="217"/>
        <v/>
      </c>
      <c r="Q987" s="475" t="str">
        <f t="shared" ca="1" si="217"/>
        <v/>
      </c>
      <c r="R987" s="476">
        <f ca="1">IF(OR($BG$2=0,$AR987=""),,IF($AR987="本月合计",IF(ROW()=$BG$3,SUM($R$6:$R986),SUM(INDIRECT("$R$"&amp;OFFSET($AU$3,,MATCH(ROW(),$AU$3:$BF$3,)-2)+2&amp;":$R"&amp;ROW()-1))),IF($AR987="本年累计",SUMIF($AR$6:$AR987,"本月合计",$R$6:$R986),INDEX(凭证录入!L:L,$AR987))))</f>
        <v>0</v>
      </c>
      <c r="S987" s="459" t="str">
        <f t="shared" ca="1" si="218"/>
        <v/>
      </c>
      <c r="T987" s="460" t="str">
        <f t="shared" ca="1" si="218"/>
        <v/>
      </c>
      <c r="U987" s="460" t="str">
        <f t="shared" ca="1" si="218"/>
        <v/>
      </c>
      <c r="V987" s="460" t="str">
        <f t="shared" ca="1" si="218"/>
        <v/>
      </c>
      <c r="W987" s="460" t="str">
        <f t="shared" ca="1" si="218"/>
        <v/>
      </c>
      <c r="X987" s="460" t="str">
        <f t="shared" ca="1" si="218"/>
        <v/>
      </c>
      <c r="Y987" s="460" t="str">
        <f t="shared" ca="1" si="218"/>
        <v/>
      </c>
      <c r="Z987" s="460" t="str">
        <f t="shared" ca="1" si="218"/>
        <v/>
      </c>
      <c r="AA987" s="461" t="str">
        <f t="shared" ca="1" si="218"/>
        <v/>
      </c>
      <c r="AB987" s="474" t="str">
        <f t="shared" ca="1" si="218"/>
        <v/>
      </c>
      <c r="AC987" s="475" t="str">
        <f t="shared" ca="1" si="218"/>
        <v/>
      </c>
      <c r="AD987" s="477" t="str">
        <f t="shared" ca="1" si="214"/>
        <v/>
      </c>
      <c r="AE987" s="478">
        <f t="shared" ca="1" si="215"/>
        <v>0</v>
      </c>
      <c r="AF987" s="459" t="str">
        <f t="shared" ca="1" si="216"/>
        <v/>
      </c>
      <c r="AG987" s="460" t="str">
        <f t="shared" ca="1" si="216"/>
        <v/>
      </c>
      <c r="AH987" s="460" t="str">
        <f t="shared" ca="1" si="216"/>
        <v/>
      </c>
      <c r="AI987" s="460" t="str">
        <f t="shared" ca="1" si="216"/>
        <v/>
      </c>
      <c r="AJ987" s="460" t="str">
        <f t="shared" ca="1" si="216"/>
        <v/>
      </c>
      <c r="AK987" s="460" t="str">
        <f t="shared" ca="1" si="216"/>
        <v/>
      </c>
      <c r="AL987" s="460" t="str">
        <f t="shared" ca="1" si="216"/>
        <v/>
      </c>
      <c r="AM987" s="460" t="str">
        <f t="shared" ca="1" si="216"/>
        <v/>
      </c>
      <c r="AN987" s="461" t="str">
        <f t="shared" ca="1" si="216"/>
        <v/>
      </c>
      <c r="AO987" s="474" t="str">
        <f t="shared" ca="1" si="216"/>
        <v/>
      </c>
      <c r="AP987" s="475" t="str">
        <f t="shared" ca="1" si="216"/>
        <v/>
      </c>
      <c r="AQ987" s="479" t="str">
        <f t="array" aca="1" ref="AQ987" ca="1">IF(ROW()-5&lt;=COUNTIF(科目编号,$AR$2),SMALL(IF(科目编号=$AR$2,ROW(科目编号),""),ROW()-5),"")</f>
        <v/>
      </c>
      <c r="AR987" s="480" t="str">
        <f ca="1">IF($BG$2=0,"",IF(AR986="本月合计","本年累计",IF(OR(ROW()=$AU$3,ROW()=$AV$3,ROW()=$AW$3,ROW()=$AX$3,ROW()=$AY$3,ROW()=$AZ$3,ROW()=$BA$3,ROW()=$BB$3,ROW()=$BC$3,ROW()=$BD$3,ROW()=$BE$3,ROW()=$BF$3),"本月合计",IF(ROW()&lt;7,$AQ$6,OFFSET($AQ$6,COUNT($AR$6:AR986),0)))))</f>
        <v/>
      </c>
    </row>
    <row r="988" spans="1:44">
      <c r="A988" s="469" t="str">
        <f ca="1">IFERROR(INDEX(凭证录入!A:A,$AR988),"")</f>
        <v/>
      </c>
      <c r="B988" s="469" t="str">
        <f ca="1">IFERROR(INDEX(凭证录入!B:B,$AR988),"")</f>
        <v/>
      </c>
      <c r="C988" s="470" t="str">
        <f ca="1">IFERROR(INDEX(凭证录入!G:G,$AR988),"")</f>
        <v/>
      </c>
      <c r="D988" s="471" t="str">
        <f ca="1">IFERROR(INDEX(凭证录入!F:F,$AR988),"")</f>
        <v/>
      </c>
      <c r="E988" s="472" t="str">
        <f ca="1">IFERROR(INDEX(凭证录入!H:H,$AR988),$AR988)</f>
        <v/>
      </c>
      <c r="F988" s="473">
        <f ca="1">IF(OR($BG$2=0,$AR988=""),,IF($AR988="本月合计",IF(ROW()=$BG$3,SUM($F$6:$F987),SUM(INDIRECT("$F$"&amp;OFFSET($AU$3,,MATCH(ROW(),$AU$3:$BF$3,)-2)+2&amp;":$E"&amp;ROW()-1))),IF($AR988="本年累计",SUMIF($AR$6:$AR988,"本月合计",$F$6:$F987),INDEX(凭证录入!K:K,$AR988))))</f>
        <v>0</v>
      </c>
      <c r="G988" s="459" t="str">
        <f t="shared" ca="1" si="217"/>
        <v/>
      </c>
      <c r="H988" s="460" t="str">
        <f t="shared" ca="1" si="217"/>
        <v/>
      </c>
      <c r="I988" s="460" t="str">
        <f t="shared" ca="1" si="217"/>
        <v/>
      </c>
      <c r="J988" s="460" t="str">
        <f t="shared" ca="1" si="217"/>
        <v/>
      </c>
      <c r="K988" s="460" t="str">
        <f t="shared" ca="1" si="217"/>
        <v/>
      </c>
      <c r="L988" s="460" t="str">
        <f t="shared" ca="1" si="217"/>
        <v/>
      </c>
      <c r="M988" s="460" t="str">
        <f t="shared" ca="1" si="217"/>
        <v/>
      </c>
      <c r="N988" s="460" t="str">
        <f t="shared" ca="1" si="217"/>
        <v/>
      </c>
      <c r="O988" s="461" t="str">
        <f t="shared" ca="1" si="217"/>
        <v/>
      </c>
      <c r="P988" s="474" t="str">
        <f t="shared" ca="1" si="217"/>
        <v/>
      </c>
      <c r="Q988" s="475" t="str">
        <f t="shared" ca="1" si="217"/>
        <v/>
      </c>
      <c r="R988" s="476">
        <f ca="1">IF(OR($BG$2=0,$AR988=""),,IF($AR988="本月合计",IF(ROW()=$BG$3,SUM($R$6:$R987),SUM(INDIRECT("$R$"&amp;OFFSET($AU$3,,MATCH(ROW(),$AU$3:$BF$3,)-2)+2&amp;":$R"&amp;ROW()-1))),IF($AR988="本年累计",SUMIF($AR$6:$AR988,"本月合计",$R$6:$R987),INDEX(凭证录入!L:L,$AR988))))</f>
        <v>0</v>
      </c>
      <c r="S988" s="459" t="str">
        <f t="shared" ca="1" si="218"/>
        <v/>
      </c>
      <c r="T988" s="460" t="str">
        <f t="shared" ca="1" si="218"/>
        <v/>
      </c>
      <c r="U988" s="460" t="str">
        <f t="shared" ca="1" si="218"/>
        <v/>
      </c>
      <c r="V988" s="460" t="str">
        <f t="shared" ca="1" si="218"/>
        <v/>
      </c>
      <c r="W988" s="460" t="str">
        <f t="shared" ca="1" si="218"/>
        <v/>
      </c>
      <c r="X988" s="460" t="str">
        <f t="shared" ca="1" si="218"/>
        <v/>
      </c>
      <c r="Y988" s="460" t="str">
        <f t="shared" ca="1" si="218"/>
        <v/>
      </c>
      <c r="Z988" s="460" t="str">
        <f t="shared" ca="1" si="218"/>
        <v/>
      </c>
      <c r="AA988" s="461" t="str">
        <f t="shared" ca="1" si="218"/>
        <v/>
      </c>
      <c r="AB988" s="474" t="str">
        <f t="shared" ca="1" si="218"/>
        <v/>
      </c>
      <c r="AC988" s="475" t="str">
        <f t="shared" ca="1" si="218"/>
        <v/>
      </c>
      <c r="AD988" s="477" t="str">
        <f t="shared" ca="1" si="214"/>
        <v/>
      </c>
      <c r="AE988" s="478">
        <f t="shared" ca="1" si="215"/>
        <v>0</v>
      </c>
      <c r="AF988" s="459" t="str">
        <f t="shared" ca="1" si="216"/>
        <v/>
      </c>
      <c r="AG988" s="460" t="str">
        <f t="shared" ca="1" si="216"/>
        <v/>
      </c>
      <c r="AH988" s="460" t="str">
        <f t="shared" ca="1" si="216"/>
        <v/>
      </c>
      <c r="AI988" s="460" t="str">
        <f t="shared" ca="1" si="216"/>
        <v/>
      </c>
      <c r="AJ988" s="460" t="str">
        <f t="shared" ca="1" si="216"/>
        <v/>
      </c>
      <c r="AK988" s="460" t="str">
        <f t="shared" ca="1" si="216"/>
        <v/>
      </c>
      <c r="AL988" s="460" t="str">
        <f t="shared" ca="1" si="216"/>
        <v/>
      </c>
      <c r="AM988" s="460" t="str">
        <f t="shared" ca="1" si="216"/>
        <v/>
      </c>
      <c r="AN988" s="461" t="str">
        <f t="shared" ca="1" si="216"/>
        <v/>
      </c>
      <c r="AO988" s="474" t="str">
        <f t="shared" ca="1" si="216"/>
        <v/>
      </c>
      <c r="AP988" s="475" t="str">
        <f t="shared" ca="1" si="216"/>
        <v/>
      </c>
      <c r="AQ988" s="479" t="str">
        <f t="array" aca="1" ref="AQ988" ca="1">IF(ROW()-5&lt;=COUNTIF(科目编号,$AR$2),SMALL(IF(科目编号=$AR$2,ROW(科目编号),""),ROW()-5),"")</f>
        <v/>
      </c>
      <c r="AR988" s="480" t="str">
        <f ca="1">IF($BG$2=0,"",IF(AR987="本月合计","本年累计",IF(OR(ROW()=$AU$3,ROW()=$AV$3,ROW()=$AW$3,ROW()=$AX$3,ROW()=$AY$3,ROW()=$AZ$3,ROW()=$BA$3,ROW()=$BB$3,ROW()=$BC$3,ROW()=$BD$3,ROW()=$BE$3,ROW()=$BF$3),"本月合计",IF(ROW()&lt;7,$AQ$6,OFFSET($AQ$6,COUNT($AR$6:AR987),0)))))</f>
        <v/>
      </c>
    </row>
    <row r="989" spans="1:44">
      <c r="A989" s="469" t="str">
        <f ca="1">IFERROR(INDEX(凭证录入!A:A,$AR989),"")</f>
        <v/>
      </c>
      <c r="B989" s="469" t="str">
        <f ca="1">IFERROR(INDEX(凭证录入!B:B,$AR989),"")</f>
        <v/>
      </c>
      <c r="C989" s="470" t="str">
        <f ca="1">IFERROR(INDEX(凭证录入!G:G,$AR989),"")</f>
        <v/>
      </c>
      <c r="D989" s="471" t="str">
        <f ca="1">IFERROR(INDEX(凭证录入!F:F,$AR989),"")</f>
        <v/>
      </c>
      <c r="E989" s="472" t="str">
        <f ca="1">IFERROR(INDEX(凭证录入!H:H,$AR989),$AR989)</f>
        <v/>
      </c>
      <c r="F989" s="473">
        <f ca="1">IF(OR($BG$2=0,$AR989=""),,IF($AR989="本月合计",IF(ROW()=$BG$3,SUM($F$6:$F988),SUM(INDIRECT("$F$"&amp;OFFSET($AU$3,,MATCH(ROW(),$AU$3:$BF$3,)-2)+2&amp;":$E"&amp;ROW()-1))),IF($AR989="本年累计",SUMIF($AR$6:$AR989,"本月合计",$F$6:$F988),INDEX(凭证录入!K:K,$AR989))))</f>
        <v>0</v>
      </c>
      <c r="G989" s="459" t="str">
        <f t="shared" ca="1" si="217"/>
        <v/>
      </c>
      <c r="H989" s="460" t="str">
        <f t="shared" ca="1" si="217"/>
        <v/>
      </c>
      <c r="I989" s="460" t="str">
        <f t="shared" ca="1" si="217"/>
        <v/>
      </c>
      <c r="J989" s="460" t="str">
        <f t="shared" ca="1" si="217"/>
        <v/>
      </c>
      <c r="K989" s="460" t="str">
        <f t="shared" ca="1" si="217"/>
        <v/>
      </c>
      <c r="L989" s="460" t="str">
        <f t="shared" ca="1" si="217"/>
        <v/>
      </c>
      <c r="M989" s="460" t="str">
        <f t="shared" ca="1" si="217"/>
        <v/>
      </c>
      <c r="N989" s="460" t="str">
        <f t="shared" ca="1" si="217"/>
        <v/>
      </c>
      <c r="O989" s="461" t="str">
        <f t="shared" ca="1" si="217"/>
        <v/>
      </c>
      <c r="P989" s="474" t="str">
        <f t="shared" ca="1" si="217"/>
        <v/>
      </c>
      <c r="Q989" s="475" t="str">
        <f t="shared" ca="1" si="217"/>
        <v/>
      </c>
      <c r="R989" s="476">
        <f ca="1">IF(OR($BG$2=0,$AR989=""),,IF($AR989="本月合计",IF(ROW()=$BG$3,SUM($R$6:$R988),SUM(INDIRECT("$R$"&amp;OFFSET($AU$3,,MATCH(ROW(),$AU$3:$BF$3,)-2)+2&amp;":$R"&amp;ROW()-1))),IF($AR989="本年累计",SUMIF($AR$6:$AR989,"本月合计",$R$6:$R988),INDEX(凭证录入!L:L,$AR989))))</f>
        <v>0</v>
      </c>
      <c r="S989" s="459" t="str">
        <f t="shared" ca="1" si="218"/>
        <v/>
      </c>
      <c r="T989" s="460" t="str">
        <f t="shared" ca="1" si="218"/>
        <v/>
      </c>
      <c r="U989" s="460" t="str">
        <f t="shared" ca="1" si="218"/>
        <v/>
      </c>
      <c r="V989" s="460" t="str">
        <f t="shared" ca="1" si="218"/>
        <v/>
      </c>
      <c r="W989" s="460" t="str">
        <f t="shared" ca="1" si="218"/>
        <v/>
      </c>
      <c r="X989" s="460" t="str">
        <f t="shared" ca="1" si="218"/>
        <v/>
      </c>
      <c r="Y989" s="460" t="str">
        <f t="shared" ca="1" si="218"/>
        <v/>
      </c>
      <c r="Z989" s="460" t="str">
        <f t="shared" ca="1" si="218"/>
        <v/>
      </c>
      <c r="AA989" s="461" t="str">
        <f t="shared" ca="1" si="218"/>
        <v/>
      </c>
      <c r="AB989" s="474" t="str">
        <f t="shared" ca="1" si="218"/>
        <v/>
      </c>
      <c r="AC989" s="475" t="str">
        <f t="shared" ca="1" si="218"/>
        <v/>
      </c>
      <c r="AD989" s="477" t="str">
        <f t="shared" ca="1" si="214"/>
        <v/>
      </c>
      <c r="AE989" s="478">
        <f t="shared" ca="1" si="215"/>
        <v>0</v>
      </c>
      <c r="AF989" s="459" t="str">
        <f t="shared" ca="1" si="216"/>
        <v/>
      </c>
      <c r="AG989" s="460" t="str">
        <f t="shared" ca="1" si="216"/>
        <v/>
      </c>
      <c r="AH989" s="460" t="str">
        <f t="shared" ca="1" si="216"/>
        <v/>
      </c>
      <c r="AI989" s="460" t="str">
        <f t="shared" ca="1" si="216"/>
        <v/>
      </c>
      <c r="AJ989" s="460" t="str">
        <f t="shared" ca="1" si="216"/>
        <v/>
      </c>
      <c r="AK989" s="460" t="str">
        <f t="shared" ca="1" si="216"/>
        <v/>
      </c>
      <c r="AL989" s="460" t="str">
        <f t="shared" ca="1" si="216"/>
        <v/>
      </c>
      <c r="AM989" s="460" t="str">
        <f t="shared" ca="1" si="216"/>
        <v/>
      </c>
      <c r="AN989" s="461" t="str">
        <f t="shared" ca="1" si="216"/>
        <v/>
      </c>
      <c r="AO989" s="474" t="str">
        <f t="shared" ca="1" si="216"/>
        <v/>
      </c>
      <c r="AP989" s="475" t="str">
        <f t="shared" ca="1" si="216"/>
        <v/>
      </c>
      <c r="AQ989" s="479" t="str">
        <f t="array" aca="1" ref="AQ989" ca="1">IF(ROW()-5&lt;=COUNTIF(科目编号,$AR$2),SMALL(IF(科目编号=$AR$2,ROW(科目编号),""),ROW()-5),"")</f>
        <v/>
      </c>
      <c r="AR989" s="480" t="str">
        <f ca="1">IF($BG$2=0,"",IF(AR988="本月合计","本年累计",IF(OR(ROW()=$AU$3,ROW()=$AV$3,ROW()=$AW$3,ROW()=$AX$3,ROW()=$AY$3,ROW()=$AZ$3,ROW()=$BA$3,ROW()=$BB$3,ROW()=$BC$3,ROW()=$BD$3,ROW()=$BE$3,ROW()=$BF$3),"本月合计",IF(ROW()&lt;7,$AQ$6,OFFSET($AQ$6,COUNT($AR$6:AR988),0)))))</f>
        <v/>
      </c>
    </row>
    <row r="990" spans="1:44">
      <c r="A990" s="469" t="str">
        <f ca="1">IFERROR(INDEX(凭证录入!A:A,$AR990),"")</f>
        <v/>
      </c>
      <c r="B990" s="469" t="str">
        <f ca="1">IFERROR(INDEX(凭证录入!B:B,$AR990),"")</f>
        <v/>
      </c>
      <c r="C990" s="470" t="str">
        <f ca="1">IFERROR(INDEX(凭证录入!G:G,$AR990),"")</f>
        <v/>
      </c>
      <c r="D990" s="471" t="str">
        <f ca="1">IFERROR(INDEX(凭证录入!F:F,$AR990),"")</f>
        <v/>
      </c>
      <c r="E990" s="472" t="str">
        <f ca="1">IFERROR(INDEX(凭证录入!H:H,$AR990),$AR990)</f>
        <v/>
      </c>
      <c r="F990" s="473">
        <f ca="1">IF(OR($BG$2=0,$AR990=""),,IF($AR990="本月合计",IF(ROW()=$BG$3,SUM($F$6:$F989),SUM(INDIRECT("$F$"&amp;OFFSET($AU$3,,MATCH(ROW(),$AU$3:$BF$3,)-2)+2&amp;":$E"&amp;ROW()-1))),IF($AR990="本年累计",SUMIF($AR$6:$AR990,"本月合计",$F$6:$F989),INDEX(凭证录入!K:K,$AR990))))</f>
        <v>0</v>
      </c>
      <c r="G990" s="459" t="str">
        <f t="shared" ca="1" si="217"/>
        <v/>
      </c>
      <c r="H990" s="460" t="str">
        <f t="shared" ca="1" si="217"/>
        <v/>
      </c>
      <c r="I990" s="460" t="str">
        <f t="shared" ca="1" si="217"/>
        <v/>
      </c>
      <c r="J990" s="460" t="str">
        <f t="shared" ca="1" si="217"/>
        <v/>
      </c>
      <c r="K990" s="460" t="str">
        <f t="shared" ca="1" si="217"/>
        <v/>
      </c>
      <c r="L990" s="460" t="str">
        <f t="shared" ca="1" si="217"/>
        <v/>
      </c>
      <c r="M990" s="460" t="str">
        <f t="shared" ca="1" si="217"/>
        <v/>
      </c>
      <c r="N990" s="460" t="str">
        <f t="shared" ca="1" si="217"/>
        <v/>
      </c>
      <c r="O990" s="461" t="str">
        <f t="shared" ca="1" si="217"/>
        <v/>
      </c>
      <c r="P990" s="474" t="str">
        <f t="shared" ca="1" si="217"/>
        <v/>
      </c>
      <c r="Q990" s="475" t="str">
        <f t="shared" ca="1" si="217"/>
        <v/>
      </c>
      <c r="R990" s="476">
        <f ca="1">IF(OR($BG$2=0,$AR990=""),,IF($AR990="本月合计",IF(ROW()=$BG$3,SUM($R$6:$R989),SUM(INDIRECT("$R$"&amp;OFFSET($AU$3,,MATCH(ROW(),$AU$3:$BF$3,)-2)+2&amp;":$R"&amp;ROW()-1))),IF($AR990="本年累计",SUMIF($AR$6:$AR990,"本月合计",$R$6:$R989),INDEX(凭证录入!L:L,$AR990))))</f>
        <v>0</v>
      </c>
      <c r="S990" s="459" t="str">
        <f t="shared" ca="1" si="218"/>
        <v/>
      </c>
      <c r="T990" s="460" t="str">
        <f t="shared" ca="1" si="218"/>
        <v/>
      </c>
      <c r="U990" s="460" t="str">
        <f t="shared" ca="1" si="218"/>
        <v/>
      </c>
      <c r="V990" s="460" t="str">
        <f t="shared" ca="1" si="218"/>
        <v/>
      </c>
      <c r="W990" s="460" t="str">
        <f t="shared" ca="1" si="218"/>
        <v/>
      </c>
      <c r="X990" s="460" t="str">
        <f t="shared" ca="1" si="218"/>
        <v/>
      </c>
      <c r="Y990" s="460" t="str">
        <f t="shared" ca="1" si="218"/>
        <v/>
      </c>
      <c r="Z990" s="460" t="str">
        <f t="shared" ca="1" si="218"/>
        <v/>
      </c>
      <c r="AA990" s="461" t="str">
        <f t="shared" ca="1" si="218"/>
        <v/>
      </c>
      <c r="AB990" s="474" t="str">
        <f t="shared" ca="1" si="218"/>
        <v/>
      </c>
      <c r="AC990" s="475" t="str">
        <f t="shared" ca="1" si="218"/>
        <v/>
      </c>
      <c r="AD990" s="477" t="str">
        <f t="shared" ca="1" si="214"/>
        <v/>
      </c>
      <c r="AE990" s="478">
        <f t="shared" ca="1" si="215"/>
        <v>0</v>
      </c>
      <c r="AF990" s="459" t="str">
        <f t="shared" ca="1" si="216"/>
        <v/>
      </c>
      <c r="AG990" s="460" t="str">
        <f t="shared" ca="1" si="216"/>
        <v/>
      </c>
      <c r="AH990" s="460" t="str">
        <f t="shared" ca="1" si="216"/>
        <v/>
      </c>
      <c r="AI990" s="460" t="str">
        <f t="shared" ca="1" si="216"/>
        <v/>
      </c>
      <c r="AJ990" s="460" t="str">
        <f t="shared" ca="1" si="216"/>
        <v/>
      </c>
      <c r="AK990" s="460" t="str">
        <f t="shared" ca="1" si="216"/>
        <v/>
      </c>
      <c r="AL990" s="460" t="str">
        <f t="shared" ca="1" si="216"/>
        <v/>
      </c>
      <c r="AM990" s="460" t="str">
        <f t="shared" ca="1" si="216"/>
        <v/>
      </c>
      <c r="AN990" s="461" t="str">
        <f t="shared" ca="1" si="216"/>
        <v/>
      </c>
      <c r="AO990" s="474" t="str">
        <f t="shared" ca="1" si="216"/>
        <v/>
      </c>
      <c r="AP990" s="475" t="str">
        <f t="shared" ca="1" si="216"/>
        <v/>
      </c>
      <c r="AQ990" s="479" t="str">
        <f t="array" aca="1" ref="AQ990" ca="1">IF(ROW()-5&lt;=COUNTIF(科目编号,$AR$2),SMALL(IF(科目编号=$AR$2,ROW(科目编号),""),ROW()-5),"")</f>
        <v/>
      </c>
      <c r="AR990" s="480" t="str">
        <f ca="1">IF($BG$2=0,"",IF(AR989="本月合计","本年累计",IF(OR(ROW()=$AU$3,ROW()=$AV$3,ROW()=$AW$3,ROW()=$AX$3,ROW()=$AY$3,ROW()=$AZ$3,ROW()=$BA$3,ROW()=$BB$3,ROW()=$BC$3,ROW()=$BD$3,ROW()=$BE$3,ROW()=$BF$3),"本月合计",IF(ROW()&lt;7,$AQ$6,OFFSET($AQ$6,COUNT($AR$6:AR989),0)))))</f>
        <v/>
      </c>
    </row>
    <row r="991" spans="1:44">
      <c r="A991" s="469" t="str">
        <f ca="1">IFERROR(INDEX(凭证录入!A:A,$AR991),"")</f>
        <v/>
      </c>
      <c r="B991" s="469" t="str">
        <f ca="1">IFERROR(INDEX(凭证录入!B:B,$AR991),"")</f>
        <v/>
      </c>
      <c r="C991" s="470" t="str">
        <f ca="1">IFERROR(INDEX(凭证录入!G:G,$AR991),"")</f>
        <v/>
      </c>
      <c r="D991" s="471" t="str">
        <f ca="1">IFERROR(INDEX(凭证录入!F:F,$AR991),"")</f>
        <v/>
      </c>
      <c r="E991" s="472" t="str">
        <f ca="1">IFERROR(INDEX(凭证录入!H:H,$AR991),$AR991)</f>
        <v/>
      </c>
      <c r="F991" s="473">
        <f ca="1">IF(OR($BG$2=0,$AR991=""),,IF($AR991="本月合计",IF(ROW()=$BG$3,SUM($F$6:$F990),SUM(INDIRECT("$F$"&amp;OFFSET($AU$3,,MATCH(ROW(),$AU$3:$BF$3,)-2)+2&amp;":$E"&amp;ROW()-1))),IF($AR991="本年累计",SUMIF($AR$6:$AR991,"本月合计",$F$6:$F990),INDEX(凭证录入!K:K,$AR991))))</f>
        <v>0</v>
      </c>
      <c r="G991" s="459" t="str">
        <f t="shared" ca="1" si="217"/>
        <v/>
      </c>
      <c r="H991" s="460" t="str">
        <f t="shared" ca="1" si="217"/>
        <v/>
      </c>
      <c r="I991" s="460" t="str">
        <f t="shared" ca="1" si="217"/>
        <v/>
      </c>
      <c r="J991" s="460" t="str">
        <f t="shared" ca="1" si="217"/>
        <v/>
      </c>
      <c r="K991" s="460" t="str">
        <f t="shared" ca="1" si="217"/>
        <v/>
      </c>
      <c r="L991" s="460" t="str">
        <f t="shared" ca="1" si="217"/>
        <v/>
      </c>
      <c r="M991" s="460" t="str">
        <f t="shared" ca="1" si="217"/>
        <v/>
      </c>
      <c r="N991" s="460" t="str">
        <f t="shared" ca="1" si="217"/>
        <v/>
      </c>
      <c r="O991" s="461" t="str">
        <f t="shared" ca="1" si="217"/>
        <v/>
      </c>
      <c r="P991" s="474" t="str">
        <f t="shared" ca="1" si="217"/>
        <v/>
      </c>
      <c r="Q991" s="475" t="str">
        <f t="shared" ca="1" si="217"/>
        <v/>
      </c>
      <c r="R991" s="476">
        <f ca="1">IF(OR($BG$2=0,$AR991=""),,IF($AR991="本月合计",IF(ROW()=$BG$3,SUM($R$6:$R990),SUM(INDIRECT("$R$"&amp;OFFSET($AU$3,,MATCH(ROW(),$AU$3:$BF$3,)-2)+2&amp;":$R"&amp;ROW()-1))),IF($AR991="本年累计",SUMIF($AR$6:$AR991,"本月合计",$R$6:$R990),INDEX(凭证录入!L:L,$AR991))))</f>
        <v>0</v>
      </c>
      <c r="S991" s="459" t="str">
        <f t="shared" ca="1" si="218"/>
        <v/>
      </c>
      <c r="T991" s="460" t="str">
        <f t="shared" ca="1" si="218"/>
        <v/>
      </c>
      <c r="U991" s="460" t="str">
        <f t="shared" ca="1" si="218"/>
        <v/>
      </c>
      <c r="V991" s="460" t="str">
        <f t="shared" ca="1" si="218"/>
        <v/>
      </c>
      <c r="W991" s="460" t="str">
        <f t="shared" ca="1" si="218"/>
        <v/>
      </c>
      <c r="X991" s="460" t="str">
        <f t="shared" ca="1" si="218"/>
        <v/>
      </c>
      <c r="Y991" s="460" t="str">
        <f t="shared" ca="1" si="218"/>
        <v/>
      </c>
      <c r="Z991" s="460" t="str">
        <f t="shared" ca="1" si="218"/>
        <v/>
      </c>
      <c r="AA991" s="461" t="str">
        <f t="shared" ca="1" si="218"/>
        <v/>
      </c>
      <c r="AB991" s="474" t="str">
        <f t="shared" ca="1" si="218"/>
        <v/>
      </c>
      <c r="AC991" s="475" t="str">
        <f t="shared" ca="1" si="218"/>
        <v/>
      </c>
      <c r="AD991" s="477" t="str">
        <f t="shared" ca="1" si="214"/>
        <v/>
      </c>
      <c r="AE991" s="478">
        <f t="shared" ca="1" si="215"/>
        <v>0</v>
      </c>
      <c r="AF991" s="459" t="str">
        <f t="shared" ca="1" si="216"/>
        <v/>
      </c>
      <c r="AG991" s="460" t="str">
        <f t="shared" ca="1" si="216"/>
        <v/>
      </c>
      <c r="AH991" s="460" t="str">
        <f t="shared" ca="1" si="216"/>
        <v/>
      </c>
      <c r="AI991" s="460" t="str">
        <f t="shared" ca="1" si="216"/>
        <v/>
      </c>
      <c r="AJ991" s="460" t="str">
        <f t="shared" ca="1" si="216"/>
        <v/>
      </c>
      <c r="AK991" s="460" t="str">
        <f t="shared" ca="1" si="216"/>
        <v/>
      </c>
      <c r="AL991" s="460" t="str">
        <f t="shared" ca="1" si="216"/>
        <v/>
      </c>
      <c r="AM991" s="460" t="str">
        <f t="shared" ca="1" si="216"/>
        <v/>
      </c>
      <c r="AN991" s="461" t="str">
        <f t="shared" ca="1" si="216"/>
        <v/>
      </c>
      <c r="AO991" s="474" t="str">
        <f t="shared" ca="1" si="216"/>
        <v/>
      </c>
      <c r="AP991" s="475" t="str">
        <f t="shared" ca="1" si="216"/>
        <v/>
      </c>
      <c r="AQ991" s="479" t="str">
        <f t="array" aca="1" ref="AQ991" ca="1">IF(ROW()-5&lt;=COUNTIF(科目编号,$AR$2),SMALL(IF(科目编号=$AR$2,ROW(科目编号),""),ROW()-5),"")</f>
        <v/>
      </c>
      <c r="AR991" s="480" t="str">
        <f ca="1">IF($BG$2=0,"",IF(AR990="本月合计","本年累计",IF(OR(ROW()=$AU$3,ROW()=$AV$3,ROW()=$AW$3,ROW()=$AX$3,ROW()=$AY$3,ROW()=$AZ$3,ROW()=$BA$3,ROW()=$BB$3,ROW()=$BC$3,ROW()=$BD$3,ROW()=$BE$3,ROW()=$BF$3),"本月合计",IF(ROW()&lt;7,$AQ$6,OFFSET($AQ$6,COUNT($AR$6:AR990),0)))))</f>
        <v/>
      </c>
    </row>
    <row r="992" spans="1:44">
      <c r="A992" s="469" t="str">
        <f ca="1">IFERROR(INDEX(凭证录入!A:A,$AR992),"")</f>
        <v/>
      </c>
      <c r="B992" s="469" t="str">
        <f ca="1">IFERROR(INDEX(凭证录入!B:B,$AR992),"")</f>
        <v/>
      </c>
      <c r="C992" s="470" t="str">
        <f ca="1">IFERROR(INDEX(凭证录入!G:G,$AR992),"")</f>
        <v/>
      </c>
      <c r="D992" s="471" t="str">
        <f ca="1">IFERROR(INDEX(凭证录入!F:F,$AR992),"")</f>
        <v/>
      </c>
      <c r="E992" s="472" t="str">
        <f ca="1">IFERROR(INDEX(凭证录入!H:H,$AR992),$AR992)</f>
        <v/>
      </c>
      <c r="F992" s="473">
        <f ca="1">IF(OR($BG$2=0,$AR992=""),,IF($AR992="本月合计",IF(ROW()=$BG$3,SUM($F$6:$F991),SUM(INDIRECT("$F$"&amp;OFFSET($AU$3,,MATCH(ROW(),$AU$3:$BF$3,)-2)+2&amp;":$E"&amp;ROW()-1))),IF($AR992="本年累计",SUMIF($AR$6:$AR992,"本月合计",$F$6:$F991),INDEX(凭证录入!K:K,$AR992))))</f>
        <v>0</v>
      </c>
      <c r="G992" s="459" t="str">
        <f t="shared" ca="1" si="217"/>
        <v/>
      </c>
      <c r="H992" s="460" t="str">
        <f t="shared" ca="1" si="217"/>
        <v/>
      </c>
      <c r="I992" s="460" t="str">
        <f t="shared" ca="1" si="217"/>
        <v/>
      </c>
      <c r="J992" s="460" t="str">
        <f t="shared" ca="1" si="217"/>
        <v/>
      </c>
      <c r="K992" s="460" t="str">
        <f t="shared" ca="1" si="217"/>
        <v/>
      </c>
      <c r="L992" s="460" t="str">
        <f t="shared" ca="1" si="217"/>
        <v/>
      </c>
      <c r="M992" s="460" t="str">
        <f t="shared" ca="1" si="217"/>
        <v/>
      </c>
      <c r="N992" s="460" t="str">
        <f t="shared" ca="1" si="217"/>
        <v/>
      </c>
      <c r="O992" s="461" t="str">
        <f t="shared" ca="1" si="217"/>
        <v/>
      </c>
      <c r="P992" s="474" t="str">
        <f t="shared" ca="1" si="217"/>
        <v/>
      </c>
      <c r="Q992" s="475" t="str">
        <f t="shared" ca="1" si="217"/>
        <v/>
      </c>
      <c r="R992" s="476">
        <f ca="1">IF(OR($BG$2=0,$AR992=""),,IF($AR992="本月合计",IF(ROW()=$BG$3,SUM($R$6:$R991),SUM(INDIRECT("$R$"&amp;OFFSET($AU$3,,MATCH(ROW(),$AU$3:$BF$3,)-2)+2&amp;":$R"&amp;ROW()-1))),IF($AR992="本年累计",SUMIF($AR$6:$AR992,"本月合计",$R$6:$R991),INDEX(凭证录入!L:L,$AR992))))</f>
        <v>0</v>
      </c>
      <c r="S992" s="459" t="str">
        <f t="shared" ca="1" si="218"/>
        <v/>
      </c>
      <c r="T992" s="460" t="str">
        <f t="shared" ca="1" si="218"/>
        <v/>
      </c>
      <c r="U992" s="460" t="str">
        <f t="shared" ca="1" si="218"/>
        <v/>
      </c>
      <c r="V992" s="460" t="str">
        <f t="shared" ca="1" si="218"/>
        <v/>
      </c>
      <c r="W992" s="460" t="str">
        <f t="shared" ca="1" si="218"/>
        <v/>
      </c>
      <c r="X992" s="460" t="str">
        <f t="shared" ca="1" si="218"/>
        <v/>
      </c>
      <c r="Y992" s="460" t="str">
        <f t="shared" ca="1" si="218"/>
        <v/>
      </c>
      <c r="Z992" s="460" t="str">
        <f t="shared" ca="1" si="218"/>
        <v/>
      </c>
      <c r="AA992" s="461" t="str">
        <f t="shared" ca="1" si="218"/>
        <v/>
      </c>
      <c r="AB992" s="474" t="str">
        <f t="shared" ca="1" si="218"/>
        <v/>
      </c>
      <c r="AC992" s="475" t="str">
        <f t="shared" ca="1" si="218"/>
        <v/>
      </c>
      <c r="AD992" s="477" t="str">
        <f t="shared" ca="1" si="214"/>
        <v/>
      </c>
      <c r="AE992" s="478">
        <f t="shared" ca="1" si="215"/>
        <v>0</v>
      </c>
      <c r="AF992" s="459" t="str">
        <f t="shared" ca="1" si="216"/>
        <v/>
      </c>
      <c r="AG992" s="460" t="str">
        <f t="shared" ca="1" si="216"/>
        <v/>
      </c>
      <c r="AH992" s="460" t="str">
        <f t="shared" ca="1" si="216"/>
        <v/>
      </c>
      <c r="AI992" s="460" t="str">
        <f t="shared" ca="1" si="216"/>
        <v/>
      </c>
      <c r="AJ992" s="460" t="str">
        <f t="shared" ca="1" si="216"/>
        <v/>
      </c>
      <c r="AK992" s="460" t="str">
        <f t="shared" ca="1" si="216"/>
        <v/>
      </c>
      <c r="AL992" s="460" t="str">
        <f t="shared" ca="1" si="216"/>
        <v/>
      </c>
      <c r="AM992" s="460" t="str">
        <f t="shared" ca="1" si="216"/>
        <v/>
      </c>
      <c r="AN992" s="461" t="str">
        <f t="shared" ca="1" si="216"/>
        <v/>
      </c>
      <c r="AO992" s="474" t="str">
        <f t="shared" ca="1" si="216"/>
        <v/>
      </c>
      <c r="AP992" s="475" t="str">
        <f t="shared" ca="1" si="216"/>
        <v/>
      </c>
      <c r="AQ992" s="479" t="str">
        <f t="array" aca="1" ref="AQ992" ca="1">IF(ROW()-5&lt;=COUNTIF(科目编号,$AR$2),SMALL(IF(科目编号=$AR$2,ROW(科目编号),""),ROW()-5),"")</f>
        <v/>
      </c>
      <c r="AR992" s="480" t="str">
        <f ca="1">IF($BG$2=0,"",IF(AR991="本月合计","本年累计",IF(OR(ROW()=$AU$3,ROW()=$AV$3,ROW()=$AW$3,ROW()=$AX$3,ROW()=$AY$3,ROW()=$AZ$3,ROW()=$BA$3,ROW()=$BB$3,ROW()=$BC$3,ROW()=$BD$3,ROW()=$BE$3,ROW()=$BF$3),"本月合计",IF(ROW()&lt;7,$AQ$6,OFFSET($AQ$6,COUNT($AR$6:AR991),0)))))</f>
        <v/>
      </c>
    </row>
    <row r="993" spans="1:44">
      <c r="A993" s="469" t="str">
        <f ca="1">IFERROR(INDEX(凭证录入!A:A,$AR993),"")</f>
        <v/>
      </c>
      <c r="B993" s="469" t="str">
        <f ca="1">IFERROR(INDEX(凭证录入!B:B,$AR993),"")</f>
        <v/>
      </c>
      <c r="C993" s="470" t="str">
        <f ca="1">IFERROR(INDEX(凭证录入!G:G,$AR993),"")</f>
        <v/>
      </c>
      <c r="D993" s="471" t="str">
        <f ca="1">IFERROR(INDEX(凭证录入!F:F,$AR993),"")</f>
        <v/>
      </c>
      <c r="E993" s="472" t="str">
        <f ca="1">IFERROR(INDEX(凭证录入!H:H,$AR993),$AR993)</f>
        <v/>
      </c>
      <c r="F993" s="473">
        <f ca="1">IF(OR($BG$2=0,$AR993=""),,IF($AR993="本月合计",IF(ROW()=$BG$3,SUM($F$6:$F992),SUM(INDIRECT("$F$"&amp;OFFSET($AU$3,,MATCH(ROW(),$AU$3:$BF$3,)-2)+2&amp;":$E"&amp;ROW()-1))),IF($AR993="本年累计",SUMIF($AR$6:$AR993,"本月合计",$F$6:$F992),INDEX(凭证录入!K:K,$AR993))))</f>
        <v>0</v>
      </c>
      <c r="G993" s="459" t="str">
        <f t="shared" ca="1" si="217"/>
        <v/>
      </c>
      <c r="H993" s="460" t="str">
        <f t="shared" ca="1" si="217"/>
        <v/>
      </c>
      <c r="I993" s="460" t="str">
        <f t="shared" ca="1" si="217"/>
        <v/>
      </c>
      <c r="J993" s="460" t="str">
        <f t="shared" ca="1" si="217"/>
        <v/>
      </c>
      <c r="K993" s="460" t="str">
        <f t="shared" ca="1" si="217"/>
        <v/>
      </c>
      <c r="L993" s="460" t="str">
        <f t="shared" ca="1" si="217"/>
        <v/>
      </c>
      <c r="M993" s="460" t="str">
        <f t="shared" ca="1" si="217"/>
        <v/>
      </c>
      <c r="N993" s="460" t="str">
        <f t="shared" ca="1" si="217"/>
        <v/>
      </c>
      <c r="O993" s="461" t="str">
        <f t="shared" ca="1" si="217"/>
        <v/>
      </c>
      <c r="P993" s="474" t="str">
        <f t="shared" ca="1" si="217"/>
        <v/>
      </c>
      <c r="Q993" s="475" t="str">
        <f t="shared" ca="1" si="217"/>
        <v/>
      </c>
      <c r="R993" s="476">
        <f ca="1">IF(OR($BG$2=0,$AR993=""),,IF($AR993="本月合计",IF(ROW()=$BG$3,SUM($R$6:$R992),SUM(INDIRECT("$R$"&amp;OFFSET($AU$3,,MATCH(ROW(),$AU$3:$BF$3,)-2)+2&amp;":$R"&amp;ROW()-1))),IF($AR993="本年累计",SUMIF($AR$6:$AR993,"本月合计",$R$6:$R992),INDEX(凭证录入!L:L,$AR993))))</f>
        <v>0</v>
      </c>
      <c r="S993" s="459" t="str">
        <f t="shared" ca="1" si="218"/>
        <v/>
      </c>
      <c r="T993" s="460" t="str">
        <f t="shared" ca="1" si="218"/>
        <v/>
      </c>
      <c r="U993" s="460" t="str">
        <f t="shared" ca="1" si="218"/>
        <v/>
      </c>
      <c r="V993" s="460" t="str">
        <f t="shared" ca="1" si="218"/>
        <v/>
      </c>
      <c r="W993" s="460" t="str">
        <f t="shared" ca="1" si="218"/>
        <v/>
      </c>
      <c r="X993" s="460" t="str">
        <f t="shared" ca="1" si="218"/>
        <v/>
      </c>
      <c r="Y993" s="460" t="str">
        <f t="shared" ca="1" si="218"/>
        <v/>
      </c>
      <c r="Z993" s="460" t="str">
        <f t="shared" ca="1" si="218"/>
        <v/>
      </c>
      <c r="AA993" s="461" t="str">
        <f t="shared" ca="1" si="218"/>
        <v/>
      </c>
      <c r="AB993" s="474" t="str">
        <f t="shared" ca="1" si="218"/>
        <v/>
      </c>
      <c r="AC993" s="475" t="str">
        <f t="shared" ca="1" si="218"/>
        <v/>
      </c>
      <c r="AD993" s="477" t="str">
        <f t="shared" ca="1" si="214"/>
        <v/>
      </c>
      <c r="AE993" s="478">
        <f t="shared" ca="1" si="215"/>
        <v>0</v>
      </c>
      <c r="AF993" s="459" t="str">
        <f t="shared" ca="1" si="216"/>
        <v/>
      </c>
      <c r="AG993" s="460" t="str">
        <f t="shared" ca="1" si="216"/>
        <v/>
      </c>
      <c r="AH993" s="460" t="str">
        <f t="shared" ca="1" si="216"/>
        <v/>
      </c>
      <c r="AI993" s="460" t="str">
        <f t="shared" ca="1" si="216"/>
        <v/>
      </c>
      <c r="AJ993" s="460" t="str">
        <f t="shared" ca="1" si="216"/>
        <v/>
      </c>
      <c r="AK993" s="460" t="str">
        <f t="shared" ca="1" si="216"/>
        <v/>
      </c>
      <c r="AL993" s="460" t="str">
        <f t="shared" ca="1" si="216"/>
        <v/>
      </c>
      <c r="AM993" s="460" t="str">
        <f t="shared" ca="1" si="216"/>
        <v/>
      </c>
      <c r="AN993" s="461" t="str">
        <f t="shared" ca="1" si="216"/>
        <v/>
      </c>
      <c r="AO993" s="474" t="str">
        <f t="shared" ca="1" si="216"/>
        <v/>
      </c>
      <c r="AP993" s="475" t="str">
        <f t="shared" ca="1" si="216"/>
        <v/>
      </c>
      <c r="AQ993" s="479" t="str">
        <f t="array" aca="1" ref="AQ993" ca="1">IF(ROW()-5&lt;=COUNTIF(科目编号,$AR$2),SMALL(IF(科目编号=$AR$2,ROW(科目编号),""),ROW()-5),"")</f>
        <v/>
      </c>
      <c r="AR993" s="480" t="str">
        <f ca="1">IF($BG$2=0,"",IF(AR992="本月合计","本年累计",IF(OR(ROW()=$AU$3,ROW()=$AV$3,ROW()=$AW$3,ROW()=$AX$3,ROW()=$AY$3,ROW()=$AZ$3,ROW()=$BA$3,ROW()=$BB$3,ROW()=$BC$3,ROW()=$BD$3,ROW()=$BE$3,ROW()=$BF$3),"本月合计",IF(ROW()&lt;7,$AQ$6,OFFSET($AQ$6,COUNT($AR$6:AR992),0)))))</f>
        <v/>
      </c>
    </row>
    <row r="994" spans="1:44">
      <c r="A994" s="469" t="str">
        <f ca="1">IFERROR(INDEX(凭证录入!A:A,$AR994),"")</f>
        <v/>
      </c>
      <c r="B994" s="469" t="str">
        <f ca="1">IFERROR(INDEX(凭证录入!B:B,$AR994),"")</f>
        <v/>
      </c>
      <c r="C994" s="470" t="str">
        <f ca="1">IFERROR(INDEX(凭证录入!G:G,$AR994),"")</f>
        <v/>
      </c>
      <c r="D994" s="471" t="str">
        <f ca="1">IFERROR(INDEX(凭证录入!F:F,$AR994),"")</f>
        <v/>
      </c>
      <c r="E994" s="472" t="str">
        <f ca="1">IFERROR(INDEX(凭证录入!H:H,$AR994),$AR994)</f>
        <v/>
      </c>
      <c r="F994" s="473">
        <f ca="1">IF(OR($BG$2=0,$AR994=""),,IF($AR994="本月合计",IF(ROW()=$BG$3,SUM($F$6:$F993),SUM(INDIRECT("$F$"&amp;OFFSET($AU$3,,MATCH(ROW(),$AU$3:$BF$3,)-2)+2&amp;":$E"&amp;ROW()-1))),IF($AR994="本年累计",SUMIF($AR$6:$AR994,"本月合计",$F$6:$F993),INDEX(凭证录入!K:K,$AR994))))</f>
        <v>0</v>
      </c>
      <c r="G994" s="459" t="str">
        <f t="shared" ca="1" si="217"/>
        <v/>
      </c>
      <c r="H994" s="460" t="str">
        <f t="shared" ca="1" si="217"/>
        <v/>
      </c>
      <c r="I994" s="460" t="str">
        <f t="shared" ca="1" si="217"/>
        <v/>
      </c>
      <c r="J994" s="460" t="str">
        <f t="shared" ca="1" si="217"/>
        <v/>
      </c>
      <c r="K994" s="460" t="str">
        <f t="shared" ca="1" si="217"/>
        <v/>
      </c>
      <c r="L994" s="460" t="str">
        <f t="shared" ca="1" si="217"/>
        <v/>
      </c>
      <c r="M994" s="460" t="str">
        <f t="shared" ca="1" si="217"/>
        <v/>
      </c>
      <c r="N994" s="460" t="str">
        <f t="shared" ca="1" si="217"/>
        <v/>
      </c>
      <c r="O994" s="461" t="str">
        <f t="shared" ca="1" si="217"/>
        <v/>
      </c>
      <c r="P994" s="474" t="str">
        <f t="shared" ca="1" si="217"/>
        <v/>
      </c>
      <c r="Q994" s="475" t="str">
        <f t="shared" ca="1" si="217"/>
        <v/>
      </c>
      <c r="R994" s="476">
        <f ca="1">IF(OR($BG$2=0,$AR994=""),,IF($AR994="本月合计",IF(ROW()=$BG$3,SUM($R$6:$R993),SUM(INDIRECT("$R$"&amp;OFFSET($AU$3,,MATCH(ROW(),$AU$3:$BF$3,)-2)+2&amp;":$R"&amp;ROW()-1))),IF($AR994="本年累计",SUMIF($AR$6:$AR994,"本月合计",$R$6:$R993),INDEX(凭证录入!L:L,$AR994))))</f>
        <v>0</v>
      </c>
      <c r="S994" s="459" t="str">
        <f t="shared" ca="1" si="218"/>
        <v/>
      </c>
      <c r="T994" s="460" t="str">
        <f t="shared" ca="1" si="218"/>
        <v/>
      </c>
      <c r="U994" s="460" t="str">
        <f t="shared" ca="1" si="218"/>
        <v/>
      </c>
      <c r="V994" s="460" t="str">
        <f t="shared" ca="1" si="218"/>
        <v/>
      </c>
      <c r="W994" s="460" t="str">
        <f t="shared" ca="1" si="218"/>
        <v/>
      </c>
      <c r="X994" s="460" t="str">
        <f t="shared" ca="1" si="218"/>
        <v/>
      </c>
      <c r="Y994" s="460" t="str">
        <f t="shared" ca="1" si="218"/>
        <v/>
      </c>
      <c r="Z994" s="460" t="str">
        <f t="shared" ca="1" si="218"/>
        <v/>
      </c>
      <c r="AA994" s="461" t="str">
        <f t="shared" ca="1" si="218"/>
        <v/>
      </c>
      <c r="AB994" s="474" t="str">
        <f t="shared" ca="1" si="218"/>
        <v/>
      </c>
      <c r="AC994" s="475" t="str">
        <f t="shared" ca="1" si="218"/>
        <v/>
      </c>
      <c r="AD994" s="477" t="str">
        <f t="shared" ca="1" si="214"/>
        <v/>
      </c>
      <c r="AE994" s="478">
        <f t="shared" ca="1" si="215"/>
        <v>0</v>
      </c>
      <c r="AF994" s="459" t="str">
        <f t="shared" ca="1" si="216"/>
        <v/>
      </c>
      <c r="AG994" s="460" t="str">
        <f t="shared" ca="1" si="216"/>
        <v/>
      </c>
      <c r="AH994" s="460" t="str">
        <f t="shared" ca="1" si="216"/>
        <v/>
      </c>
      <c r="AI994" s="460" t="str">
        <f t="shared" ca="1" si="216"/>
        <v/>
      </c>
      <c r="AJ994" s="460" t="str">
        <f t="shared" ca="1" si="216"/>
        <v/>
      </c>
      <c r="AK994" s="460" t="str">
        <f t="shared" ca="1" si="216"/>
        <v/>
      </c>
      <c r="AL994" s="460" t="str">
        <f t="shared" ca="1" si="216"/>
        <v/>
      </c>
      <c r="AM994" s="460" t="str">
        <f t="shared" ca="1" si="216"/>
        <v/>
      </c>
      <c r="AN994" s="461" t="str">
        <f t="shared" ca="1" si="216"/>
        <v/>
      </c>
      <c r="AO994" s="474" t="str">
        <f t="shared" ca="1" si="216"/>
        <v/>
      </c>
      <c r="AP994" s="475" t="str">
        <f t="shared" ca="1" si="216"/>
        <v/>
      </c>
      <c r="AQ994" s="479" t="str">
        <f t="array" aca="1" ref="AQ994" ca="1">IF(ROW()-5&lt;=COUNTIF(科目编号,$AR$2),SMALL(IF(科目编号=$AR$2,ROW(科目编号),""),ROW()-5),"")</f>
        <v/>
      </c>
      <c r="AR994" s="480" t="str">
        <f ca="1">IF($BG$2=0,"",IF(AR993="本月合计","本年累计",IF(OR(ROW()=$AU$3,ROW()=$AV$3,ROW()=$AW$3,ROW()=$AX$3,ROW()=$AY$3,ROW()=$AZ$3,ROW()=$BA$3,ROW()=$BB$3,ROW()=$BC$3,ROW()=$BD$3,ROW()=$BE$3,ROW()=$BF$3),"本月合计",IF(ROW()&lt;7,$AQ$6,OFFSET($AQ$6,COUNT($AR$6:AR993),0)))))</f>
        <v/>
      </c>
    </row>
    <row r="995" spans="1:44">
      <c r="A995" s="469" t="str">
        <f ca="1">IFERROR(INDEX(凭证录入!A:A,$AR995),"")</f>
        <v/>
      </c>
      <c r="B995" s="469" t="str">
        <f ca="1">IFERROR(INDEX(凭证录入!B:B,$AR995),"")</f>
        <v/>
      </c>
      <c r="C995" s="470" t="str">
        <f ca="1">IFERROR(INDEX(凭证录入!G:G,$AR995),"")</f>
        <v/>
      </c>
      <c r="D995" s="471" t="str">
        <f ca="1">IFERROR(INDEX(凭证录入!F:F,$AR995),"")</f>
        <v/>
      </c>
      <c r="E995" s="472" t="str">
        <f ca="1">IFERROR(INDEX(凭证录入!H:H,$AR995),$AR995)</f>
        <v/>
      </c>
      <c r="F995" s="473">
        <f ca="1">IF(OR($BG$2=0,$AR995=""),,IF($AR995="本月合计",IF(ROW()=$BG$3,SUM($F$6:$F994),SUM(INDIRECT("$F$"&amp;OFFSET($AU$3,,MATCH(ROW(),$AU$3:$BF$3,)-2)+2&amp;":$E"&amp;ROW()-1))),IF($AR995="本年累计",SUMIF($AR$6:$AR995,"本月合计",$F$6:$F994),INDEX(凭证录入!K:K,$AR995))))</f>
        <v>0</v>
      </c>
      <c r="G995" s="459" t="str">
        <f t="shared" ca="1" si="217"/>
        <v/>
      </c>
      <c r="H995" s="460" t="str">
        <f t="shared" ca="1" si="217"/>
        <v/>
      </c>
      <c r="I995" s="460" t="str">
        <f t="shared" ca="1" si="217"/>
        <v/>
      </c>
      <c r="J995" s="460" t="str">
        <f t="shared" ca="1" si="217"/>
        <v/>
      </c>
      <c r="K995" s="460" t="str">
        <f t="shared" ca="1" si="217"/>
        <v/>
      </c>
      <c r="L995" s="460" t="str">
        <f t="shared" ca="1" si="217"/>
        <v/>
      </c>
      <c r="M995" s="460" t="str">
        <f t="shared" ca="1" si="217"/>
        <v/>
      </c>
      <c r="N995" s="460" t="str">
        <f t="shared" ca="1" si="217"/>
        <v/>
      </c>
      <c r="O995" s="461" t="str">
        <f t="shared" ca="1" si="217"/>
        <v/>
      </c>
      <c r="P995" s="474" t="str">
        <f t="shared" ca="1" si="217"/>
        <v/>
      </c>
      <c r="Q995" s="475" t="str">
        <f t="shared" ca="1" si="217"/>
        <v/>
      </c>
      <c r="R995" s="476">
        <f ca="1">IF(OR($BG$2=0,$AR995=""),,IF($AR995="本月合计",IF(ROW()=$BG$3,SUM($R$6:$R994),SUM(INDIRECT("$R$"&amp;OFFSET($AU$3,,MATCH(ROW(),$AU$3:$BF$3,)-2)+2&amp;":$R"&amp;ROW()-1))),IF($AR995="本年累计",SUMIF($AR$6:$AR995,"本月合计",$R$6:$R994),INDEX(凭证录入!L:L,$AR995))))</f>
        <v>0</v>
      </c>
      <c r="S995" s="459" t="str">
        <f t="shared" ca="1" si="218"/>
        <v/>
      </c>
      <c r="T995" s="460" t="str">
        <f t="shared" ca="1" si="218"/>
        <v/>
      </c>
      <c r="U995" s="460" t="str">
        <f t="shared" ca="1" si="218"/>
        <v/>
      </c>
      <c r="V995" s="460" t="str">
        <f t="shared" ca="1" si="218"/>
        <v/>
      </c>
      <c r="W995" s="460" t="str">
        <f t="shared" ca="1" si="218"/>
        <v/>
      </c>
      <c r="X995" s="460" t="str">
        <f t="shared" ca="1" si="218"/>
        <v/>
      </c>
      <c r="Y995" s="460" t="str">
        <f t="shared" ca="1" si="218"/>
        <v/>
      </c>
      <c r="Z995" s="460" t="str">
        <f t="shared" ca="1" si="218"/>
        <v/>
      </c>
      <c r="AA995" s="461" t="str">
        <f t="shared" ca="1" si="218"/>
        <v/>
      </c>
      <c r="AB995" s="474" t="str">
        <f t="shared" ca="1" si="218"/>
        <v/>
      </c>
      <c r="AC995" s="475" t="str">
        <f t="shared" ca="1" si="218"/>
        <v/>
      </c>
      <c r="AD995" s="477" t="str">
        <f t="shared" ca="1" si="214"/>
        <v/>
      </c>
      <c r="AE995" s="478">
        <f t="shared" ca="1" si="215"/>
        <v>0</v>
      </c>
      <c r="AF995" s="459" t="str">
        <f t="shared" ca="1" si="216"/>
        <v/>
      </c>
      <c r="AG995" s="460" t="str">
        <f t="shared" ca="1" si="216"/>
        <v/>
      </c>
      <c r="AH995" s="460" t="str">
        <f t="shared" ca="1" si="216"/>
        <v/>
      </c>
      <c r="AI995" s="460" t="str">
        <f t="shared" ca="1" si="216"/>
        <v/>
      </c>
      <c r="AJ995" s="460" t="str">
        <f t="shared" ca="1" si="216"/>
        <v/>
      </c>
      <c r="AK995" s="460" t="str">
        <f t="shared" ca="1" si="216"/>
        <v/>
      </c>
      <c r="AL995" s="460" t="str">
        <f t="shared" ca="1" si="216"/>
        <v/>
      </c>
      <c r="AM995" s="460" t="str">
        <f t="shared" ca="1" si="216"/>
        <v/>
      </c>
      <c r="AN995" s="461" t="str">
        <f t="shared" ca="1" si="216"/>
        <v/>
      </c>
      <c r="AO995" s="474" t="str">
        <f t="shared" ca="1" si="216"/>
        <v/>
      </c>
      <c r="AP995" s="475" t="str">
        <f t="shared" ca="1" si="216"/>
        <v/>
      </c>
      <c r="AQ995" s="479" t="str">
        <f t="array" aca="1" ref="AQ995" ca="1">IF(ROW()-5&lt;=COUNTIF(科目编号,$AR$2),SMALL(IF(科目编号=$AR$2,ROW(科目编号),""),ROW()-5),"")</f>
        <v/>
      </c>
      <c r="AR995" s="480" t="str">
        <f ca="1">IF($BG$2=0,"",IF(AR994="本月合计","本年累计",IF(OR(ROW()=$AU$3,ROW()=$AV$3,ROW()=$AW$3,ROW()=$AX$3,ROW()=$AY$3,ROW()=$AZ$3,ROW()=$BA$3,ROW()=$BB$3,ROW()=$BC$3,ROW()=$BD$3,ROW()=$BE$3,ROW()=$BF$3),"本月合计",IF(ROW()&lt;7,$AQ$6,OFFSET($AQ$6,COUNT($AR$6:AR994),0)))))</f>
        <v/>
      </c>
    </row>
    <row r="996" spans="1:44">
      <c r="A996" s="469" t="str">
        <f ca="1">IFERROR(INDEX(凭证录入!A:A,$AR996),"")</f>
        <v/>
      </c>
      <c r="B996" s="469" t="str">
        <f ca="1">IFERROR(INDEX(凭证录入!B:B,$AR996),"")</f>
        <v/>
      </c>
      <c r="C996" s="470" t="str">
        <f ca="1">IFERROR(INDEX(凭证录入!G:G,$AR996),"")</f>
        <v/>
      </c>
      <c r="D996" s="471" t="str">
        <f ca="1">IFERROR(INDEX(凭证录入!F:F,$AR996),"")</f>
        <v/>
      </c>
      <c r="E996" s="472" t="str">
        <f ca="1">IFERROR(INDEX(凭证录入!H:H,$AR996),$AR996)</f>
        <v/>
      </c>
      <c r="F996" s="473">
        <f ca="1">IF(OR($BG$2=0,$AR996=""),,IF($AR996="本月合计",IF(ROW()=$BG$3,SUM($F$6:$F995),SUM(INDIRECT("$F$"&amp;OFFSET($AU$3,,MATCH(ROW(),$AU$3:$BF$3,)-2)+2&amp;":$E"&amp;ROW()-1))),IF($AR996="本年累计",SUMIF($AR$6:$AR996,"本月合计",$F$6:$F995),INDEX(凭证录入!K:K,$AR996))))</f>
        <v>0</v>
      </c>
      <c r="G996" s="459" t="str">
        <f t="shared" ca="1" si="217"/>
        <v/>
      </c>
      <c r="H996" s="460" t="str">
        <f t="shared" ca="1" si="217"/>
        <v/>
      </c>
      <c r="I996" s="460" t="str">
        <f t="shared" ca="1" si="217"/>
        <v/>
      </c>
      <c r="J996" s="460" t="str">
        <f t="shared" ca="1" si="217"/>
        <v/>
      </c>
      <c r="K996" s="460" t="str">
        <f t="shared" ca="1" si="217"/>
        <v/>
      </c>
      <c r="L996" s="460" t="str">
        <f t="shared" ca="1" si="217"/>
        <v/>
      </c>
      <c r="M996" s="460" t="str">
        <f t="shared" ca="1" si="217"/>
        <v/>
      </c>
      <c r="N996" s="460" t="str">
        <f t="shared" ca="1" si="217"/>
        <v/>
      </c>
      <c r="O996" s="461" t="str">
        <f t="shared" ca="1" si="217"/>
        <v/>
      </c>
      <c r="P996" s="474" t="str">
        <f t="shared" ca="1" si="217"/>
        <v/>
      </c>
      <c r="Q996" s="475" t="str">
        <f t="shared" ca="1" si="217"/>
        <v/>
      </c>
      <c r="R996" s="476">
        <f ca="1">IF(OR($BG$2=0,$AR996=""),,IF($AR996="本月合计",IF(ROW()=$BG$3,SUM($R$6:$R995),SUM(INDIRECT("$R$"&amp;OFFSET($AU$3,,MATCH(ROW(),$AU$3:$BF$3,)-2)+2&amp;":$R"&amp;ROW()-1))),IF($AR996="本年累计",SUMIF($AR$6:$AR996,"本月合计",$R$6:$R995),INDEX(凭证录入!L:L,$AR996))))</f>
        <v>0</v>
      </c>
      <c r="S996" s="459" t="str">
        <f t="shared" ca="1" si="218"/>
        <v/>
      </c>
      <c r="T996" s="460" t="str">
        <f t="shared" ca="1" si="218"/>
        <v/>
      </c>
      <c r="U996" s="460" t="str">
        <f t="shared" ca="1" si="218"/>
        <v/>
      </c>
      <c r="V996" s="460" t="str">
        <f t="shared" ca="1" si="218"/>
        <v/>
      </c>
      <c r="W996" s="460" t="str">
        <f t="shared" ca="1" si="218"/>
        <v/>
      </c>
      <c r="X996" s="460" t="str">
        <f t="shared" ca="1" si="218"/>
        <v/>
      </c>
      <c r="Y996" s="460" t="str">
        <f t="shared" ca="1" si="218"/>
        <v/>
      </c>
      <c r="Z996" s="460" t="str">
        <f t="shared" ca="1" si="218"/>
        <v/>
      </c>
      <c r="AA996" s="461" t="str">
        <f t="shared" ca="1" si="218"/>
        <v/>
      </c>
      <c r="AB996" s="474" t="str">
        <f t="shared" ca="1" si="218"/>
        <v/>
      </c>
      <c r="AC996" s="475" t="str">
        <f t="shared" ca="1" si="218"/>
        <v/>
      </c>
      <c r="AD996" s="477" t="str">
        <f t="shared" ca="1" si="214"/>
        <v/>
      </c>
      <c r="AE996" s="478">
        <f t="shared" ca="1" si="215"/>
        <v>0</v>
      </c>
      <c r="AF996" s="459" t="str">
        <f t="shared" ca="1" si="216"/>
        <v/>
      </c>
      <c r="AG996" s="460" t="str">
        <f t="shared" ca="1" si="216"/>
        <v/>
      </c>
      <c r="AH996" s="460" t="str">
        <f t="shared" ca="1" si="216"/>
        <v/>
      </c>
      <c r="AI996" s="460" t="str">
        <f t="shared" ca="1" si="216"/>
        <v/>
      </c>
      <c r="AJ996" s="460" t="str">
        <f t="shared" ca="1" si="216"/>
        <v/>
      </c>
      <c r="AK996" s="460" t="str">
        <f t="shared" ca="1" si="216"/>
        <v/>
      </c>
      <c r="AL996" s="460" t="str">
        <f t="shared" ca="1" si="216"/>
        <v/>
      </c>
      <c r="AM996" s="460" t="str">
        <f t="shared" ca="1" si="216"/>
        <v/>
      </c>
      <c r="AN996" s="461" t="str">
        <f t="shared" ca="1" si="216"/>
        <v/>
      </c>
      <c r="AO996" s="474" t="str">
        <f t="shared" ca="1" si="216"/>
        <v/>
      </c>
      <c r="AP996" s="475" t="str">
        <f t="shared" ca="1" si="216"/>
        <v/>
      </c>
      <c r="AQ996" s="479" t="str">
        <f t="array" aca="1" ref="AQ996" ca="1">IF(ROW()-5&lt;=COUNTIF(科目编号,$AR$2),SMALL(IF(科目编号=$AR$2,ROW(科目编号),""),ROW()-5),"")</f>
        <v/>
      </c>
      <c r="AR996" s="480" t="str">
        <f ca="1">IF($BG$2=0,"",IF(AR995="本月合计","本年累计",IF(OR(ROW()=$AU$3,ROW()=$AV$3,ROW()=$AW$3,ROW()=$AX$3,ROW()=$AY$3,ROW()=$AZ$3,ROW()=$BA$3,ROW()=$BB$3,ROW()=$BC$3,ROW()=$BD$3,ROW()=$BE$3,ROW()=$BF$3),"本月合计",IF(ROW()&lt;7,$AQ$6,OFFSET($AQ$6,COUNT($AR$6:AR995),0)))))</f>
        <v/>
      </c>
    </row>
    <row r="997" spans="1:44">
      <c r="A997" s="469" t="str">
        <f ca="1">IFERROR(INDEX(凭证录入!A:A,$AR997),"")</f>
        <v/>
      </c>
      <c r="B997" s="469" t="str">
        <f ca="1">IFERROR(INDEX(凭证录入!B:B,$AR997),"")</f>
        <v/>
      </c>
      <c r="C997" s="470" t="str">
        <f ca="1">IFERROR(INDEX(凭证录入!G:G,$AR997),"")</f>
        <v/>
      </c>
      <c r="D997" s="471" t="str">
        <f ca="1">IFERROR(INDEX(凭证录入!F:F,$AR997),"")</f>
        <v/>
      </c>
      <c r="E997" s="472" t="str">
        <f ca="1">IFERROR(INDEX(凭证录入!H:H,$AR997),$AR997)</f>
        <v/>
      </c>
      <c r="F997" s="473">
        <f ca="1">IF(OR($BG$2=0,$AR997=""),,IF($AR997="本月合计",IF(ROW()=$BG$3,SUM($F$6:$F996),SUM(INDIRECT("$F$"&amp;OFFSET($AU$3,,MATCH(ROW(),$AU$3:$BF$3,)-2)+2&amp;":$E"&amp;ROW()-1))),IF($AR997="本年累计",SUMIF($AR$6:$AR997,"本月合计",$F$6:$F996),INDEX(凭证录入!K:K,$AR997))))</f>
        <v>0</v>
      </c>
      <c r="G997" s="459" t="str">
        <f t="shared" ca="1" si="217"/>
        <v/>
      </c>
      <c r="H997" s="460" t="str">
        <f t="shared" ca="1" si="217"/>
        <v/>
      </c>
      <c r="I997" s="460" t="str">
        <f t="shared" ca="1" si="217"/>
        <v/>
      </c>
      <c r="J997" s="460" t="str">
        <f t="shared" ca="1" si="217"/>
        <v/>
      </c>
      <c r="K997" s="460" t="str">
        <f t="shared" ca="1" si="217"/>
        <v/>
      </c>
      <c r="L997" s="460" t="str">
        <f t="shared" ca="1" si="217"/>
        <v/>
      </c>
      <c r="M997" s="460" t="str">
        <f t="shared" ca="1" si="217"/>
        <v/>
      </c>
      <c r="N997" s="460" t="str">
        <f t="shared" ca="1" si="217"/>
        <v/>
      </c>
      <c r="O997" s="461" t="str">
        <f t="shared" ca="1" si="217"/>
        <v/>
      </c>
      <c r="P997" s="474" t="str">
        <f t="shared" ca="1" si="217"/>
        <v/>
      </c>
      <c r="Q997" s="475" t="str">
        <f t="shared" ca="1" si="217"/>
        <v/>
      </c>
      <c r="R997" s="476">
        <f ca="1">IF(OR($BG$2=0,$AR997=""),,IF($AR997="本月合计",IF(ROW()=$BG$3,SUM($R$6:$R996),SUM(INDIRECT("$R$"&amp;OFFSET($AU$3,,MATCH(ROW(),$AU$3:$BF$3,)-2)+2&amp;":$R"&amp;ROW()-1))),IF($AR997="本年累计",SUMIF($AR$6:$AR997,"本月合计",$R$6:$R996),INDEX(凭证录入!L:L,$AR997))))</f>
        <v>0</v>
      </c>
      <c r="S997" s="459" t="str">
        <f t="shared" ca="1" si="218"/>
        <v/>
      </c>
      <c r="T997" s="460" t="str">
        <f t="shared" ca="1" si="218"/>
        <v/>
      </c>
      <c r="U997" s="460" t="str">
        <f t="shared" ca="1" si="218"/>
        <v/>
      </c>
      <c r="V997" s="460" t="str">
        <f t="shared" ca="1" si="218"/>
        <v/>
      </c>
      <c r="W997" s="460" t="str">
        <f t="shared" ca="1" si="218"/>
        <v/>
      </c>
      <c r="X997" s="460" t="str">
        <f t="shared" ca="1" si="218"/>
        <v/>
      </c>
      <c r="Y997" s="460" t="str">
        <f t="shared" ca="1" si="218"/>
        <v/>
      </c>
      <c r="Z997" s="460" t="str">
        <f t="shared" ca="1" si="218"/>
        <v/>
      </c>
      <c r="AA997" s="461" t="str">
        <f t="shared" ca="1" si="218"/>
        <v/>
      </c>
      <c r="AB997" s="474" t="str">
        <f t="shared" ca="1" si="218"/>
        <v/>
      </c>
      <c r="AC997" s="475" t="str">
        <f t="shared" ca="1" si="218"/>
        <v/>
      </c>
      <c r="AD997" s="477" t="str">
        <f t="shared" ca="1" si="214"/>
        <v/>
      </c>
      <c r="AE997" s="478">
        <f t="shared" ca="1" si="215"/>
        <v>0</v>
      </c>
      <c r="AF997" s="459" t="str">
        <f t="shared" ref="AF997:AP1000" ca="1" si="219">LEFT(RIGHT(TEXT($AE997/1%," ￥0; ￥-0;"),43-COLUMN()))</f>
        <v/>
      </c>
      <c r="AG997" s="460" t="str">
        <f t="shared" ca="1" si="219"/>
        <v/>
      </c>
      <c r="AH997" s="460" t="str">
        <f t="shared" ca="1" si="219"/>
        <v/>
      </c>
      <c r="AI997" s="460" t="str">
        <f t="shared" ca="1" si="219"/>
        <v/>
      </c>
      <c r="AJ997" s="460" t="str">
        <f t="shared" ca="1" si="219"/>
        <v/>
      </c>
      <c r="AK997" s="460" t="str">
        <f t="shared" ca="1" si="219"/>
        <v/>
      </c>
      <c r="AL997" s="460" t="str">
        <f t="shared" ca="1" si="219"/>
        <v/>
      </c>
      <c r="AM997" s="460" t="str">
        <f t="shared" ca="1" si="219"/>
        <v/>
      </c>
      <c r="AN997" s="461" t="str">
        <f t="shared" ca="1" si="219"/>
        <v/>
      </c>
      <c r="AO997" s="474" t="str">
        <f t="shared" ca="1" si="219"/>
        <v/>
      </c>
      <c r="AP997" s="475" t="str">
        <f t="shared" ca="1" si="219"/>
        <v/>
      </c>
      <c r="AQ997" s="479" t="str">
        <f t="array" aca="1" ref="AQ997" ca="1">IF(ROW()-5&lt;=COUNTIF(科目编号,$AR$2),SMALL(IF(科目编号=$AR$2,ROW(科目编号),""),ROW()-5),"")</f>
        <v/>
      </c>
      <c r="AR997" s="480" t="str">
        <f ca="1">IF($BG$2=0,"",IF(AR996="本月合计","本年累计",IF(OR(ROW()=$AU$3,ROW()=$AV$3,ROW()=$AW$3,ROW()=$AX$3,ROW()=$AY$3,ROW()=$AZ$3,ROW()=$BA$3,ROW()=$BB$3,ROW()=$BC$3,ROW()=$BD$3,ROW()=$BE$3,ROW()=$BF$3),"本月合计",IF(ROW()&lt;7,$AQ$6,OFFSET($AQ$6,COUNT($AR$6:AR996),0)))))</f>
        <v/>
      </c>
    </row>
    <row r="998" spans="1:44">
      <c r="A998" s="469" t="str">
        <f ca="1">IFERROR(INDEX(凭证录入!A:A,$AR998),"")</f>
        <v/>
      </c>
      <c r="B998" s="469" t="str">
        <f ca="1">IFERROR(INDEX(凭证录入!B:B,$AR998),"")</f>
        <v/>
      </c>
      <c r="C998" s="470" t="str">
        <f ca="1">IFERROR(INDEX(凭证录入!G:G,$AR998),"")</f>
        <v/>
      </c>
      <c r="D998" s="471" t="str">
        <f ca="1">IFERROR(INDEX(凭证录入!F:F,$AR998),"")</f>
        <v/>
      </c>
      <c r="E998" s="472" t="str">
        <f ca="1">IFERROR(INDEX(凭证录入!H:H,$AR998),$AR998)</f>
        <v/>
      </c>
      <c r="F998" s="473">
        <f ca="1">IF(OR($BG$2=0,$AR998=""),,IF($AR998="本月合计",IF(ROW()=$BG$3,SUM($F$6:$F997),SUM(INDIRECT("$F$"&amp;OFFSET($AU$3,,MATCH(ROW(),$AU$3:$BF$3,)-2)+2&amp;":$E"&amp;ROW()-1))),IF($AR998="本年累计",SUMIF($AR$6:$AR998,"本月合计",$F$6:$F997),INDEX(凭证录入!K:K,$AR998))))</f>
        <v>0</v>
      </c>
      <c r="G998" s="459" t="str">
        <f t="shared" ref="G998:Q1000" ca="1" si="220">LEFT(RIGHT(TEXT($F998/1%," ￥0; ￥-0;"),18-COLUMN()))</f>
        <v/>
      </c>
      <c r="H998" s="460" t="str">
        <f t="shared" ca="1" si="220"/>
        <v/>
      </c>
      <c r="I998" s="460" t="str">
        <f t="shared" ca="1" si="220"/>
        <v/>
      </c>
      <c r="J998" s="460" t="str">
        <f t="shared" ca="1" si="220"/>
        <v/>
      </c>
      <c r="K998" s="460" t="str">
        <f t="shared" ca="1" si="220"/>
        <v/>
      </c>
      <c r="L998" s="460" t="str">
        <f t="shared" ca="1" si="220"/>
        <v/>
      </c>
      <c r="M998" s="460" t="str">
        <f t="shared" ca="1" si="220"/>
        <v/>
      </c>
      <c r="N998" s="460" t="str">
        <f t="shared" ca="1" si="220"/>
        <v/>
      </c>
      <c r="O998" s="461" t="str">
        <f t="shared" ca="1" si="220"/>
        <v/>
      </c>
      <c r="P998" s="474" t="str">
        <f t="shared" ca="1" si="220"/>
        <v/>
      </c>
      <c r="Q998" s="475" t="str">
        <f t="shared" ca="1" si="220"/>
        <v/>
      </c>
      <c r="R998" s="476">
        <f ca="1">IF(OR($BG$2=0,$AR998=""),,IF($AR998="本月合计",IF(ROW()=$BG$3,SUM($R$6:$R997),SUM(INDIRECT("$R$"&amp;OFFSET($AU$3,,MATCH(ROW(),$AU$3:$BF$3,)-2)+2&amp;":$R"&amp;ROW()-1))),IF($AR998="本年累计",SUMIF($AR$6:$AR998,"本月合计",$R$6:$R997),INDEX(凭证录入!L:L,$AR998))))</f>
        <v>0</v>
      </c>
      <c r="S998" s="459" t="str">
        <f t="shared" ref="S998:AC1000" ca="1" si="221">LEFT(RIGHT(TEXT($R998/1%," ￥0; ￥-0;"),30-COLUMN()))</f>
        <v/>
      </c>
      <c r="T998" s="460" t="str">
        <f t="shared" ca="1" si="221"/>
        <v/>
      </c>
      <c r="U998" s="460" t="str">
        <f t="shared" ca="1" si="221"/>
        <v/>
      </c>
      <c r="V998" s="460" t="str">
        <f t="shared" ca="1" si="221"/>
        <v/>
      </c>
      <c r="W998" s="460" t="str">
        <f t="shared" ca="1" si="221"/>
        <v/>
      </c>
      <c r="X998" s="460" t="str">
        <f t="shared" ca="1" si="221"/>
        <v/>
      </c>
      <c r="Y998" s="460" t="str">
        <f t="shared" ca="1" si="221"/>
        <v/>
      </c>
      <c r="Z998" s="460" t="str">
        <f t="shared" ca="1" si="221"/>
        <v/>
      </c>
      <c r="AA998" s="461" t="str">
        <f t="shared" ca="1" si="221"/>
        <v/>
      </c>
      <c r="AB998" s="474" t="str">
        <f t="shared" ca="1" si="221"/>
        <v/>
      </c>
      <c r="AC998" s="475" t="str">
        <f t="shared" ca="1" si="221"/>
        <v/>
      </c>
      <c r="AD998" s="477" t="str">
        <f t="shared" ca="1" si="214"/>
        <v/>
      </c>
      <c r="AE998" s="478">
        <f t="shared" ca="1" si="215"/>
        <v>0</v>
      </c>
      <c r="AF998" s="459" t="str">
        <f t="shared" ca="1" si="219"/>
        <v/>
      </c>
      <c r="AG998" s="460" t="str">
        <f t="shared" ca="1" si="219"/>
        <v/>
      </c>
      <c r="AH998" s="460" t="str">
        <f t="shared" ca="1" si="219"/>
        <v/>
      </c>
      <c r="AI998" s="460" t="str">
        <f t="shared" ca="1" si="219"/>
        <v/>
      </c>
      <c r="AJ998" s="460" t="str">
        <f t="shared" ca="1" si="219"/>
        <v/>
      </c>
      <c r="AK998" s="460" t="str">
        <f t="shared" ca="1" si="219"/>
        <v/>
      </c>
      <c r="AL998" s="460" t="str">
        <f t="shared" ca="1" si="219"/>
        <v/>
      </c>
      <c r="AM998" s="460" t="str">
        <f t="shared" ca="1" si="219"/>
        <v/>
      </c>
      <c r="AN998" s="461" t="str">
        <f t="shared" ca="1" si="219"/>
        <v/>
      </c>
      <c r="AO998" s="474" t="str">
        <f t="shared" ca="1" si="219"/>
        <v/>
      </c>
      <c r="AP998" s="475" t="str">
        <f t="shared" ca="1" si="219"/>
        <v/>
      </c>
      <c r="AQ998" s="479" t="str">
        <f t="array" aca="1" ref="AQ998" ca="1">IF(ROW()-5&lt;=COUNTIF(科目编号,$AR$2),SMALL(IF(科目编号=$AR$2,ROW(科目编号),""),ROW()-5),"")</f>
        <v/>
      </c>
      <c r="AR998" s="480" t="str">
        <f ca="1">IF($BG$2=0,"",IF(AR997="本月合计","本年累计",IF(OR(ROW()=$AU$3,ROW()=$AV$3,ROW()=$AW$3,ROW()=$AX$3,ROW()=$AY$3,ROW()=$AZ$3,ROW()=$BA$3,ROW()=$BB$3,ROW()=$BC$3,ROW()=$BD$3,ROW()=$BE$3,ROW()=$BF$3),"本月合计",IF(ROW()&lt;7,$AQ$6,OFFSET($AQ$6,COUNT($AR$6:AR997),0)))))</f>
        <v/>
      </c>
    </row>
    <row r="999" spans="1:44">
      <c r="A999" s="469" t="str">
        <f ca="1">IFERROR(INDEX(凭证录入!A:A,$AR999),"")</f>
        <v/>
      </c>
      <c r="B999" s="469" t="str">
        <f ca="1">IFERROR(INDEX(凭证录入!B:B,$AR999),"")</f>
        <v/>
      </c>
      <c r="C999" s="470" t="str">
        <f ca="1">IFERROR(INDEX(凭证录入!G:G,$AR999),"")</f>
        <v/>
      </c>
      <c r="D999" s="471" t="str">
        <f ca="1">IFERROR(INDEX(凭证录入!F:F,$AR999),"")</f>
        <v/>
      </c>
      <c r="E999" s="472" t="str">
        <f ca="1">IFERROR(INDEX(凭证录入!H:H,$AR999),$AR999)</f>
        <v/>
      </c>
      <c r="F999" s="473">
        <f ca="1">IF(OR($BG$2=0,$AR999=""),,IF($AR999="本月合计",IF(ROW()=$BG$3,SUM($F$6:$F998),SUM(INDIRECT("$F$"&amp;OFFSET($AU$3,,MATCH(ROW(),$AU$3:$BF$3,)-2)+2&amp;":$E"&amp;ROW()-1))),IF($AR999="本年累计",SUMIF($AR$6:$AR999,"本月合计",$F$6:$F998),INDEX(凭证录入!K:K,$AR999))))</f>
        <v>0</v>
      </c>
      <c r="G999" s="459" t="str">
        <f t="shared" ca="1" si="220"/>
        <v/>
      </c>
      <c r="H999" s="460" t="str">
        <f t="shared" ca="1" si="220"/>
        <v/>
      </c>
      <c r="I999" s="460" t="str">
        <f t="shared" ca="1" si="220"/>
        <v/>
      </c>
      <c r="J999" s="460" t="str">
        <f t="shared" ca="1" si="220"/>
        <v/>
      </c>
      <c r="K999" s="460" t="str">
        <f t="shared" ca="1" si="220"/>
        <v/>
      </c>
      <c r="L999" s="460" t="str">
        <f t="shared" ca="1" si="220"/>
        <v/>
      </c>
      <c r="M999" s="460" t="str">
        <f t="shared" ca="1" si="220"/>
        <v/>
      </c>
      <c r="N999" s="460" t="str">
        <f t="shared" ca="1" si="220"/>
        <v/>
      </c>
      <c r="O999" s="461" t="str">
        <f t="shared" ca="1" si="220"/>
        <v/>
      </c>
      <c r="P999" s="474" t="str">
        <f t="shared" ca="1" si="220"/>
        <v/>
      </c>
      <c r="Q999" s="475" t="str">
        <f t="shared" ca="1" si="220"/>
        <v/>
      </c>
      <c r="R999" s="476">
        <f ca="1">IF(OR($BG$2=0,$AR999=""),,IF($AR999="本月合计",IF(ROW()=$BG$3,SUM($R$6:$R998),SUM(INDIRECT("$R$"&amp;OFFSET($AU$3,,MATCH(ROW(),$AU$3:$BF$3,)-2)+2&amp;":$R"&amp;ROW()-1))),IF($AR999="本年累计",SUMIF($AR$6:$AR999,"本月合计",$R$6:$R998),INDEX(凭证录入!L:L,$AR999))))</f>
        <v>0</v>
      </c>
      <c r="S999" s="459" t="str">
        <f t="shared" ca="1" si="221"/>
        <v/>
      </c>
      <c r="T999" s="460" t="str">
        <f t="shared" ca="1" si="221"/>
        <v/>
      </c>
      <c r="U999" s="460" t="str">
        <f t="shared" ca="1" si="221"/>
        <v/>
      </c>
      <c r="V999" s="460" t="str">
        <f t="shared" ca="1" si="221"/>
        <v/>
      </c>
      <c r="W999" s="460" t="str">
        <f t="shared" ca="1" si="221"/>
        <v/>
      </c>
      <c r="X999" s="460" t="str">
        <f t="shared" ca="1" si="221"/>
        <v/>
      </c>
      <c r="Y999" s="460" t="str">
        <f t="shared" ca="1" si="221"/>
        <v/>
      </c>
      <c r="Z999" s="460" t="str">
        <f t="shared" ca="1" si="221"/>
        <v/>
      </c>
      <c r="AA999" s="461" t="str">
        <f t="shared" ca="1" si="221"/>
        <v/>
      </c>
      <c r="AB999" s="474" t="str">
        <f t="shared" ca="1" si="221"/>
        <v/>
      </c>
      <c r="AC999" s="475" t="str">
        <f t="shared" ca="1" si="221"/>
        <v/>
      </c>
      <c r="AD999" s="477" t="str">
        <f t="shared" ca="1" si="214"/>
        <v/>
      </c>
      <c r="AE999" s="478">
        <f t="shared" ca="1" si="215"/>
        <v>0</v>
      </c>
      <c r="AF999" s="459" t="str">
        <f t="shared" ca="1" si="219"/>
        <v/>
      </c>
      <c r="AG999" s="460" t="str">
        <f t="shared" ca="1" si="219"/>
        <v/>
      </c>
      <c r="AH999" s="460" t="str">
        <f t="shared" ca="1" si="219"/>
        <v/>
      </c>
      <c r="AI999" s="460" t="str">
        <f t="shared" ca="1" si="219"/>
        <v/>
      </c>
      <c r="AJ999" s="460" t="str">
        <f t="shared" ca="1" si="219"/>
        <v/>
      </c>
      <c r="AK999" s="460" t="str">
        <f t="shared" ca="1" si="219"/>
        <v/>
      </c>
      <c r="AL999" s="460" t="str">
        <f t="shared" ca="1" si="219"/>
        <v/>
      </c>
      <c r="AM999" s="460" t="str">
        <f t="shared" ca="1" si="219"/>
        <v/>
      </c>
      <c r="AN999" s="461" t="str">
        <f t="shared" ca="1" si="219"/>
        <v/>
      </c>
      <c r="AO999" s="474" t="str">
        <f t="shared" ca="1" si="219"/>
        <v/>
      </c>
      <c r="AP999" s="475" t="str">
        <f t="shared" ca="1" si="219"/>
        <v/>
      </c>
      <c r="AQ999" s="479" t="str">
        <f t="array" aca="1" ref="AQ999" ca="1">IF(ROW()-5&lt;=COUNTIF(科目编号,$AR$2),SMALL(IF(科目编号=$AR$2,ROW(科目编号),""),ROW()-5),"")</f>
        <v/>
      </c>
      <c r="AR999" s="480" t="str">
        <f ca="1">IF($BG$2=0,"",IF(AR998="本月合计","本年累计",IF(OR(ROW()=$AU$3,ROW()=$AV$3,ROW()=$AW$3,ROW()=$AX$3,ROW()=$AY$3,ROW()=$AZ$3,ROW()=$BA$3,ROW()=$BB$3,ROW()=$BC$3,ROW()=$BD$3,ROW()=$BE$3,ROW()=$BF$3),"本月合计",IF(ROW()&lt;7,$AQ$6,OFFSET($AQ$6,COUNT($AR$6:AR998),0)))))</f>
        <v/>
      </c>
    </row>
    <row r="1000" spans="1:44">
      <c r="A1000" s="469" t="str">
        <f ca="1">IFERROR(INDEX(凭证录入!A:A,$AR1000),"")</f>
        <v/>
      </c>
      <c r="B1000" s="469" t="str">
        <f ca="1">IFERROR(INDEX(凭证录入!B:B,$AR1000),"")</f>
        <v/>
      </c>
      <c r="C1000" s="470" t="str">
        <f ca="1">IFERROR(INDEX(凭证录入!G:G,$AR1000),"")</f>
        <v/>
      </c>
      <c r="D1000" s="471" t="str">
        <f ca="1">IFERROR(INDEX(凭证录入!F:F,$AR1000),"")</f>
        <v/>
      </c>
      <c r="E1000" s="472" t="str">
        <f ca="1">IFERROR(INDEX(凭证录入!H:H,$AR1000),$AR1000)</f>
        <v/>
      </c>
      <c r="F1000" s="473">
        <f ca="1">IF(OR($BG$2=0,$AR1000=""),,IF($AR1000="本月合计",IF(ROW()=$BG$3,SUM($F$6:$F999),SUM(INDIRECT("$F$"&amp;OFFSET($AU$3,,MATCH(ROW(),$AU$3:$BF$3,)-2)+2&amp;":$E"&amp;ROW()-1))),IF($AR1000="本年累计",SUMIF($AR$6:$AR1000,"本月合计",$F$6:$F999),INDEX(凭证录入!K:K,$AR1000))))</f>
        <v>0</v>
      </c>
      <c r="G1000" s="459" t="str">
        <f t="shared" ca="1" si="220"/>
        <v/>
      </c>
      <c r="H1000" s="460" t="str">
        <f t="shared" ca="1" si="220"/>
        <v/>
      </c>
      <c r="I1000" s="460" t="str">
        <f t="shared" ca="1" si="220"/>
        <v/>
      </c>
      <c r="J1000" s="460" t="str">
        <f t="shared" ca="1" si="220"/>
        <v/>
      </c>
      <c r="K1000" s="460" t="str">
        <f t="shared" ca="1" si="220"/>
        <v/>
      </c>
      <c r="L1000" s="460" t="str">
        <f t="shared" ca="1" si="220"/>
        <v/>
      </c>
      <c r="M1000" s="460" t="str">
        <f t="shared" ca="1" si="220"/>
        <v/>
      </c>
      <c r="N1000" s="460" t="str">
        <f t="shared" ca="1" si="220"/>
        <v/>
      </c>
      <c r="O1000" s="461" t="str">
        <f t="shared" ca="1" si="220"/>
        <v/>
      </c>
      <c r="P1000" s="474" t="str">
        <f t="shared" ca="1" si="220"/>
        <v/>
      </c>
      <c r="Q1000" s="475" t="str">
        <f t="shared" ca="1" si="220"/>
        <v/>
      </c>
      <c r="R1000" s="476">
        <f ca="1">IF(OR($BG$2=0,$AR1000=""),,IF($AR1000="本月合计",IF(ROW()=$BG$3,SUM($R$6:$R999),SUM(INDIRECT("$R$"&amp;OFFSET($AU$3,,MATCH(ROW(),$AU$3:$BF$3,)-2)+2&amp;":$R"&amp;ROW()-1))),IF($AR1000="本年累计",SUMIF($AR$6:$AR1000,"本月合计",$R$6:$R999),INDEX(凭证录入!L:L,$AR1000))))</f>
        <v>0</v>
      </c>
      <c r="S1000" s="459" t="str">
        <f t="shared" ca="1" si="221"/>
        <v/>
      </c>
      <c r="T1000" s="460" t="str">
        <f t="shared" ca="1" si="221"/>
        <v/>
      </c>
      <c r="U1000" s="460" t="str">
        <f t="shared" ca="1" si="221"/>
        <v/>
      </c>
      <c r="V1000" s="460" t="str">
        <f t="shared" ca="1" si="221"/>
        <v/>
      </c>
      <c r="W1000" s="460" t="str">
        <f t="shared" ca="1" si="221"/>
        <v/>
      </c>
      <c r="X1000" s="460" t="str">
        <f t="shared" ca="1" si="221"/>
        <v/>
      </c>
      <c r="Y1000" s="460" t="str">
        <f t="shared" ca="1" si="221"/>
        <v/>
      </c>
      <c r="Z1000" s="460" t="str">
        <f t="shared" ca="1" si="221"/>
        <v/>
      </c>
      <c r="AA1000" s="461" t="str">
        <f t="shared" ca="1" si="221"/>
        <v/>
      </c>
      <c r="AB1000" s="474" t="str">
        <f t="shared" ca="1" si="221"/>
        <v/>
      </c>
      <c r="AC1000" s="475" t="str">
        <f t="shared" ca="1" si="221"/>
        <v/>
      </c>
      <c r="AD1000" s="477" t="str">
        <f t="shared" ca="1" si="214"/>
        <v/>
      </c>
      <c r="AE1000" s="478">
        <f t="shared" ca="1" si="215"/>
        <v>0</v>
      </c>
      <c r="AF1000" s="459" t="str">
        <f t="shared" ca="1" si="219"/>
        <v/>
      </c>
      <c r="AG1000" s="460" t="str">
        <f t="shared" ca="1" si="219"/>
        <v/>
      </c>
      <c r="AH1000" s="460" t="str">
        <f t="shared" ca="1" si="219"/>
        <v/>
      </c>
      <c r="AI1000" s="460" t="str">
        <f t="shared" ca="1" si="219"/>
        <v/>
      </c>
      <c r="AJ1000" s="460" t="str">
        <f t="shared" ca="1" si="219"/>
        <v/>
      </c>
      <c r="AK1000" s="460" t="str">
        <f t="shared" ca="1" si="219"/>
        <v/>
      </c>
      <c r="AL1000" s="460" t="str">
        <f t="shared" ca="1" si="219"/>
        <v/>
      </c>
      <c r="AM1000" s="460" t="str">
        <f t="shared" ca="1" si="219"/>
        <v/>
      </c>
      <c r="AN1000" s="461" t="str">
        <f t="shared" ca="1" si="219"/>
        <v/>
      </c>
      <c r="AO1000" s="474" t="str">
        <f t="shared" ca="1" si="219"/>
        <v/>
      </c>
      <c r="AP1000" s="475" t="str">
        <f t="shared" ca="1" si="219"/>
        <v/>
      </c>
      <c r="AQ1000" s="479" t="str">
        <f t="array" aca="1" ref="AQ1000" ca="1">IF(ROW()-5&lt;=COUNTIF(科目编号,$AR$2),SMALL(IF(科目编号=$AR$2,ROW(科目编号),""),ROW()-5),"")</f>
        <v/>
      </c>
      <c r="AR1000" s="480" t="str">
        <f ca="1">IF($BG$2=0,"",IF(AR999="本月合计","本年累计",IF(OR(ROW()=$AU$3,ROW()=$AV$3,ROW()=$AW$3,ROW()=$AX$3,ROW()=$AY$3,ROW()=$AZ$3,ROW()=$BA$3,ROW()=$BB$3,ROW()=$BC$3,ROW()=$BD$3,ROW()=$BE$3,ROW()=$BF$3),"本月合计",IF(ROW()&lt;7,$AQ$6,OFFSET($AQ$6,COUNT($AR$6:AR999),0)))))</f>
        <v/>
      </c>
    </row>
  </sheetData>
  <mergeCells count="9">
    <mergeCell ref="AD3:AD4"/>
    <mergeCell ref="AF3:AP3"/>
    <mergeCell ref="E1:Q1"/>
    <mergeCell ref="S1:W1"/>
    <mergeCell ref="A3:B3"/>
    <mergeCell ref="C3:D3"/>
    <mergeCell ref="E3:E4"/>
    <mergeCell ref="G3:Q3"/>
    <mergeCell ref="S3:AC3"/>
  </mergeCells>
  <phoneticPr fontId="2" type="noConversion"/>
  <conditionalFormatting sqref="AQ6:AR6 AR7:AR500 AQ7:AQ1000">
    <cfRule type="cellIs" dxfId="6" priority="5" stopIfTrue="1" operator="equal">
      <formula>"本月合计"</formula>
    </cfRule>
    <cfRule type="cellIs" dxfId="5" priority="6" stopIfTrue="1" operator="equal">
      <formula>"本年累计"</formula>
    </cfRule>
  </conditionalFormatting>
  <conditionalFormatting sqref="AR501:AR1000">
    <cfRule type="cellIs" dxfId="4" priority="3" stopIfTrue="1" operator="equal">
      <formula>"本月合计"</formula>
    </cfRule>
    <cfRule type="cellIs" dxfId="3" priority="4" stopIfTrue="1" operator="equal">
      <formula>"本年累计"</formula>
    </cfRule>
  </conditionalFormatting>
  <conditionalFormatting sqref="E6:E1000">
    <cfRule type="cellIs" dxfId="2" priority="1" operator="equal">
      <formula>"本年累计"</formula>
    </cfRule>
    <cfRule type="cellIs" dxfId="1" priority="2" operator="equal">
      <formula>"本月合计"</formula>
    </cfRule>
  </conditionalFormatting>
  <dataValidations count="2">
    <dataValidation type="list" allowBlank="1" showInputMessage="1" showErrorMessage="1" sqref="AR2">
      <formula1>科目代码</formula1>
    </dataValidation>
    <dataValidation type="list" allowBlank="1" showInputMessage="1" showErrorMessage="1" sqref="AD5">
      <formula1>"借,贷"</formula1>
    </dataValidation>
  </dataValidations>
  <pageMargins left="0.74803149606299213" right="0.74803149606299213" top="0.98425196850393704" bottom="0.98425196850393704" header="0.51181102362204722" footer="0.51181102362204722"/>
  <pageSetup paperSize="9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7"/>
  <sheetViews>
    <sheetView workbookViewId="0">
      <pane ySplit="4" topLeftCell="A5" activePane="bottomLeft" state="frozen"/>
      <selection pane="bottomLeft" activeCell="D7" sqref="D7"/>
    </sheetView>
  </sheetViews>
  <sheetFormatPr defaultRowHeight="14.25"/>
  <cols>
    <col min="1" max="1" width="20" style="89" customWidth="1"/>
    <col min="2" max="2" width="3.75" style="89" customWidth="1"/>
    <col min="3" max="4" width="16.5" style="89" customWidth="1"/>
    <col min="5" max="5" width="20" style="89" customWidth="1"/>
    <col min="6" max="6" width="3.75" style="89" customWidth="1"/>
    <col min="7" max="8" width="16.5" style="89" customWidth="1"/>
    <col min="9" max="9" width="12.375" style="89" customWidth="1"/>
    <col min="10" max="10" width="5.375" style="89" customWidth="1"/>
    <col min="11" max="11" width="4.875" style="89" customWidth="1"/>
    <col min="12" max="12" width="5.375" style="89" customWidth="1"/>
    <col min="13" max="13" width="4.875" style="89" customWidth="1"/>
    <col min="14" max="21" width="9" style="89" customWidth="1"/>
    <col min="22" max="16384" width="9" style="89"/>
  </cols>
  <sheetData>
    <row r="1" spans="1:21" s="72" customFormat="1" ht="31.5">
      <c r="B1" s="73"/>
      <c r="C1" s="73"/>
      <c r="D1" s="74" t="s">
        <v>75</v>
      </c>
      <c r="E1" s="74"/>
      <c r="F1" s="73"/>
      <c r="G1" s="73"/>
      <c r="H1" s="75"/>
      <c r="I1" s="221" t="s">
        <v>573</v>
      </c>
      <c r="J1" s="222">
        <v>2013</v>
      </c>
      <c r="K1" s="223" t="s">
        <v>574</v>
      </c>
      <c r="L1" s="224">
        <v>12</v>
      </c>
      <c r="M1" s="223" t="s">
        <v>575</v>
      </c>
    </row>
    <row r="2" spans="1:21" s="72" customFormat="1" ht="19.5" customHeight="1">
      <c r="A2" s="73"/>
      <c r="B2" s="73"/>
      <c r="C2" s="73"/>
      <c r="D2" s="73"/>
      <c r="E2" s="73"/>
      <c r="F2" s="73"/>
      <c r="G2" s="73"/>
      <c r="H2" s="75" t="s">
        <v>76</v>
      </c>
      <c r="I2"/>
      <c r="J2"/>
      <c r="K2"/>
      <c r="L2"/>
      <c r="M2"/>
    </row>
    <row r="3" spans="1:21" s="83" customFormat="1" ht="19.5" thickBot="1">
      <c r="A3" s="77" t="str">
        <f>"编制单位:"&amp;Co</f>
        <v>编制单位:远大开发有限公司</v>
      </c>
      <c r="B3" s="77"/>
      <c r="C3" s="77"/>
      <c r="D3" s="78"/>
      <c r="E3" s="79">
        <f>DATE($J1,$L1+1,0)</f>
        <v>41639</v>
      </c>
      <c r="F3" s="80"/>
      <c r="G3" s="124" t="str">
        <f ca="1">IF(AND(C36=G36,D36=H36),"","资产负债表不平衡！")</f>
        <v/>
      </c>
      <c r="H3" s="82" t="s">
        <v>77</v>
      </c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</row>
    <row r="4" spans="1:21" ht="39" customHeight="1" thickBot="1">
      <c r="A4" s="84" t="s">
        <v>78</v>
      </c>
      <c r="B4" s="84" t="s">
        <v>79</v>
      </c>
      <c r="C4" s="84" t="s">
        <v>80</v>
      </c>
      <c r="D4" s="85" t="s">
        <v>81</v>
      </c>
      <c r="E4" s="86" t="s">
        <v>82</v>
      </c>
      <c r="F4" s="84" t="s">
        <v>83</v>
      </c>
      <c r="G4" s="84" t="s">
        <v>61</v>
      </c>
      <c r="H4" s="84" t="s">
        <v>81</v>
      </c>
      <c r="I4" s="87" t="str">
        <f>HYPERLINK("#目录!C3","返回")</f>
        <v>返回</v>
      </c>
      <c r="J4" s="88"/>
    </row>
    <row r="5" spans="1:21" ht="21.75" customHeight="1" thickBot="1">
      <c r="A5" s="90" t="s">
        <v>84</v>
      </c>
      <c r="B5" s="84">
        <v>1</v>
      </c>
      <c r="C5" s="91"/>
      <c r="D5" s="92"/>
      <c r="E5" s="93" t="s">
        <v>85</v>
      </c>
      <c r="F5" s="84">
        <v>36</v>
      </c>
      <c r="G5" s="94"/>
      <c r="H5" s="94"/>
      <c r="I5" s="143"/>
    </row>
    <row r="6" spans="1:21" ht="21.75" customHeight="1" thickBot="1">
      <c r="A6" s="95" t="s">
        <v>86</v>
      </c>
      <c r="B6" s="96">
        <v>2</v>
      </c>
      <c r="C6" s="97">
        <f ca="1">SUMIF(总账科目,"&lt;1101",OFFSET(总账科目,,8))</f>
        <v>134748.62</v>
      </c>
      <c r="D6" s="98">
        <f ca="1">SUMIF(总账科目,"&lt;1101",OFFSET(总账科目,,3))</f>
        <v>141048.20000000001</v>
      </c>
      <c r="E6" s="99" t="s">
        <v>87</v>
      </c>
      <c r="F6" s="84">
        <v>37</v>
      </c>
      <c r="G6" s="97">
        <f ca="1">SUMIF(总账科目,"=2001",OFFSET(总账科目,,8))</f>
        <v>0</v>
      </c>
      <c r="H6" s="97">
        <f ca="1">SUMIF(总账科目,"=2001",OFFSET(总账科目,,3))</f>
        <v>0</v>
      </c>
      <c r="I6" s="143"/>
    </row>
    <row r="7" spans="1:21" ht="21.75" customHeight="1" thickBot="1">
      <c r="A7" s="95" t="s">
        <v>88</v>
      </c>
      <c r="B7" s="96">
        <v>3</v>
      </c>
      <c r="C7" s="97">
        <f ca="1">SUMIF(总账科目,"=1101",OFFSET(总账科目,,8))</f>
        <v>0</v>
      </c>
      <c r="D7" s="98">
        <f ca="1">SUMIF(总账科目,"=1101",OFFSET(总账科目,,3))</f>
        <v>0</v>
      </c>
      <c r="E7" s="99" t="s">
        <v>287</v>
      </c>
      <c r="F7" s="84">
        <v>38</v>
      </c>
      <c r="G7" s="97">
        <f ca="1">SUMIF(总账科目,"=2101",OFFSET(总账科目,,8))</f>
        <v>0</v>
      </c>
      <c r="H7" s="97">
        <f ca="1">SUMIF(总账科目,"=2101",OFFSET(总账科目,,3))</f>
        <v>0</v>
      </c>
    </row>
    <row r="8" spans="1:21" ht="21.75" customHeight="1" thickBot="1">
      <c r="A8" s="95" t="s">
        <v>89</v>
      </c>
      <c r="B8" s="96">
        <v>4</v>
      </c>
      <c r="C8" s="97">
        <f ca="1">SUMIF(总账科目,"=1121",OFFSET(总账科目,,8))</f>
        <v>0</v>
      </c>
      <c r="D8" s="98">
        <f ca="1">SUMIF(总账科目,"=1121",OFFSET(总账科目,,3))</f>
        <v>0</v>
      </c>
      <c r="E8" s="99" t="s">
        <v>90</v>
      </c>
      <c r="F8" s="84">
        <v>39</v>
      </c>
      <c r="G8" s="97">
        <f ca="1">SUMIF(总账科目,"=2201",OFFSET(总账科目,,8))</f>
        <v>0</v>
      </c>
      <c r="H8" s="97">
        <f ca="1">SUMIF(总账科目,"=2201",OFFSET(总账科目,,3))</f>
        <v>0</v>
      </c>
    </row>
    <row r="9" spans="1:21" ht="21.75" customHeight="1" thickBot="1">
      <c r="A9" s="95" t="s">
        <v>91</v>
      </c>
      <c r="B9" s="96">
        <v>5</v>
      </c>
      <c r="C9" s="97">
        <f ca="1">SUMIF(总账科目,"=1122",OFFSET(总账科目,,8))</f>
        <v>7630360.1699999999</v>
      </c>
      <c r="D9" s="98">
        <f ca="1">SUMIF(总账科目,"=1122",OFFSET(总账科目,,3))</f>
        <v>7630360.1699999999</v>
      </c>
      <c r="E9" s="99" t="s">
        <v>92</v>
      </c>
      <c r="F9" s="84">
        <v>40</v>
      </c>
      <c r="G9" s="97">
        <f ca="1">SUMIF(总账科目,"=2202",OFFSET(总账科目,,8))</f>
        <v>6041019.6200000001</v>
      </c>
      <c r="H9" s="97">
        <f ca="1">SUMIF(总账科目,"=2202",OFFSET(总账科目,,3))</f>
        <v>6041019.6200000001</v>
      </c>
      <c r="I9" s="143"/>
    </row>
    <row r="10" spans="1:21" ht="21.75" customHeight="1" thickBot="1">
      <c r="A10" s="95" t="s">
        <v>263</v>
      </c>
      <c r="B10" s="96">
        <v>6</v>
      </c>
      <c r="C10" s="97">
        <f ca="1">SUMIF(总账科目,"=1123",OFFSET(总账科目,,8))</f>
        <v>0</v>
      </c>
      <c r="D10" s="98">
        <f ca="1">SUMIF(总账科目,"=1123",OFFSET(总账科目,,3))</f>
        <v>0</v>
      </c>
      <c r="E10" s="99" t="s">
        <v>274</v>
      </c>
      <c r="F10" s="84">
        <v>41</v>
      </c>
      <c r="G10" s="97">
        <f ca="1">SUMIF(总账科目,"=2203",OFFSET(总账科目,,8))</f>
        <v>0</v>
      </c>
      <c r="H10" s="97">
        <f ca="1">SUMIF(总账科目,"=2203",OFFSET(总账科目,,3))</f>
        <v>0</v>
      </c>
    </row>
    <row r="11" spans="1:21" ht="21.75" customHeight="1" thickBot="1">
      <c r="A11" s="95" t="s">
        <v>265</v>
      </c>
      <c r="B11" s="96">
        <v>7</v>
      </c>
      <c r="C11" s="97">
        <f ca="1">SUMIF(总账科目,"=1132",OFFSET(总账科目,,8))</f>
        <v>0</v>
      </c>
      <c r="D11" s="98">
        <f ca="1">SUMIF(总账科目,"=1132",OFFSET(总账科目,,3))</f>
        <v>0</v>
      </c>
      <c r="E11" s="99" t="s">
        <v>93</v>
      </c>
      <c r="F11" s="84">
        <v>42</v>
      </c>
      <c r="G11" s="97">
        <f ca="1">SUMIF(总账科目,"=2211",OFFSET(总账科目,,8))</f>
        <v>-115201.39</v>
      </c>
      <c r="H11" s="97">
        <f ca="1">SUMIF(总账科目,"=2211",OFFSET(总账科目,,3))</f>
        <v>-115201.39</v>
      </c>
    </row>
    <row r="12" spans="1:21" ht="21.75" customHeight="1" thickBot="1">
      <c r="A12" s="95" t="s">
        <v>266</v>
      </c>
      <c r="B12" s="96">
        <v>8</v>
      </c>
      <c r="C12" s="97">
        <f ca="1">SUMIF(总账科目,"=1131",OFFSET(总账科目,,8))</f>
        <v>0</v>
      </c>
      <c r="D12" s="98">
        <f ca="1">SUMIF(总账科目,"=1131",OFFSET(总账科目,,3))</f>
        <v>0</v>
      </c>
      <c r="E12" s="99" t="s">
        <v>94</v>
      </c>
      <c r="F12" s="84">
        <v>43</v>
      </c>
      <c r="G12" s="97">
        <f ca="1">SUMIF(总账科目,"=2221",OFFSET(总账科目,,8))</f>
        <v>-13933.85</v>
      </c>
      <c r="H12" s="97">
        <f ca="1">SUMIF(总账科目,"=2221",OFFSET(总账科目,,3))</f>
        <v>-13933.85</v>
      </c>
    </row>
    <row r="13" spans="1:21" ht="21.75" customHeight="1" thickBot="1">
      <c r="A13" s="95" t="s">
        <v>95</v>
      </c>
      <c r="B13" s="96">
        <v>9</v>
      </c>
      <c r="C13" s="97">
        <f ca="1">SUMIF(总账科目,"=1221",OFFSET(总账科目,,8))</f>
        <v>441016.82</v>
      </c>
      <c r="D13" s="98">
        <f ca="1">SUMIF(总账科目,"=1221",OFFSET(总账科目,,3))</f>
        <v>439512.5</v>
      </c>
      <c r="E13" s="99" t="s">
        <v>96</v>
      </c>
      <c r="F13" s="84">
        <v>44</v>
      </c>
      <c r="G13" s="97">
        <f ca="1">SUMIF(总账科目,"=2231",OFFSET(总账科目,,8))</f>
        <v>0</v>
      </c>
      <c r="H13" s="97">
        <f ca="1">SUMIF(总账科目,"=2231",OFFSET(总账科目,,3))</f>
        <v>0</v>
      </c>
      <c r="I13" s="143"/>
    </row>
    <row r="14" spans="1:21" ht="21.75" customHeight="1" thickBot="1">
      <c r="A14" s="95" t="s">
        <v>97</v>
      </c>
      <c r="B14" s="96">
        <v>10</v>
      </c>
      <c r="C14" s="97">
        <f ca="1">SUMIF(总账科目,"=1403",OFFSET(总账科目,,8))+SUMIF(总账科目,"=1411",OFFSET(总账科目,,8))</f>
        <v>401861.03</v>
      </c>
      <c r="D14" s="98">
        <f ca="1">SUMIF(总账科目,"=1403",OFFSET(总账科目,,3))+SUMIF(总账科目,"=1411",OFFSET(总账科目,,3))</f>
        <v>401861.03</v>
      </c>
      <c r="E14" s="99" t="s">
        <v>98</v>
      </c>
      <c r="F14" s="84">
        <v>45</v>
      </c>
      <c r="G14" s="97">
        <f ca="1">SUMIF(总账科目,"=2232",OFFSET(总账科目,,8))</f>
        <v>0</v>
      </c>
      <c r="H14" s="97">
        <f ca="1">SUMIF(总账科目,"=2232",OFFSET(总账科目,,3))</f>
        <v>0</v>
      </c>
      <c r="I14" s="143"/>
    </row>
    <row r="15" spans="1:21" ht="21.75" customHeight="1" thickBot="1">
      <c r="A15" s="95"/>
      <c r="B15" s="96">
        <v>11</v>
      </c>
      <c r="C15" s="97"/>
      <c r="D15" s="98"/>
      <c r="E15" s="99" t="s">
        <v>99</v>
      </c>
      <c r="F15" s="84">
        <v>46</v>
      </c>
      <c r="G15" s="97">
        <f ca="1">SUMIF(总账科目,"=2241",OFFSET(总账科目,,8))</f>
        <v>1467623.99</v>
      </c>
      <c r="H15" s="97">
        <f ca="1">SUMIF(总账科目,"=2241",OFFSET(总账科目,,3))</f>
        <v>1467623.99</v>
      </c>
      <c r="I15" s="143"/>
    </row>
    <row r="16" spans="1:21" ht="39" customHeight="1" thickBot="1">
      <c r="A16" s="95" t="s">
        <v>275</v>
      </c>
      <c r="B16" s="96">
        <v>12</v>
      </c>
      <c r="C16" s="97"/>
      <c r="D16" s="98"/>
      <c r="E16" s="99" t="s">
        <v>276</v>
      </c>
      <c r="F16" s="84">
        <v>47</v>
      </c>
      <c r="G16" s="97"/>
      <c r="H16" s="97"/>
    </row>
    <row r="17" spans="1:8" ht="21.75" customHeight="1" thickBot="1">
      <c r="A17" s="95" t="s">
        <v>100</v>
      </c>
      <c r="B17" s="96">
        <v>13</v>
      </c>
      <c r="C17" s="97">
        <f ca="1">SUMIF(总账科目,"=1321",OFFSET(总账科目,,8))</f>
        <v>0</v>
      </c>
      <c r="D17" s="98">
        <f ca="1">SUMIF(总账科目,"=1321",OFFSET(总账科目,,3))</f>
        <v>0</v>
      </c>
      <c r="E17" s="99" t="s">
        <v>101</v>
      </c>
      <c r="F17" s="84">
        <v>48</v>
      </c>
      <c r="G17" s="97">
        <f ca="1">SUMIF(总账科目,"=2314",OFFSET(总账科目,,8))</f>
        <v>0</v>
      </c>
      <c r="H17" s="97">
        <f ca="1">SUMIF(总账科目,"=2314",OFFSET(总账科目,,3))</f>
        <v>0</v>
      </c>
    </row>
    <row r="18" spans="1:8" ht="21.75" customHeight="1" thickBot="1">
      <c r="A18" s="101" t="s">
        <v>102</v>
      </c>
      <c r="B18" s="96">
        <v>14</v>
      </c>
      <c r="C18" s="102">
        <f ca="1">SUM(C6:C17)</f>
        <v>8607986.6400000006</v>
      </c>
      <c r="D18" s="103">
        <f ca="1">SUM(D6:D17)</f>
        <v>8612781.9000000004</v>
      </c>
      <c r="E18" s="104" t="s">
        <v>103</v>
      </c>
      <c r="F18" s="84">
        <v>49</v>
      </c>
      <c r="G18" s="105">
        <f ca="1">SUM(G5:G17)</f>
        <v>7379508.3700000001</v>
      </c>
      <c r="H18" s="105">
        <f ca="1">SUM(H5:H17)</f>
        <v>7379508.3700000001</v>
      </c>
    </row>
    <row r="19" spans="1:8" ht="21.75" customHeight="1" thickBot="1">
      <c r="A19" s="100" t="s">
        <v>104</v>
      </c>
      <c r="B19" s="96">
        <v>15</v>
      </c>
      <c r="C19" s="97"/>
      <c r="D19" s="98"/>
      <c r="E19" s="106" t="s">
        <v>105</v>
      </c>
      <c r="F19" s="84">
        <v>50</v>
      </c>
      <c r="G19" s="97"/>
      <c r="H19" s="97"/>
    </row>
    <row r="20" spans="1:8" ht="21.75" customHeight="1" thickBot="1">
      <c r="A20" s="95" t="s">
        <v>106</v>
      </c>
      <c r="B20" s="96">
        <v>16</v>
      </c>
      <c r="C20" s="97">
        <f ca="1">SUMIF(总账科目,"=1523",OFFSET(总账科目,,8))</f>
        <v>0</v>
      </c>
      <c r="D20" s="98">
        <f ca="1">SUMIF(总账科目,"=1523",OFFSET(总账科目,,3))</f>
        <v>0</v>
      </c>
      <c r="E20" s="99" t="s">
        <v>107</v>
      </c>
      <c r="F20" s="84">
        <v>51</v>
      </c>
      <c r="G20" s="97">
        <f ca="1">SUMIF(总账科目,"=2501",OFFSET(总账科目,,8))</f>
        <v>0</v>
      </c>
      <c r="H20" s="97">
        <f ca="1">SUMIF(总账科目,"=2501",OFFSET(总账科目,,3))</f>
        <v>0</v>
      </c>
    </row>
    <row r="21" spans="1:8" ht="21.75" customHeight="1" thickBot="1">
      <c r="A21" s="95" t="s">
        <v>108</v>
      </c>
      <c r="B21" s="96">
        <v>17</v>
      </c>
      <c r="C21" s="97">
        <f ca="1">SUMIF(总账科目,"=1501",OFFSET(总账科目,,8))</f>
        <v>0</v>
      </c>
      <c r="D21" s="98">
        <f ca="1">SUMIF(总账科目,"=1501",OFFSET(总账科目,,3))</f>
        <v>0</v>
      </c>
      <c r="E21" s="99" t="s">
        <v>109</v>
      </c>
      <c r="F21" s="84">
        <v>52</v>
      </c>
      <c r="G21" s="97">
        <f ca="1">SUMIF(总账科目,"=2502",OFFSET(总账科目,,8))</f>
        <v>0</v>
      </c>
      <c r="H21" s="97">
        <f ca="1">SUMIF(总账科目,"=2502",OFFSET(总账科目,,3))</f>
        <v>0</v>
      </c>
    </row>
    <row r="22" spans="1:8" ht="21.75" customHeight="1" thickBot="1">
      <c r="A22" s="95" t="s">
        <v>277</v>
      </c>
      <c r="B22" s="96">
        <v>18</v>
      </c>
      <c r="C22" s="97">
        <f ca="1">SUMIF(总账科目,"=1531",OFFSET(总账科目,,8))</f>
        <v>0</v>
      </c>
      <c r="D22" s="98">
        <f ca="1">SUMIF(总账科目,"=1531",OFFSET(总账科目,,3))</f>
        <v>0</v>
      </c>
      <c r="E22" s="99" t="s">
        <v>111</v>
      </c>
      <c r="F22" s="84">
        <v>53</v>
      </c>
      <c r="G22" s="97">
        <f ca="1">SUMIF(总账科目,"=2701",OFFSET(总账科目,,8))</f>
        <v>0</v>
      </c>
      <c r="H22" s="97">
        <f ca="1">SUMIF(总账科目,"=2701",OFFSET(总账科目,,3))</f>
        <v>0</v>
      </c>
    </row>
    <row r="23" spans="1:8" ht="21.75" customHeight="1" thickBot="1">
      <c r="A23" s="95" t="s">
        <v>278</v>
      </c>
      <c r="B23" s="96">
        <v>19</v>
      </c>
      <c r="C23" s="97">
        <f ca="1">SUMIF(总账科目,"=1511",OFFSET(总账科目,,8))</f>
        <v>0</v>
      </c>
      <c r="D23" s="98">
        <f ca="1">SUMIF(总账科目,"=1511",OFFSET(总账科目,,3))</f>
        <v>0</v>
      </c>
      <c r="E23" s="99" t="s">
        <v>112</v>
      </c>
      <c r="F23" s="84">
        <v>54</v>
      </c>
      <c r="G23" s="97">
        <f ca="1">SUMIF(总账科目,"=2711",OFFSET(总账科目,,8))</f>
        <v>0</v>
      </c>
      <c r="H23" s="97">
        <f ca="1">SUMIF(总账科目,"=2711",OFFSET(总账科目,,3))</f>
        <v>0</v>
      </c>
    </row>
    <row r="24" spans="1:8" ht="21.75" customHeight="1" thickBot="1">
      <c r="A24" s="95" t="s">
        <v>110</v>
      </c>
      <c r="B24" s="96">
        <v>20</v>
      </c>
      <c r="C24" s="97">
        <f ca="1">SUMIF(总账科目,"=1521",OFFSET(总账科目,,8))</f>
        <v>0</v>
      </c>
      <c r="D24" s="98">
        <f ca="1">SUMIF(总账科目,"=1521",OFFSET(总账科目,,3))</f>
        <v>0</v>
      </c>
      <c r="E24" s="99" t="s">
        <v>113</v>
      </c>
      <c r="F24" s="84">
        <v>55</v>
      </c>
      <c r="G24" s="97">
        <f ca="1">SUMIF(总账科目,"=2801",OFFSET(总账科目,,8))</f>
        <v>0</v>
      </c>
      <c r="H24" s="97">
        <f ca="1">SUMIF(总账科目,"=2801",OFFSET(总账科目,,3))</f>
        <v>0</v>
      </c>
    </row>
    <row r="25" spans="1:8" ht="21.75" customHeight="1" thickBot="1">
      <c r="A25" s="95" t="s">
        <v>114</v>
      </c>
      <c r="B25" s="96">
        <v>21</v>
      </c>
      <c r="C25" s="97">
        <f ca="1">SUMIF(总账科目,"=1601",OFFSET(总账科目,,8))+SUMIF(总账科目,"=1602",OFFSET(总账科目,,8))</f>
        <v>903134.06</v>
      </c>
      <c r="D25" s="98">
        <f ca="1">SUMIF(总账科目,"=1601",OFFSET(总账科目,,3))+SUMIF(总账科目,"=1602",OFFSET(总账科目,,3))</f>
        <v>903134.06</v>
      </c>
      <c r="E25" s="99" t="s">
        <v>115</v>
      </c>
      <c r="F25" s="84">
        <v>56</v>
      </c>
      <c r="G25" s="97">
        <f ca="1">SUMIF(总账科目,"=2901",OFFSET(总账科目,,8))</f>
        <v>0</v>
      </c>
      <c r="H25" s="97">
        <f ca="1">SUMIF(总账科目,"=2901",OFFSET(总账科目,,3))</f>
        <v>0</v>
      </c>
    </row>
    <row r="26" spans="1:8" ht="21.75" customHeight="1" thickBot="1">
      <c r="A26" s="95" t="s">
        <v>116</v>
      </c>
      <c r="B26" s="96">
        <v>22</v>
      </c>
      <c r="C26" s="97">
        <f ca="1">SUMIF(总账科目,"=1604",OFFSET(总账科目,,8))</f>
        <v>1281</v>
      </c>
      <c r="D26" s="98">
        <f ca="1">SUMIF(总账科目,"=1604",OFFSET(总账科目,,3))</f>
        <v>1281</v>
      </c>
      <c r="E26" s="99" t="s">
        <v>117</v>
      </c>
      <c r="F26" s="84">
        <v>57</v>
      </c>
      <c r="G26" s="97"/>
      <c r="H26" s="97"/>
    </row>
    <row r="27" spans="1:8" ht="21.75" customHeight="1" thickBot="1">
      <c r="A27" s="95" t="s">
        <v>118</v>
      </c>
      <c r="B27" s="96">
        <v>23</v>
      </c>
      <c r="C27" s="97">
        <f ca="1">SUMIF(总账科目,"=1605",OFFSET(总账科目,,8))</f>
        <v>0</v>
      </c>
      <c r="D27" s="98">
        <f ca="1">SUMIF(总账科目,"=1605",OFFSET(总账科目,,3))</f>
        <v>0</v>
      </c>
      <c r="E27" s="106" t="s">
        <v>119</v>
      </c>
      <c r="F27" s="84">
        <v>58</v>
      </c>
      <c r="G27" s="97">
        <f ca="1">SUM(G20:G26)</f>
        <v>0</v>
      </c>
      <c r="H27" s="97">
        <f ca="1">SUM(H20:H26)</f>
        <v>0</v>
      </c>
    </row>
    <row r="28" spans="1:8" ht="21.75" customHeight="1" thickBot="1">
      <c r="A28" s="95" t="s">
        <v>120</v>
      </c>
      <c r="B28" s="96">
        <v>24</v>
      </c>
      <c r="C28" s="97">
        <f ca="1">SUMIF(总账科目,"=1606",OFFSET(总账科目,,8))</f>
        <v>0</v>
      </c>
      <c r="D28" s="98">
        <f ca="1">SUMIF(总账科目,"=1606",OFFSET(总账科目,,3))</f>
        <v>0</v>
      </c>
      <c r="E28" s="104" t="s">
        <v>121</v>
      </c>
      <c r="F28" s="84">
        <v>59</v>
      </c>
      <c r="G28" s="102">
        <f ca="1">G18+G27</f>
        <v>7379508.3700000001</v>
      </c>
      <c r="H28" s="102">
        <f ca="1">H18+H27</f>
        <v>7379508.3700000001</v>
      </c>
    </row>
    <row r="29" spans="1:8" ht="32.25" customHeight="1" thickBot="1">
      <c r="A29" s="95" t="s">
        <v>122</v>
      </c>
      <c r="B29" s="96">
        <v>25</v>
      </c>
      <c r="C29" s="97">
        <f ca="1">SUMIF(总账科目,"=1701",OFFSET(总账科目,,8))</f>
        <v>5962276.25</v>
      </c>
      <c r="D29" s="98">
        <f ca="1">SUMIF(总账科目,"=1701",OFFSET(总账科目,,3))</f>
        <v>5962276.25</v>
      </c>
      <c r="E29" s="106" t="s">
        <v>284</v>
      </c>
      <c r="F29" s="84">
        <v>60</v>
      </c>
      <c r="G29" s="97"/>
      <c r="H29" s="97"/>
    </row>
    <row r="30" spans="1:8" ht="21.75" customHeight="1" thickBot="1">
      <c r="A30" s="95" t="s">
        <v>124</v>
      </c>
      <c r="B30" s="96">
        <v>26</v>
      </c>
      <c r="C30" s="97"/>
      <c r="D30" s="98"/>
      <c r="E30" s="109" t="s">
        <v>285</v>
      </c>
      <c r="F30" s="84">
        <v>61</v>
      </c>
      <c r="G30" s="97">
        <f ca="1">SUMIF(总账科目,"=4001",OFFSET(总账科目,,8))</f>
        <v>8000000</v>
      </c>
      <c r="H30" s="97">
        <f ca="1">SUMIF(总账科目,"=4001",OFFSET(总账科目,,3))</f>
        <v>8000000</v>
      </c>
    </row>
    <row r="31" spans="1:8" ht="21.75" customHeight="1" thickBot="1">
      <c r="A31" s="95" t="s">
        <v>125</v>
      </c>
      <c r="B31" s="96">
        <v>27</v>
      </c>
      <c r="C31" s="97">
        <f ca="1">SUMIF(总账科目,"=1711",OFFSET(总账科目,,8))</f>
        <v>0</v>
      </c>
      <c r="D31" s="98">
        <f ca="1">SUMIF(总账科目,"=1711",OFFSET(总账科目,,3))</f>
        <v>0</v>
      </c>
      <c r="E31" s="99" t="s">
        <v>123</v>
      </c>
      <c r="F31" s="84">
        <v>62</v>
      </c>
      <c r="G31" s="97">
        <f ca="1">SUMIF(总账科目,"=4002",OFFSET(总账科目,,8))</f>
        <v>0</v>
      </c>
      <c r="H31" s="97">
        <f ca="1">SUMIF(总账科目,"=4002",OFFSET(总账科目,,3))</f>
        <v>0</v>
      </c>
    </row>
    <row r="32" spans="1:8" ht="21.75" customHeight="1" thickBot="1">
      <c r="A32" s="95" t="s">
        <v>127</v>
      </c>
      <c r="B32" s="96">
        <v>28</v>
      </c>
      <c r="C32" s="97">
        <f ca="1">SUMIF(总账科目,"=1801",OFFSET(总账科目,,8))</f>
        <v>0</v>
      </c>
      <c r="D32" s="98">
        <f ca="1">SUMIF(总账科目,"=1801",OFFSET(总账科目,,3))</f>
        <v>0</v>
      </c>
      <c r="E32" s="99" t="s">
        <v>286</v>
      </c>
      <c r="F32" s="84">
        <v>63</v>
      </c>
      <c r="G32" s="97">
        <f ca="1">SUMIF(总账科目,"=4201",OFFSET(总账科目,,8))</f>
        <v>0</v>
      </c>
      <c r="H32" s="97">
        <f ca="1">SUMIF(总账科目,"=4201",OFFSET(总账科目,,3))</f>
        <v>0</v>
      </c>
    </row>
    <row r="33" spans="1:8" ht="21.75" customHeight="1" thickBot="1">
      <c r="A33" s="95" t="s">
        <v>129</v>
      </c>
      <c r="B33" s="96">
        <v>29</v>
      </c>
      <c r="C33" s="97">
        <f ca="1">SUMIF(总账科目,"=1811",OFFSET(总账科目,,8))</f>
        <v>0</v>
      </c>
      <c r="D33" s="98">
        <f ca="1">SUMIF(总账科目,"=1811",OFFSET(总账科目,,3))</f>
        <v>0</v>
      </c>
      <c r="E33" s="99" t="s">
        <v>126</v>
      </c>
      <c r="F33" s="84">
        <v>64</v>
      </c>
      <c r="G33" s="97">
        <f ca="1">SUMIF(总账科目,"=4101",OFFSET(总账科目,,8))</f>
        <v>39864.21</v>
      </c>
      <c r="H33" s="97">
        <f ca="1">SUMIF(总账科目,"=4101",OFFSET(总账科目,,3))</f>
        <v>39864.21</v>
      </c>
    </row>
    <row r="34" spans="1:8" ht="21.75" customHeight="1" thickBot="1">
      <c r="A34" s="95" t="s">
        <v>130</v>
      </c>
      <c r="B34" s="96">
        <v>30</v>
      </c>
      <c r="C34" s="107"/>
      <c r="D34" s="108"/>
      <c r="E34" s="99" t="s">
        <v>128</v>
      </c>
      <c r="F34" s="84">
        <v>65</v>
      </c>
      <c r="G34" s="107">
        <f ca="1">SUMIF(总账科目,"=4103",OFFSET(总账科目,,8))+SUMIF(总账科目,"=4104",OFFSET(总账科目,,8))</f>
        <v>55305.37</v>
      </c>
      <c r="H34" s="107">
        <f ca="1">SUMIF(总账科目,"=4103",OFFSET(总账科目,,3))+SUMIF(总账科目,"=4104",OFFSET(总账科目,,3))</f>
        <v>60100.63</v>
      </c>
    </row>
    <row r="35" spans="1:8" ht="32.25" customHeight="1" thickBot="1">
      <c r="A35" s="101" t="s">
        <v>131</v>
      </c>
      <c r="B35" s="96">
        <v>31</v>
      </c>
      <c r="C35" s="102">
        <f ca="1">SUM(C19:C34)</f>
        <v>6866691.3099999996</v>
      </c>
      <c r="D35" s="103">
        <f ca="1">SUM(D19:D34)</f>
        <v>6866691.3099999996</v>
      </c>
      <c r="E35" s="101" t="s">
        <v>283</v>
      </c>
      <c r="F35" s="84">
        <v>66</v>
      </c>
      <c r="G35" s="110">
        <f ca="1">SUM(G30:G34)-G32</f>
        <v>8095169.5800000001</v>
      </c>
      <c r="H35" s="110">
        <f ca="1">SUM(H30:H34)-H32</f>
        <v>8099964.8399999999</v>
      </c>
    </row>
    <row r="36" spans="1:8" ht="32.25" customHeight="1" thickBot="1">
      <c r="A36" s="101" t="s">
        <v>132</v>
      </c>
      <c r="B36" s="96">
        <v>32</v>
      </c>
      <c r="C36" s="111">
        <f ca="1">C18+C35</f>
        <v>15474677.949999999</v>
      </c>
      <c r="D36" s="112">
        <f ca="1">D18+D35</f>
        <v>15479473.210000001</v>
      </c>
      <c r="E36" s="113" t="s">
        <v>282</v>
      </c>
      <c r="F36" s="84">
        <v>67</v>
      </c>
      <c r="G36" s="111">
        <f ca="1">G28+G35</f>
        <v>15474677.949999999</v>
      </c>
      <c r="H36" s="111">
        <f ca="1">H28+H35</f>
        <v>15479473.210000001</v>
      </c>
    </row>
    <row r="38" spans="1:8">
      <c r="C38" s="143"/>
      <c r="G38" s="143"/>
    </row>
    <row r="46" spans="1:8" ht="13.5" customHeight="1"/>
    <row r="47" spans="1:8" hidden="1">
      <c r="A47" s="114" t="e">
        <v>#REF!</v>
      </c>
    </row>
  </sheetData>
  <phoneticPr fontId="2" type="noConversion"/>
  <conditionalFormatting sqref="G3">
    <cfRule type="cellIs" dxfId="0" priority="1" stopIfTrue="1" operator="equal">
      <formula>"资产负债表不平衡！"</formula>
    </cfRule>
  </conditionalFormatting>
  <dataValidations count="5">
    <dataValidation allowBlank="1" showInputMessage="1" showErrorMessage="1" promptTitle="友情提示:" prompt="报表平衡校验公式" sqref="G3"/>
    <dataValidation allowBlank="1" showInputMessage="1" showErrorMessage="1" prompt="请选择查询的所属月份" sqref="L1"/>
    <dataValidation allowBlank="1" showInputMessage="1" showErrorMessage="1" prompt="请选择查询的所属年度" sqref="J1"/>
    <dataValidation allowBlank="1" showInputMessage="1" showErrorMessage="1" prompt="请选择计提折旧的所属年度" sqref="J2"/>
    <dataValidation allowBlank="1" showInputMessage="1" showErrorMessage="1" prompt="请选择计提折旧的所属月份" sqref="L2"/>
  </dataValidations>
  <printOptions horizontalCentered="1" verticalCentered="1"/>
  <pageMargins left="0.35433070866141736" right="0.31496062992125984" top="0" bottom="0" header="0" footer="0"/>
  <pageSetup paperSize="9" scale="80" orientation="portrait" r:id="rId1"/>
  <headerFooter alignWithMargins="0"/>
  <ignoredErrors>
    <ignoredError sqref="A3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微调框 1">
              <controlPr defaultSize="0" autoPict="0">
                <anchor moveWithCells="1" sizeWithCells="1">
                  <from>
                    <xdr:col>10</xdr:col>
                    <xdr:colOff>9525</xdr:colOff>
                    <xdr:row>0</xdr:row>
                    <xdr:rowOff>9525</xdr:rowOff>
                  </from>
                  <to>
                    <xdr:col>10</xdr:col>
                    <xdr:colOff>190500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微调框 2">
              <controlPr defaultSize="0" autoPict="0">
                <anchor moveWithCells="1" sizeWithCells="1">
                  <from>
                    <xdr:col>12</xdr:col>
                    <xdr:colOff>9525</xdr:colOff>
                    <xdr:row>0</xdr:row>
                    <xdr:rowOff>9525</xdr:rowOff>
                  </from>
                  <to>
                    <xdr:col>12</xdr:col>
                    <xdr:colOff>190500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pane ySplit="4" topLeftCell="A5" activePane="bottomLeft" state="frozen"/>
      <selection pane="bottomLeft" activeCell="E21" sqref="E21"/>
    </sheetView>
  </sheetViews>
  <sheetFormatPr defaultRowHeight="14.25"/>
  <cols>
    <col min="1" max="1" width="38" style="81" customWidth="1"/>
    <col min="2" max="2" width="6.125" style="81" customWidth="1"/>
    <col min="3" max="5" width="18.875" style="81" customWidth="1"/>
    <col min="6" max="6" width="16.125" style="81" bestFit="1" customWidth="1"/>
    <col min="7" max="16384" width="9" style="81"/>
  </cols>
  <sheetData>
    <row r="1" spans="1:6" ht="31.5">
      <c r="A1" s="115" t="s">
        <v>133</v>
      </c>
      <c r="B1" s="115"/>
      <c r="C1" s="115"/>
      <c r="D1" s="115"/>
      <c r="E1" s="115"/>
      <c r="F1" s="87" t="str">
        <f>HYPERLINK("#目录!C3","返回")</f>
        <v>返回</v>
      </c>
    </row>
    <row r="2" spans="1:6" ht="25.5" customHeight="1">
      <c r="A2" s="117"/>
      <c r="B2" s="117"/>
      <c r="C2" s="117"/>
      <c r="D2" s="116" t="s">
        <v>134</v>
      </c>
      <c r="E2" s="116" t="s">
        <v>134</v>
      </c>
      <c r="F2" s="116"/>
    </row>
    <row r="3" spans="1:6" ht="25.5" customHeight="1" thickBot="1">
      <c r="A3" s="118" t="str">
        <f>"编制单位:"&amp;Co</f>
        <v>编制单位:远大开发有限公司</v>
      </c>
      <c r="B3" s="119"/>
      <c r="C3" s="120">
        <f>资产负债表!$E3</f>
        <v>41639</v>
      </c>
      <c r="D3" s="121" t="s">
        <v>135</v>
      </c>
      <c r="E3" s="121" t="s">
        <v>135</v>
      </c>
    </row>
    <row r="4" spans="1:6" ht="25.5" customHeight="1" thickBot="1">
      <c r="A4" s="122" t="s">
        <v>136</v>
      </c>
      <c r="B4" s="123" t="s">
        <v>137</v>
      </c>
      <c r="C4" s="123" t="s">
        <v>138</v>
      </c>
      <c r="D4" s="123" t="s">
        <v>304</v>
      </c>
      <c r="E4" s="123" t="s">
        <v>139</v>
      </c>
    </row>
    <row r="5" spans="1:6" ht="25.5" customHeight="1" thickBot="1">
      <c r="A5" s="287" t="s">
        <v>833</v>
      </c>
      <c r="B5" s="288">
        <v>1</v>
      </c>
      <c r="C5" s="289">
        <f ca="1">SUMIF(总账科目,{"=6001"},OFFSET(总账科目,,5))</f>
        <v>0</v>
      </c>
      <c r="D5" s="290">
        <f ca="1">SUMIF(总账科目,{"=6001"},OFFSET(总账科目,,7))</f>
        <v>0</v>
      </c>
      <c r="E5" s="290"/>
      <c r="F5" s="161"/>
    </row>
    <row r="6" spans="1:6" ht="25.5" customHeight="1" thickBot="1">
      <c r="A6" s="287" t="s">
        <v>849</v>
      </c>
      <c r="B6" s="288">
        <v>2</v>
      </c>
      <c r="C6" s="289">
        <f ca="1">SUMIF(总账科目,{"=6401"},OFFSET(总账科目,,5))</f>
        <v>0</v>
      </c>
      <c r="D6" s="289">
        <f ca="1">SUMIF(总账科目,{"=6401"},OFFSET(总账科目,,7))</f>
        <v>0</v>
      </c>
      <c r="E6" s="289"/>
    </row>
    <row r="7" spans="1:6" ht="25.5" customHeight="1" thickBot="1">
      <c r="A7" s="291" t="s">
        <v>850</v>
      </c>
      <c r="B7" s="288">
        <v>3</v>
      </c>
      <c r="C7" s="289">
        <f ca="1">SUMIF(总账科目,{"=6403"},OFFSET(总账科目,,5))</f>
        <v>0</v>
      </c>
      <c r="D7" s="289">
        <f ca="1">SUMIF(总账科目,{"=6403"},OFFSET(总账科目,,7))</f>
        <v>817</v>
      </c>
      <c r="E7" s="289"/>
    </row>
    <row r="8" spans="1:6" ht="25.5" customHeight="1" thickBot="1">
      <c r="A8" s="291" t="s">
        <v>851</v>
      </c>
      <c r="B8" s="288">
        <v>4</v>
      </c>
      <c r="C8" s="289">
        <f ca="1">SUMIF(总账科目,{"=6601"},OFFSET(总账科目,,5))</f>
        <v>0</v>
      </c>
      <c r="D8" s="289">
        <f ca="1">SUMIF(总账科目,{"=6601"},OFFSET(总账科目,,7))</f>
        <v>0</v>
      </c>
      <c r="E8" s="289"/>
    </row>
    <row r="9" spans="1:6" ht="25.5" customHeight="1" thickBot="1">
      <c r="A9" s="291" t="s">
        <v>852</v>
      </c>
      <c r="B9" s="288">
        <v>5</v>
      </c>
      <c r="C9" s="289">
        <f ca="1">SUMIF(总账科目,{"=6602"},OFFSET(总账科目,,5))</f>
        <v>0</v>
      </c>
      <c r="D9" s="289">
        <f ca="1">SUMIF(总账科目,{"=6602"},OFFSET(总账科目,,7))</f>
        <v>3601.82</v>
      </c>
      <c r="E9" s="289"/>
    </row>
    <row r="10" spans="1:6" ht="25.5" customHeight="1" thickBot="1">
      <c r="A10" s="291" t="s">
        <v>834</v>
      </c>
      <c r="B10" s="288">
        <v>6</v>
      </c>
      <c r="C10" s="289">
        <f ca="1">SUMIF(总账科目,{"=6603"},OFFSET(总账科目,,5))</f>
        <v>0</v>
      </c>
      <c r="D10" s="289">
        <f ca="1">SUMIF(总账科目,{"=6603"},OFFSET(总账科目,,7))</f>
        <v>376.28</v>
      </c>
      <c r="E10" s="289"/>
    </row>
    <row r="11" spans="1:6" ht="25.5" customHeight="1" thickBot="1">
      <c r="A11" s="291" t="s">
        <v>835</v>
      </c>
      <c r="B11" s="288">
        <v>7</v>
      </c>
      <c r="C11" s="289">
        <f ca="1">SUMIF(总账科目,{"=6701"},OFFSET(总账科目,,5))</f>
        <v>0</v>
      </c>
      <c r="D11" s="289">
        <f ca="1">SUMIF(总账科目,{"=6701"},OFFSET(总账科目,,7))</f>
        <v>0</v>
      </c>
      <c r="E11" s="289"/>
    </row>
    <row r="12" spans="1:6" ht="34.5" customHeight="1" thickBot="1">
      <c r="A12" s="292" t="s">
        <v>836</v>
      </c>
      <c r="B12" s="288">
        <v>8</v>
      </c>
      <c r="C12" s="289">
        <f ca="1">SUMIF(总账科目,{"=6101"},OFFSET(总账科目,,5))</f>
        <v>0</v>
      </c>
      <c r="D12" s="289">
        <f ca="1">SUMIF(总账科目,{"=6101"},OFFSET(总账科目,,7))</f>
        <v>0</v>
      </c>
      <c r="E12" s="289"/>
    </row>
    <row r="13" spans="1:6" ht="25.5" customHeight="1" thickBot="1">
      <c r="A13" s="293" t="s">
        <v>837</v>
      </c>
      <c r="B13" s="288">
        <v>9</v>
      </c>
      <c r="C13" s="289">
        <f ca="1">SUMIF(总账科目,{"=6111"},OFFSET(总账科目,,5))</f>
        <v>0</v>
      </c>
      <c r="D13" s="289">
        <f ca="1">SUMIF(总账科目,{"=6111"},OFFSET(总账科目,,7))</f>
        <v>0</v>
      </c>
      <c r="E13" s="289"/>
    </row>
    <row r="14" spans="1:6" ht="25.5" customHeight="1" thickBot="1">
      <c r="A14" s="294" t="s">
        <v>838</v>
      </c>
      <c r="B14" s="288">
        <v>10</v>
      </c>
      <c r="C14" s="295"/>
      <c r="D14" s="295"/>
      <c r="E14" s="295"/>
    </row>
    <row r="15" spans="1:6" ht="25.5" customHeight="1" thickBot="1">
      <c r="A15" s="296" t="s">
        <v>839</v>
      </c>
      <c r="B15" s="297">
        <v>11</v>
      </c>
      <c r="C15" s="298">
        <f ca="1">C5-C6-C7-C8-C9-C10-C11+C12+C13</f>
        <v>0</v>
      </c>
      <c r="D15" s="298">
        <f ca="1">D5-D6-D7-D8-D9-D10-D11+D12+D13</f>
        <v>-4795.1000000000004</v>
      </c>
      <c r="E15" s="298"/>
    </row>
    <row r="16" spans="1:6" ht="25.5" customHeight="1" thickBot="1">
      <c r="A16" s="299" t="s">
        <v>840</v>
      </c>
      <c r="B16" s="297">
        <v>12</v>
      </c>
      <c r="C16" s="289">
        <f ca="1">SUMIF(总账科目,{"=6301"},OFFSET(总账科目,,5))</f>
        <v>0</v>
      </c>
      <c r="D16" s="289">
        <f ca="1">SUMIF(总账科目,{"=6301"},OFFSET(总账科目,,7))</f>
        <v>0</v>
      </c>
      <c r="E16" s="289"/>
    </row>
    <row r="17" spans="1:6" ht="25.5" customHeight="1" thickBot="1">
      <c r="A17" s="299" t="s">
        <v>841</v>
      </c>
      <c r="B17" s="297">
        <v>13</v>
      </c>
      <c r="C17" s="289">
        <f ca="1">SUMIF(总账科目,{"=6711"},OFFSET(总账科目,,5))</f>
        <v>0</v>
      </c>
      <c r="D17" s="289">
        <f ca="1">SUMIF(总账科目,{"=6711"},OFFSET(总账科目,,7))</f>
        <v>0.16</v>
      </c>
      <c r="E17" s="289"/>
    </row>
    <row r="18" spans="1:6" ht="34.5" customHeight="1" thickBot="1">
      <c r="A18" s="300" t="s">
        <v>842</v>
      </c>
      <c r="B18" s="297">
        <v>14</v>
      </c>
      <c r="C18" s="298"/>
      <c r="D18" s="301"/>
      <c r="E18" s="301"/>
    </row>
    <row r="19" spans="1:6" ht="25.5" customHeight="1" thickBot="1">
      <c r="A19" s="299" t="s">
        <v>843</v>
      </c>
      <c r="B19" s="297">
        <v>15</v>
      </c>
      <c r="C19" s="302">
        <f ca="1">C15+C16-C17</f>
        <v>0</v>
      </c>
      <c r="D19" s="302">
        <f ca="1">D15+D16-D17</f>
        <v>-4795.26</v>
      </c>
      <c r="E19" s="302"/>
      <c r="F19" s="161"/>
    </row>
    <row r="20" spans="1:6" ht="25.5" customHeight="1" thickBot="1">
      <c r="A20" s="299" t="s">
        <v>844</v>
      </c>
      <c r="B20" s="297">
        <v>16</v>
      </c>
      <c r="C20" s="289">
        <f ca="1">SUMIF(总账科目,{"=6801"},OFFSET(总账科目,,5))</f>
        <v>0</v>
      </c>
      <c r="D20" s="289">
        <f ca="1">SUMIF(总账科目,{"=6801"},OFFSET(总账科目,,7))</f>
        <v>0</v>
      </c>
      <c r="E20" s="289"/>
    </row>
    <row r="21" spans="1:6" ht="25.5" customHeight="1" thickBot="1">
      <c r="A21" s="299" t="s">
        <v>845</v>
      </c>
      <c r="B21" s="297">
        <v>17</v>
      </c>
      <c r="C21" s="303">
        <f ca="1">C19-C20</f>
        <v>0</v>
      </c>
      <c r="D21" s="303">
        <f ca="1">D19-D20</f>
        <v>-4795.26</v>
      </c>
      <c r="E21" s="303"/>
    </row>
    <row r="22" spans="1:6" ht="25.5" customHeight="1" thickBot="1">
      <c r="A22" s="299" t="s">
        <v>846</v>
      </c>
      <c r="B22" s="297">
        <v>18</v>
      </c>
      <c r="C22" s="304"/>
      <c r="D22" s="304"/>
      <c r="E22" s="304"/>
    </row>
    <row r="23" spans="1:6" ht="25.5" customHeight="1" thickBot="1">
      <c r="A23" s="299" t="s">
        <v>140</v>
      </c>
      <c r="B23" s="297">
        <v>19</v>
      </c>
      <c r="C23" s="305" t="s">
        <v>141</v>
      </c>
      <c r="D23" s="305" t="s">
        <v>141</v>
      </c>
      <c r="E23" s="305" t="s">
        <v>141</v>
      </c>
    </row>
    <row r="24" spans="1:6" ht="25.5" customHeight="1" thickBot="1">
      <c r="A24" s="299" t="s">
        <v>142</v>
      </c>
      <c r="B24" s="297">
        <v>20</v>
      </c>
      <c r="C24" s="305" t="s">
        <v>141</v>
      </c>
      <c r="D24" s="305" t="s">
        <v>141</v>
      </c>
      <c r="E24" s="305" t="s">
        <v>141</v>
      </c>
    </row>
    <row r="25" spans="1:6" ht="19.5" thickBot="1">
      <c r="A25" s="299" t="s">
        <v>847</v>
      </c>
      <c r="B25" s="297">
        <v>21</v>
      </c>
      <c r="C25" s="304"/>
      <c r="D25" s="304"/>
      <c r="E25" s="304"/>
    </row>
    <row r="26" spans="1:6" ht="19.5" thickBot="1">
      <c r="A26" s="299" t="s">
        <v>848</v>
      </c>
      <c r="B26" s="297">
        <v>22</v>
      </c>
      <c r="C26" s="306">
        <f ca="1">C21</f>
        <v>0</v>
      </c>
      <c r="D26" s="306">
        <f ca="1">D21</f>
        <v>-4795.26</v>
      </c>
      <c r="E26" s="306">
        <f>E21</f>
        <v>0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3" unlocked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200"/>
  <sheetViews>
    <sheetView showZeros="0" zoomScaleNormal="100" zoomScaleSheetLayoutView="100" workbookViewId="0">
      <pane ySplit="4" topLeftCell="A47" activePane="bottomLeft" state="frozen"/>
      <selection activeCell="A2293" sqref="A2293:XFD2304"/>
      <selection pane="bottomLeft" activeCell="AC62" sqref="AC62"/>
    </sheetView>
  </sheetViews>
  <sheetFormatPr defaultColWidth="9" defaultRowHeight="14.25"/>
  <cols>
    <col min="1" max="1" width="14.5" style="200" customWidth="1"/>
    <col min="2" max="2" width="0" style="200" hidden="1" customWidth="1"/>
    <col min="3" max="3" width="15.875" style="201" customWidth="1"/>
    <col min="4" max="4" width="18.375" style="201" customWidth="1"/>
    <col min="5" max="6" width="0" style="200" hidden="1" customWidth="1"/>
    <col min="7" max="7" width="1.875" style="45" customWidth="1"/>
    <col min="8" max="28" width="1.875" customWidth="1"/>
    <col min="29" max="29" width="2.5" customWidth="1"/>
    <col min="30" max="33" width="8.625" customWidth="1"/>
  </cols>
  <sheetData>
    <row r="1" spans="1:33" ht="39.75" customHeight="1" thickBot="1">
      <c r="A1" s="226"/>
      <c r="B1" s="226"/>
      <c r="C1" s="227" t="s">
        <v>577</v>
      </c>
      <c r="D1" s="228"/>
      <c r="E1" s="226"/>
      <c r="F1" s="226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9" t="s">
        <v>579</v>
      </c>
      <c r="S1" s="230"/>
      <c r="T1" s="230"/>
      <c r="U1" s="231">
        <f ca="1">DATE(AD$1,AF$1,INDEX(凭证录入!B:B,AD5))</f>
        <v>41282</v>
      </c>
      <c r="V1" s="232"/>
      <c r="W1" s="232"/>
      <c r="X1" s="232"/>
      <c r="Y1" s="232"/>
      <c r="Z1" s="232"/>
      <c r="AA1" s="232"/>
      <c r="AB1" s="232"/>
      <c r="AD1" s="233">
        <v>2013</v>
      </c>
      <c r="AE1" s="234" t="s">
        <v>580</v>
      </c>
      <c r="AF1" s="224">
        <v>1</v>
      </c>
      <c r="AG1" s="234" t="s">
        <v>581</v>
      </c>
    </row>
    <row r="2" spans="1:33" s="45" customFormat="1" ht="23.25" customHeight="1" thickTop="1">
      <c r="A2" s="235" t="s">
        <v>583</v>
      </c>
      <c r="B2" s="235"/>
      <c r="C2" s="236" t="str">
        <f>Co</f>
        <v>远大开发有限公司</v>
      </c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29" t="s">
        <v>584</v>
      </c>
      <c r="S2" s="229"/>
      <c r="T2" s="229"/>
      <c r="U2" s="237" t="str">
        <f>"第 "&amp;TEXT($AF$1,"00")&amp;TEXT($AC2,"0000 号")</f>
        <v>第 010001 号</v>
      </c>
      <c r="V2" s="237"/>
      <c r="W2" s="238"/>
      <c r="X2" s="238"/>
      <c r="Y2" s="238"/>
      <c r="Z2" s="238"/>
      <c r="AA2" s="238"/>
      <c r="AB2" s="238"/>
      <c r="AC2" s="239">
        <v>1</v>
      </c>
      <c r="AD2" s="240" t="str">
        <f ca="1">"今天是:"&amp;TEXT(TODAY(),"e年m月d日")&amp;"【"&amp;TEXT(TODAY(),"[$-804]aaaa;@")&amp;"】"</f>
        <v>今天是:2014年9月18日【星期四】</v>
      </c>
    </row>
    <row r="3" spans="1:33" s="45" customFormat="1" ht="22.5" customHeight="1">
      <c r="A3" s="241" t="s">
        <v>586</v>
      </c>
      <c r="B3" s="542" t="s">
        <v>587</v>
      </c>
      <c r="C3" s="242" t="s">
        <v>589</v>
      </c>
      <c r="D3" s="243" t="s">
        <v>591</v>
      </c>
      <c r="E3" s="539" t="s">
        <v>593</v>
      </c>
      <c r="F3" s="539" t="s">
        <v>595</v>
      </c>
      <c r="G3" s="244" t="s">
        <v>597</v>
      </c>
      <c r="H3" s="245"/>
      <c r="I3" s="245"/>
      <c r="J3" s="245"/>
      <c r="K3" s="245"/>
      <c r="L3" s="245"/>
      <c r="M3" s="245"/>
      <c r="N3" s="245"/>
      <c r="O3" s="245"/>
      <c r="P3" s="245"/>
      <c r="Q3" s="246"/>
      <c r="R3" s="247" t="s">
        <v>599</v>
      </c>
      <c r="S3" s="245"/>
      <c r="T3" s="245"/>
      <c r="U3" s="245"/>
      <c r="V3" s="245"/>
      <c r="W3" s="245"/>
      <c r="X3" s="245"/>
      <c r="Y3" s="245"/>
      <c r="Z3" s="245"/>
      <c r="AA3" s="245"/>
      <c r="AB3" s="246"/>
      <c r="AC3" s="541" t="str">
        <f ca="1">"附单据数︵"&amp;INDEX(凭证录入!$D:$D,$AD5)&amp;"︶张"</f>
        <v>附单据数︵1︶张</v>
      </c>
      <c r="AD3" s="235"/>
    </row>
    <row r="4" spans="1:33" s="45" customFormat="1" ht="22.5" customHeight="1">
      <c r="A4" s="248" t="s">
        <v>601</v>
      </c>
      <c r="B4" s="543"/>
      <c r="C4" s="249" t="s">
        <v>603</v>
      </c>
      <c r="D4" s="250" t="s">
        <v>603</v>
      </c>
      <c r="E4" s="540"/>
      <c r="F4" s="540"/>
      <c r="G4" s="251" t="s">
        <v>605</v>
      </c>
      <c r="H4" s="252" t="s">
        <v>607</v>
      </c>
      <c r="I4" s="253" t="s">
        <v>609</v>
      </c>
      <c r="J4" s="254" t="s">
        <v>611</v>
      </c>
      <c r="K4" s="252" t="s">
        <v>613</v>
      </c>
      <c r="L4" s="253" t="s">
        <v>614</v>
      </c>
      <c r="M4" s="254" t="s">
        <v>615</v>
      </c>
      <c r="N4" s="252" t="s">
        <v>611</v>
      </c>
      <c r="O4" s="253" t="s">
        <v>617</v>
      </c>
      <c r="P4" s="254" t="s">
        <v>619</v>
      </c>
      <c r="Q4" s="255" t="s">
        <v>621</v>
      </c>
      <c r="R4" s="256" t="s">
        <v>622</v>
      </c>
      <c r="S4" s="252" t="s">
        <v>614</v>
      </c>
      <c r="T4" s="257" t="s">
        <v>615</v>
      </c>
      <c r="U4" s="256" t="s">
        <v>611</v>
      </c>
      <c r="V4" s="252" t="s">
        <v>613</v>
      </c>
      <c r="W4" s="253" t="s">
        <v>614</v>
      </c>
      <c r="X4" s="254" t="s">
        <v>615</v>
      </c>
      <c r="Y4" s="252" t="s">
        <v>611</v>
      </c>
      <c r="Z4" s="253" t="s">
        <v>617</v>
      </c>
      <c r="AA4" s="254" t="s">
        <v>619</v>
      </c>
      <c r="AB4" s="255" t="s">
        <v>621</v>
      </c>
      <c r="AC4" s="541"/>
    </row>
    <row r="5" spans="1:33" s="45" customFormat="1" ht="22.5" customHeight="1">
      <c r="A5" s="258" t="str">
        <f ca="1">IFERROR(INDEX(凭证录入!H:H,$AD5),"")</f>
        <v>现金存行</v>
      </c>
      <c r="B5" s="259">
        <f ca="1">IFERROR(INDEX(凭证录入!I:I,$AD5),"")</f>
        <v>10020101</v>
      </c>
      <c r="C5" s="260" t="str">
        <f ca="1">IFERROR(VLOOKUP($B5,会计科目表!$A:$C,2,),"")</f>
        <v>银行存款</v>
      </c>
      <c r="D5" s="261" t="str">
        <f ca="1">IFERROR(VLOOKUP($B5,会计科目表!$A:$C,3,),"")</f>
        <v>农业银行_人民支行</v>
      </c>
      <c r="E5" s="262">
        <f ca="1">IFERROR(INDEX(凭证录入!K:K,$AD5),0)</f>
        <v>4000</v>
      </c>
      <c r="F5" s="262">
        <f ca="1">IFERROR(INDEX(凭证录入!L:L,$AD5),0)</f>
        <v>0</v>
      </c>
      <c r="G5" s="263" t="str">
        <f ca="1">LEFT(RIGHT(TEXT($E5/1%," ￥0; ￥-0;"),18-COLUMN()))</f>
        <v xml:space="preserve"> </v>
      </c>
      <c r="H5" s="264" t="str">
        <f ca="1">LEFT(RIGHT(TEXT($E5/1%," ￥0; ￥-0;"),18-COLUMN()))</f>
        <v xml:space="preserve"> </v>
      </c>
      <c r="I5" s="265" t="str">
        <f t="shared" ref="I5:Q11" ca="1" si="0">LEFT(RIGHT(TEXT($E5/1%," ￥0; ￥-0;"),18-COLUMN()))</f>
        <v xml:space="preserve"> </v>
      </c>
      <c r="J5" s="266" t="str">
        <f t="shared" ca="1" si="0"/>
        <v xml:space="preserve"> </v>
      </c>
      <c r="K5" s="264" t="str">
        <f t="shared" ca="1" si="0"/>
        <v>￥</v>
      </c>
      <c r="L5" s="265" t="str">
        <f t="shared" ca="1" si="0"/>
        <v>4</v>
      </c>
      <c r="M5" s="266" t="str">
        <f t="shared" ca="1" si="0"/>
        <v>0</v>
      </c>
      <c r="N5" s="264" t="str">
        <f t="shared" ca="1" si="0"/>
        <v>0</v>
      </c>
      <c r="O5" s="265" t="str">
        <f t="shared" ca="1" si="0"/>
        <v>0</v>
      </c>
      <c r="P5" s="266" t="str">
        <f t="shared" ca="1" si="0"/>
        <v>0</v>
      </c>
      <c r="Q5" s="267" t="str">
        <f t="shared" ca="1" si="0"/>
        <v>0</v>
      </c>
      <c r="R5" s="268" t="str">
        <f ca="1">LEFT(RIGHT(TEXT($F5/1%," ￥0; ￥-0;"),29-COLUMN()))</f>
        <v/>
      </c>
      <c r="S5" s="264" t="str">
        <f t="shared" ref="S5:AB11" ca="1" si="1">LEFT(RIGHT(TEXT($F5/1%," ￥0; ￥-0;"),29-COLUMN()))</f>
        <v/>
      </c>
      <c r="T5" s="269" t="str">
        <f t="shared" ca="1" si="1"/>
        <v/>
      </c>
      <c r="U5" s="268" t="str">
        <f t="shared" ca="1" si="1"/>
        <v/>
      </c>
      <c r="V5" s="264" t="str">
        <f t="shared" ca="1" si="1"/>
        <v/>
      </c>
      <c r="W5" s="265" t="str">
        <f t="shared" ca="1" si="1"/>
        <v/>
      </c>
      <c r="X5" s="266" t="str">
        <f t="shared" ca="1" si="1"/>
        <v/>
      </c>
      <c r="Y5" s="264" t="str">
        <f t="shared" ca="1" si="1"/>
        <v/>
      </c>
      <c r="Z5" s="265" t="str">
        <f t="shared" ca="1" si="1"/>
        <v/>
      </c>
      <c r="AA5" s="266" t="str">
        <f t="shared" ca="1" si="1"/>
        <v/>
      </c>
      <c r="AB5" s="267" t="str">
        <f t="shared" ca="1" si="1"/>
        <v/>
      </c>
      <c r="AC5" s="541"/>
      <c r="AD5" s="212">
        <f t="shared" ref="AD5:AD10" ca="1" si="2">IFERROR(INDEX(记账行号,MOD(ROW()-4,12)),"")</f>
        <v>5</v>
      </c>
    </row>
    <row r="6" spans="1:33" s="45" customFormat="1" ht="22.5" customHeight="1">
      <c r="A6" s="258" t="str">
        <f ca="1">IFERROR(INDEX(凭证录入!H:H,$AD6),"")</f>
        <v>现金存行</v>
      </c>
      <c r="B6" s="259">
        <f ca="1">IFERROR(INDEX(凭证录入!I:I,$AD6),"")</f>
        <v>1001</v>
      </c>
      <c r="C6" s="260" t="str">
        <f ca="1">IFERROR(VLOOKUP($B6,会计科目表!$A:$C,2,),"")</f>
        <v>库存现金</v>
      </c>
      <c r="D6" s="261">
        <f ca="1">IFERROR(VLOOKUP($B6,会计科目表!$A:$C,3,),"")</f>
        <v>0</v>
      </c>
      <c r="E6" s="262">
        <f ca="1">IFERROR(INDEX(凭证录入!K:K,$AD6),0)</f>
        <v>0</v>
      </c>
      <c r="F6" s="262">
        <f ca="1">IFERROR(INDEX(凭证录入!L:L,$AD6),0)</f>
        <v>4000</v>
      </c>
      <c r="G6" s="263" t="str">
        <f t="shared" ref="G6:H11" ca="1" si="3">LEFT(RIGHT(TEXT($E6/1%," ￥0; ￥-0;"),18-COLUMN()))</f>
        <v/>
      </c>
      <c r="H6" s="264" t="str">
        <f t="shared" ca="1" si="3"/>
        <v/>
      </c>
      <c r="I6" s="265" t="str">
        <f t="shared" ca="1" si="0"/>
        <v/>
      </c>
      <c r="J6" s="266" t="str">
        <f t="shared" ca="1" si="0"/>
        <v/>
      </c>
      <c r="K6" s="264" t="str">
        <f t="shared" ca="1" si="0"/>
        <v/>
      </c>
      <c r="L6" s="265" t="str">
        <f t="shared" ca="1" si="0"/>
        <v/>
      </c>
      <c r="M6" s="266" t="str">
        <f t="shared" ca="1" si="0"/>
        <v/>
      </c>
      <c r="N6" s="264" t="str">
        <f t="shared" ca="1" si="0"/>
        <v/>
      </c>
      <c r="O6" s="265" t="str">
        <f t="shared" ca="1" si="0"/>
        <v/>
      </c>
      <c r="P6" s="266" t="str">
        <f t="shared" ca="1" si="0"/>
        <v/>
      </c>
      <c r="Q6" s="267" t="str">
        <f t="shared" ca="1" si="0"/>
        <v/>
      </c>
      <c r="R6" s="268" t="str">
        <f t="shared" ref="R6:R11" ca="1" si="4">LEFT(RIGHT(TEXT($F6/1%," ￥0; ￥-0;"),29-COLUMN()))</f>
        <v xml:space="preserve"> </v>
      </c>
      <c r="S6" s="264" t="str">
        <f t="shared" ca="1" si="1"/>
        <v xml:space="preserve"> </v>
      </c>
      <c r="T6" s="269" t="str">
        <f t="shared" ca="1" si="1"/>
        <v xml:space="preserve"> </v>
      </c>
      <c r="U6" s="268" t="str">
        <f t="shared" ca="1" si="1"/>
        <v xml:space="preserve"> </v>
      </c>
      <c r="V6" s="264" t="str">
        <f t="shared" ca="1" si="1"/>
        <v>￥</v>
      </c>
      <c r="W6" s="265" t="str">
        <f t="shared" ca="1" si="1"/>
        <v>4</v>
      </c>
      <c r="X6" s="266" t="str">
        <f t="shared" ca="1" si="1"/>
        <v>0</v>
      </c>
      <c r="Y6" s="264" t="str">
        <f t="shared" ca="1" si="1"/>
        <v>0</v>
      </c>
      <c r="Z6" s="265" t="str">
        <f t="shared" ca="1" si="1"/>
        <v>0</v>
      </c>
      <c r="AA6" s="266" t="str">
        <f t="shared" ca="1" si="1"/>
        <v>0</v>
      </c>
      <c r="AB6" s="267" t="str">
        <f t="shared" ca="1" si="1"/>
        <v>0</v>
      </c>
      <c r="AC6" s="541"/>
      <c r="AD6" s="212">
        <f t="shared" ca="1" si="2"/>
        <v>6</v>
      </c>
    </row>
    <row r="7" spans="1:33" s="45" customFormat="1" ht="22.5" customHeight="1">
      <c r="A7" s="258" t="str">
        <f ca="1">IFERROR(INDEX(凭证录入!H:H,$AD7),"")</f>
        <v/>
      </c>
      <c r="B7" s="259" t="str">
        <f ca="1">IFERROR(INDEX(凭证录入!I:I,$AD7),"")</f>
        <v/>
      </c>
      <c r="C7" s="260" t="str">
        <f ca="1">IFERROR(VLOOKUP($B7,会计科目表!$A:$C,2,),"")</f>
        <v/>
      </c>
      <c r="D7" s="261" t="str">
        <f ca="1">IFERROR(VLOOKUP($B7,会计科目表!$A:$C,3,),"")</f>
        <v/>
      </c>
      <c r="E7" s="262">
        <f ca="1">IFERROR(INDEX(凭证录入!K:K,$AD7),0)</f>
        <v>0</v>
      </c>
      <c r="F7" s="262">
        <f ca="1">IFERROR(INDEX(凭证录入!L:L,$AD7),0)</f>
        <v>0</v>
      </c>
      <c r="G7" s="263" t="str">
        <f t="shared" ca="1" si="3"/>
        <v/>
      </c>
      <c r="H7" s="264" t="str">
        <f t="shared" ca="1" si="3"/>
        <v/>
      </c>
      <c r="I7" s="265" t="str">
        <f t="shared" ca="1" si="0"/>
        <v/>
      </c>
      <c r="J7" s="266" t="str">
        <f t="shared" ca="1" si="0"/>
        <v/>
      </c>
      <c r="K7" s="264" t="str">
        <f t="shared" ca="1" si="0"/>
        <v/>
      </c>
      <c r="L7" s="265" t="str">
        <f t="shared" ca="1" si="0"/>
        <v/>
      </c>
      <c r="M7" s="266" t="str">
        <f t="shared" ca="1" si="0"/>
        <v/>
      </c>
      <c r="N7" s="264" t="str">
        <f t="shared" ca="1" si="0"/>
        <v/>
      </c>
      <c r="O7" s="265" t="str">
        <f t="shared" ca="1" si="0"/>
        <v/>
      </c>
      <c r="P7" s="266" t="str">
        <f t="shared" ca="1" si="0"/>
        <v/>
      </c>
      <c r="Q7" s="267" t="str">
        <f t="shared" ca="1" si="0"/>
        <v/>
      </c>
      <c r="R7" s="268" t="str">
        <f t="shared" ca="1" si="4"/>
        <v/>
      </c>
      <c r="S7" s="264" t="str">
        <f t="shared" ca="1" si="1"/>
        <v/>
      </c>
      <c r="T7" s="269" t="str">
        <f t="shared" ca="1" si="1"/>
        <v/>
      </c>
      <c r="U7" s="268" t="str">
        <f t="shared" ca="1" si="1"/>
        <v/>
      </c>
      <c r="V7" s="264" t="str">
        <f t="shared" ca="1" si="1"/>
        <v/>
      </c>
      <c r="W7" s="265" t="str">
        <f t="shared" ca="1" si="1"/>
        <v/>
      </c>
      <c r="X7" s="266" t="str">
        <f t="shared" ca="1" si="1"/>
        <v/>
      </c>
      <c r="Y7" s="264" t="str">
        <f t="shared" ca="1" si="1"/>
        <v/>
      </c>
      <c r="Z7" s="265" t="str">
        <f t="shared" ca="1" si="1"/>
        <v/>
      </c>
      <c r="AA7" s="266" t="str">
        <f t="shared" ca="1" si="1"/>
        <v/>
      </c>
      <c r="AB7" s="267" t="str">
        <f t="shared" ca="1" si="1"/>
        <v/>
      </c>
      <c r="AC7" s="536" t="s">
        <v>623</v>
      </c>
      <c r="AD7" s="212" t="str">
        <f t="shared" ca="1" si="2"/>
        <v/>
      </c>
    </row>
    <row r="8" spans="1:33" s="45" customFormat="1" ht="22.5" customHeight="1">
      <c r="A8" s="258" t="str">
        <f ca="1">IFERROR(INDEX(凭证录入!H:H,$AD8),"")</f>
        <v/>
      </c>
      <c r="B8" s="259" t="str">
        <f ca="1">IFERROR(INDEX(凭证录入!I:I,$AD8),"")</f>
        <v/>
      </c>
      <c r="C8" s="260" t="str">
        <f ca="1">IFERROR(VLOOKUP($B8,会计科目表!$A:$C,2,),"")</f>
        <v/>
      </c>
      <c r="D8" s="261" t="str">
        <f ca="1">IFERROR(VLOOKUP($B8,会计科目表!$A:$C,3,),"")</f>
        <v/>
      </c>
      <c r="E8" s="262">
        <f ca="1">IFERROR(INDEX(凭证录入!K:K,$AD8),0)</f>
        <v>0</v>
      </c>
      <c r="F8" s="262">
        <f ca="1">IFERROR(INDEX(凭证录入!L:L,$AD8),0)</f>
        <v>0</v>
      </c>
      <c r="G8" s="263" t="str">
        <f t="shared" ca="1" si="3"/>
        <v/>
      </c>
      <c r="H8" s="264" t="str">
        <f t="shared" ca="1" si="3"/>
        <v/>
      </c>
      <c r="I8" s="265" t="str">
        <f t="shared" ca="1" si="0"/>
        <v/>
      </c>
      <c r="J8" s="266" t="str">
        <f t="shared" ca="1" si="0"/>
        <v/>
      </c>
      <c r="K8" s="264" t="str">
        <f t="shared" ca="1" si="0"/>
        <v/>
      </c>
      <c r="L8" s="265" t="str">
        <f t="shared" ca="1" si="0"/>
        <v/>
      </c>
      <c r="M8" s="266" t="str">
        <f t="shared" ca="1" si="0"/>
        <v/>
      </c>
      <c r="N8" s="264" t="str">
        <f t="shared" ca="1" si="0"/>
        <v/>
      </c>
      <c r="O8" s="265" t="str">
        <f t="shared" ca="1" si="0"/>
        <v/>
      </c>
      <c r="P8" s="266" t="str">
        <f t="shared" ca="1" si="0"/>
        <v/>
      </c>
      <c r="Q8" s="267" t="str">
        <f t="shared" ca="1" si="0"/>
        <v/>
      </c>
      <c r="R8" s="268" t="str">
        <f t="shared" ca="1" si="4"/>
        <v/>
      </c>
      <c r="S8" s="264" t="str">
        <f t="shared" ca="1" si="1"/>
        <v/>
      </c>
      <c r="T8" s="269" t="str">
        <f t="shared" ca="1" si="1"/>
        <v/>
      </c>
      <c r="U8" s="268" t="str">
        <f t="shared" ca="1" si="1"/>
        <v/>
      </c>
      <c r="V8" s="264" t="str">
        <f t="shared" ca="1" si="1"/>
        <v/>
      </c>
      <c r="W8" s="265" t="str">
        <f t="shared" ca="1" si="1"/>
        <v/>
      </c>
      <c r="X8" s="266" t="str">
        <f t="shared" ca="1" si="1"/>
        <v/>
      </c>
      <c r="Y8" s="264" t="str">
        <f t="shared" ca="1" si="1"/>
        <v/>
      </c>
      <c r="Z8" s="265" t="str">
        <f t="shared" ca="1" si="1"/>
        <v/>
      </c>
      <c r="AA8" s="266" t="str">
        <f t="shared" ca="1" si="1"/>
        <v/>
      </c>
      <c r="AB8" s="267" t="str">
        <f t="shared" ca="1" si="1"/>
        <v/>
      </c>
      <c r="AC8" s="537"/>
      <c r="AD8" s="212" t="str">
        <f t="shared" ca="1" si="2"/>
        <v/>
      </c>
    </row>
    <row r="9" spans="1:33" s="45" customFormat="1" ht="22.5" customHeight="1">
      <c r="A9" s="258" t="str">
        <f ca="1">IFERROR(INDEX(凭证录入!H:H,$AD9),"")</f>
        <v/>
      </c>
      <c r="B9" s="259" t="str">
        <f ca="1">IFERROR(INDEX(凭证录入!I:I,$AD9),"")</f>
        <v/>
      </c>
      <c r="C9" s="260" t="str">
        <f ca="1">IFERROR(VLOOKUP($B9,会计科目表!$A:$C,2,),"")</f>
        <v/>
      </c>
      <c r="D9" s="261" t="str">
        <f ca="1">IFERROR(VLOOKUP($B9,会计科目表!$A:$C,3,),"")</f>
        <v/>
      </c>
      <c r="E9" s="262">
        <f ca="1">IFERROR(INDEX(凭证录入!K:K,$AD9),0)</f>
        <v>0</v>
      </c>
      <c r="F9" s="262">
        <f ca="1">IFERROR(INDEX(凭证录入!L:L,$AD9),0)</f>
        <v>0</v>
      </c>
      <c r="G9" s="263" t="str">
        <f t="shared" ca="1" si="3"/>
        <v/>
      </c>
      <c r="H9" s="264" t="str">
        <f t="shared" ca="1" si="3"/>
        <v/>
      </c>
      <c r="I9" s="265" t="str">
        <f t="shared" ca="1" si="0"/>
        <v/>
      </c>
      <c r="J9" s="266" t="str">
        <f t="shared" ca="1" si="0"/>
        <v/>
      </c>
      <c r="K9" s="264" t="str">
        <f t="shared" ca="1" si="0"/>
        <v/>
      </c>
      <c r="L9" s="265" t="str">
        <f t="shared" ca="1" si="0"/>
        <v/>
      </c>
      <c r="M9" s="266" t="str">
        <f t="shared" ca="1" si="0"/>
        <v/>
      </c>
      <c r="N9" s="264" t="str">
        <f t="shared" ca="1" si="0"/>
        <v/>
      </c>
      <c r="O9" s="265" t="str">
        <f t="shared" ca="1" si="0"/>
        <v/>
      </c>
      <c r="P9" s="266" t="str">
        <f t="shared" ca="1" si="0"/>
        <v/>
      </c>
      <c r="Q9" s="267" t="str">
        <f t="shared" ca="1" si="0"/>
        <v/>
      </c>
      <c r="R9" s="268" t="str">
        <f t="shared" ca="1" si="4"/>
        <v/>
      </c>
      <c r="S9" s="264" t="str">
        <f t="shared" ca="1" si="1"/>
        <v/>
      </c>
      <c r="T9" s="269" t="str">
        <f t="shared" ca="1" si="1"/>
        <v/>
      </c>
      <c r="U9" s="268" t="str">
        <f t="shared" ca="1" si="1"/>
        <v/>
      </c>
      <c r="V9" s="264" t="str">
        <f t="shared" ca="1" si="1"/>
        <v/>
      </c>
      <c r="W9" s="265" t="str">
        <f t="shared" ca="1" si="1"/>
        <v/>
      </c>
      <c r="X9" s="266" t="str">
        <f t="shared" ca="1" si="1"/>
        <v/>
      </c>
      <c r="Y9" s="264" t="str">
        <f t="shared" ca="1" si="1"/>
        <v/>
      </c>
      <c r="Z9" s="265" t="str">
        <f t="shared" ca="1" si="1"/>
        <v/>
      </c>
      <c r="AA9" s="266" t="str">
        <f t="shared" ca="1" si="1"/>
        <v/>
      </c>
      <c r="AB9" s="267" t="str">
        <f t="shared" ca="1" si="1"/>
        <v/>
      </c>
      <c r="AC9" s="538"/>
      <c r="AD9" s="212" t="str">
        <f t="shared" ca="1" si="2"/>
        <v/>
      </c>
    </row>
    <row r="10" spans="1:33" s="45" customFormat="1" ht="22.5" customHeight="1">
      <c r="A10" s="258" t="str">
        <f ca="1">IFERROR(INDEX(凭证录入!H:H,$AD$10),"")</f>
        <v/>
      </c>
      <c r="B10" s="259" t="str">
        <f ca="1">IFERROR(INDEX(凭证录入!I:I,$AD$10),"")</f>
        <v/>
      </c>
      <c r="C10" s="260" t="str">
        <f ca="1">IFERROR(VLOOKUP($B10,会计科目表!$A:$C,2,),"")</f>
        <v/>
      </c>
      <c r="D10" s="261" t="str">
        <f ca="1">IFERROR(VLOOKUP($B10,会计科目表!$A:$C,3,),"")</f>
        <v/>
      </c>
      <c r="E10" s="262">
        <f ca="1">IFERROR(INDEX(凭证录入!K:K,$AD$10),0)</f>
        <v>0</v>
      </c>
      <c r="F10" s="262">
        <f ca="1">IFERROR(INDEX(凭证录入!L:L,$AD$10),0)</f>
        <v>0</v>
      </c>
      <c r="G10" s="263" t="str">
        <f t="shared" ca="1" si="3"/>
        <v/>
      </c>
      <c r="H10" s="264" t="str">
        <f t="shared" ca="1" si="3"/>
        <v/>
      </c>
      <c r="I10" s="265" t="str">
        <f t="shared" ca="1" si="0"/>
        <v/>
      </c>
      <c r="J10" s="266" t="str">
        <f t="shared" ca="1" si="0"/>
        <v/>
      </c>
      <c r="K10" s="264" t="str">
        <f t="shared" ca="1" si="0"/>
        <v/>
      </c>
      <c r="L10" s="265" t="str">
        <f t="shared" ca="1" si="0"/>
        <v/>
      </c>
      <c r="M10" s="266" t="str">
        <f t="shared" ca="1" si="0"/>
        <v/>
      </c>
      <c r="N10" s="264" t="str">
        <f t="shared" ca="1" si="0"/>
        <v/>
      </c>
      <c r="O10" s="265" t="str">
        <f t="shared" ca="1" si="0"/>
        <v/>
      </c>
      <c r="P10" s="266" t="str">
        <f t="shared" ca="1" si="0"/>
        <v/>
      </c>
      <c r="Q10" s="267" t="str">
        <f t="shared" ca="1" si="0"/>
        <v/>
      </c>
      <c r="R10" s="268" t="str">
        <f t="shared" ca="1" si="4"/>
        <v/>
      </c>
      <c r="S10" s="264" t="str">
        <f t="shared" ca="1" si="1"/>
        <v/>
      </c>
      <c r="T10" s="269" t="str">
        <f t="shared" ca="1" si="1"/>
        <v/>
      </c>
      <c r="U10" s="268" t="str">
        <f t="shared" ca="1" si="1"/>
        <v/>
      </c>
      <c r="V10" s="264" t="str">
        <f t="shared" ca="1" si="1"/>
        <v/>
      </c>
      <c r="W10" s="265" t="str">
        <f t="shared" ca="1" si="1"/>
        <v/>
      </c>
      <c r="X10" s="266" t="str">
        <f t="shared" ca="1" si="1"/>
        <v/>
      </c>
      <c r="Y10" s="264" t="str">
        <f t="shared" ca="1" si="1"/>
        <v/>
      </c>
      <c r="Z10" s="265" t="str">
        <f t="shared" ca="1" si="1"/>
        <v/>
      </c>
      <c r="AA10" s="266" t="str">
        <f t="shared" ca="1" si="1"/>
        <v/>
      </c>
      <c r="AB10" s="267" t="str">
        <f t="shared" ca="1" si="1"/>
        <v/>
      </c>
      <c r="AC10" s="538"/>
      <c r="AD10" s="212" t="str">
        <f t="shared" ca="1" si="2"/>
        <v/>
      </c>
    </row>
    <row r="11" spans="1:33" s="45" customFormat="1" ht="22.5" customHeight="1">
      <c r="A11" s="270" t="s">
        <v>625</v>
      </c>
      <c r="B11" s="271"/>
      <c r="C11" s="272" t="str">
        <f ca="1">SUBSTITUTE(SUBSTITUTE(IF(-DOLLAR(E11),IF(E11&gt;0,,"负")&amp;TEXT(INT(ABS(E11)+0.5%),"[dbnum2]G/通用格式元;;")&amp;TEXT(RIGHT(DOLLAR(E11,2),2),"[dbnum2]0角0分;;整"),),"零角",IF(E11^2&lt;1,,"零")),"零分","整")</f>
        <v>肆仟元整</v>
      </c>
      <c r="D11" s="273"/>
      <c r="E11" s="274">
        <f ca="1">SUM(E5:E10)</f>
        <v>4000</v>
      </c>
      <c r="F11" s="275">
        <f ca="1">SUM(F5:F10)</f>
        <v>4000</v>
      </c>
      <c r="G11" s="276" t="str">
        <f t="shared" ca="1" si="3"/>
        <v xml:space="preserve"> </v>
      </c>
      <c r="H11" s="277" t="str">
        <f t="shared" ca="1" si="3"/>
        <v xml:space="preserve"> </v>
      </c>
      <c r="I11" s="278" t="str">
        <f t="shared" ca="1" si="0"/>
        <v xml:space="preserve"> </v>
      </c>
      <c r="J11" s="279" t="str">
        <f t="shared" ca="1" si="0"/>
        <v xml:space="preserve"> </v>
      </c>
      <c r="K11" s="277" t="str">
        <f t="shared" ca="1" si="0"/>
        <v>￥</v>
      </c>
      <c r="L11" s="278" t="str">
        <f t="shared" ca="1" si="0"/>
        <v>4</v>
      </c>
      <c r="M11" s="279" t="str">
        <f t="shared" ca="1" si="0"/>
        <v>0</v>
      </c>
      <c r="N11" s="277" t="str">
        <f t="shared" ca="1" si="0"/>
        <v>0</v>
      </c>
      <c r="O11" s="278" t="str">
        <f t="shared" ca="1" si="0"/>
        <v>0</v>
      </c>
      <c r="P11" s="279" t="str">
        <f t="shared" ca="1" si="0"/>
        <v>0</v>
      </c>
      <c r="Q11" s="280" t="str">
        <f t="shared" ca="1" si="0"/>
        <v>0</v>
      </c>
      <c r="R11" s="281" t="str">
        <f t="shared" ca="1" si="4"/>
        <v xml:space="preserve"> </v>
      </c>
      <c r="S11" s="277" t="str">
        <f t="shared" ca="1" si="1"/>
        <v xml:space="preserve"> </v>
      </c>
      <c r="T11" s="282" t="str">
        <f t="shared" ca="1" si="1"/>
        <v xml:space="preserve"> </v>
      </c>
      <c r="U11" s="281" t="str">
        <f t="shared" ca="1" si="1"/>
        <v xml:space="preserve"> </v>
      </c>
      <c r="V11" s="277" t="str">
        <f t="shared" ca="1" si="1"/>
        <v>￥</v>
      </c>
      <c r="W11" s="278" t="str">
        <f t="shared" ca="1" si="1"/>
        <v>4</v>
      </c>
      <c r="X11" s="279" t="str">
        <f t="shared" ca="1" si="1"/>
        <v>0</v>
      </c>
      <c r="Y11" s="277" t="str">
        <f t="shared" ca="1" si="1"/>
        <v>0</v>
      </c>
      <c r="Z11" s="278" t="str">
        <f t="shared" ca="1" si="1"/>
        <v>0</v>
      </c>
      <c r="AA11" s="279" t="str">
        <f t="shared" ca="1" si="1"/>
        <v>0</v>
      </c>
      <c r="AB11" s="280" t="str">
        <f t="shared" ca="1" si="1"/>
        <v>0</v>
      </c>
      <c r="AC11" s="283"/>
      <c r="AD11" s="212"/>
    </row>
    <row r="12" spans="1:33" s="22" customFormat="1" ht="22.5" customHeight="1">
      <c r="A12" s="284" t="s">
        <v>627</v>
      </c>
      <c r="B12" s="284"/>
      <c r="C12" s="284"/>
      <c r="D12" s="284" t="s">
        <v>629</v>
      </c>
      <c r="E12" s="284"/>
      <c r="F12" s="284"/>
      <c r="G12" s="284"/>
      <c r="H12" s="285"/>
      <c r="I12" s="284"/>
      <c r="J12" s="285"/>
      <c r="K12" s="285"/>
      <c r="L12" s="284"/>
      <c r="M12" s="285"/>
      <c r="N12" s="285"/>
      <c r="O12" s="285"/>
      <c r="P12" s="284"/>
      <c r="Q12" s="284" t="s">
        <v>631</v>
      </c>
      <c r="R12" s="284"/>
      <c r="S12" s="284"/>
      <c r="T12" s="284"/>
      <c r="U12" s="285"/>
      <c r="V12" s="284"/>
      <c r="W12" s="285"/>
      <c r="X12" s="284"/>
      <c r="Y12" s="284"/>
      <c r="Z12" s="285"/>
      <c r="AA12" s="285"/>
      <c r="AB12" s="285"/>
      <c r="AC12" s="286"/>
      <c r="AD12" s="212"/>
    </row>
    <row r="13" spans="1:33" ht="39.75" customHeight="1" thickBot="1">
      <c r="A13" s="226"/>
      <c r="B13" s="226"/>
      <c r="C13" s="227" t="s">
        <v>632</v>
      </c>
      <c r="D13" s="228"/>
      <c r="E13" s="226"/>
      <c r="F13" s="226"/>
      <c r="G13" s="228"/>
      <c r="H13" s="228"/>
      <c r="I13" s="228"/>
      <c r="J13" s="228"/>
      <c r="K13" s="228"/>
      <c r="L13" s="228"/>
      <c r="M13" s="228"/>
      <c r="N13" s="228"/>
      <c r="O13" s="228"/>
      <c r="P13" s="228"/>
      <c r="Q13" s="228"/>
      <c r="R13" s="229" t="s">
        <v>633</v>
      </c>
      <c r="S13" s="230"/>
      <c r="T13" s="230"/>
      <c r="U13" s="231">
        <f ca="1">DATE(AD$1,AF$1,INDEX(凭证录入!B:B,AD17))</f>
        <v>41282</v>
      </c>
      <c r="V13" s="232"/>
      <c r="W13" s="232"/>
      <c r="X13" s="232"/>
      <c r="Y13" s="232"/>
      <c r="Z13" s="232"/>
      <c r="AA13" s="232"/>
      <c r="AB13" s="232"/>
      <c r="AD13" s="212"/>
    </row>
    <row r="14" spans="1:33" s="45" customFormat="1" ht="23.25" customHeight="1" thickTop="1">
      <c r="A14" s="235" t="s">
        <v>634</v>
      </c>
      <c r="B14" s="235"/>
      <c r="C14" s="236" t="str">
        <f>Co</f>
        <v>远大开发有限公司</v>
      </c>
      <c r="D14" s="236"/>
      <c r="E14" s="236"/>
      <c r="F14" s="236"/>
      <c r="G14" s="236"/>
      <c r="H14" s="236"/>
      <c r="I14" s="236"/>
      <c r="J14" s="236"/>
      <c r="K14" s="236"/>
      <c r="L14" s="236"/>
      <c r="M14" s="236"/>
      <c r="N14" s="236"/>
      <c r="O14" s="236"/>
      <c r="P14" s="236"/>
      <c r="Q14" s="236"/>
      <c r="R14" s="229" t="s">
        <v>635</v>
      </c>
      <c r="S14" s="229"/>
      <c r="T14" s="229"/>
      <c r="U14" s="237" t="str">
        <f>"第 "&amp;TEXT($AF$1,"00")&amp;TEXT($AC14,"0000 号")</f>
        <v>第 010002 号</v>
      </c>
      <c r="V14" s="237"/>
      <c r="W14" s="238"/>
      <c r="X14" s="238"/>
      <c r="Y14" s="238"/>
      <c r="Z14" s="238"/>
      <c r="AA14" s="238"/>
      <c r="AB14" s="238"/>
      <c r="AC14" s="239">
        <f>N(LEFT((AC2),3)+1)</f>
        <v>2</v>
      </c>
      <c r="AD14" s="212"/>
    </row>
    <row r="15" spans="1:33" s="45" customFormat="1" ht="22.5" customHeight="1">
      <c r="A15" s="241" t="s">
        <v>586</v>
      </c>
      <c r="B15" s="542" t="s">
        <v>587</v>
      </c>
      <c r="C15" s="242" t="s">
        <v>589</v>
      </c>
      <c r="D15" s="243" t="s">
        <v>591</v>
      </c>
      <c r="E15" s="539" t="s">
        <v>636</v>
      </c>
      <c r="F15" s="539" t="s">
        <v>637</v>
      </c>
      <c r="G15" s="244" t="s">
        <v>638</v>
      </c>
      <c r="H15" s="245"/>
      <c r="I15" s="245"/>
      <c r="J15" s="245"/>
      <c r="K15" s="245"/>
      <c r="L15" s="245"/>
      <c r="M15" s="245"/>
      <c r="N15" s="245"/>
      <c r="O15" s="245"/>
      <c r="P15" s="245"/>
      <c r="Q15" s="246"/>
      <c r="R15" s="247" t="s">
        <v>599</v>
      </c>
      <c r="S15" s="245"/>
      <c r="T15" s="245"/>
      <c r="U15" s="245"/>
      <c r="V15" s="245"/>
      <c r="W15" s="245"/>
      <c r="X15" s="245"/>
      <c r="Y15" s="245"/>
      <c r="Z15" s="245"/>
      <c r="AA15" s="245"/>
      <c r="AB15" s="246"/>
      <c r="AC15" s="541" t="str">
        <f ca="1">"附单据数︵"&amp;INDEX(凭证录入!$D:$D,$AD$17)&amp;"︶张"</f>
        <v>附单据数︵4︶张</v>
      </c>
      <c r="AD15" s="235"/>
    </row>
    <row r="16" spans="1:33" s="45" customFormat="1" ht="22.5" customHeight="1">
      <c r="A16" s="248" t="s">
        <v>601</v>
      </c>
      <c r="B16" s="543"/>
      <c r="C16" s="249" t="s">
        <v>603</v>
      </c>
      <c r="D16" s="250" t="s">
        <v>603</v>
      </c>
      <c r="E16" s="540"/>
      <c r="F16" s="540"/>
      <c r="G16" s="251" t="s">
        <v>605</v>
      </c>
      <c r="H16" s="252" t="s">
        <v>607</v>
      </c>
      <c r="I16" s="253" t="s">
        <v>609</v>
      </c>
      <c r="J16" s="254" t="s">
        <v>639</v>
      </c>
      <c r="K16" s="252" t="s">
        <v>640</v>
      </c>
      <c r="L16" s="253" t="s">
        <v>607</v>
      </c>
      <c r="M16" s="254" t="s">
        <v>609</v>
      </c>
      <c r="N16" s="252" t="s">
        <v>639</v>
      </c>
      <c r="O16" s="253" t="s">
        <v>641</v>
      </c>
      <c r="P16" s="254" t="s">
        <v>642</v>
      </c>
      <c r="Q16" s="255" t="s">
        <v>643</v>
      </c>
      <c r="R16" s="256" t="s">
        <v>605</v>
      </c>
      <c r="S16" s="252" t="s">
        <v>607</v>
      </c>
      <c r="T16" s="257" t="s">
        <v>609</v>
      </c>
      <c r="U16" s="256" t="s">
        <v>639</v>
      </c>
      <c r="V16" s="252" t="s">
        <v>640</v>
      </c>
      <c r="W16" s="253" t="s">
        <v>607</v>
      </c>
      <c r="X16" s="254" t="s">
        <v>609</v>
      </c>
      <c r="Y16" s="252" t="s">
        <v>639</v>
      </c>
      <c r="Z16" s="253" t="s">
        <v>641</v>
      </c>
      <c r="AA16" s="254" t="s">
        <v>642</v>
      </c>
      <c r="AB16" s="255" t="s">
        <v>643</v>
      </c>
      <c r="AC16" s="541"/>
    </row>
    <row r="17" spans="1:30" s="45" customFormat="1" ht="22.5" customHeight="1">
      <c r="A17" s="258" t="str">
        <f ca="1">IFERROR(INDEX(凭证录入!H:H,$AD17),"")</f>
        <v>支付1月社保</v>
      </c>
      <c r="B17" s="259">
        <f ca="1">IFERROR(INDEX(凭证录入!I:I,$AD17),"")</f>
        <v>660211</v>
      </c>
      <c r="C17" s="260" t="str">
        <f ca="1">IFERROR(VLOOKUP($B17,会计科目表!$A:$C,2,),"")</f>
        <v>管理费用</v>
      </c>
      <c r="D17" s="261" t="str">
        <f ca="1">IFERROR(VLOOKUP($B17,会计科目表!$A:$C,3,),"")</f>
        <v>保险费</v>
      </c>
      <c r="E17" s="262">
        <f ca="1">IFERROR(INDEX(凭证录入!K:K,$AD17),0)</f>
        <v>3601.82</v>
      </c>
      <c r="F17" s="262">
        <f ca="1">IFERROR(INDEX(凭证录入!L:L,$AD17),0)</f>
        <v>0</v>
      </c>
      <c r="G17" s="263" t="str">
        <f ca="1">LEFT(RIGHT(TEXT($E17/1%," ￥0; ￥-0;"),18-COLUMN()))</f>
        <v xml:space="preserve"> </v>
      </c>
      <c r="H17" s="264" t="str">
        <f ca="1">LEFT(RIGHT(TEXT($E17/1%," ￥0; ￥-0;"),18-COLUMN()))</f>
        <v xml:space="preserve"> </v>
      </c>
      <c r="I17" s="265" t="str">
        <f t="shared" ref="I17:Q23" ca="1" si="5">LEFT(RIGHT(TEXT($E17/1%," ￥0; ￥-0;"),18-COLUMN()))</f>
        <v xml:space="preserve"> </v>
      </c>
      <c r="J17" s="266" t="str">
        <f t="shared" ca="1" si="5"/>
        <v xml:space="preserve"> </v>
      </c>
      <c r="K17" s="264" t="str">
        <f t="shared" ca="1" si="5"/>
        <v>￥</v>
      </c>
      <c r="L17" s="265" t="str">
        <f t="shared" ca="1" si="5"/>
        <v>3</v>
      </c>
      <c r="M17" s="266" t="str">
        <f t="shared" ca="1" si="5"/>
        <v>6</v>
      </c>
      <c r="N17" s="264" t="str">
        <f t="shared" ca="1" si="5"/>
        <v>0</v>
      </c>
      <c r="O17" s="265" t="str">
        <f t="shared" ca="1" si="5"/>
        <v>1</v>
      </c>
      <c r="P17" s="266" t="str">
        <f t="shared" ca="1" si="5"/>
        <v>8</v>
      </c>
      <c r="Q17" s="267" t="str">
        <f t="shared" ca="1" si="5"/>
        <v>2</v>
      </c>
      <c r="R17" s="268" t="str">
        <f ca="1">LEFT(RIGHT(TEXT($F17/1%," ￥0; ￥-0;"),29-COLUMN()))</f>
        <v/>
      </c>
      <c r="S17" s="264" t="str">
        <f t="shared" ref="S17:AB23" ca="1" si="6">LEFT(RIGHT(TEXT($F17/1%," ￥0; ￥-0;"),29-COLUMN()))</f>
        <v/>
      </c>
      <c r="T17" s="269" t="str">
        <f t="shared" ca="1" si="6"/>
        <v/>
      </c>
      <c r="U17" s="268" t="str">
        <f t="shared" ca="1" si="6"/>
        <v/>
      </c>
      <c r="V17" s="264" t="str">
        <f t="shared" ca="1" si="6"/>
        <v/>
      </c>
      <c r="W17" s="265" t="str">
        <f t="shared" ca="1" si="6"/>
        <v/>
      </c>
      <c r="X17" s="266" t="str">
        <f t="shared" ca="1" si="6"/>
        <v/>
      </c>
      <c r="Y17" s="264" t="str">
        <f t="shared" ca="1" si="6"/>
        <v/>
      </c>
      <c r="Z17" s="265" t="str">
        <f t="shared" ca="1" si="6"/>
        <v/>
      </c>
      <c r="AA17" s="266" t="str">
        <f t="shared" ca="1" si="6"/>
        <v/>
      </c>
      <c r="AB17" s="267" t="str">
        <f t="shared" ca="1" si="6"/>
        <v/>
      </c>
      <c r="AC17" s="541"/>
      <c r="AD17" s="212">
        <f t="shared" ref="AD17:AD22" ca="1" si="7">IFERROR(INDEX(记账行号,MOD(ROW()-4,12)),"")</f>
        <v>7</v>
      </c>
    </row>
    <row r="18" spans="1:30" s="45" customFormat="1" ht="22.5" customHeight="1">
      <c r="A18" s="258" t="str">
        <f ca="1">IFERROR(INDEX(凭证录入!H:H,$AD18),"")</f>
        <v>支付1月社保</v>
      </c>
      <c r="B18" s="259">
        <f ca="1">IFERROR(INDEX(凭证录入!I:I,$AD18),"")</f>
        <v>12210401</v>
      </c>
      <c r="C18" s="260" t="str">
        <f ca="1">IFERROR(VLOOKUP($B18,会计科目表!$A:$C,2,),"")</f>
        <v>其他应收款</v>
      </c>
      <c r="D18" s="261" t="str">
        <f ca="1">IFERROR(VLOOKUP($B18,会计科目表!$A:$C,3,),"")</f>
        <v>社会保险费</v>
      </c>
      <c r="E18" s="262">
        <f ca="1">IFERROR(INDEX(凭证录入!K:K,$AD18),0)</f>
        <v>1379.98</v>
      </c>
      <c r="F18" s="262">
        <f ca="1">IFERROR(INDEX(凭证录入!L:L,$AD18),0)</f>
        <v>0</v>
      </c>
      <c r="G18" s="263" t="str">
        <f t="shared" ref="G18:H23" ca="1" si="8">LEFT(RIGHT(TEXT($E18/1%," ￥0; ￥-0;"),18-COLUMN()))</f>
        <v xml:space="preserve"> </v>
      </c>
      <c r="H18" s="264" t="str">
        <f t="shared" ca="1" si="8"/>
        <v xml:space="preserve"> </v>
      </c>
      <c r="I18" s="265" t="str">
        <f t="shared" ca="1" si="5"/>
        <v xml:space="preserve"> </v>
      </c>
      <c r="J18" s="266" t="str">
        <f t="shared" ca="1" si="5"/>
        <v xml:space="preserve"> </v>
      </c>
      <c r="K18" s="264" t="str">
        <f t="shared" ca="1" si="5"/>
        <v>￥</v>
      </c>
      <c r="L18" s="265" t="str">
        <f t="shared" ca="1" si="5"/>
        <v>1</v>
      </c>
      <c r="M18" s="266" t="str">
        <f t="shared" ca="1" si="5"/>
        <v>3</v>
      </c>
      <c r="N18" s="264" t="str">
        <f t="shared" ca="1" si="5"/>
        <v>7</v>
      </c>
      <c r="O18" s="265" t="str">
        <f t="shared" ca="1" si="5"/>
        <v>9</v>
      </c>
      <c r="P18" s="266" t="str">
        <f t="shared" ca="1" si="5"/>
        <v>9</v>
      </c>
      <c r="Q18" s="267" t="str">
        <f t="shared" ca="1" si="5"/>
        <v>8</v>
      </c>
      <c r="R18" s="268" t="str">
        <f t="shared" ref="R18:R23" ca="1" si="9">LEFT(RIGHT(TEXT($F18/1%," ￥0; ￥-0;"),29-COLUMN()))</f>
        <v/>
      </c>
      <c r="S18" s="264" t="str">
        <f t="shared" ca="1" si="6"/>
        <v/>
      </c>
      <c r="T18" s="269" t="str">
        <f t="shared" ca="1" si="6"/>
        <v/>
      </c>
      <c r="U18" s="268" t="str">
        <f t="shared" ca="1" si="6"/>
        <v/>
      </c>
      <c r="V18" s="264" t="str">
        <f t="shared" ca="1" si="6"/>
        <v/>
      </c>
      <c r="W18" s="265" t="str">
        <f t="shared" ca="1" si="6"/>
        <v/>
      </c>
      <c r="X18" s="266" t="str">
        <f t="shared" ca="1" si="6"/>
        <v/>
      </c>
      <c r="Y18" s="264" t="str">
        <f t="shared" ca="1" si="6"/>
        <v/>
      </c>
      <c r="Z18" s="265" t="str">
        <f t="shared" ca="1" si="6"/>
        <v/>
      </c>
      <c r="AA18" s="266" t="str">
        <f t="shared" ca="1" si="6"/>
        <v/>
      </c>
      <c r="AB18" s="267" t="str">
        <f t="shared" ca="1" si="6"/>
        <v/>
      </c>
      <c r="AC18" s="541"/>
      <c r="AD18" s="212">
        <f t="shared" ca="1" si="7"/>
        <v>8</v>
      </c>
    </row>
    <row r="19" spans="1:30" s="45" customFormat="1" ht="22.5" customHeight="1">
      <c r="A19" s="258" t="str">
        <f ca="1">IFERROR(INDEX(凭证录入!H:H,$AD19),"")</f>
        <v>支付1月社保</v>
      </c>
      <c r="B19" s="259">
        <f ca="1">IFERROR(INDEX(凭证录入!I:I,$AD19),"")</f>
        <v>10020101</v>
      </c>
      <c r="C19" s="260" t="str">
        <f ca="1">IFERROR(VLOOKUP($B19,会计科目表!$A:$C,2,),"")</f>
        <v>银行存款</v>
      </c>
      <c r="D19" s="261" t="str">
        <f ca="1">IFERROR(VLOOKUP($B19,会计科目表!$A:$C,3,),"")</f>
        <v>农业银行_人民支行</v>
      </c>
      <c r="E19" s="262">
        <f ca="1">IFERROR(INDEX(凭证录入!K:K,$AD19),0)</f>
        <v>0</v>
      </c>
      <c r="F19" s="262">
        <f ca="1">IFERROR(INDEX(凭证录入!L:L,$AD19),0)</f>
        <v>4981.8</v>
      </c>
      <c r="G19" s="263" t="str">
        <f t="shared" ca="1" si="8"/>
        <v/>
      </c>
      <c r="H19" s="264" t="str">
        <f t="shared" ca="1" si="8"/>
        <v/>
      </c>
      <c r="I19" s="265" t="str">
        <f t="shared" ca="1" si="5"/>
        <v/>
      </c>
      <c r="J19" s="266" t="str">
        <f t="shared" ca="1" si="5"/>
        <v/>
      </c>
      <c r="K19" s="264" t="str">
        <f t="shared" ca="1" si="5"/>
        <v/>
      </c>
      <c r="L19" s="265" t="str">
        <f t="shared" ca="1" si="5"/>
        <v/>
      </c>
      <c r="M19" s="266" t="str">
        <f t="shared" ca="1" si="5"/>
        <v/>
      </c>
      <c r="N19" s="264" t="str">
        <f t="shared" ca="1" si="5"/>
        <v/>
      </c>
      <c r="O19" s="265" t="str">
        <f t="shared" ca="1" si="5"/>
        <v/>
      </c>
      <c r="P19" s="266" t="str">
        <f t="shared" ca="1" si="5"/>
        <v/>
      </c>
      <c r="Q19" s="267" t="str">
        <f t="shared" ca="1" si="5"/>
        <v/>
      </c>
      <c r="R19" s="268" t="str">
        <f t="shared" ca="1" si="9"/>
        <v xml:space="preserve"> </v>
      </c>
      <c r="S19" s="264" t="str">
        <f t="shared" ca="1" si="6"/>
        <v xml:space="preserve"> </v>
      </c>
      <c r="T19" s="269" t="str">
        <f t="shared" ca="1" si="6"/>
        <v xml:space="preserve"> </v>
      </c>
      <c r="U19" s="268" t="str">
        <f t="shared" ca="1" si="6"/>
        <v xml:space="preserve"> </v>
      </c>
      <c r="V19" s="264" t="str">
        <f t="shared" ca="1" si="6"/>
        <v>￥</v>
      </c>
      <c r="W19" s="265" t="str">
        <f t="shared" ca="1" si="6"/>
        <v>4</v>
      </c>
      <c r="X19" s="266" t="str">
        <f t="shared" ca="1" si="6"/>
        <v>9</v>
      </c>
      <c r="Y19" s="264" t="str">
        <f t="shared" ca="1" si="6"/>
        <v>8</v>
      </c>
      <c r="Z19" s="265" t="str">
        <f t="shared" ca="1" si="6"/>
        <v>1</v>
      </c>
      <c r="AA19" s="266" t="str">
        <f t="shared" ca="1" si="6"/>
        <v>8</v>
      </c>
      <c r="AB19" s="267" t="str">
        <f t="shared" ca="1" si="6"/>
        <v>0</v>
      </c>
      <c r="AC19" s="536" t="s">
        <v>623</v>
      </c>
      <c r="AD19" s="212">
        <f t="shared" ca="1" si="7"/>
        <v>9</v>
      </c>
    </row>
    <row r="20" spans="1:30" s="45" customFormat="1" ht="22.5" customHeight="1">
      <c r="A20" s="258" t="str">
        <f ca="1">IFERROR(INDEX(凭证录入!H:H,$AD20),"")</f>
        <v/>
      </c>
      <c r="B20" s="259" t="str">
        <f ca="1">IFERROR(INDEX(凭证录入!I:I,$AD20),"")</f>
        <v/>
      </c>
      <c r="C20" s="260" t="str">
        <f ca="1">IFERROR(VLOOKUP($B20,会计科目表!$A:$C,2,),"")</f>
        <v/>
      </c>
      <c r="D20" s="261" t="str">
        <f ca="1">IFERROR(VLOOKUP($B20,会计科目表!$A:$C,3,),"")</f>
        <v/>
      </c>
      <c r="E20" s="262">
        <f ca="1">IFERROR(INDEX(凭证录入!K:K,$AD20),0)</f>
        <v>0</v>
      </c>
      <c r="F20" s="262">
        <f ca="1">IFERROR(INDEX(凭证录入!L:L,$AD20),0)</f>
        <v>0</v>
      </c>
      <c r="G20" s="263" t="str">
        <f t="shared" ca="1" si="8"/>
        <v/>
      </c>
      <c r="H20" s="264" t="str">
        <f t="shared" ca="1" si="8"/>
        <v/>
      </c>
      <c r="I20" s="265" t="str">
        <f t="shared" ca="1" si="5"/>
        <v/>
      </c>
      <c r="J20" s="266" t="str">
        <f t="shared" ca="1" si="5"/>
        <v/>
      </c>
      <c r="K20" s="264" t="str">
        <f t="shared" ca="1" si="5"/>
        <v/>
      </c>
      <c r="L20" s="265" t="str">
        <f t="shared" ca="1" si="5"/>
        <v/>
      </c>
      <c r="M20" s="266" t="str">
        <f t="shared" ca="1" si="5"/>
        <v/>
      </c>
      <c r="N20" s="264" t="str">
        <f t="shared" ca="1" si="5"/>
        <v/>
      </c>
      <c r="O20" s="265" t="str">
        <f t="shared" ca="1" si="5"/>
        <v/>
      </c>
      <c r="P20" s="266" t="str">
        <f t="shared" ca="1" si="5"/>
        <v/>
      </c>
      <c r="Q20" s="267" t="str">
        <f t="shared" ca="1" si="5"/>
        <v/>
      </c>
      <c r="R20" s="268" t="str">
        <f t="shared" ca="1" si="9"/>
        <v/>
      </c>
      <c r="S20" s="264" t="str">
        <f t="shared" ca="1" si="6"/>
        <v/>
      </c>
      <c r="T20" s="269" t="str">
        <f t="shared" ca="1" si="6"/>
        <v/>
      </c>
      <c r="U20" s="268" t="str">
        <f t="shared" ca="1" si="6"/>
        <v/>
      </c>
      <c r="V20" s="264" t="str">
        <f t="shared" ca="1" si="6"/>
        <v/>
      </c>
      <c r="W20" s="265" t="str">
        <f t="shared" ca="1" si="6"/>
        <v/>
      </c>
      <c r="X20" s="266" t="str">
        <f t="shared" ca="1" si="6"/>
        <v/>
      </c>
      <c r="Y20" s="264" t="str">
        <f t="shared" ca="1" si="6"/>
        <v/>
      </c>
      <c r="Z20" s="265" t="str">
        <f t="shared" ca="1" si="6"/>
        <v/>
      </c>
      <c r="AA20" s="266" t="str">
        <f t="shared" ca="1" si="6"/>
        <v/>
      </c>
      <c r="AB20" s="267" t="str">
        <f t="shared" ca="1" si="6"/>
        <v/>
      </c>
      <c r="AC20" s="537"/>
      <c r="AD20" s="212" t="str">
        <f t="shared" ca="1" si="7"/>
        <v/>
      </c>
    </row>
    <row r="21" spans="1:30" s="45" customFormat="1" ht="22.5" customHeight="1">
      <c r="A21" s="258" t="str">
        <f ca="1">IFERROR(INDEX(凭证录入!H:H,$AD21),"")</f>
        <v/>
      </c>
      <c r="B21" s="259" t="str">
        <f ca="1">IFERROR(INDEX(凭证录入!I:I,$AD21),"")</f>
        <v/>
      </c>
      <c r="C21" s="260" t="str">
        <f ca="1">IFERROR(VLOOKUP($B21,会计科目表!$A:$C,2,),"")</f>
        <v/>
      </c>
      <c r="D21" s="261" t="str">
        <f ca="1">IFERROR(VLOOKUP($B21,会计科目表!$A:$C,3,),"")</f>
        <v/>
      </c>
      <c r="E21" s="262">
        <f ca="1">IFERROR(INDEX(凭证录入!K:K,$AD21),0)</f>
        <v>0</v>
      </c>
      <c r="F21" s="262">
        <f ca="1">IFERROR(INDEX(凭证录入!L:L,$AD21),0)</f>
        <v>0</v>
      </c>
      <c r="G21" s="263" t="str">
        <f t="shared" ca="1" si="8"/>
        <v/>
      </c>
      <c r="H21" s="264" t="str">
        <f t="shared" ca="1" si="8"/>
        <v/>
      </c>
      <c r="I21" s="265" t="str">
        <f t="shared" ca="1" si="5"/>
        <v/>
      </c>
      <c r="J21" s="266" t="str">
        <f t="shared" ca="1" si="5"/>
        <v/>
      </c>
      <c r="K21" s="264" t="str">
        <f t="shared" ca="1" si="5"/>
        <v/>
      </c>
      <c r="L21" s="265" t="str">
        <f t="shared" ca="1" si="5"/>
        <v/>
      </c>
      <c r="M21" s="266" t="str">
        <f t="shared" ca="1" si="5"/>
        <v/>
      </c>
      <c r="N21" s="264" t="str">
        <f t="shared" ca="1" si="5"/>
        <v/>
      </c>
      <c r="O21" s="265" t="str">
        <f t="shared" ca="1" si="5"/>
        <v/>
      </c>
      <c r="P21" s="266" t="str">
        <f t="shared" ca="1" si="5"/>
        <v/>
      </c>
      <c r="Q21" s="267" t="str">
        <f t="shared" ca="1" si="5"/>
        <v/>
      </c>
      <c r="R21" s="268" t="str">
        <f t="shared" ca="1" si="9"/>
        <v/>
      </c>
      <c r="S21" s="264" t="str">
        <f t="shared" ca="1" si="6"/>
        <v/>
      </c>
      <c r="T21" s="269" t="str">
        <f t="shared" ca="1" si="6"/>
        <v/>
      </c>
      <c r="U21" s="268" t="str">
        <f t="shared" ca="1" si="6"/>
        <v/>
      </c>
      <c r="V21" s="264" t="str">
        <f t="shared" ca="1" si="6"/>
        <v/>
      </c>
      <c r="W21" s="265" t="str">
        <f t="shared" ca="1" si="6"/>
        <v/>
      </c>
      <c r="X21" s="266" t="str">
        <f t="shared" ca="1" si="6"/>
        <v/>
      </c>
      <c r="Y21" s="264" t="str">
        <f t="shared" ca="1" si="6"/>
        <v/>
      </c>
      <c r="Z21" s="265" t="str">
        <f t="shared" ca="1" si="6"/>
        <v/>
      </c>
      <c r="AA21" s="266" t="str">
        <f t="shared" ca="1" si="6"/>
        <v/>
      </c>
      <c r="AB21" s="267" t="str">
        <f t="shared" ca="1" si="6"/>
        <v/>
      </c>
      <c r="AC21" s="538"/>
      <c r="AD21" s="212" t="str">
        <f t="shared" ca="1" si="7"/>
        <v/>
      </c>
    </row>
    <row r="22" spans="1:30" s="45" customFormat="1" ht="22.5" customHeight="1">
      <c r="A22" s="258" t="str">
        <f ca="1">IFERROR(INDEX(凭证录入!H:H,$AD22),"")</f>
        <v/>
      </c>
      <c r="B22" s="259" t="str">
        <f ca="1">IFERROR(INDEX(凭证录入!I:I,$AD22),"")</f>
        <v/>
      </c>
      <c r="C22" s="260" t="str">
        <f ca="1">IFERROR(VLOOKUP($B22,会计科目表!$A:$C,2,),"")</f>
        <v/>
      </c>
      <c r="D22" s="261" t="str">
        <f ca="1">IFERROR(VLOOKUP($B22,会计科目表!$A:$C,3,),"")</f>
        <v/>
      </c>
      <c r="E22" s="262">
        <f ca="1">IFERROR(INDEX(凭证录入!K:K,$AD22),0)</f>
        <v>0</v>
      </c>
      <c r="F22" s="262">
        <f ca="1">IFERROR(INDEX(凭证录入!L:L,$AD22),0)</f>
        <v>0</v>
      </c>
      <c r="G22" s="263" t="str">
        <f t="shared" ca="1" si="8"/>
        <v/>
      </c>
      <c r="H22" s="264" t="str">
        <f t="shared" ca="1" si="8"/>
        <v/>
      </c>
      <c r="I22" s="265" t="str">
        <f t="shared" ca="1" si="5"/>
        <v/>
      </c>
      <c r="J22" s="266" t="str">
        <f t="shared" ca="1" si="5"/>
        <v/>
      </c>
      <c r="K22" s="264" t="str">
        <f t="shared" ca="1" si="5"/>
        <v/>
      </c>
      <c r="L22" s="265" t="str">
        <f t="shared" ca="1" si="5"/>
        <v/>
      </c>
      <c r="M22" s="266" t="str">
        <f t="shared" ca="1" si="5"/>
        <v/>
      </c>
      <c r="N22" s="264" t="str">
        <f t="shared" ca="1" si="5"/>
        <v/>
      </c>
      <c r="O22" s="265" t="str">
        <f t="shared" ca="1" si="5"/>
        <v/>
      </c>
      <c r="P22" s="266" t="str">
        <f t="shared" ca="1" si="5"/>
        <v/>
      </c>
      <c r="Q22" s="267" t="str">
        <f t="shared" ca="1" si="5"/>
        <v/>
      </c>
      <c r="R22" s="268" t="str">
        <f t="shared" ca="1" si="9"/>
        <v/>
      </c>
      <c r="S22" s="264" t="str">
        <f t="shared" ca="1" si="6"/>
        <v/>
      </c>
      <c r="T22" s="269" t="str">
        <f t="shared" ca="1" si="6"/>
        <v/>
      </c>
      <c r="U22" s="268" t="str">
        <f t="shared" ca="1" si="6"/>
        <v/>
      </c>
      <c r="V22" s="264" t="str">
        <f t="shared" ca="1" si="6"/>
        <v/>
      </c>
      <c r="W22" s="265" t="str">
        <f t="shared" ca="1" si="6"/>
        <v/>
      </c>
      <c r="X22" s="266" t="str">
        <f t="shared" ca="1" si="6"/>
        <v/>
      </c>
      <c r="Y22" s="264" t="str">
        <f t="shared" ca="1" si="6"/>
        <v/>
      </c>
      <c r="Z22" s="265" t="str">
        <f t="shared" ca="1" si="6"/>
        <v/>
      </c>
      <c r="AA22" s="266" t="str">
        <f t="shared" ca="1" si="6"/>
        <v/>
      </c>
      <c r="AB22" s="267" t="str">
        <f t="shared" ca="1" si="6"/>
        <v/>
      </c>
      <c r="AC22" s="538"/>
      <c r="AD22" s="212" t="str">
        <f t="shared" ca="1" si="7"/>
        <v/>
      </c>
    </row>
    <row r="23" spans="1:30" s="45" customFormat="1" ht="22.5" customHeight="1">
      <c r="A23" s="270" t="s">
        <v>625</v>
      </c>
      <c r="B23" s="271"/>
      <c r="C23" s="272" t="str">
        <f ca="1">SUBSTITUTE(SUBSTITUTE(IF(-DOLLAR(E23),IF(E23&gt;0,,"负")&amp;TEXT(INT(ABS(E23)+0.5%),"[dbnum2]G/通用格式元;;")&amp;TEXT(RIGHT(DOLLAR(E23,2),2),"[dbnum2]0角0分;;整"),),"零角",IF(E23^2&lt;1,,"零")),"零分","整")</f>
        <v>肆仟玖佰捌拾壹元捌角整</v>
      </c>
      <c r="D23" s="273"/>
      <c r="E23" s="274">
        <f ca="1">SUM(E17:E22)</f>
        <v>4981.8</v>
      </c>
      <c r="F23" s="275">
        <f ca="1">SUM(F17:F22)</f>
        <v>4981.8</v>
      </c>
      <c r="G23" s="276" t="str">
        <f t="shared" ca="1" si="8"/>
        <v xml:space="preserve"> </v>
      </c>
      <c r="H23" s="277" t="str">
        <f t="shared" ca="1" si="8"/>
        <v xml:space="preserve"> </v>
      </c>
      <c r="I23" s="278" t="str">
        <f t="shared" ca="1" si="5"/>
        <v xml:space="preserve"> </v>
      </c>
      <c r="J23" s="279" t="str">
        <f t="shared" ca="1" si="5"/>
        <v xml:space="preserve"> </v>
      </c>
      <c r="K23" s="277" t="str">
        <f t="shared" ca="1" si="5"/>
        <v>￥</v>
      </c>
      <c r="L23" s="278" t="str">
        <f t="shared" ca="1" si="5"/>
        <v>4</v>
      </c>
      <c r="M23" s="279" t="str">
        <f t="shared" ca="1" si="5"/>
        <v>9</v>
      </c>
      <c r="N23" s="277" t="str">
        <f t="shared" ca="1" si="5"/>
        <v>8</v>
      </c>
      <c r="O23" s="278" t="str">
        <f t="shared" ca="1" si="5"/>
        <v>1</v>
      </c>
      <c r="P23" s="279" t="str">
        <f t="shared" ca="1" si="5"/>
        <v>8</v>
      </c>
      <c r="Q23" s="280" t="str">
        <f t="shared" ca="1" si="5"/>
        <v>0</v>
      </c>
      <c r="R23" s="281" t="str">
        <f t="shared" ca="1" si="9"/>
        <v xml:space="preserve"> </v>
      </c>
      <c r="S23" s="277" t="str">
        <f t="shared" ca="1" si="6"/>
        <v xml:space="preserve"> </v>
      </c>
      <c r="T23" s="282" t="str">
        <f t="shared" ca="1" si="6"/>
        <v xml:space="preserve"> </v>
      </c>
      <c r="U23" s="281" t="str">
        <f t="shared" ca="1" si="6"/>
        <v xml:space="preserve"> </v>
      </c>
      <c r="V23" s="277" t="str">
        <f t="shared" ca="1" si="6"/>
        <v>￥</v>
      </c>
      <c r="W23" s="278" t="str">
        <f t="shared" ca="1" si="6"/>
        <v>4</v>
      </c>
      <c r="X23" s="279" t="str">
        <f t="shared" ca="1" si="6"/>
        <v>9</v>
      </c>
      <c r="Y23" s="277" t="str">
        <f t="shared" ca="1" si="6"/>
        <v>8</v>
      </c>
      <c r="Z23" s="278" t="str">
        <f t="shared" ca="1" si="6"/>
        <v>1</v>
      </c>
      <c r="AA23" s="279" t="str">
        <f t="shared" ca="1" si="6"/>
        <v>8</v>
      </c>
      <c r="AB23" s="280" t="str">
        <f t="shared" ca="1" si="6"/>
        <v>0</v>
      </c>
      <c r="AC23" s="283"/>
      <c r="AD23" s="212"/>
    </row>
    <row r="24" spans="1:30" s="22" customFormat="1" ht="22.5" customHeight="1">
      <c r="A24" s="284" t="s">
        <v>627</v>
      </c>
      <c r="B24" s="284"/>
      <c r="C24" s="284"/>
      <c r="D24" s="284" t="s">
        <v>629</v>
      </c>
      <c r="E24" s="284"/>
      <c r="F24" s="284"/>
      <c r="G24" s="284"/>
      <c r="H24" s="285"/>
      <c r="I24" s="284"/>
      <c r="J24" s="285"/>
      <c r="K24" s="285"/>
      <c r="L24" s="284"/>
      <c r="M24" s="285"/>
      <c r="N24" s="285"/>
      <c r="O24" s="285"/>
      <c r="P24" s="284"/>
      <c r="Q24" s="284" t="s">
        <v>631</v>
      </c>
      <c r="R24" s="284"/>
      <c r="S24" s="284"/>
      <c r="T24" s="284"/>
      <c r="U24" s="285"/>
      <c r="V24" s="284"/>
      <c r="W24" s="285"/>
      <c r="X24" s="284"/>
      <c r="Y24" s="284"/>
      <c r="Z24" s="285"/>
      <c r="AA24" s="285"/>
      <c r="AB24" s="285"/>
      <c r="AC24" s="286"/>
      <c r="AD24" s="212"/>
    </row>
    <row r="25" spans="1:30" ht="39.75" customHeight="1" thickBot="1">
      <c r="A25" s="226"/>
      <c r="B25" s="226"/>
      <c r="C25" s="227" t="s">
        <v>632</v>
      </c>
      <c r="D25" s="228"/>
      <c r="E25" s="226"/>
      <c r="F25" s="226"/>
      <c r="G25" s="228"/>
      <c r="H25" s="228"/>
      <c r="I25" s="228"/>
      <c r="J25" s="228"/>
      <c r="K25" s="228"/>
      <c r="L25" s="228"/>
      <c r="M25" s="228"/>
      <c r="N25" s="228"/>
      <c r="O25" s="228"/>
      <c r="P25" s="228"/>
      <c r="Q25" s="228"/>
      <c r="R25" s="229" t="s">
        <v>633</v>
      </c>
      <c r="S25" s="230"/>
      <c r="T25" s="230"/>
      <c r="U25" s="231">
        <f ca="1">DATE(AD$1,AF$1,INDEX(凭证录入!B:B,AD29))</f>
        <v>41288</v>
      </c>
      <c r="V25" s="232"/>
      <c r="W25" s="232"/>
      <c r="X25" s="232"/>
      <c r="Y25" s="232"/>
      <c r="Z25" s="232"/>
      <c r="AA25" s="232"/>
      <c r="AB25" s="232"/>
      <c r="AD25" s="212"/>
    </row>
    <row r="26" spans="1:30" s="45" customFormat="1" ht="23.25" customHeight="1" thickTop="1">
      <c r="A26" s="235" t="s">
        <v>634</v>
      </c>
      <c r="B26" s="235"/>
      <c r="C26" s="236" t="str">
        <f t="shared" ref="C26" si="10">Co</f>
        <v>远大开发有限公司</v>
      </c>
      <c r="D26" s="236"/>
      <c r="E26" s="236"/>
      <c r="F26" s="236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29" t="s">
        <v>635</v>
      </c>
      <c r="S26" s="229"/>
      <c r="T26" s="229"/>
      <c r="U26" s="237" t="str">
        <f>"第 "&amp;TEXT($AF$1,"00")&amp;TEXT($AC26,"0000 号")</f>
        <v>第 010003 号</v>
      </c>
      <c r="V26" s="237"/>
      <c r="W26" s="238"/>
      <c r="X26" s="238"/>
      <c r="Y26" s="238"/>
      <c r="Z26" s="238"/>
      <c r="AA26" s="238"/>
      <c r="AB26" s="238"/>
      <c r="AC26" s="239">
        <f t="shared" ref="AC26" si="11">N(LEFT((AC14),3)+1)</f>
        <v>3</v>
      </c>
      <c r="AD26" s="212"/>
    </row>
    <row r="27" spans="1:30" s="45" customFormat="1" ht="22.5" customHeight="1">
      <c r="A27" s="241" t="s">
        <v>586</v>
      </c>
      <c r="B27" s="542" t="s">
        <v>587</v>
      </c>
      <c r="C27" s="242" t="s">
        <v>589</v>
      </c>
      <c r="D27" s="243" t="s">
        <v>591</v>
      </c>
      <c r="E27" s="539" t="s">
        <v>636</v>
      </c>
      <c r="F27" s="539" t="s">
        <v>637</v>
      </c>
      <c r="G27" s="244" t="s">
        <v>638</v>
      </c>
      <c r="H27" s="245"/>
      <c r="I27" s="245"/>
      <c r="J27" s="245"/>
      <c r="K27" s="245"/>
      <c r="L27" s="245"/>
      <c r="M27" s="245"/>
      <c r="N27" s="245"/>
      <c r="O27" s="245"/>
      <c r="P27" s="245"/>
      <c r="Q27" s="246"/>
      <c r="R27" s="247" t="s">
        <v>599</v>
      </c>
      <c r="S27" s="245"/>
      <c r="T27" s="245"/>
      <c r="U27" s="245"/>
      <c r="V27" s="245"/>
      <c r="W27" s="245"/>
      <c r="X27" s="245"/>
      <c r="Y27" s="245"/>
      <c r="Z27" s="245"/>
      <c r="AA27" s="245"/>
      <c r="AB27" s="246"/>
      <c r="AC27" s="541" t="str">
        <f ca="1">"附单据数︵"&amp;INDEX(凭证录入!$D:$D,$AD$17)&amp;"︶张"</f>
        <v>附单据数︵4︶张</v>
      </c>
      <c r="AD27" s="235"/>
    </row>
    <row r="28" spans="1:30" s="45" customFormat="1" ht="22.5" customHeight="1">
      <c r="A28" s="248" t="s">
        <v>601</v>
      </c>
      <c r="B28" s="543"/>
      <c r="C28" s="249" t="s">
        <v>603</v>
      </c>
      <c r="D28" s="250" t="s">
        <v>603</v>
      </c>
      <c r="E28" s="540"/>
      <c r="F28" s="540"/>
      <c r="G28" s="251" t="s">
        <v>605</v>
      </c>
      <c r="H28" s="252" t="s">
        <v>607</v>
      </c>
      <c r="I28" s="253" t="s">
        <v>609</v>
      </c>
      <c r="J28" s="254" t="s">
        <v>639</v>
      </c>
      <c r="K28" s="252" t="s">
        <v>640</v>
      </c>
      <c r="L28" s="253" t="s">
        <v>607</v>
      </c>
      <c r="M28" s="254" t="s">
        <v>609</v>
      </c>
      <c r="N28" s="252" t="s">
        <v>639</v>
      </c>
      <c r="O28" s="253" t="s">
        <v>641</v>
      </c>
      <c r="P28" s="254" t="s">
        <v>642</v>
      </c>
      <c r="Q28" s="255" t="s">
        <v>643</v>
      </c>
      <c r="R28" s="256" t="s">
        <v>605</v>
      </c>
      <c r="S28" s="252" t="s">
        <v>607</v>
      </c>
      <c r="T28" s="257" t="s">
        <v>609</v>
      </c>
      <c r="U28" s="256" t="s">
        <v>639</v>
      </c>
      <c r="V28" s="252" t="s">
        <v>640</v>
      </c>
      <c r="W28" s="253" t="s">
        <v>607</v>
      </c>
      <c r="X28" s="254" t="s">
        <v>609</v>
      </c>
      <c r="Y28" s="252" t="s">
        <v>639</v>
      </c>
      <c r="Z28" s="253" t="s">
        <v>641</v>
      </c>
      <c r="AA28" s="254" t="s">
        <v>642</v>
      </c>
      <c r="AB28" s="255" t="s">
        <v>643</v>
      </c>
      <c r="AC28" s="541"/>
    </row>
    <row r="29" spans="1:30" s="45" customFormat="1" ht="22.5" customHeight="1">
      <c r="A29" s="258" t="str">
        <f ca="1">IFERROR(INDEX(凭证录入!H:H,$AD29),"")</f>
        <v>电话银行年费</v>
      </c>
      <c r="B29" s="259">
        <f ca="1">IFERROR(INDEX(凭证录入!I:I,$AD29),"")</f>
        <v>660304</v>
      </c>
      <c r="C29" s="260" t="str">
        <f ca="1">IFERROR(VLOOKUP($B29,会计科目表!$A:$C,2,),"")</f>
        <v>财务费用</v>
      </c>
      <c r="D29" s="261" t="str">
        <f ca="1">IFERROR(VLOOKUP($B29,会计科目表!$A:$C,3,),"")</f>
        <v>手续费</v>
      </c>
      <c r="E29" s="262">
        <f ca="1">IFERROR(INDEX(凭证录入!K:K,$AD29),0)</f>
        <v>37.5</v>
      </c>
      <c r="F29" s="262">
        <f ca="1">IFERROR(INDEX(凭证录入!L:L,$AD29),0)</f>
        <v>0</v>
      </c>
      <c r="G29" s="263" t="str">
        <f t="shared" ref="G29:Q35" ca="1" si="12">LEFT(RIGHT(TEXT($E29/1%," ￥0; ￥-0;"),18-COLUMN()))</f>
        <v xml:space="preserve"> </v>
      </c>
      <c r="H29" s="264" t="str">
        <f t="shared" ca="1" si="12"/>
        <v xml:space="preserve"> </v>
      </c>
      <c r="I29" s="265" t="str">
        <f t="shared" ca="1" si="12"/>
        <v xml:space="preserve"> </v>
      </c>
      <c r="J29" s="266" t="str">
        <f t="shared" ca="1" si="12"/>
        <v xml:space="preserve"> </v>
      </c>
      <c r="K29" s="264" t="str">
        <f t="shared" ca="1" si="12"/>
        <v xml:space="preserve"> </v>
      </c>
      <c r="L29" s="265" t="str">
        <f t="shared" ca="1" si="12"/>
        <v xml:space="preserve"> </v>
      </c>
      <c r="M29" s="266" t="str">
        <f t="shared" ca="1" si="12"/>
        <v>￥</v>
      </c>
      <c r="N29" s="264" t="str">
        <f t="shared" ca="1" si="12"/>
        <v>3</v>
      </c>
      <c r="O29" s="265" t="str">
        <f t="shared" ca="1" si="12"/>
        <v>7</v>
      </c>
      <c r="P29" s="266" t="str">
        <f t="shared" ca="1" si="12"/>
        <v>5</v>
      </c>
      <c r="Q29" s="267" t="str">
        <f t="shared" ca="1" si="12"/>
        <v>0</v>
      </c>
      <c r="R29" s="268" t="str">
        <f t="shared" ref="R29:AB35" ca="1" si="13">LEFT(RIGHT(TEXT($F29/1%," ￥0; ￥-0;"),29-COLUMN()))</f>
        <v/>
      </c>
      <c r="S29" s="264" t="str">
        <f t="shared" ca="1" si="13"/>
        <v/>
      </c>
      <c r="T29" s="269" t="str">
        <f t="shared" ca="1" si="13"/>
        <v/>
      </c>
      <c r="U29" s="268" t="str">
        <f t="shared" ca="1" si="13"/>
        <v/>
      </c>
      <c r="V29" s="264" t="str">
        <f t="shared" ca="1" si="13"/>
        <v/>
      </c>
      <c r="W29" s="265" t="str">
        <f t="shared" ca="1" si="13"/>
        <v/>
      </c>
      <c r="X29" s="266" t="str">
        <f t="shared" ca="1" si="13"/>
        <v/>
      </c>
      <c r="Y29" s="264" t="str">
        <f t="shared" ca="1" si="13"/>
        <v/>
      </c>
      <c r="Z29" s="265" t="str">
        <f t="shared" ca="1" si="13"/>
        <v/>
      </c>
      <c r="AA29" s="266" t="str">
        <f t="shared" ca="1" si="13"/>
        <v/>
      </c>
      <c r="AB29" s="267" t="str">
        <f t="shared" ca="1" si="13"/>
        <v/>
      </c>
      <c r="AC29" s="541"/>
      <c r="AD29" s="212">
        <f t="shared" ref="AD29:AD92" ca="1" si="14">IFERROR(INDEX(记账行号,MOD(ROW()-4,12)),"")</f>
        <v>10</v>
      </c>
    </row>
    <row r="30" spans="1:30" s="45" customFormat="1" ht="22.5" customHeight="1">
      <c r="A30" s="258" t="str">
        <f ca="1">IFERROR(INDEX(凭证录入!H:H,$AD30),"")</f>
        <v>电话银行年费</v>
      </c>
      <c r="B30" s="259">
        <f ca="1">IFERROR(INDEX(凭证录入!I:I,$AD30),"")</f>
        <v>10020101</v>
      </c>
      <c r="C30" s="260" t="str">
        <f ca="1">IFERROR(VLOOKUP($B30,会计科目表!$A:$C,2,),"")</f>
        <v>银行存款</v>
      </c>
      <c r="D30" s="261" t="str">
        <f ca="1">IFERROR(VLOOKUP($B30,会计科目表!$A:$C,3,),"")</f>
        <v>农业银行_人民支行</v>
      </c>
      <c r="E30" s="262">
        <f ca="1">IFERROR(INDEX(凭证录入!K:K,$AD30),0)</f>
        <v>0</v>
      </c>
      <c r="F30" s="262">
        <f ca="1">IFERROR(INDEX(凭证录入!L:L,$AD30),0)</f>
        <v>37.5</v>
      </c>
      <c r="G30" s="263" t="str">
        <f t="shared" ca="1" si="12"/>
        <v/>
      </c>
      <c r="H30" s="264" t="str">
        <f t="shared" ca="1" si="12"/>
        <v/>
      </c>
      <c r="I30" s="265" t="str">
        <f t="shared" ca="1" si="12"/>
        <v/>
      </c>
      <c r="J30" s="266" t="str">
        <f t="shared" ca="1" si="12"/>
        <v/>
      </c>
      <c r="K30" s="264" t="str">
        <f t="shared" ca="1" si="12"/>
        <v/>
      </c>
      <c r="L30" s="265" t="str">
        <f t="shared" ca="1" si="12"/>
        <v/>
      </c>
      <c r="M30" s="266" t="str">
        <f t="shared" ca="1" si="12"/>
        <v/>
      </c>
      <c r="N30" s="264" t="str">
        <f t="shared" ca="1" si="12"/>
        <v/>
      </c>
      <c r="O30" s="265" t="str">
        <f t="shared" ca="1" si="12"/>
        <v/>
      </c>
      <c r="P30" s="266" t="str">
        <f t="shared" ca="1" si="12"/>
        <v/>
      </c>
      <c r="Q30" s="267" t="str">
        <f t="shared" ca="1" si="12"/>
        <v/>
      </c>
      <c r="R30" s="268" t="str">
        <f t="shared" ca="1" si="13"/>
        <v xml:space="preserve"> </v>
      </c>
      <c r="S30" s="264" t="str">
        <f t="shared" ca="1" si="13"/>
        <v xml:space="preserve"> </v>
      </c>
      <c r="T30" s="269" t="str">
        <f t="shared" ca="1" si="13"/>
        <v xml:space="preserve"> </v>
      </c>
      <c r="U30" s="268" t="str">
        <f t="shared" ca="1" si="13"/>
        <v xml:space="preserve"> </v>
      </c>
      <c r="V30" s="264" t="str">
        <f t="shared" ca="1" si="13"/>
        <v xml:space="preserve"> </v>
      </c>
      <c r="W30" s="265" t="str">
        <f t="shared" ca="1" si="13"/>
        <v xml:space="preserve"> </v>
      </c>
      <c r="X30" s="266" t="str">
        <f t="shared" ca="1" si="13"/>
        <v>￥</v>
      </c>
      <c r="Y30" s="264" t="str">
        <f t="shared" ca="1" si="13"/>
        <v>3</v>
      </c>
      <c r="Z30" s="265" t="str">
        <f t="shared" ca="1" si="13"/>
        <v>7</v>
      </c>
      <c r="AA30" s="266" t="str">
        <f t="shared" ca="1" si="13"/>
        <v>5</v>
      </c>
      <c r="AB30" s="267" t="str">
        <f t="shared" ca="1" si="13"/>
        <v>0</v>
      </c>
      <c r="AC30" s="541"/>
      <c r="AD30" s="212">
        <f t="shared" ca="1" si="14"/>
        <v>11</v>
      </c>
    </row>
    <row r="31" spans="1:30" s="45" customFormat="1" ht="22.5" customHeight="1">
      <c r="A31" s="258" t="str">
        <f ca="1">IFERROR(INDEX(凭证录入!H:H,$AD31),"")</f>
        <v/>
      </c>
      <c r="B31" s="259" t="str">
        <f ca="1">IFERROR(INDEX(凭证录入!I:I,$AD31),"")</f>
        <v/>
      </c>
      <c r="C31" s="260" t="str">
        <f ca="1">IFERROR(VLOOKUP($B31,会计科目表!$A:$C,2,),"")</f>
        <v/>
      </c>
      <c r="D31" s="261" t="str">
        <f ca="1">IFERROR(VLOOKUP($B31,会计科目表!$A:$C,3,),"")</f>
        <v/>
      </c>
      <c r="E31" s="262">
        <f ca="1">IFERROR(INDEX(凭证录入!K:K,$AD31),0)</f>
        <v>0</v>
      </c>
      <c r="F31" s="262">
        <f ca="1">IFERROR(INDEX(凭证录入!L:L,$AD31),0)</f>
        <v>0</v>
      </c>
      <c r="G31" s="263" t="str">
        <f t="shared" ca="1" si="12"/>
        <v/>
      </c>
      <c r="H31" s="264" t="str">
        <f t="shared" ca="1" si="12"/>
        <v/>
      </c>
      <c r="I31" s="265" t="str">
        <f t="shared" ca="1" si="12"/>
        <v/>
      </c>
      <c r="J31" s="266" t="str">
        <f t="shared" ca="1" si="12"/>
        <v/>
      </c>
      <c r="K31" s="264" t="str">
        <f t="shared" ca="1" si="12"/>
        <v/>
      </c>
      <c r="L31" s="265" t="str">
        <f t="shared" ca="1" si="12"/>
        <v/>
      </c>
      <c r="M31" s="266" t="str">
        <f t="shared" ca="1" si="12"/>
        <v/>
      </c>
      <c r="N31" s="264" t="str">
        <f t="shared" ca="1" si="12"/>
        <v/>
      </c>
      <c r="O31" s="265" t="str">
        <f t="shared" ca="1" si="12"/>
        <v/>
      </c>
      <c r="P31" s="266" t="str">
        <f t="shared" ca="1" si="12"/>
        <v/>
      </c>
      <c r="Q31" s="267" t="str">
        <f t="shared" ca="1" si="12"/>
        <v/>
      </c>
      <c r="R31" s="268" t="str">
        <f t="shared" ca="1" si="13"/>
        <v/>
      </c>
      <c r="S31" s="264" t="str">
        <f t="shared" ca="1" si="13"/>
        <v/>
      </c>
      <c r="T31" s="269" t="str">
        <f t="shared" ca="1" si="13"/>
        <v/>
      </c>
      <c r="U31" s="268" t="str">
        <f t="shared" ca="1" si="13"/>
        <v/>
      </c>
      <c r="V31" s="264" t="str">
        <f t="shared" ca="1" si="13"/>
        <v/>
      </c>
      <c r="W31" s="265" t="str">
        <f t="shared" ca="1" si="13"/>
        <v/>
      </c>
      <c r="X31" s="266" t="str">
        <f t="shared" ca="1" si="13"/>
        <v/>
      </c>
      <c r="Y31" s="264" t="str">
        <f t="shared" ca="1" si="13"/>
        <v/>
      </c>
      <c r="Z31" s="265" t="str">
        <f t="shared" ca="1" si="13"/>
        <v/>
      </c>
      <c r="AA31" s="266" t="str">
        <f t="shared" ca="1" si="13"/>
        <v/>
      </c>
      <c r="AB31" s="267" t="str">
        <f t="shared" ca="1" si="13"/>
        <v/>
      </c>
      <c r="AC31" s="536" t="s">
        <v>623</v>
      </c>
      <c r="AD31" s="212" t="str">
        <f t="shared" ca="1" si="14"/>
        <v/>
      </c>
    </row>
    <row r="32" spans="1:30" s="45" customFormat="1" ht="22.5" customHeight="1">
      <c r="A32" s="258" t="str">
        <f ca="1">IFERROR(INDEX(凭证录入!H:H,$AD32),"")</f>
        <v/>
      </c>
      <c r="B32" s="259" t="str">
        <f ca="1">IFERROR(INDEX(凭证录入!I:I,$AD32),"")</f>
        <v/>
      </c>
      <c r="C32" s="260" t="str">
        <f ca="1">IFERROR(VLOOKUP($B32,会计科目表!$A:$C,2,),"")</f>
        <v/>
      </c>
      <c r="D32" s="261" t="str">
        <f ca="1">IFERROR(VLOOKUP($B32,会计科目表!$A:$C,3,),"")</f>
        <v/>
      </c>
      <c r="E32" s="262">
        <f ca="1">IFERROR(INDEX(凭证录入!K:K,$AD32),0)</f>
        <v>0</v>
      </c>
      <c r="F32" s="262">
        <f ca="1">IFERROR(INDEX(凭证录入!L:L,$AD32),0)</f>
        <v>0</v>
      </c>
      <c r="G32" s="263" t="str">
        <f t="shared" ca="1" si="12"/>
        <v/>
      </c>
      <c r="H32" s="264" t="str">
        <f t="shared" ca="1" si="12"/>
        <v/>
      </c>
      <c r="I32" s="265" t="str">
        <f t="shared" ca="1" si="12"/>
        <v/>
      </c>
      <c r="J32" s="266" t="str">
        <f t="shared" ca="1" si="12"/>
        <v/>
      </c>
      <c r="K32" s="264" t="str">
        <f t="shared" ca="1" si="12"/>
        <v/>
      </c>
      <c r="L32" s="265" t="str">
        <f t="shared" ca="1" si="12"/>
        <v/>
      </c>
      <c r="M32" s="266" t="str">
        <f t="shared" ca="1" si="12"/>
        <v/>
      </c>
      <c r="N32" s="264" t="str">
        <f t="shared" ca="1" si="12"/>
        <v/>
      </c>
      <c r="O32" s="265" t="str">
        <f t="shared" ca="1" si="12"/>
        <v/>
      </c>
      <c r="P32" s="266" t="str">
        <f t="shared" ca="1" si="12"/>
        <v/>
      </c>
      <c r="Q32" s="267" t="str">
        <f t="shared" ca="1" si="12"/>
        <v/>
      </c>
      <c r="R32" s="268" t="str">
        <f t="shared" ca="1" si="13"/>
        <v/>
      </c>
      <c r="S32" s="264" t="str">
        <f t="shared" ca="1" si="13"/>
        <v/>
      </c>
      <c r="T32" s="269" t="str">
        <f t="shared" ca="1" si="13"/>
        <v/>
      </c>
      <c r="U32" s="268" t="str">
        <f t="shared" ca="1" si="13"/>
        <v/>
      </c>
      <c r="V32" s="264" t="str">
        <f t="shared" ca="1" si="13"/>
        <v/>
      </c>
      <c r="W32" s="265" t="str">
        <f t="shared" ca="1" si="13"/>
        <v/>
      </c>
      <c r="X32" s="266" t="str">
        <f t="shared" ca="1" si="13"/>
        <v/>
      </c>
      <c r="Y32" s="264" t="str">
        <f t="shared" ca="1" si="13"/>
        <v/>
      </c>
      <c r="Z32" s="265" t="str">
        <f t="shared" ca="1" si="13"/>
        <v/>
      </c>
      <c r="AA32" s="266" t="str">
        <f t="shared" ca="1" si="13"/>
        <v/>
      </c>
      <c r="AB32" s="267" t="str">
        <f t="shared" ca="1" si="13"/>
        <v/>
      </c>
      <c r="AC32" s="537"/>
      <c r="AD32" s="212" t="str">
        <f t="shared" ca="1" si="14"/>
        <v/>
      </c>
    </row>
    <row r="33" spans="1:30" s="45" customFormat="1" ht="22.5" customHeight="1">
      <c r="A33" s="258" t="str">
        <f ca="1">IFERROR(INDEX(凭证录入!H:H,$AD33),"")</f>
        <v/>
      </c>
      <c r="B33" s="259" t="str">
        <f ca="1">IFERROR(INDEX(凭证录入!I:I,$AD33),"")</f>
        <v/>
      </c>
      <c r="C33" s="260" t="str">
        <f ca="1">IFERROR(VLOOKUP($B33,会计科目表!$A:$C,2,),"")</f>
        <v/>
      </c>
      <c r="D33" s="261" t="str">
        <f ca="1">IFERROR(VLOOKUP($B33,会计科目表!$A:$C,3,),"")</f>
        <v/>
      </c>
      <c r="E33" s="262">
        <f ca="1">IFERROR(INDEX(凭证录入!K:K,$AD33),0)</f>
        <v>0</v>
      </c>
      <c r="F33" s="262">
        <f ca="1">IFERROR(INDEX(凭证录入!L:L,$AD33),0)</f>
        <v>0</v>
      </c>
      <c r="G33" s="263" t="str">
        <f t="shared" ca="1" si="12"/>
        <v/>
      </c>
      <c r="H33" s="264" t="str">
        <f t="shared" ca="1" si="12"/>
        <v/>
      </c>
      <c r="I33" s="265" t="str">
        <f t="shared" ca="1" si="12"/>
        <v/>
      </c>
      <c r="J33" s="266" t="str">
        <f t="shared" ca="1" si="12"/>
        <v/>
      </c>
      <c r="K33" s="264" t="str">
        <f t="shared" ca="1" si="12"/>
        <v/>
      </c>
      <c r="L33" s="265" t="str">
        <f t="shared" ca="1" si="12"/>
        <v/>
      </c>
      <c r="M33" s="266" t="str">
        <f t="shared" ca="1" si="12"/>
        <v/>
      </c>
      <c r="N33" s="264" t="str">
        <f t="shared" ca="1" si="12"/>
        <v/>
      </c>
      <c r="O33" s="265" t="str">
        <f t="shared" ca="1" si="12"/>
        <v/>
      </c>
      <c r="P33" s="266" t="str">
        <f t="shared" ca="1" si="12"/>
        <v/>
      </c>
      <c r="Q33" s="267" t="str">
        <f t="shared" ca="1" si="12"/>
        <v/>
      </c>
      <c r="R33" s="268" t="str">
        <f t="shared" ca="1" si="13"/>
        <v/>
      </c>
      <c r="S33" s="264" t="str">
        <f t="shared" ca="1" si="13"/>
        <v/>
      </c>
      <c r="T33" s="269" t="str">
        <f t="shared" ca="1" si="13"/>
        <v/>
      </c>
      <c r="U33" s="268" t="str">
        <f t="shared" ca="1" si="13"/>
        <v/>
      </c>
      <c r="V33" s="264" t="str">
        <f t="shared" ca="1" si="13"/>
        <v/>
      </c>
      <c r="W33" s="265" t="str">
        <f t="shared" ca="1" si="13"/>
        <v/>
      </c>
      <c r="X33" s="266" t="str">
        <f t="shared" ca="1" si="13"/>
        <v/>
      </c>
      <c r="Y33" s="264" t="str">
        <f t="shared" ca="1" si="13"/>
        <v/>
      </c>
      <c r="Z33" s="265" t="str">
        <f t="shared" ca="1" si="13"/>
        <v/>
      </c>
      <c r="AA33" s="266" t="str">
        <f t="shared" ca="1" si="13"/>
        <v/>
      </c>
      <c r="AB33" s="267" t="str">
        <f t="shared" ca="1" si="13"/>
        <v/>
      </c>
      <c r="AC33" s="538"/>
      <c r="AD33" s="212" t="str">
        <f t="shared" ca="1" si="14"/>
        <v/>
      </c>
    </row>
    <row r="34" spans="1:30" s="45" customFormat="1" ht="22.5" customHeight="1">
      <c r="A34" s="258" t="str">
        <f ca="1">IFERROR(INDEX(凭证录入!H:H,$AD34),"")</f>
        <v/>
      </c>
      <c r="B34" s="259" t="str">
        <f ca="1">IFERROR(INDEX(凭证录入!I:I,$AD34),"")</f>
        <v/>
      </c>
      <c r="C34" s="260" t="str">
        <f ca="1">IFERROR(VLOOKUP($B34,会计科目表!$A:$C,2,),"")</f>
        <v/>
      </c>
      <c r="D34" s="261" t="str">
        <f ca="1">IFERROR(VLOOKUP($B34,会计科目表!$A:$C,3,),"")</f>
        <v/>
      </c>
      <c r="E34" s="262">
        <f ca="1">IFERROR(INDEX(凭证录入!K:K,$AD34),0)</f>
        <v>0</v>
      </c>
      <c r="F34" s="262">
        <f ca="1">IFERROR(INDEX(凭证录入!L:L,$AD34),0)</f>
        <v>0</v>
      </c>
      <c r="G34" s="263" t="str">
        <f t="shared" ca="1" si="12"/>
        <v/>
      </c>
      <c r="H34" s="264" t="str">
        <f t="shared" ca="1" si="12"/>
        <v/>
      </c>
      <c r="I34" s="265" t="str">
        <f t="shared" ca="1" si="12"/>
        <v/>
      </c>
      <c r="J34" s="266" t="str">
        <f t="shared" ca="1" si="12"/>
        <v/>
      </c>
      <c r="K34" s="264" t="str">
        <f t="shared" ca="1" si="12"/>
        <v/>
      </c>
      <c r="L34" s="265" t="str">
        <f t="shared" ca="1" si="12"/>
        <v/>
      </c>
      <c r="M34" s="266" t="str">
        <f t="shared" ca="1" si="12"/>
        <v/>
      </c>
      <c r="N34" s="264" t="str">
        <f t="shared" ca="1" si="12"/>
        <v/>
      </c>
      <c r="O34" s="265" t="str">
        <f t="shared" ca="1" si="12"/>
        <v/>
      </c>
      <c r="P34" s="266" t="str">
        <f t="shared" ca="1" si="12"/>
        <v/>
      </c>
      <c r="Q34" s="267" t="str">
        <f t="shared" ca="1" si="12"/>
        <v/>
      </c>
      <c r="R34" s="268" t="str">
        <f t="shared" ca="1" si="13"/>
        <v/>
      </c>
      <c r="S34" s="264" t="str">
        <f t="shared" ca="1" si="13"/>
        <v/>
      </c>
      <c r="T34" s="269" t="str">
        <f t="shared" ca="1" si="13"/>
        <v/>
      </c>
      <c r="U34" s="268" t="str">
        <f t="shared" ca="1" si="13"/>
        <v/>
      </c>
      <c r="V34" s="264" t="str">
        <f t="shared" ca="1" si="13"/>
        <v/>
      </c>
      <c r="W34" s="265" t="str">
        <f t="shared" ca="1" si="13"/>
        <v/>
      </c>
      <c r="X34" s="266" t="str">
        <f t="shared" ca="1" si="13"/>
        <v/>
      </c>
      <c r="Y34" s="264" t="str">
        <f t="shared" ca="1" si="13"/>
        <v/>
      </c>
      <c r="Z34" s="265" t="str">
        <f t="shared" ca="1" si="13"/>
        <v/>
      </c>
      <c r="AA34" s="266" t="str">
        <f t="shared" ca="1" si="13"/>
        <v/>
      </c>
      <c r="AB34" s="267" t="str">
        <f t="shared" ca="1" si="13"/>
        <v/>
      </c>
      <c r="AC34" s="538"/>
      <c r="AD34" s="212" t="str">
        <f t="shared" ca="1" si="14"/>
        <v/>
      </c>
    </row>
    <row r="35" spans="1:30" s="45" customFormat="1" ht="22.5" customHeight="1">
      <c r="A35" s="270" t="s">
        <v>625</v>
      </c>
      <c r="B35" s="271"/>
      <c r="C35" s="272" t="str">
        <f t="shared" ref="C35" ca="1" si="15">SUBSTITUTE(SUBSTITUTE(IF(-DOLLAR(E35),IF(E35&gt;0,,"负")&amp;TEXT(INT(ABS(E35)+0.5%),"[dbnum2]G/通用格式元;;")&amp;TEXT(RIGHT(DOLLAR(E35,2),2),"[dbnum2]0角0分;;整"),),"零角",IF(E35^2&lt;1,,"零")),"零分","整")</f>
        <v>叁拾柒元伍角整</v>
      </c>
      <c r="D35" s="273"/>
      <c r="E35" s="274">
        <f t="shared" ref="E35:F35" ca="1" si="16">SUM(E29:E34)</f>
        <v>37.5</v>
      </c>
      <c r="F35" s="275">
        <f t="shared" ca="1" si="16"/>
        <v>37.5</v>
      </c>
      <c r="G35" s="276" t="str">
        <f t="shared" ca="1" si="12"/>
        <v xml:space="preserve"> </v>
      </c>
      <c r="H35" s="277" t="str">
        <f t="shared" ca="1" si="12"/>
        <v xml:space="preserve"> </v>
      </c>
      <c r="I35" s="278" t="str">
        <f t="shared" ca="1" si="12"/>
        <v xml:space="preserve"> </v>
      </c>
      <c r="J35" s="279" t="str">
        <f t="shared" ca="1" si="12"/>
        <v xml:space="preserve"> </v>
      </c>
      <c r="K35" s="277" t="str">
        <f t="shared" ca="1" si="12"/>
        <v xml:space="preserve"> </v>
      </c>
      <c r="L35" s="278" t="str">
        <f t="shared" ca="1" si="12"/>
        <v xml:space="preserve"> </v>
      </c>
      <c r="M35" s="279" t="str">
        <f t="shared" ca="1" si="12"/>
        <v>￥</v>
      </c>
      <c r="N35" s="277" t="str">
        <f t="shared" ca="1" si="12"/>
        <v>3</v>
      </c>
      <c r="O35" s="278" t="str">
        <f t="shared" ca="1" si="12"/>
        <v>7</v>
      </c>
      <c r="P35" s="279" t="str">
        <f t="shared" ca="1" si="12"/>
        <v>5</v>
      </c>
      <c r="Q35" s="280" t="str">
        <f t="shared" ca="1" si="12"/>
        <v>0</v>
      </c>
      <c r="R35" s="281" t="str">
        <f t="shared" ca="1" si="13"/>
        <v xml:space="preserve"> </v>
      </c>
      <c r="S35" s="277" t="str">
        <f t="shared" ca="1" si="13"/>
        <v xml:space="preserve"> </v>
      </c>
      <c r="T35" s="282" t="str">
        <f t="shared" ca="1" si="13"/>
        <v xml:space="preserve"> </v>
      </c>
      <c r="U35" s="281" t="str">
        <f t="shared" ca="1" si="13"/>
        <v xml:space="preserve"> </v>
      </c>
      <c r="V35" s="277" t="str">
        <f t="shared" ca="1" si="13"/>
        <v xml:space="preserve"> </v>
      </c>
      <c r="W35" s="278" t="str">
        <f t="shared" ca="1" si="13"/>
        <v xml:space="preserve"> </v>
      </c>
      <c r="X35" s="279" t="str">
        <f t="shared" ca="1" si="13"/>
        <v>￥</v>
      </c>
      <c r="Y35" s="277" t="str">
        <f t="shared" ca="1" si="13"/>
        <v>3</v>
      </c>
      <c r="Z35" s="278" t="str">
        <f t="shared" ca="1" si="13"/>
        <v>7</v>
      </c>
      <c r="AA35" s="279" t="str">
        <f t="shared" ca="1" si="13"/>
        <v>5</v>
      </c>
      <c r="AB35" s="280" t="str">
        <f t="shared" ca="1" si="13"/>
        <v>0</v>
      </c>
      <c r="AC35" s="283"/>
      <c r="AD35" s="212"/>
    </row>
    <row r="36" spans="1:30" s="22" customFormat="1" ht="22.5" customHeight="1">
      <c r="A36" s="284" t="s">
        <v>627</v>
      </c>
      <c r="B36" s="284"/>
      <c r="C36" s="284"/>
      <c r="D36" s="284" t="s">
        <v>629</v>
      </c>
      <c r="E36" s="284"/>
      <c r="F36" s="284"/>
      <c r="G36" s="284"/>
      <c r="H36" s="285"/>
      <c r="I36" s="284"/>
      <c r="J36" s="285"/>
      <c r="K36" s="285"/>
      <c r="L36" s="284"/>
      <c r="M36" s="285"/>
      <c r="N36" s="285"/>
      <c r="O36" s="285"/>
      <c r="P36" s="284"/>
      <c r="Q36" s="284" t="s">
        <v>631</v>
      </c>
      <c r="R36" s="284"/>
      <c r="S36" s="284"/>
      <c r="T36" s="284"/>
      <c r="U36" s="285"/>
      <c r="V36" s="284"/>
      <c r="W36" s="285"/>
      <c r="X36" s="284"/>
      <c r="Y36" s="284"/>
      <c r="Z36" s="285"/>
      <c r="AA36" s="285"/>
      <c r="AB36" s="285"/>
      <c r="AC36" s="286"/>
      <c r="AD36" s="212"/>
    </row>
    <row r="37" spans="1:30" ht="39.75" customHeight="1" thickBot="1">
      <c r="A37" s="226"/>
      <c r="B37" s="226"/>
      <c r="C37" s="227" t="s">
        <v>632</v>
      </c>
      <c r="D37" s="228"/>
      <c r="E37" s="226"/>
      <c r="F37" s="226"/>
      <c r="G37" s="228"/>
      <c r="H37" s="228"/>
      <c r="I37" s="228"/>
      <c r="J37" s="228"/>
      <c r="K37" s="228"/>
      <c r="L37" s="228"/>
      <c r="M37" s="228"/>
      <c r="N37" s="228"/>
      <c r="O37" s="228"/>
      <c r="P37" s="228"/>
      <c r="Q37" s="228"/>
      <c r="R37" s="229" t="s">
        <v>633</v>
      </c>
      <c r="S37" s="230"/>
      <c r="T37" s="230"/>
      <c r="U37" s="231" t="e">
        <f ca="1">DATE(AD$1,AF$1,INDEX(凭证录入!B:B,AD41))</f>
        <v>#VALUE!</v>
      </c>
      <c r="V37" s="232"/>
      <c r="W37" s="232"/>
      <c r="X37" s="232"/>
      <c r="Y37" s="232"/>
      <c r="Z37" s="232"/>
      <c r="AA37" s="232"/>
      <c r="AB37" s="232"/>
      <c r="AD37" s="212"/>
    </row>
    <row r="38" spans="1:30" s="45" customFormat="1" ht="23.25" customHeight="1" thickTop="1">
      <c r="A38" s="235" t="s">
        <v>634</v>
      </c>
      <c r="B38" s="235"/>
      <c r="C38" s="236" t="str">
        <f t="shared" ref="C38:C98" si="17">Co</f>
        <v>远大开发有限公司</v>
      </c>
      <c r="D38" s="236"/>
      <c r="E38" s="236"/>
      <c r="F38" s="236"/>
      <c r="G38" s="236"/>
      <c r="H38" s="236"/>
      <c r="I38" s="236"/>
      <c r="J38" s="236"/>
      <c r="K38" s="236"/>
      <c r="L38" s="236"/>
      <c r="M38" s="236"/>
      <c r="N38" s="236"/>
      <c r="O38" s="236"/>
      <c r="P38" s="236"/>
      <c r="Q38" s="236"/>
      <c r="R38" s="229" t="s">
        <v>635</v>
      </c>
      <c r="S38" s="229"/>
      <c r="T38" s="229"/>
      <c r="U38" s="237" t="str">
        <f t="shared" ref="U38" si="18">"第 "&amp;TEXT($AF$1,"00")&amp;TEXT($AC38,"0000 号")</f>
        <v>第 010004 号</v>
      </c>
      <c r="V38" s="237"/>
      <c r="W38" s="238"/>
      <c r="X38" s="238"/>
      <c r="Y38" s="238"/>
      <c r="Z38" s="238"/>
      <c r="AA38" s="238"/>
      <c r="AB38" s="238"/>
      <c r="AC38" s="239">
        <f t="shared" ref="AC38" si="19">N(LEFT((AC26),3)+1)</f>
        <v>4</v>
      </c>
      <c r="AD38" s="212"/>
    </row>
    <row r="39" spans="1:30" s="45" customFormat="1" ht="22.5" customHeight="1">
      <c r="A39" s="241" t="s">
        <v>586</v>
      </c>
      <c r="B39" s="542" t="s">
        <v>587</v>
      </c>
      <c r="C39" s="242" t="s">
        <v>589</v>
      </c>
      <c r="D39" s="243" t="s">
        <v>591</v>
      </c>
      <c r="E39" s="539" t="s">
        <v>636</v>
      </c>
      <c r="F39" s="539" t="s">
        <v>637</v>
      </c>
      <c r="G39" s="244" t="s">
        <v>638</v>
      </c>
      <c r="H39" s="245"/>
      <c r="I39" s="245"/>
      <c r="J39" s="245"/>
      <c r="K39" s="245"/>
      <c r="L39" s="245"/>
      <c r="M39" s="245"/>
      <c r="N39" s="245"/>
      <c r="O39" s="245"/>
      <c r="P39" s="245"/>
      <c r="Q39" s="246"/>
      <c r="R39" s="247" t="s">
        <v>599</v>
      </c>
      <c r="S39" s="245"/>
      <c r="T39" s="245"/>
      <c r="U39" s="245"/>
      <c r="V39" s="245"/>
      <c r="W39" s="245"/>
      <c r="X39" s="245"/>
      <c r="Y39" s="245"/>
      <c r="Z39" s="245"/>
      <c r="AA39" s="245"/>
      <c r="AB39" s="246"/>
      <c r="AC39" s="541" t="str">
        <f ca="1">"附单据数︵"&amp;INDEX(凭证录入!$D:$D,$AD$17)&amp;"︶张"</f>
        <v>附单据数︵4︶张</v>
      </c>
      <c r="AD39" s="235"/>
    </row>
    <row r="40" spans="1:30" s="45" customFormat="1" ht="22.5" customHeight="1">
      <c r="A40" s="248" t="s">
        <v>601</v>
      </c>
      <c r="B40" s="543"/>
      <c r="C40" s="249" t="s">
        <v>603</v>
      </c>
      <c r="D40" s="250" t="s">
        <v>603</v>
      </c>
      <c r="E40" s="540"/>
      <c r="F40" s="540"/>
      <c r="G40" s="251" t="s">
        <v>605</v>
      </c>
      <c r="H40" s="252" t="s">
        <v>607</v>
      </c>
      <c r="I40" s="253" t="s">
        <v>609</v>
      </c>
      <c r="J40" s="254" t="s">
        <v>639</v>
      </c>
      <c r="K40" s="252" t="s">
        <v>640</v>
      </c>
      <c r="L40" s="253" t="s">
        <v>607</v>
      </c>
      <c r="M40" s="254" t="s">
        <v>609</v>
      </c>
      <c r="N40" s="252" t="s">
        <v>639</v>
      </c>
      <c r="O40" s="253" t="s">
        <v>641</v>
      </c>
      <c r="P40" s="254" t="s">
        <v>642</v>
      </c>
      <c r="Q40" s="255" t="s">
        <v>643</v>
      </c>
      <c r="R40" s="256" t="s">
        <v>605</v>
      </c>
      <c r="S40" s="252" t="s">
        <v>607</v>
      </c>
      <c r="T40" s="257" t="s">
        <v>609</v>
      </c>
      <c r="U40" s="256" t="s">
        <v>639</v>
      </c>
      <c r="V40" s="252" t="s">
        <v>640</v>
      </c>
      <c r="W40" s="253" t="s">
        <v>607</v>
      </c>
      <c r="X40" s="254" t="s">
        <v>609</v>
      </c>
      <c r="Y40" s="252" t="s">
        <v>639</v>
      </c>
      <c r="Z40" s="253" t="s">
        <v>641</v>
      </c>
      <c r="AA40" s="254" t="s">
        <v>642</v>
      </c>
      <c r="AB40" s="255" t="s">
        <v>643</v>
      </c>
      <c r="AC40" s="541"/>
    </row>
    <row r="41" spans="1:30" s="45" customFormat="1" ht="22.5" customHeight="1">
      <c r="A41" s="258" t="str">
        <f ca="1">IFERROR(INDEX(凭证录入!H:H,$AD41),"")</f>
        <v/>
      </c>
      <c r="B41" s="259" t="str">
        <f ca="1">IFERROR(INDEX(凭证录入!I:I,$AD41),"")</f>
        <v/>
      </c>
      <c r="C41" s="260" t="str">
        <f ca="1">IFERROR(VLOOKUP($B41,会计科目表!$A:$C,2,),"")</f>
        <v/>
      </c>
      <c r="D41" s="261" t="str">
        <f ca="1">IFERROR(VLOOKUP($B41,会计科目表!$A:$C,3,),"")</f>
        <v/>
      </c>
      <c r="E41" s="262">
        <f ca="1">IFERROR(INDEX(凭证录入!K:K,$AD41),0)</f>
        <v>0</v>
      </c>
      <c r="F41" s="262">
        <f ca="1">IFERROR(INDEX(凭证录入!L:L,$AD41),0)</f>
        <v>0</v>
      </c>
      <c r="G41" s="263" t="str">
        <f t="shared" ref="G41:Q79" ca="1" si="20">LEFT(RIGHT(TEXT($E41/1%," ￥0; ￥-0;"),18-COLUMN()))</f>
        <v/>
      </c>
      <c r="H41" s="264" t="str">
        <f t="shared" ca="1" si="20"/>
        <v/>
      </c>
      <c r="I41" s="265" t="str">
        <f t="shared" ca="1" si="20"/>
        <v/>
      </c>
      <c r="J41" s="266" t="str">
        <f t="shared" ca="1" si="20"/>
        <v/>
      </c>
      <c r="K41" s="264" t="str">
        <f t="shared" ca="1" si="20"/>
        <v/>
      </c>
      <c r="L41" s="265" t="str">
        <f t="shared" ca="1" si="20"/>
        <v/>
      </c>
      <c r="M41" s="266" t="str">
        <f t="shared" ca="1" si="20"/>
        <v/>
      </c>
      <c r="N41" s="264" t="str">
        <f t="shared" ca="1" si="20"/>
        <v/>
      </c>
      <c r="O41" s="265" t="str">
        <f t="shared" ca="1" si="20"/>
        <v/>
      </c>
      <c r="P41" s="266" t="str">
        <f t="shared" ca="1" si="20"/>
        <v/>
      </c>
      <c r="Q41" s="267" t="str">
        <f t="shared" ca="1" si="20"/>
        <v/>
      </c>
      <c r="R41" s="268" t="str">
        <f t="shared" ref="R41:AB79" ca="1" si="21">LEFT(RIGHT(TEXT($F41/1%," ￥0; ￥-0;"),29-COLUMN()))</f>
        <v/>
      </c>
      <c r="S41" s="264" t="str">
        <f t="shared" ca="1" si="21"/>
        <v/>
      </c>
      <c r="T41" s="269" t="str">
        <f t="shared" ca="1" si="21"/>
        <v/>
      </c>
      <c r="U41" s="268" t="str">
        <f t="shared" ca="1" si="21"/>
        <v/>
      </c>
      <c r="V41" s="264" t="str">
        <f t="shared" ca="1" si="21"/>
        <v/>
      </c>
      <c r="W41" s="265" t="str">
        <f t="shared" ca="1" si="21"/>
        <v/>
      </c>
      <c r="X41" s="266" t="str">
        <f t="shared" ca="1" si="21"/>
        <v/>
      </c>
      <c r="Y41" s="264" t="str">
        <f t="shared" ca="1" si="21"/>
        <v/>
      </c>
      <c r="Z41" s="265" t="str">
        <f t="shared" ca="1" si="21"/>
        <v/>
      </c>
      <c r="AA41" s="266" t="str">
        <f t="shared" ca="1" si="21"/>
        <v/>
      </c>
      <c r="AB41" s="267" t="str">
        <f t="shared" ca="1" si="21"/>
        <v/>
      </c>
      <c r="AC41" s="541"/>
      <c r="AD41" s="212" t="str">
        <f t="shared" ca="1" si="14"/>
        <v/>
      </c>
    </row>
    <row r="42" spans="1:30" s="45" customFormat="1" ht="22.5" customHeight="1">
      <c r="A42" s="258" t="str">
        <f ca="1">IFERROR(INDEX(凭证录入!H:H,$AD42),"")</f>
        <v/>
      </c>
      <c r="B42" s="259" t="str">
        <f ca="1">IFERROR(INDEX(凭证录入!I:I,$AD42),"")</f>
        <v/>
      </c>
      <c r="C42" s="260" t="str">
        <f ca="1">IFERROR(VLOOKUP($B42,会计科目表!$A:$C,2,),"")</f>
        <v/>
      </c>
      <c r="D42" s="261" t="str">
        <f ca="1">IFERROR(VLOOKUP($B42,会计科目表!$A:$C,3,),"")</f>
        <v/>
      </c>
      <c r="E42" s="262">
        <f ca="1">IFERROR(INDEX(凭证录入!K:K,$AD42),0)</f>
        <v>0</v>
      </c>
      <c r="F42" s="262">
        <f ca="1">IFERROR(INDEX(凭证录入!L:L,$AD42),0)</f>
        <v>0</v>
      </c>
      <c r="G42" s="263" t="str">
        <f t="shared" ca="1" si="20"/>
        <v/>
      </c>
      <c r="H42" s="264" t="str">
        <f t="shared" ca="1" si="20"/>
        <v/>
      </c>
      <c r="I42" s="265" t="str">
        <f t="shared" ca="1" si="20"/>
        <v/>
      </c>
      <c r="J42" s="266" t="str">
        <f t="shared" ca="1" si="20"/>
        <v/>
      </c>
      <c r="K42" s="264" t="str">
        <f t="shared" ca="1" si="20"/>
        <v/>
      </c>
      <c r="L42" s="265" t="str">
        <f t="shared" ca="1" si="20"/>
        <v/>
      </c>
      <c r="M42" s="266" t="str">
        <f t="shared" ca="1" si="20"/>
        <v/>
      </c>
      <c r="N42" s="264" t="str">
        <f t="shared" ca="1" si="20"/>
        <v/>
      </c>
      <c r="O42" s="265" t="str">
        <f t="shared" ca="1" si="20"/>
        <v/>
      </c>
      <c r="P42" s="266" t="str">
        <f t="shared" ca="1" si="20"/>
        <v/>
      </c>
      <c r="Q42" s="267" t="str">
        <f t="shared" ca="1" si="20"/>
        <v/>
      </c>
      <c r="R42" s="268" t="str">
        <f t="shared" ca="1" si="21"/>
        <v/>
      </c>
      <c r="S42" s="264" t="str">
        <f t="shared" ca="1" si="21"/>
        <v/>
      </c>
      <c r="T42" s="269" t="str">
        <f t="shared" ca="1" si="21"/>
        <v/>
      </c>
      <c r="U42" s="268" t="str">
        <f t="shared" ca="1" si="21"/>
        <v/>
      </c>
      <c r="V42" s="264" t="str">
        <f t="shared" ca="1" si="21"/>
        <v/>
      </c>
      <c r="W42" s="265" t="str">
        <f t="shared" ca="1" si="21"/>
        <v/>
      </c>
      <c r="X42" s="266" t="str">
        <f t="shared" ca="1" si="21"/>
        <v/>
      </c>
      <c r="Y42" s="264" t="str">
        <f t="shared" ca="1" si="21"/>
        <v/>
      </c>
      <c r="Z42" s="265" t="str">
        <f t="shared" ca="1" si="21"/>
        <v/>
      </c>
      <c r="AA42" s="266" t="str">
        <f t="shared" ca="1" si="21"/>
        <v/>
      </c>
      <c r="AB42" s="267" t="str">
        <f t="shared" ca="1" si="21"/>
        <v/>
      </c>
      <c r="AC42" s="541"/>
      <c r="AD42" s="212" t="str">
        <f t="shared" ca="1" si="14"/>
        <v/>
      </c>
    </row>
    <row r="43" spans="1:30" s="45" customFormat="1" ht="22.5" customHeight="1">
      <c r="A43" s="258" t="str">
        <f ca="1">IFERROR(INDEX(凭证录入!H:H,$AD43),"")</f>
        <v/>
      </c>
      <c r="B43" s="259" t="str">
        <f ca="1">IFERROR(INDEX(凭证录入!I:I,$AD43),"")</f>
        <v/>
      </c>
      <c r="C43" s="260" t="str">
        <f ca="1">IFERROR(VLOOKUP($B43,会计科目表!$A:$C,2,),"")</f>
        <v/>
      </c>
      <c r="D43" s="261" t="str">
        <f ca="1">IFERROR(VLOOKUP($B43,会计科目表!$A:$C,3,),"")</f>
        <v/>
      </c>
      <c r="E43" s="262">
        <f ca="1">IFERROR(INDEX(凭证录入!K:K,$AD43),0)</f>
        <v>0</v>
      </c>
      <c r="F43" s="262">
        <f ca="1">IFERROR(INDEX(凭证录入!L:L,$AD43),0)</f>
        <v>0</v>
      </c>
      <c r="G43" s="263" t="str">
        <f t="shared" ca="1" si="20"/>
        <v/>
      </c>
      <c r="H43" s="264" t="str">
        <f t="shared" ca="1" si="20"/>
        <v/>
      </c>
      <c r="I43" s="265" t="str">
        <f t="shared" ca="1" si="20"/>
        <v/>
      </c>
      <c r="J43" s="266" t="str">
        <f t="shared" ca="1" si="20"/>
        <v/>
      </c>
      <c r="K43" s="264" t="str">
        <f t="shared" ca="1" si="20"/>
        <v/>
      </c>
      <c r="L43" s="265" t="str">
        <f t="shared" ca="1" si="20"/>
        <v/>
      </c>
      <c r="M43" s="266" t="str">
        <f t="shared" ca="1" si="20"/>
        <v/>
      </c>
      <c r="N43" s="264" t="str">
        <f t="shared" ca="1" si="20"/>
        <v/>
      </c>
      <c r="O43" s="265" t="str">
        <f t="shared" ca="1" si="20"/>
        <v/>
      </c>
      <c r="P43" s="266" t="str">
        <f t="shared" ca="1" si="20"/>
        <v/>
      </c>
      <c r="Q43" s="267" t="str">
        <f t="shared" ca="1" si="20"/>
        <v/>
      </c>
      <c r="R43" s="268" t="str">
        <f t="shared" ca="1" si="21"/>
        <v/>
      </c>
      <c r="S43" s="264" t="str">
        <f t="shared" ca="1" si="21"/>
        <v/>
      </c>
      <c r="T43" s="269" t="str">
        <f t="shared" ca="1" si="21"/>
        <v/>
      </c>
      <c r="U43" s="268" t="str">
        <f t="shared" ca="1" si="21"/>
        <v/>
      </c>
      <c r="V43" s="264" t="str">
        <f t="shared" ca="1" si="21"/>
        <v/>
      </c>
      <c r="W43" s="265" t="str">
        <f t="shared" ca="1" si="21"/>
        <v/>
      </c>
      <c r="X43" s="266" t="str">
        <f t="shared" ca="1" si="21"/>
        <v/>
      </c>
      <c r="Y43" s="264" t="str">
        <f t="shared" ca="1" si="21"/>
        <v/>
      </c>
      <c r="Z43" s="265" t="str">
        <f t="shared" ca="1" si="21"/>
        <v/>
      </c>
      <c r="AA43" s="266" t="str">
        <f t="shared" ca="1" si="21"/>
        <v/>
      </c>
      <c r="AB43" s="267" t="str">
        <f t="shared" ca="1" si="21"/>
        <v/>
      </c>
      <c r="AC43" s="536" t="s">
        <v>623</v>
      </c>
      <c r="AD43" s="212" t="str">
        <f t="shared" ca="1" si="14"/>
        <v/>
      </c>
    </row>
    <row r="44" spans="1:30" s="45" customFormat="1" ht="22.5" customHeight="1">
      <c r="A44" s="258" t="str">
        <f ca="1">IFERROR(INDEX(凭证录入!H:H,$AD44),"")</f>
        <v/>
      </c>
      <c r="B44" s="259" t="str">
        <f ca="1">IFERROR(INDEX(凭证录入!I:I,$AD44),"")</f>
        <v/>
      </c>
      <c r="C44" s="260" t="str">
        <f ca="1">IFERROR(VLOOKUP($B44,会计科目表!$A:$C,2,),"")</f>
        <v/>
      </c>
      <c r="D44" s="261" t="str">
        <f ca="1">IFERROR(VLOOKUP($B44,会计科目表!$A:$C,3,),"")</f>
        <v/>
      </c>
      <c r="E44" s="262">
        <f ca="1">IFERROR(INDEX(凭证录入!K:K,$AD44),0)</f>
        <v>0</v>
      </c>
      <c r="F44" s="262">
        <f ca="1">IFERROR(INDEX(凭证录入!L:L,$AD44),0)</f>
        <v>0</v>
      </c>
      <c r="G44" s="263" t="str">
        <f t="shared" ca="1" si="20"/>
        <v/>
      </c>
      <c r="H44" s="264" t="str">
        <f t="shared" ca="1" si="20"/>
        <v/>
      </c>
      <c r="I44" s="265" t="str">
        <f t="shared" ca="1" si="20"/>
        <v/>
      </c>
      <c r="J44" s="266" t="str">
        <f t="shared" ca="1" si="20"/>
        <v/>
      </c>
      <c r="K44" s="264" t="str">
        <f t="shared" ca="1" si="20"/>
        <v/>
      </c>
      <c r="L44" s="265" t="str">
        <f t="shared" ca="1" si="20"/>
        <v/>
      </c>
      <c r="M44" s="266" t="str">
        <f t="shared" ca="1" si="20"/>
        <v/>
      </c>
      <c r="N44" s="264" t="str">
        <f t="shared" ca="1" si="20"/>
        <v/>
      </c>
      <c r="O44" s="265" t="str">
        <f t="shared" ca="1" si="20"/>
        <v/>
      </c>
      <c r="P44" s="266" t="str">
        <f t="shared" ca="1" si="20"/>
        <v/>
      </c>
      <c r="Q44" s="267" t="str">
        <f t="shared" ca="1" si="20"/>
        <v/>
      </c>
      <c r="R44" s="268" t="str">
        <f t="shared" ca="1" si="21"/>
        <v/>
      </c>
      <c r="S44" s="264" t="str">
        <f t="shared" ca="1" si="21"/>
        <v/>
      </c>
      <c r="T44" s="269" t="str">
        <f t="shared" ca="1" si="21"/>
        <v/>
      </c>
      <c r="U44" s="268" t="str">
        <f t="shared" ca="1" si="21"/>
        <v/>
      </c>
      <c r="V44" s="264" t="str">
        <f t="shared" ca="1" si="21"/>
        <v/>
      </c>
      <c r="W44" s="265" t="str">
        <f t="shared" ca="1" si="21"/>
        <v/>
      </c>
      <c r="X44" s="266" t="str">
        <f t="shared" ca="1" si="21"/>
        <v/>
      </c>
      <c r="Y44" s="264" t="str">
        <f t="shared" ca="1" si="21"/>
        <v/>
      </c>
      <c r="Z44" s="265" t="str">
        <f t="shared" ca="1" si="21"/>
        <v/>
      </c>
      <c r="AA44" s="266" t="str">
        <f t="shared" ca="1" si="21"/>
        <v/>
      </c>
      <c r="AB44" s="267" t="str">
        <f t="shared" ca="1" si="21"/>
        <v/>
      </c>
      <c r="AC44" s="537"/>
      <c r="AD44" s="212" t="str">
        <f t="shared" ca="1" si="14"/>
        <v/>
      </c>
    </row>
    <row r="45" spans="1:30" s="45" customFormat="1" ht="22.5" customHeight="1">
      <c r="A45" s="258" t="str">
        <f ca="1">IFERROR(INDEX(凭证录入!H:H,$AD45),"")</f>
        <v/>
      </c>
      <c r="B45" s="259" t="str">
        <f ca="1">IFERROR(INDEX(凭证录入!I:I,$AD45),"")</f>
        <v/>
      </c>
      <c r="C45" s="260" t="str">
        <f ca="1">IFERROR(VLOOKUP($B45,会计科目表!$A:$C,2,),"")</f>
        <v/>
      </c>
      <c r="D45" s="261" t="str">
        <f ca="1">IFERROR(VLOOKUP($B45,会计科目表!$A:$C,3,),"")</f>
        <v/>
      </c>
      <c r="E45" s="262">
        <f ca="1">IFERROR(INDEX(凭证录入!K:K,$AD45),0)</f>
        <v>0</v>
      </c>
      <c r="F45" s="262">
        <f ca="1">IFERROR(INDEX(凭证录入!L:L,$AD45),0)</f>
        <v>0</v>
      </c>
      <c r="G45" s="263" t="str">
        <f t="shared" ca="1" si="20"/>
        <v/>
      </c>
      <c r="H45" s="264" t="str">
        <f t="shared" ca="1" si="20"/>
        <v/>
      </c>
      <c r="I45" s="265" t="str">
        <f t="shared" ca="1" si="20"/>
        <v/>
      </c>
      <c r="J45" s="266" t="str">
        <f t="shared" ca="1" si="20"/>
        <v/>
      </c>
      <c r="K45" s="264" t="str">
        <f t="shared" ca="1" si="20"/>
        <v/>
      </c>
      <c r="L45" s="265" t="str">
        <f t="shared" ca="1" si="20"/>
        <v/>
      </c>
      <c r="M45" s="266" t="str">
        <f t="shared" ca="1" si="20"/>
        <v/>
      </c>
      <c r="N45" s="264" t="str">
        <f t="shared" ca="1" si="20"/>
        <v/>
      </c>
      <c r="O45" s="265" t="str">
        <f t="shared" ca="1" si="20"/>
        <v/>
      </c>
      <c r="P45" s="266" t="str">
        <f t="shared" ca="1" si="20"/>
        <v/>
      </c>
      <c r="Q45" s="267" t="str">
        <f t="shared" ca="1" si="20"/>
        <v/>
      </c>
      <c r="R45" s="268" t="str">
        <f t="shared" ca="1" si="21"/>
        <v/>
      </c>
      <c r="S45" s="264" t="str">
        <f t="shared" ca="1" si="21"/>
        <v/>
      </c>
      <c r="T45" s="269" t="str">
        <f t="shared" ca="1" si="21"/>
        <v/>
      </c>
      <c r="U45" s="268" t="str">
        <f t="shared" ca="1" si="21"/>
        <v/>
      </c>
      <c r="V45" s="264" t="str">
        <f t="shared" ca="1" si="21"/>
        <v/>
      </c>
      <c r="W45" s="265" t="str">
        <f t="shared" ca="1" si="21"/>
        <v/>
      </c>
      <c r="X45" s="266" t="str">
        <f t="shared" ca="1" si="21"/>
        <v/>
      </c>
      <c r="Y45" s="264" t="str">
        <f t="shared" ca="1" si="21"/>
        <v/>
      </c>
      <c r="Z45" s="265" t="str">
        <f t="shared" ca="1" si="21"/>
        <v/>
      </c>
      <c r="AA45" s="266" t="str">
        <f t="shared" ca="1" si="21"/>
        <v/>
      </c>
      <c r="AB45" s="267" t="str">
        <f t="shared" ca="1" si="21"/>
        <v/>
      </c>
      <c r="AC45" s="538"/>
      <c r="AD45" s="212" t="str">
        <f t="shared" ca="1" si="14"/>
        <v/>
      </c>
    </row>
    <row r="46" spans="1:30" s="45" customFormat="1" ht="22.5" customHeight="1">
      <c r="A46" s="258" t="str">
        <f ca="1">IFERROR(INDEX(凭证录入!H:H,$AD46),"")</f>
        <v/>
      </c>
      <c r="B46" s="259" t="str">
        <f ca="1">IFERROR(INDEX(凭证录入!I:I,$AD46),"")</f>
        <v/>
      </c>
      <c r="C46" s="260" t="str">
        <f ca="1">IFERROR(VLOOKUP($B46,会计科目表!$A:$C,2,),"")</f>
        <v/>
      </c>
      <c r="D46" s="261" t="str">
        <f ca="1">IFERROR(VLOOKUP($B46,会计科目表!$A:$C,3,),"")</f>
        <v/>
      </c>
      <c r="E46" s="262">
        <f ca="1">IFERROR(INDEX(凭证录入!K:K,$AD46),0)</f>
        <v>0</v>
      </c>
      <c r="F46" s="262">
        <f ca="1">IFERROR(INDEX(凭证录入!L:L,$AD46),0)</f>
        <v>0</v>
      </c>
      <c r="G46" s="263" t="str">
        <f t="shared" ca="1" si="20"/>
        <v/>
      </c>
      <c r="H46" s="264" t="str">
        <f t="shared" ca="1" si="20"/>
        <v/>
      </c>
      <c r="I46" s="265" t="str">
        <f t="shared" ca="1" si="20"/>
        <v/>
      </c>
      <c r="J46" s="266" t="str">
        <f t="shared" ca="1" si="20"/>
        <v/>
      </c>
      <c r="K46" s="264" t="str">
        <f t="shared" ca="1" si="20"/>
        <v/>
      </c>
      <c r="L46" s="265" t="str">
        <f t="shared" ca="1" si="20"/>
        <v/>
      </c>
      <c r="M46" s="266" t="str">
        <f t="shared" ca="1" si="20"/>
        <v/>
      </c>
      <c r="N46" s="264" t="str">
        <f t="shared" ca="1" si="20"/>
        <v/>
      </c>
      <c r="O46" s="265" t="str">
        <f t="shared" ca="1" si="20"/>
        <v/>
      </c>
      <c r="P46" s="266" t="str">
        <f t="shared" ca="1" si="20"/>
        <v/>
      </c>
      <c r="Q46" s="267" t="str">
        <f t="shared" ca="1" si="20"/>
        <v/>
      </c>
      <c r="R46" s="268" t="str">
        <f t="shared" ca="1" si="21"/>
        <v/>
      </c>
      <c r="S46" s="264" t="str">
        <f t="shared" ca="1" si="21"/>
        <v/>
      </c>
      <c r="T46" s="269" t="str">
        <f t="shared" ca="1" si="21"/>
        <v/>
      </c>
      <c r="U46" s="268" t="str">
        <f t="shared" ca="1" si="21"/>
        <v/>
      </c>
      <c r="V46" s="264" t="str">
        <f t="shared" ca="1" si="21"/>
        <v/>
      </c>
      <c r="W46" s="265" t="str">
        <f t="shared" ca="1" si="21"/>
        <v/>
      </c>
      <c r="X46" s="266" t="str">
        <f t="shared" ca="1" si="21"/>
        <v/>
      </c>
      <c r="Y46" s="264" t="str">
        <f t="shared" ca="1" si="21"/>
        <v/>
      </c>
      <c r="Z46" s="265" t="str">
        <f t="shared" ca="1" si="21"/>
        <v/>
      </c>
      <c r="AA46" s="266" t="str">
        <f t="shared" ca="1" si="21"/>
        <v/>
      </c>
      <c r="AB46" s="267" t="str">
        <f t="shared" ca="1" si="21"/>
        <v/>
      </c>
      <c r="AC46" s="538"/>
      <c r="AD46" s="212" t="str">
        <f t="shared" ca="1" si="14"/>
        <v/>
      </c>
    </row>
    <row r="47" spans="1:30" s="45" customFormat="1" ht="22.5" customHeight="1">
      <c r="A47" s="270" t="s">
        <v>625</v>
      </c>
      <c r="B47" s="271"/>
      <c r="C47" s="272" t="str">
        <f t="shared" ref="C47" ca="1" si="22">SUBSTITUTE(SUBSTITUTE(IF(-DOLLAR(E47),IF(E47&gt;0,,"负")&amp;TEXT(INT(ABS(E47)+0.5%),"[dbnum2]G/通用格式元;;")&amp;TEXT(RIGHT(DOLLAR(E47,2),2),"[dbnum2]0角0分;;整"),),"零角",IF(E47^2&lt;1,,"零")),"零分","整")</f>
        <v/>
      </c>
      <c r="D47" s="273"/>
      <c r="E47" s="274">
        <f t="shared" ref="E47:F47" ca="1" si="23">SUM(E41:E46)</f>
        <v>0</v>
      </c>
      <c r="F47" s="275">
        <f t="shared" ca="1" si="23"/>
        <v>0</v>
      </c>
      <c r="G47" s="276" t="str">
        <f t="shared" ca="1" si="20"/>
        <v/>
      </c>
      <c r="H47" s="277" t="str">
        <f t="shared" ca="1" si="20"/>
        <v/>
      </c>
      <c r="I47" s="278" t="str">
        <f t="shared" ca="1" si="20"/>
        <v/>
      </c>
      <c r="J47" s="279" t="str">
        <f t="shared" ca="1" si="20"/>
        <v/>
      </c>
      <c r="K47" s="277" t="str">
        <f t="shared" ca="1" si="20"/>
        <v/>
      </c>
      <c r="L47" s="278" t="str">
        <f t="shared" ca="1" si="20"/>
        <v/>
      </c>
      <c r="M47" s="279" t="str">
        <f t="shared" ca="1" si="20"/>
        <v/>
      </c>
      <c r="N47" s="277" t="str">
        <f t="shared" ca="1" si="20"/>
        <v/>
      </c>
      <c r="O47" s="278" t="str">
        <f t="shared" ca="1" si="20"/>
        <v/>
      </c>
      <c r="P47" s="279" t="str">
        <f t="shared" ca="1" si="20"/>
        <v/>
      </c>
      <c r="Q47" s="280" t="str">
        <f t="shared" ca="1" si="20"/>
        <v/>
      </c>
      <c r="R47" s="281" t="str">
        <f t="shared" ca="1" si="21"/>
        <v/>
      </c>
      <c r="S47" s="277" t="str">
        <f t="shared" ca="1" si="21"/>
        <v/>
      </c>
      <c r="T47" s="282" t="str">
        <f t="shared" ca="1" si="21"/>
        <v/>
      </c>
      <c r="U47" s="281" t="str">
        <f t="shared" ca="1" si="21"/>
        <v/>
      </c>
      <c r="V47" s="277" t="str">
        <f t="shared" ca="1" si="21"/>
        <v/>
      </c>
      <c r="W47" s="278" t="str">
        <f t="shared" ca="1" si="21"/>
        <v/>
      </c>
      <c r="X47" s="279" t="str">
        <f t="shared" ca="1" si="21"/>
        <v/>
      </c>
      <c r="Y47" s="277" t="str">
        <f t="shared" ca="1" si="21"/>
        <v/>
      </c>
      <c r="Z47" s="278" t="str">
        <f t="shared" ca="1" si="21"/>
        <v/>
      </c>
      <c r="AA47" s="279" t="str">
        <f t="shared" ca="1" si="21"/>
        <v/>
      </c>
      <c r="AB47" s="280" t="str">
        <f t="shared" ca="1" si="21"/>
        <v/>
      </c>
      <c r="AC47" s="283"/>
      <c r="AD47" s="212"/>
    </row>
    <row r="48" spans="1:30" s="22" customFormat="1" ht="22.5" customHeight="1">
      <c r="A48" s="284" t="s">
        <v>627</v>
      </c>
      <c r="B48" s="284"/>
      <c r="C48" s="284"/>
      <c r="D48" s="284" t="s">
        <v>629</v>
      </c>
      <c r="E48" s="284"/>
      <c r="F48" s="284"/>
      <c r="G48" s="284"/>
      <c r="H48" s="285"/>
      <c r="I48" s="284"/>
      <c r="J48" s="285"/>
      <c r="K48" s="285"/>
      <c r="L48" s="284"/>
      <c r="M48" s="285"/>
      <c r="N48" s="285"/>
      <c r="O48" s="285"/>
      <c r="P48" s="284"/>
      <c r="Q48" s="284" t="s">
        <v>631</v>
      </c>
      <c r="R48" s="284"/>
      <c r="S48" s="284"/>
      <c r="T48" s="284"/>
      <c r="U48" s="285"/>
      <c r="V48" s="284"/>
      <c r="W48" s="285"/>
      <c r="X48" s="284"/>
      <c r="Y48" s="284"/>
      <c r="Z48" s="285"/>
      <c r="AA48" s="285"/>
      <c r="AB48" s="285"/>
      <c r="AC48" s="286"/>
      <c r="AD48" s="212"/>
    </row>
    <row r="49" spans="1:30" ht="39.75" customHeight="1" thickBot="1">
      <c r="A49" s="226"/>
      <c r="B49" s="226"/>
      <c r="C49" s="227" t="s">
        <v>632</v>
      </c>
      <c r="D49" s="228"/>
      <c r="E49" s="226"/>
      <c r="F49" s="226"/>
      <c r="G49" s="228"/>
      <c r="H49" s="228"/>
      <c r="I49" s="228"/>
      <c r="J49" s="228"/>
      <c r="K49" s="228"/>
      <c r="L49" s="228"/>
      <c r="M49" s="228"/>
      <c r="N49" s="228"/>
      <c r="O49" s="228"/>
      <c r="P49" s="228"/>
      <c r="Q49" s="228"/>
      <c r="R49" s="229" t="s">
        <v>633</v>
      </c>
      <c r="S49" s="230"/>
      <c r="T49" s="230"/>
      <c r="U49" s="231">
        <f ca="1">DATE(AD$1,AF$1,INDEX(凭证录入!B:B,AD53))</f>
        <v>41305</v>
      </c>
      <c r="V49" s="232"/>
      <c r="W49" s="232"/>
      <c r="X49" s="232"/>
      <c r="Y49" s="232"/>
      <c r="Z49" s="232"/>
      <c r="AA49" s="232"/>
      <c r="AB49" s="232"/>
      <c r="AD49" s="212"/>
    </row>
    <row r="50" spans="1:30" s="45" customFormat="1" ht="23.25" customHeight="1" thickTop="1">
      <c r="A50" s="235" t="s">
        <v>634</v>
      </c>
      <c r="B50" s="235"/>
      <c r="C50" s="236" t="str">
        <f t="shared" si="17"/>
        <v>远大开发有限公司</v>
      </c>
      <c r="D50" s="236"/>
      <c r="E50" s="236"/>
      <c r="F50" s="236"/>
      <c r="G50" s="236"/>
      <c r="H50" s="236"/>
      <c r="I50" s="236"/>
      <c r="J50" s="236"/>
      <c r="K50" s="236"/>
      <c r="L50" s="236"/>
      <c r="M50" s="236"/>
      <c r="N50" s="236"/>
      <c r="O50" s="236"/>
      <c r="P50" s="236"/>
      <c r="Q50" s="236"/>
      <c r="R50" s="229" t="s">
        <v>635</v>
      </c>
      <c r="S50" s="229"/>
      <c r="T50" s="229"/>
      <c r="U50" s="237" t="str">
        <f t="shared" ref="U50" si="24">"第 "&amp;TEXT($AF$1,"00")&amp;TEXT($AC50,"0000 号")</f>
        <v>第 010005 号</v>
      </c>
      <c r="V50" s="237"/>
      <c r="W50" s="238"/>
      <c r="X50" s="238"/>
      <c r="Y50" s="238"/>
      <c r="Z50" s="238"/>
      <c r="AA50" s="238"/>
      <c r="AB50" s="238"/>
      <c r="AC50" s="239">
        <f t="shared" ref="AC50" si="25">N(LEFT((AC38),3)+1)</f>
        <v>5</v>
      </c>
      <c r="AD50" s="212"/>
    </row>
    <row r="51" spans="1:30" s="45" customFormat="1" ht="22.5" customHeight="1">
      <c r="A51" s="241" t="s">
        <v>586</v>
      </c>
      <c r="B51" s="542" t="s">
        <v>587</v>
      </c>
      <c r="C51" s="242" t="s">
        <v>589</v>
      </c>
      <c r="D51" s="243" t="s">
        <v>591</v>
      </c>
      <c r="E51" s="539" t="s">
        <v>636</v>
      </c>
      <c r="F51" s="539" t="s">
        <v>637</v>
      </c>
      <c r="G51" s="244" t="s">
        <v>638</v>
      </c>
      <c r="H51" s="245"/>
      <c r="I51" s="245"/>
      <c r="J51" s="245"/>
      <c r="K51" s="245"/>
      <c r="L51" s="245"/>
      <c r="M51" s="245"/>
      <c r="N51" s="245"/>
      <c r="O51" s="245"/>
      <c r="P51" s="245"/>
      <c r="Q51" s="246"/>
      <c r="R51" s="247" t="s">
        <v>599</v>
      </c>
      <c r="S51" s="245"/>
      <c r="T51" s="245"/>
      <c r="U51" s="245"/>
      <c r="V51" s="245"/>
      <c r="W51" s="245"/>
      <c r="X51" s="245"/>
      <c r="Y51" s="245"/>
      <c r="Z51" s="245"/>
      <c r="AA51" s="245"/>
      <c r="AB51" s="246"/>
      <c r="AC51" s="541" t="str">
        <f ca="1">"附单据数︵"&amp;INDEX(凭证录入!$D:$D,$AD$17)&amp;"︶张"</f>
        <v>附单据数︵4︶张</v>
      </c>
      <c r="AD51" s="235"/>
    </row>
    <row r="52" spans="1:30" s="45" customFormat="1" ht="22.5" customHeight="1">
      <c r="A52" s="248" t="s">
        <v>601</v>
      </c>
      <c r="B52" s="543"/>
      <c r="C52" s="249" t="s">
        <v>603</v>
      </c>
      <c r="D52" s="250" t="s">
        <v>603</v>
      </c>
      <c r="E52" s="540"/>
      <c r="F52" s="540"/>
      <c r="G52" s="251" t="s">
        <v>605</v>
      </c>
      <c r="H52" s="252" t="s">
        <v>607</v>
      </c>
      <c r="I52" s="253" t="s">
        <v>609</v>
      </c>
      <c r="J52" s="254" t="s">
        <v>639</v>
      </c>
      <c r="K52" s="252" t="s">
        <v>640</v>
      </c>
      <c r="L52" s="253" t="s">
        <v>607</v>
      </c>
      <c r="M52" s="254" t="s">
        <v>609</v>
      </c>
      <c r="N52" s="252" t="s">
        <v>639</v>
      </c>
      <c r="O52" s="253" t="s">
        <v>641</v>
      </c>
      <c r="P52" s="254" t="s">
        <v>642</v>
      </c>
      <c r="Q52" s="255" t="s">
        <v>643</v>
      </c>
      <c r="R52" s="256" t="s">
        <v>605</v>
      </c>
      <c r="S52" s="252" t="s">
        <v>607</v>
      </c>
      <c r="T52" s="257" t="s">
        <v>609</v>
      </c>
      <c r="U52" s="256" t="s">
        <v>639</v>
      </c>
      <c r="V52" s="252" t="s">
        <v>640</v>
      </c>
      <c r="W52" s="253" t="s">
        <v>607</v>
      </c>
      <c r="X52" s="254" t="s">
        <v>609</v>
      </c>
      <c r="Y52" s="252" t="s">
        <v>639</v>
      </c>
      <c r="Z52" s="253" t="s">
        <v>641</v>
      </c>
      <c r="AA52" s="254" t="s">
        <v>642</v>
      </c>
      <c r="AB52" s="255" t="s">
        <v>643</v>
      </c>
      <c r="AC52" s="541"/>
    </row>
    <row r="53" spans="1:30" s="45" customFormat="1" ht="22.5" customHeight="1">
      <c r="A53" s="258" t="str">
        <f ca="1">IFERROR(INDEX(凭证录入!H:H,$AD53),"")</f>
        <v>结转1月利润</v>
      </c>
      <c r="B53" s="259">
        <f ca="1">IFERROR(INDEX(凭证录入!I:I,$AD53),"")</f>
        <v>4103</v>
      </c>
      <c r="C53" s="260" t="str">
        <f ca="1">IFERROR(VLOOKUP($B53,会计科目表!$A:$C,2,),"")</f>
        <v>本年利润</v>
      </c>
      <c r="D53" s="261">
        <f ca="1">IFERROR(VLOOKUP($B53,会计科目表!$A:$C,3,),"")</f>
        <v>0</v>
      </c>
      <c r="E53" s="262">
        <f ca="1">IFERROR(INDEX(凭证录入!K:K,$AD53),0)</f>
        <v>37.5</v>
      </c>
      <c r="F53" s="262">
        <f ca="1">IFERROR(INDEX(凭证录入!L:L,$AD53),0)</f>
        <v>0</v>
      </c>
      <c r="G53" s="263" t="str">
        <f t="shared" ca="1" si="20"/>
        <v xml:space="preserve"> </v>
      </c>
      <c r="H53" s="264" t="str">
        <f t="shared" ca="1" si="20"/>
        <v xml:space="preserve"> </v>
      </c>
      <c r="I53" s="265" t="str">
        <f t="shared" ca="1" si="20"/>
        <v xml:space="preserve"> </v>
      </c>
      <c r="J53" s="266" t="str">
        <f t="shared" ca="1" si="20"/>
        <v xml:space="preserve"> </v>
      </c>
      <c r="K53" s="264" t="str">
        <f t="shared" ca="1" si="20"/>
        <v xml:space="preserve"> </v>
      </c>
      <c r="L53" s="265" t="str">
        <f t="shared" ca="1" si="20"/>
        <v xml:space="preserve"> </v>
      </c>
      <c r="M53" s="266" t="str">
        <f t="shared" ca="1" si="20"/>
        <v>￥</v>
      </c>
      <c r="N53" s="264" t="str">
        <f t="shared" ca="1" si="20"/>
        <v>3</v>
      </c>
      <c r="O53" s="265" t="str">
        <f t="shared" ca="1" si="20"/>
        <v>7</v>
      </c>
      <c r="P53" s="266" t="str">
        <f t="shared" ca="1" si="20"/>
        <v>5</v>
      </c>
      <c r="Q53" s="267" t="str">
        <f t="shared" ca="1" si="20"/>
        <v>0</v>
      </c>
      <c r="R53" s="268" t="str">
        <f t="shared" ca="1" si="21"/>
        <v/>
      </c>
      <c r="S53" s="264" t="str">
        <f t="shared" ca="1" si="21"/>
        <v/>
      </c>
      <c r="T53" s="269" t="str">
        <f t="shared" ca="1" si="21"/>
        <v/>
      </c>
      <c r="U53" s="268" t="str">
        <f t="shared" ca="1" si="21"/>
        <v/>
      </c>
      <c r="V53" s="264" t="str">
        <f t="shared" ca="1" si="21"/>
        <v/>
      </c>
      <c r="W53" s="265" t="str">
        <f t="shared" ca="1" si="21"/>
        <v/>
      </c>
      <c r="X53" s="266" t="str">
        <f t="shared" ca="1" si="21"/>
        <v/>
      </c>
      <c r="Y53" s="264" t="str">
        <f t="shared" ca="1" si="21"/>
        <v/>
      </c>
      <c r="Z53" s="265" t="str">
        <f t="shared" ca="1" si="21"/>
        <v/>
      </c>
      <c r="AA53" s="266" t="str">
        <f t="shared" ca="1" si="21"/>
        <v/>
      </c>
      <c r="AB53" s="267" t="str">
        <f t="shared" ca="1" si="21"/>
        <v/>
      </c>
      <c r="AC53" s="541"/>
      <c r="AD53" s="212">
        <f t="shared" ca="1" si="14"/>
        <v>19</v>
      </c>
    </row>
    <row r="54" spans="1:30" s="45" customFormat="1" ht="22.5" customHeight="1">
      <c r="A54" s="258" t="str">
        <f ca="1">IFERROR(INDEX(凭证录入!H:H,$AD54),"")</f>
        <v>结转1月利润</v>
      </c>
      <c r="B54" s="259">
        <f ca="1">IFERROR(INDEX(凭证录入!I:I,$AD54),"")</f>
        <v>660304</v>
      </c>
      <c r="C54" s="260" t="str">
        <f ca="1">IFERROR(VLOOKUP($B54,会计科目表!$A:$C,2,),"")</f>
        <v>财务费用</v>
      </c>
      <c r="D54" s="261" t="str">
        <f ca="1">IFERROR(VLOOKUP($B54,会计科目表!$A:$C,3,),"")</f>
        <v>手续费</v>
      </c>
      <c r="E54" s="262">
        <f ca="1">IFERROR(INDEX(凭证录入!K:K,$AD54),0)</f>
        <v>0</v>
      </c>
      <c r="F54" s="262">
        <f ca="1">IFERROR(INDEX(凭证录入!L:L,$AD54),0)</f>
        <v>37.5</v>
      </c>
      <c r="G54" s="263" t="str">
        <f t="shared" ca="1" si="20"/>
        <v/>
      </c>
      <c r="H54" s="264" t="str">
        <f t="shared" ca="1" si="20"/>
        <v/>
      </c>
      <c r="I54" s="265" t="str">
        <f t="shared" ca="1" si="20"/>
        <v/>
      </c>
      <c r="J54" s="266" t="str">
        <f t="shared" ca="1" si="20"/>
        <v/>
      </c>
      <c r="K54" s="264" t="str">
        <f t="shared" ca="1" si="20"/>
        <v/>
      </c>
      <c r="L54" s="265" t="str">
        <f t="shared" ca="1" si="20"/>
        <v/>
      </c>
      <c r="M54" s="266" t="str">
        <f t="shared" ca="1" si="20"/>
        <v/>
      </c>
      <c r="N54" s="264" t="str">
        <f t="shared" ca="1" si="20"/>
        <v/>
      </c>
      <c r="O54" s="265" t="str">
        <f t="shared" ca="1" si="20"/>
        <v/>
      </c>
      <c r="P54" s="266" t="str">
        <f t="shared" ca="1" si="20"/>
        <v/>
      </c>
      <c r="Q54" s="267" t="str">
        <f t="shared" ca="1" si="20"/>
        <v/>
      </c>
      <c r="R54" s="268" t="str">
        <f t="shared" ca="1" si="21"/>
        <v xml:space="preserve"> </v>
      </c>
      <c r="S54" s="264" t="str">
        <f t="shared" ca="1" si="21"/>
        <v xml:space="preserve"> </v>
      </c>
      <c r="T54" s="269" t="str">
        <f t="shared" ca="1" si="21"/>
        <v xml:space="preserve"> </v>
      </c>
      <c r="U54" s="268" t="str">
        <f t="shared" ca="1" si="21"/>
        <v xml:space="preserve"> </v>
      </c>
      <c r="V54" s="264" t="str">
        <f t="shared" ca="1" si="21"/>
        <v xml:space="preserve"> </v>
      </c>
      <c r="W54" s="265" t="str">
        <f t="shared" ca="1" si="21"/>
        <v xml:space="preserve"> </v>
      </c>
      <c r="X54" s="266" t="str">
        <f t="shared" ca="1" si="21"/>
        <v>￥</v>
      </c>
      <c r="Y54" s="264" t="str">
        <f t="shared" ca="1" si="21"/>
        <v>3</v>
      </c>
      <c r="Z54" s="265" t="str">
        <f t="shared" ca="1" si="21"/>
        <v>7</v>
      </c>
      <c r="AA54" s="266" t="str">
        <f t="shared" ca="1" si="21"/>
        <v>5</v>
      </c>
      <c r="AB54" s="267" t="str">
        <f t="shared" ca="1" si="21"/>
        <v>0</v>
      </c>
      <c r="AC54" s="541"/>
      <c r="AD54" s="212">
        <f t="shared" ca="1" si="14"/>
        <v>20</v>
      </c>
    </row>
    <row r="55" spans="1:30" s="45" customFormat="1" ht="22.5" customHeight="1">
      <c r="A55" s="258" t="str">
        <f ca="1">IFERROR(INDEX(凭证录入!H:H,$AD55),"")</f>
        <v/>
      </c>
      <c r="B55" s="259" t="str">
        <f ca="1">IFERROR(INDEX(凭证录入!I:I,$AD55),"")</f>
        <v/>
      </c>
      <c r="C55" s="260" t="str">
        <f ca="1">IFERROR(VLOOKUP($B55,会计科目表!$A:$C,2,),"")</f>
        <v/>
      </c>
      <c r="D55" s="261" t="str">
        <f ca="1">IFERROR(VLOOKUP($B55,会计科目表!$A:$C,3,),"")</f>
        <v/>
      </c>
      <c r="E55" s="262">
        <f ca="1">IFERROR(INDEX(凭证录入!K:K,$AD55),0)</f>
        <v>0</v>
      </c>
      <c r="F55" s="262">
        <f ca="1">IFERROR(INDEX(凭证录入!L:L,$AD55),0)</f>
        <v>0</v>
      </c>
      <c r="G55" s="263" t="str">
        <f t="shared" ca="1" si="20"/>
        <v/>
      </c>
      <c r="H55" s="264" t="str">
        <f t="shared" ca="1" si="20"/>
        <v/>
      </c>
      <c r="I55" s="265" t="str">
        <f t="shared" ca="1" si="20"/>
        <v/>
      </c>
      <c r="J55" s="266" t="str">
        <f t="shared" ca="1" si="20"/>
        <v/>
      </c>
      <c r="K55" s="264" t="str">
        <f t="shared" ca="1" si="20"/>
        <v/>
      </c>
      <c r="L55" s="265" t="str">
        <f t="shared" ca="1" si="20"/>
        <v/>
      </c>
      <c r="M55" s="266" t="str">
        <f t="shared" ca="1" si="20"/>
        <v/>
      </c>
      <c r="N55" s="264" t="str">
        <f t="shared" ca="1" si="20"/>
        <v/>
      </c>
      <c r="O55" s="265" t="str">
        <f t="shared" ca="1" si="20"/>
        <v/>
      </c>
      <c r="P55" s="266" t="str">
        <f t="shared" ca="1" si="20"/>
        <v/>
      </c>
      <c r="Q55" s="267" t="str">
        <f t="shared" ca="1" si="20"/>
        <v/>
      </c>
      <c r="R55" s="268" t="str">
        <f t="shared" ca="1" si="21"/>
        <v/>
      </c>
      <c r="S55" s="264" t="str">
        <f t="shared" ca="1" si="21"/>
        <v/>
      </c>
      <c r="T55" s="269" t="str">
        <f t="shared" ca="1" si="21"/>
        <v/>
      </c>
      <c r="U55" s="268" t="str">
        <f t="shared" ca="1" si="21"/>
        <v/>
      </c>
      <c r="V55" s="264" t="str">
        <f t="shared" ca="1" si="21"/>
        <v/>
      </c>
      <c r="W55" s="265" t="str">
        <f t="shared" ca="1" si="21"/>
        <v/>
      </c>
      <c r="X55" s="266" t="str">
        <f t="shared" ca="1" si="21"/>
        <v/>
      </c>
      <c r="Y55" s="264" t="str">
        <f t="shared" ca="1" si="21"/>
        <v/>
      </c>
      <c r="Z55" s="265" t="str">
        <f t="shared" ca="1" si="21"/>
        <v/>
      </c>
      <c r="AA55" s="266" t="str">
        <f t="shared" ca="1" si="21"/>
        <v/>
      </c>
      <c r="AB55" s="267" t="str">
        <f t="shared" ca="1" si="21"/>
        <v/>
      </c>
      <c r="AC55" s="536" t="s">
        <v>623</v>
      </c>
      <c r="AD55" s="212" t="str">
        <f t="shared" ca="1" si="14"/>
        <v/>
      </c>
    </row>
    <row r="56" spans="1:30" s="45" customFormat="1" ht="22.5" customHeight="1">
      <c r="A56" s="258" t="str">
        <f ca="1">IFERROR(INDEX(凭证录入!H:H,$AD56),"")</f>
        <v/>
      </c>
      <c r="B56" s="259" t="str">
        <f ca="1">IFERROR(INDEX(凭证录入!I:I,$AD56),"")</f>
        <v/>
      </c>
      <c r="C56" s="260" t="str">
        <f ca="1">IFERROR(VLOOKUP($B56,会计科目表!$A:$C,2,),"")</f>
        <v/>
      </c>
      <c r="D56" s="261" t="str">
        <f ca="1">IFERROR(VLOOKUP($B56,会计科目表!$A:$C,3,),"")</f>
        <v/>
      </c>
      <c r="E56" s="262">
        <f ca="1">IFERROR(INDEX(凭证录入!K:K,$AD56),0)</f>
        <v>0</v>
      </c>
      <c r="F56" s="262">
        <f ca="1">IFERROR(INDEX(凭证录入!L:L,$AD56),0)</f>
        <v>0</v>
      </c>
      <c r="G56" s="263" t="str">
        <f t="shared" ca="1" si="20"/>
        <v/>
      </c>
      <c r="H56" s="264" t="str">
        <f t="shared" ca="1" si="20"/>
        <v/>
      </c>
      <c r="I56" s="265" t="str">
        <f t="shared" ca="1" si="20"/>
        <v/>
      </c>
      <c r="J56" s="266" t="str">
        <f t="shared" ca="1" si="20"/>
        <v/>
      </c>
      <c r="K56" s="264" t="str">
        <f t="shared" ca="1" si="20"/>
        <v/>
      </c>
      <c r="L56" s="265" t="str">
        <f t="shared" ca="1" si="20"/>
        <v/>
      </c>
      <c r="M56" s="266" t="str">
        <f t="shared" ca="1" si="20"/>
        <v/>
      </c>
      <c r="N56" s="264" t="str">
        <f t="shared" ca="1" si="20"/>
        <v/>
      </c>
      <c r="O56" s="265" t="str">
        <f t="shared" ca="1" si="20"/>
        <v/>
      </c>
      <c r="P56" s="266" t="str">
        <f t="shared" ca="1" si="20"/>
        <v/>
      </c>
      <c r="Q56" s="267" t="str">
        <f t="shared" ca="1" si="20"/>
        <v/>
      </c>
      <c r="R56" s="268" t="str">
        <f t="shared" ca="1" si="21"/>
        <v/>
      </c>
      <c r="S56" s="264" t="str">
        <f t="shared" ca="1" si="21"/>
        <v/>
      </c>
      <c r="T56" s="269" t="str">
        <f t="shared" ca="1" si="21"/>
        <v/>
      </c>
      <c r="U56" s="268" t="str">
        <f t="shared" ca="1" si="21"/>
        <v/>
      </c>
      <c r="V56" s="264" t="str">
        <f t="shared" ca="1" si="21"/>
        <v/>
      </c>
      <c r="W56" s="265" t="str">
        <f t="shared" ca="1" si="21"/>
        <v/>
      </c>
      <c r="X56" s="266" t="str">
        <f t="shared" ca="1" si="21"/>
        <v/>
      </c>
      <c r="Y56" s="264" t="str">
        <f t="shared" ca="1" si="21"/>
        <v/>
      </c>
      <c r="Z56" s="265" t="str">
        <f t="shared" ca="1" si="21"/>
        <v/>
      </c>
      <c r="AA56" s="266" t="str">
        <f t="shared" ca="1" si="21"/>
        <v/>
      </c>
      <c r="AB56" s="267" t="str">
        <f t="shared" ca="1" si="21"/>
        <v/>
      </c>
      <c r="AC56" s="537"/>
      <c r="AD56" s="212" t="str">
        <f t="shared" ca="1" si="14"/>
        <v/>
      </c>
    </row>
    <row r="57" spans="1:30" s="45" customFormat="1" ht="22.5" customHeight="1">
      <c r="A57" s="258" t="str">
        <f ca="1">IFERROR(INDEX(凭证录入!H:H,$AD57),"")</f>
        <v/>
      </c>
      <c r="B57" s="259" t="str">
        <f ca="1">IFERROR(INDEX(凭证录入!I:I,$AD57),"")</f>
        <v/>
      </c>
      <c r="C57" s="260" t="str">
        <f ca="1">IFERROR(VLOOKUP($B57,会计科目表!$A:$C,2,),"")</f>
        <v/>
      </c>
      <c r="D57" s="261" t="str">
        <f ca="1">IFERROR(VLOOKUP($B57,会计科目表!$A:$C,3,),"")</f>
        <v/>
      </c>
      <c r="E57" s="262">
        <f ca="1">IFERROR(INDEX(凭证录入!K:K,$AD57),0)</f>
        <v>0</v>
      </c>
      <c r="F57" s="262">
        <f ca="1">IFERROR(INDEX(凭证录入!L:L,$AD57),0)</f>
        <v>0</v>
      </c>
      <c r="G57" s="263" t="str">
        <f t="shared" ca="1" si="20"/>
        <v/>
      </c>
      <c r="H57" s="264" t="str">
        <f t="shared" ca="1" si="20"/>
        <v/>
      </c>
      <c r="I57" s="265" t="str">
        <f t="shared" ca="1" si="20"/>
        <v/>
      </c>
      <c r="J57" s="266" t="str">
        <f t="shared" ca="1" si="20"/>
        <v/>
      </c>
      <c r="K57" s="264" t="str">
        <f t="shared" ca="1" si="20"/>
        <v/>
      </c>
      <c r="L57" s="265" t="str">
        <f t="shared" ca="1" si="20"/>
        <v/>
      </c>
      <c r="M57" s="266" t="str">
        <f t="shared" ca="1" si="20"/>
        <v/>
      </c>
      <c r="N57" s="264" t="str">
        <f t="shared" ca="1" si="20"/>
        <v/>
      </c>
      <c r="O57" s="265" t="str">
        <f t="shared" ca="1" si="20"/>
        <v/>
      </c>
      <c r="P57" s="266" t="str">
        <f t="shared" ca="1" si="20"/>
        <v/>
      </c>
      <c r="Q57" s="267" t="str">
        <f t="shared" ca="1" si="20"/>
        <v/>
      </c>
      <c r="R57" s="268" t="str">
        <f t="shared" ca="1" si="21"/>
        <v/>
      </c>
      <c r="S57" s="264" t="str">
        <f t="shared" ca="1" si="21"/>
        <v/>
      </c>
      <c r="T57" s="269" t="str">
        <f t="shared" ca="1" si="21"/>
        <v/>
      </c>
      <c r="U57" s="268" t="str">
        <f t="shared" ca="1" si="21"/>
        <v/>
      </c>
      <c r="V57" s="264" t="str">
        <f t="shared" ca="1" si="21"/>
        <v/>
      </c>
      <c r="W57" s="265" t="str">
        <f t="shared" ca="1" si="21"/>
        <v/>
      </c>
      <c r="X57" s="266" t="str">
        <f t="shared" ca="1" si="21"/>
        <v/>
      </c>
      <c r="Y57" s="264" t="str">
        <f t="shared" ca="1" si="21"/>
        <v/>
      </c>
      <c r="Z57" s="265" t="str">
        <f t="shared" ca="1" si="21"/>
        <v/>
      </c>
      <c r="AA57" s="266" t="str">
        <f t="shared" ca="1" si="21"/>
        <v/>
      </c>
      <c r="AB57" s="267" t="str">
        <f t="shared" ca="1" si="21"/>
        <v/>
      </c>
      <c r="AC57" s="538"/>
      <c r="AD57" s="212" t="str">
        <f t="shared" ca="1" si="14"/>
        <v/>
      </c>
    </row>
    <row r="58" spans="1:30" s="45" customFormat="1" ht="22.5" customHeight="1">
      <c r="A58" s="258" t="str">
        <f ca="1">IFERROR(INDEX(凭证录入!H:H,$AD58),"")</f>
        <v/>
      </c>
      <c r="B58" s="259" t="str">
        <f ca="1">IFERROR(INDEX(凭证录入!I:I,$AD58),"")</f>
        <v/>
      </c>
      <c r="C58" s="260" t="str">
        <f ca="1">IFERROR(VLOOKUP($B58,会计科目表!$A:$C,2,),"")</f>
        <v/>
      </c>
      <c r="D58" s="261" t="str">
        <f ca="1">IFERROR(VLOOKUP($B58,会计科目表!$A:$C,3,),"")</f>
        <v/>
      </c>
      <c r="E58" s="262">
        <f ca="1">IFERROR(INDEX(凭证录入!K:K,$AD58),0)</f>
        <v>0</v>
      </c>
      <c r="F58" s="262">
        <f ca="1">IFERROR(INDEX(凭证录入!L:L,$AD58),0)</f>
        <v>0</v>
      </c>
      <c r="G58" s="263" t="str">
        <f t="shared" ca="1" si="20"/>
        <v/>
      </c>
      <c r="H58" s="264" t="str">
        <f t="shared" ca="1" si="20"/>
        <v/>
      </c>
      <c r="I58" s="265" t="str">
        <f t="shared" ca="1" si="20"/>
        <v/>
      </c>
      <c r="J58" s="266" t="str">
        <f t="shared" ca="1" si="20"/>
        <v/>
      </c>
      <c r="K58" s="264" t="str">
        <f t="shared" ca="1" si="20"/>
        <v/>
      </c>
      <c r="L58" s="265" t="str">
        <f t="shared" ca="1" si="20"/>
        <v/>
      </c>
      <c r="M58" s="266" t="str">
        <f t="shared" ca="1" si="20"/>
        <v/>
      </c>
      <c r="N58" s="264" t="str">
        <f t="shared" ca="1" si="20"/>
        <v/>
      </c>
      <c r="O58" s="265" t="str">
        <f t="shared" ca="1" si="20"/>
        <v/>
      </c>
      <c r="P58" s="266" t="str">
        <f t="shared" ca="1" si="20"/>
        <v/>
      </c>
      <c r="Q58" s="267" t="str">
        <f t="shared" ca="1" si="20"/>
        <v/>
      </c>
      <c r="R58" s="268" t="str">
        <f t="shared" ca="1" si="21"/>
        <v/>
      </c>
      <c r="S58" s="264" t="str">
        <f t="shared" ca="1" si="21"/>
        <v/>
      </c>
      <c r="T58" s="269" t="str">
        <f t="shared" ca="1" si="21"/>
        <v/>
      </c>
      <c r="U58" s="268" t="str">
        <f t="shared" ca="1" si="21"/>
        <v/>
      </c>
      <c r="V58" s="264" t="str">
        <f t="shared" ca="1" si="21"/>
        <v/>
      </c>
      <c r="W58" s="265" t="str">
        <f t="shared" ca="1" si="21"/>
        <v/>
      </c>
      <c r="X58" s="266" t="str">
        <f t="shared" ca="1" si="21"/>
        <v/>
      </c>
      <c r="Y58" s="264" t="str">
        <f t="shared" ca="1" si="21"/>
        <v/>
      </c>
      <c r="Z58" s="265" t="str">
        <f t="shared" ca="1" si="21"/>
        <v/>
      </c>
      <c r="AA58" s="266" t="str">
        <f t="shared" ca="1" si="21"/>
        <v/>
      </c>
      <c r="AB58" s="267" t="str">
        <f t="shared" ca="1" si="21"/>
        <v/>
      </c>
      <c r="AC58" s="538"/>
      <c r="AD58" s="212" t="str">
        <f t="shared" ca="1" si="14"/>
        <v/>
      </c>
    </row>
    <row r="59" spans="1:30" s="45" customFormat="1" ht="22.5" customHeight="1">
      <c r="A59" s="270" t="s">
        <v>625</v>
      </c>
      <c r="B59" s="271"/>
      <c r="C59" s="272" t="str">
        <f t="shared" ref="C59" ca="1" si="26">SUBSTITUTE(SUBSTITUTE(IF(-DOLLAR(E59),IF(E59&gt;0,,"负")&amp;TEXT(INT(ABS(E59)+0.5%),"[dbnum2]G/通用格式元;;")&amp;TEXT(RIGHT(DOLLAR(E59,2),2),"[dbnum2]0角0分;;整"),),"零角",IF(E59^2&lt;1,,"零")),"零分","整")</f>
        <v>叁拾柒元伍角整</v>
      </c>
      <c r="D59" s="273"/>
      <c r="E59" s="274">
        <f t="shared" ref="E59:F59" ca="1" si="27">SUM(E53:E58)</f>
        <v>37.5</v>
      </c>
      <c r="F59" s="275">
        <f t="shared" ca="1" si="27"/>
        <v>37.5</v>
      </c>
      <c r="G59" s="276" t="str">
        <f t="shared" ca="1" si="20"/>
        <v xml:space="preserve"> </v>
      </c>
      <c r="H59" s="277" t="str">
        <f t="shared" ca="1" si="20"/>
        <v xml:space="preserve"> </v>
      </c>
      <c r="I59" s="278" t="str">
        <f t="shared" ca="1" si="20"/>
        <v xml:space="preserve"> </v>
      </c>
      <c r="J59" s="279" t="str">
        <f t="shared" ca="1" si="20"/>
        <v xml:space="preserve"> </v>
      </c>
      <c r="K59" s="277" t="str">
        <f t="shared" ca="1" si="20"/>
        <v xml:space="preserve"> </v>
      </c>
      <c r="L59" s="278" t="str">
        <f t="shared" ca="1" si="20"/>
        <v xml:space="preserve"> </v>
      </c>
      <c r="M59" s="279" t="str">
        <f t="shared" ca="1" si="20"/>
        <v>￥</v>
      </c>
      <c r="N59" s="277" t="str">
        <f t="shared" ca="1" si="20"/>
        <v>3</v>
      </c>
      <c r="O59" s="278" t="str">
        <f t="shared" ca="1" si="20"/>
        <v>7</v>
      </c>
      <c r="P59" s="279" t="str">
        <f t="shared" ca="1" si="20"/>
        <v>5</v>
      </c>
      <c r="Q59" s="280" t="str">
        <f t="shared" ca="1" si="20"/>
        <v>0</v>
      </c>
      <c r="R59" s="281" t="str">
        <f t="shared" ca="1" si="21"/>
        <v xml:space="preserve"> </v>
      </c>
      <c r="S59" s="277" t="str">
        <f t="shared" ca="1" si="21"/>
        <v xml:space="preserve"> </v>
      </c>
      <c r="T59" s="282" t="str">
        <f t="shared" ca="1" si="21"/>
        <v xml:space="preserve"> </v>
      </c>
      <c r="U59" s="281" t="str">
        <f t="shared" ca="1" si="21"/>
        <v xml:space="preserve"> </v>
      </c>
      <c r="V59" s="277" t="str">
        <f t="shared" ca="1" si="21"/>
        <v xml:space="preserve"> </v>
      </c>
      <c r="W59" s="278" t="str">
        <f t="shared" ca="1" si="21"/>
        <v xml:space="preserve"> </v>
      </c>
      <c r="X59" s="279" t="str">
        <f t="shared" ca="1" si="21"/>
        <v>￥</v>
      </c>
      <c r="Y59" s="277" t="str">
        <f t="shared" ca="1" si="21"/>
        <v>3</v>
      </c>
      <c r="Z59" s="278" t="str">
        <f t="shared" ca="1" si="21"/>
        <v>7</v>
      </c>
      <c r="AA59" s="279" t="str">
        <f t="shared" ca="1" si="21"/>
        <v>5</v>
      </c>
      <c r="AB59" s="280" t="str">
        <f t="shared" ca="1" si="21"/>
        <v>0</v>
      </c>
      <c r="AC59" s="283"/>
      <c r="AD59" s="212"/>
    </row>
    <row r="60" spans="1:30" s="22" customFormat="1" ht="22.5" customHeight="1">
      <c r="A60" s="284" t="s">
        <v>627</v>
      </c>
      <c r="B60" s="284"/>
      <c r="C60" s="284"/>
      <c r="D60" s="284" t="s">
        <v>629</v>
      </c>
      <c r="E60" s="284"/>
      <c r="F60" s="284"/>
      <c r="G60" s="284"/>
      <c r="H60" s="285"/>
      <c r="I60" s="284"/>
      <c r="J60" s="285"/>
      <c r="K60" s="285"/>
      <c r="L60" s="284"/>
      <c r="M60" s="285"/>
      <c r="N60" s="285"/>
      <c r="O60" s="285"/>
      <c r="P60" s="284"/>
      <c r="Q60" s="284" t="s">
        <v>631</v>
      </c>
      <c r="R60" s="284"/>
      <c r="S60" s="284"/>
      <c r="T60" s="284"/>
      <c r="U60" s="285"/>
      <c r="V60" s="284"/>
      <c r="W60" s="285"/>
      <c r="X60" s="284"/>
      <c r="Y60" s="284"/>
      <c r="Z60" s="285"/>
      <c r="AA60" s="285"/>
      <c r="AB60" s="285"/>
      <c r="AC60" s="286"/>
      <c r="AD60" s="212"/>
    </row>
    <row r="61" spans="1:30" ht="39.75" customHeight="1" thickBot="1">
      <c r="A61" s="226"/>
      <c r="B61" s="226"/>
      <c r="C61" s="227" t="s">
        <v>632</v>
      </c>
      <c r="D61" s="228"/>
      <c r="E61" s="226"/>
      <c r="F61" s="226"/>
      <c r="G61" s="228"/>
      <c r="H61" s="228"/>
      <c r="I61" s="228"/>
      <c r="J61" s="228"/>
      <c r="K61" s="228"/>
      <c r="L61" s="228"/>
      <c r="M61" s="228"/>
      <c r="N61" s="228"/>
      <c r="O61" s="228"/>
      <c r="P61" s="228"/>
      <c r="Q61" s="228"/>
      <c r="R61" s="229" t="s">
        <v>633</v>
      </c>
      <c r="S61" s="230"/>
      <c r="T61" s="230"/>
      <c r="U61" s="231" t="e">
        <f ca="1">DATE(AD$1,AF$1,INDEX(凭证录入!B:B,AD65))</f>
        <v>#VALUE!</v>
      </c>
      <c r="V61" s="232"/>
      <c r="W61" s="232"/>
      <c r="X61" s="232"/>
      <c r="Y61" s="232"/>
      <c r="Z61" s="232"/>
      <c r="AA61" s="232"/>
      <c r="AB61" s="232"/>
      <c r="AD61" s="212"/>
    </row>
    <row r="62" spans="1:30" s="45" customFormat="1" ht="23.25" customHeight="1" thickTop="1">
      <c r="A62" s="235" t="s">
        <v>634</v>
      </c>
      <c r="B62" s="235"/>
      <c r="C62" s="236" t="str">
        <f t="shared" si="17"/>
        <v>远大开发有限公司</v>
      </c>
      <c r="D62" s="236"/>
      <c r="E62" s="236"/>
      <c r="F62" s="236"/>
      <c r="G62" s="236"/>
      <c r="H62" s="236"/>
      <c r="I62" s="236"/>
      <c r="J62" s="236"/>
      <c r="K62" s="236"/>
      <c r="L62" s="236"/>
      <c r="M62" s="236"/>
      <c r="N62" s="236"/>
      <c r="O62" s="236"/>
      <c r="P62" s="236"/>
      <c r="Q62" s="236"/>
      <c r="R62" s="229" t="s">
        <v>635</v>
      </c>
      <c r="S62" s="229"/>
      <c r="T62" s="229"/>
      <c r="U62" s="237" t="str">
        <f t="shared" ref="U62" si="28">"第 "&amp;TEXT($AF$1,"00")&amp;TEXT($AC62,"0000 号")</f>
        <v>第 010006 号</v>
      </c>
      <c r="V62" s="237"/>
      <c r="W62" s="238"/>
      <c r="X62" s="238"/>
      <c r="Y62" s="238"/>
      <c r="Z62" s="238"/>
      <c r="AA62" s="238"/>
      <c r="AB62" s="238"/>
      <c r="AC62" s="239">
        <f t="shared" ref="AC62" si="29">N(LEFT((AC50),3)+1)</f>
        <v>6</v>
      </c>
      <c r="AD62" s="212"/>
    </row>
    <row r="63" spans="1:30" s="45" customFormat="1" ht="22.5" customHeight="1">
      <c r="A63" s="241" t="s">
        <v>586</v>
      </c>
      <c r="B63" s="542" t="s">
        <v>587</v>
      </c>
      <c r="C63" s="242" t="s">
        <v>589</v>
      </c>
      <c r="D63" s="243" t="s">
        <v>591</v>
      </c>
      <c r="E63" s="539" t="s">
        <v>636</v>
      </c>
      <c r="F63" s="539" t="s">
        <v>637</v>
      </c>
      <c r="G63" s="244" t="s">
        <v>638</v>
      </c>
      <c r="H63" s="245"/>
      <c r="I63" s="245"/>
      <c r="J63" s="245"/>
      <c r="K63" s="245"/>
      <c r="L63" s="245"/>
      <c r="M63" s="245"/>
      <c r="N63" s="245"/>
      <c r="O63" s="245"/>
      <c r="P63" s="245"/>
      <c r="Q63" s="246"/>
      <c r="R63" s="247" t="s">
        <v>599</v>
      </c>
      <c r="S63" s="245"/>
      <c r="T63" s="245"/>
      <c r="U63" s="245"/>
      <c r="V63" s="245"/>
      <c r="W63" s="245"/>
      <c r="X63" s="245"/>
      <c r="Y63" s="245"/>
      <c r="Z63" s="245"/>
      <c r="AA63" s="245"/>
      <c r="AB63" s="246"/>
      <c r="AC63" s="541" t="str">
        <f ca="1">"附单据数︵"&amp;INDEX(凭证录入!$D:$D,$AD$17)&amp;"︶张"</f>
        <v>附单据数︵4︶张</v>
      </c>
      <c r="AD63" s="235"/>
    </row>
    <row r="64" spans="1:30" s="45" customFormat="1" ht="22.5" customHeight="1">
      <c r="A64" s="248" t="s">
        <v>601</v>
      </c>
      <c r="B64" s="543"/>
      <c r="C64" s="249" t="s">
        <v>603</v>
      </c>
      <c r="D64" s="250" t="s">
        <v>603</v>
      </c>
      <c r="E64" s="540"/>
      <c r="F64" s="540"/>
      <c r="G64" s="251" t="s">
        <v>605</v>
      </c>
      <c r="H64" s="252" t="s">
        <v>607</v>
      </c>
      <c r="I64" s="253" t="s">
        <v>609</v>
      </c>
      <c r="J64" s="254" t="s">
        <v>639</v>
      </c>
      <c r="K64" s="252" t="s">
        <v>640</v>
      </c>
      <c r="L64" s="253" t="s">
        <v>607</v>
      </c>
      <c r="M64" s="254" t="s">
        <v>609</v>
      </c>
      <c r="N64" s="252" t="s">
        <v>639</v>
      </c>
      <c r="O64" s="253" t="s">
        <v>641</v>
      </c>
      <c r="P64" s="254" t="s">
        <v>642</v>
      </c>
      <c r="Q64" s="255" t="s">
        <v>643</v>
      </c>
      <c r="R64" s="256" t="s">
        <v>605</v>
      </c>
      <c r="S64" s="252" t="s">
        <v>607</v>
      </c>
      <c r="T64" s="257" t="s">
        <v>609</v>
      </c>
      <c r="U64" s="256" t="s">
        <v>639</v>
      </c>
      <c r="V64" s="252" t="s">
        <v>640</v>
      </c>
      <c r="W64" s="253" t="s">
        <v>607</v>
      </c>
      <c r="X64" s="254" t="s">
        <v>609</v>
      </c>
      <c r="Y64" s="252" t="s">
        <v>639</v>
      </c>
      <c r="Z64" s="253" t="s">
        <v>641</v>
      </c>
      <c r="AA64" s="254" t="s">
        <v>642</v>
      </c>
      <c r="AB64" s="255" t="s">
        <v>643</v>
      </c>
      <c r="AC64" s="541"/>
    </row>
    <row r="65" spans="1:30" s="45" customFormat="1" ht="22.5" customHeight="1">
      <c r="A65" s="258" t="str">
        <f ca="1">IFERROR(INDEX(凭证录入!H:H,$AD65),"")</f>
        <v/>
      </c>
      <c r="B65" s="259" t="str">
        <f ca="1">IFERROR(INDEX(凭证录入!I:I,$AD65),"")</f>
        <v/>
      </c>
      <c r="C65" s="260" t="str">
        <f ca="1">IFERROR(VLOOKUP($B65,会计科目表!$A:$C,2,),"")</f>
        <v/>
      </c>
      <c r="D65" s="261" t="str">
        <f ca="1">IFERROR(VLOOKUP($B65,会计科目表!$A:$C,3,),"")</f>
        <v/>
      </c>
      <c r="E65" s="262">
        <f ca="1">IFERROR(INDEX(凭证录入!K:K,$AD65),0)</f>
        <v>0</v>
      </c>
      <c r="F65" s="262">
        <f ca="1">IFERROR(INDEX(凭证录入!L:L,$AD65),0)</f>
        <v>0</v>
      </c>
      <c r="G65" s="263" t="str">
        <f t="shared" ca="1" si="20"/>
        <v/>
      </c>
      <c r="H65" s="264" t="str">
        <f t="shared" ca="1" si="20"/>
        <v/>
      </c>
      <c r="I65" s="265" t="str">
        <f t="shared" ca="1" si="20"/>
        <v/>
      </c>
      <c r="J65" s="266" t="str">
        <f t="shared" ca="1" si="20"/>
        <v/>
      </c>
      <c r="K65" s="264" t="str">
        <f t="shared" ca="1" si="20"/>
        <v/>
      </c>
      <c r="L65" s="265" t="str">
        <f t="shared" ca="1" si="20"/>
        <v/>
      </c>
      <c r="M65" s="266" t="str">
        <f t="shared" ca="1" si="20"/>
        <v/>
      </c>
      <c r="N65" s="264" t="str">
        <f t="shared" ca="1" si="20"/>
        <v/>
      </c>
      <c r="O65" s="265" t="str">
        <f t="shared" ca="1" si="20"/>
        <v/>
      </c>
      <c r="P65" s="266" t="str">
        <f t="shared" ca="1" si="20"/>
        <v/>
      </c>
      <c r="Q65" s="267" t="str">
        <f t="shared" ca="1" si="20"/>
        <v/>
      </c>
      <c r="R65" s="268" t="str">
        <f t="shared" ca="1" si="21"/>
        <v/>
      </c>
      <c r="S65" s="264" t="str">
        <f t="shared" ca="1" si="21"/>
        <v/>
      </c>
      <c r="T65" s="269" t="str">
        <f t="shared" ca="1" si="21"/>
        <v/>
      </c>
      <c r="U65" s="268" t="str">
        <f t="shared" ca="1" si="21"/>
        <v/>
      </c>
      <c r="V65" s="264" t="str">
        <f t="shared" ca="1" si="21"/>
        <v/>
      </c>
      <c r="W65" s="265" t="str">
        <f t="shared" ca="1" si="21"/>
        <v/>
      </c>
      <c r="X65" s="266" t="str">
        <f t="shared" ca="1" si="21"/>
        <v/>
      </c>
      <c r="Y65" s="264" t="str">
        <f t="shared" ca="1" si="21"/>
        <v/>
      </c>
      <c r="Z65" s="265" t="str">
        <f t="shared" ca="1" si="21"/>
        <v/>
      </c>
      <c r="AA65" s="266" t="str">
        <f t="shared" ca="1" si="21"/>
        <v/>
      </c>
      <c r="AB65" s="267" t="str">
        <f t="shared" ca="1" si="21"/>
        <v/>
      </c>
      <c r="AC65" s="541"/>
      <c r="AD65" s="212" t="str">
        <f t="shared" ca="1" si="14"/>
        <v/>
      </c>
    </row>
    <row r="66" spans="1:30" s="45" customFormat="1" ht="22.5" customHeight="1">
      <c r="A66" s="258" t="str">
        <f ca="1">IFERROR(INDEX(凭证录入!H:H,$AD66),"")</f>
        <v/>
      </c>
      <c r="B66" s="259" t="str">
        <f ca="1">IFERROR(INDEX(凭证录入!I:I,$AD66),"")</f>
        <v/>
      </c>
      <c r="C66" s="260" t="str">
        <f ca="1">IFERROR(VLOOKUP($B66,会计科目表!$A:$C,2,),"")</f>
        <v/>
      </c>
      <c r="D66" s="261" t="str">
        <f ca="1">IFERROR(VLOOKUP($B66,会计科目表!$A:$C,3,),"")</f>
        <v/>
      </c>
      <c r="E66" s="262">
        <f ca="1">IFERROR(INDEX(凭证录入!K:K,$AD66),0)</f>
        <v>0</v>
      </c>
      <c r="F66" s="262">
        <f ca="1">IFERROR(INDEX(凭证录入!L:L,$AD66),0)</f>
        <v>0</v>
      </c>
      <c r="G66" s="263" t="str">
        <f t="shared" ca="1" si="20"/>
        <v/>
      </c>
      <c r="H66" s="264" t="str">
        <f t="shared" ca="1" si="20"/>
        <v/>
      </c>
      <c r="I66" s="265" t="str">
        <f t="shared" ca="1" si="20"/>
        <v/>
      </c>
      <c r="J66" s="266" t="str">
        <f t="shared" ca="1" si="20"/>
        <v/>
      </c>
      <c r="K66" s="264" t="str">
        <f t="shared" ca="1" si="20"/>
        <v/>
      </c>
      <c r="L66" s="265" t="str">
        <f t="shared" ca="1" si="20"/>
        <v/>
      </c>
      <c r="M66" s="266" t="str">
        <f t="shared" ca="1" si="20"/>
        <v/>
      </c>
      <c r="N66" s="264" t="str">
        <f t="shared" ca="1" si="20"/>
        <v/>
      </c>
      <c r="O66" s="265" t="str">
        <f t="shared" ca="1" si="20"/>
        <v/>
      </c>
      <c r="P66" s="266" t="str">
        <f t="shared" ca="1" si="20"/>
        <v/>
      </c>
      <c r="Q66" s="267" t="str">
        <f t="shared" ca="1" si="20"/>
        <v/>
      </c>
      <c r="R66" s="268" t="str">
        <f t="shared" ca="1" si="21"/>
        <v/>
      </c>
      <c r="S66" s="264" t="str">
        <f t="shared" ca="1" si="21"/>
        <v/>
      </c>
      <c r="T66" s="269" t="str">
        <f t="shared" ca="1" si="21"/>
        <v/>
      </c>
      <c r="U66" s="268" t="str">
        <f t="shared" ca="1" si="21"/>
        <v/>
      </c>
      <c r="V66" s="264" t="str">
        <f t="shared" ca="1" si="21"/>
        <v/>
      </c>
      <c r="W66" s="265" t="str">
        <f t="shared" ca="1" si="21"/>
        <v/>
      </c>
      <c r="X66" s="266" t="str">
        <f t="shared" ca="1" si="21"/>
        <v/>
      </c>
      <c r="Y66" s="264" t="str">
        <f t="shared" ca="1" si="21"/>
        <v/>
      </c>
      <c r="Z66" s="265" t="str">
        <f t="shared" ca="1" si="21"/>
        <v/>
      </c>
      <c r="AA66" s="266" t="str">
        <f t="shared" ca="1" si="21"/>
        <v/>
      </c>
      <c r="AB66" s="267" t="str">
        <f t="shared" ca="1" si="21"/>
        <v/>
      </c>
      <c r="AC66" s="541"/>
      <c r="AD66" s="212" t="str">
        <f t="shared" ca="1" si="14"/>
        <v/>
      </c>
    </row>
    <row r="67" spans="1:30" s="45" customFormat="1" ht="22.5" customHeight="1">
      <c r="A67" s="258" t="str">
        <f ca="1">IFERROR(INDEX(凭证录入!H:H,$AD67),"")</f>
        <v/>
      </c>
      <c r="B67" s="259" t="str">
        <f ca="1">IFERROR(INDEX(凭证录入!I:I,$AD67),"")</f>
        <v/>
      </c>
      <c r="C67" s="260" t="str">
        <f ca="1">IFERROR(VLOOKUP($B67,会计科目表!$A:$C,2,),"")</f>
        <v/>
      </c>
      <c r="D67" s="261" t="str">
        <f ca="1">IFERROR(VLOOKUP($B67,会计科目表!$A:$C,3,),"")</f>
        <v/>
      </c>
      <c r="E67" s="262">
        <f ca="1">IFERROR(INDEX(凭证录入!K:K,$AD67),0)</f>
        <v>0</v>
      </c>
      <c r="F67" s="262">
        <f ca="1">IFERROR(INDEX(凭证录入!L:L,$AD67),0)</f>
        <v>0</v>
      </c>
      <c r="G67" s="263" t="str">
        <f t="shared" ca="1" si="20"/>
        <v/>
      </c>
      <c r="H67" s="264" t="str">
        <f t="shared" ca="1" si="20"/>
        <v/>
      </c>
      <c r="I67" s="265" t="str">
        <f t="shared" ca="1" si="20"/>
        <v/>
      </c>
      <c r="J67" s="266" t="str">
        <f t="shared" ca="1" si="20"/>
        <v/>
      </c>
      <c r="K67" s="264" t="str">
        <f t="shared" ca="1" si="20"/>
        <v/>
      </c>
      <c r="L67" s="265" t="str">
        <f t="shared" ca="1" si="20"/>
        <v/>
      </c>
      <c r="M67" s="266" t="str">
        <f t="shared" ca="1" si="20"/>
        <v/>
      </c>
      <c r="N67" s="264" t="str">
        <f t="shared" ca="1" si="20"/>
        <v/>
      </c>
      <c r="O67" s="265" t="str">
        <f t="shared" ca="1" si="20"/>
        <v/>
      </c>
      <c r="P67" s="266" t="str">
        <f t="shared" ca="1" si="20"/>
        <v/>
      </c>
      <c r="Q67" s="267" t="str">
        <f t="shared" ca="1" si="20"/>
        <v/>
      </c>
      <c r="R67" s="268" t="str">
        <f t="shared" ca="1" si="21"/>
        <v/>
      </c>
      <c r="S67" s="264" t="str">
        <f t="shared" ca="1" si="21"/>
        <v/>
      </c>
      <c r="T67" s="269" t="str">
        <f t="shared" ca="1" si="21"/>
        <v/>
      </c>
      <c r="U67" s="268" t="str">
        <f t="shared" ca="1" si="21"/>
        <v/>
      </c>
      <c r="V67" s="264" t="str">
        <f t="shared" ca="1" si="21"/>
        <v/>
      </c>
      <c r="W67" s="265" t="str">
        <f t="shared" ca="1" si="21"/>
        <v/>
      </c>
      <c r="X67" s="266" t="str">
        <f t="shared" ca="1" si="21"/>
        <v/>
      </c>
      <c r="Y67" s="264" t="str">
        <f t="shared" ca="1" si="21"/>
        <v/>
      </c>
      <c r="Z67" s="265" t="str">
        <f t="shared" ca="1" si="21"/>
        <v/>
      </c>
      <c r="AA67" s="266" t="str">
        <f t="shared" ca="1" si="21"/>
        <v/>
      </c>
      <c r="AB67" s="267" t="str">
        <f t="shared" ca="1" si="21"/>
        <v/>
      </c>
      <c r="AC67" s="536" t="s">
        <v>623</v>
      </c>
      <c r="AD67" s="212" t="str">
        <f t="shared" ca="1" si="14"/>
        <v/>
      </c>
    </row>
    <row r="68" spans="1:30" s="45" customFormat="1" ht="22.5" customHeight="1">
      <c r="A68" s="258" t="str">
        <f ca="1">IFERROR(INDEX(凭证录入!H:H,$AD68),"")</f>
        <v/>
      </c>
      <c r="B68" s="259" t="str">
        <f ca="1">IFERROR(INDEX(凭证录入!I:I,$AD68),"")</f>
        <v/>
      </c>
      <c r="C68" s="260" t="str">
        <f ca="1">IFERROR(VLOOKUP($B68,会计科目表!$A:$C,2,),"")</f>
        <v/>
      </c>
      <c r="D68" s="261" t="str">
        <f ca="1">IFERROR(VLOOKUP($B68,会计科目表!$A:$C,3,),"")</f>
        <v/>
      </c>
      <c r="E68" s="262">
        <f ca="1">IFERROR(INDEX(凭证录入!K:K,$AD68),0)</f>
        <v>0</v>
      </c>
      <c r="F68" s="262">
        <f ca="1">IFERROR(INDEX(凭证录入!L:L,$AD68),0)</f>
        <v>0</v>
      </c>
      <c r="G68" s="263" t="str">
        <f t="shared" ca="1" si="20"/>
        <v/>
      </c>
      <c r="H68" s="264" t="str">
        <f t="shared" ca="1" si="20"/>
        <v/>
      </c>
      <c r="I68" s="265" t="str">
        <f t="shared" ca="1" si="20"/>
        <v/>
      </c>
      <c r="J68" s="266" t="str">
        <f t="shared" ca="1" si="20"/>
        <v/>
      </c>
      <c r="K68" s="264" t="str">
        <f t="shared" ca="1" si="20"/>
        <v/>
      </c>
      <c r="L68" s="265" t="str">
        <f t="shared" ca="1" si="20"/>
        <v/>
      </c>
      <c r="M68" s="266" t="str">
        <f t="shared" ca="1" si="20"/>
        <v/>
      </c>
      <c r="N68" s="264" t="str">
        <f t="shared" ca="1" si="20"/>
        <v/>
      </c>
      <c r="O68" s="265" t="str">
        <f t="shared" ca="1" si="20"/>
        <v/>
      </c>
      <c r="P68" s="266" t="str">
        <f t="shared" ca="1" si="20"/>
        <v/>
      </c>
      <c r="Q68" s="267" t="str">
        <f t="shared" ca="1" si="20"/>
        <v/>
      </c>
      <c r="R68" s="268" t="str">
        <f t="shared" ca="1" si="21"/>
        <v/>
      </c>
      <c r="S68" s="264" t="str">
        <f t="shared" ca="1" si="21"/>
        <v/>
      </c>
      <c r="T68" s="269" t="str">
        <f t="shared" ca="1" si="21"/>
        <v/>
      </c>
      <c r="U68" s="268" t="str">
        <f t="shared" ca="1" si="21"/>
        <v/>
      </c>
      <c r="V68" s="264" t="str">
        <f t="shared" ca="1" si="21"/>
        <v/>
      </c>
      <c r="W68" s="265" t="str">
        <f t="shared" ca="1" si="21"/>
        <v/>
      </c>
      <c r="X68" s="266" t="str">
        <f t="shared" ca="1" si="21"/>
        <v/>
      </c>
      <c r="Y68" s="264" t="str">
        <f t="shared" ca="1" si="21"/>
        <v/>
      </c>
      <c r="Z68" s="265" t="str">
        <f t="shared" ca="1" si="21"/>
        <v/>
      </c>
      <c r="AA68" s="266" t="str">
        <f t="shared" ca="1" si="21"/>
        <v/>
      </c>
      <c r="AB68" s="267" t="str">
        <f t="shared" ca="1" si="21"/>
        <v/>
      </c>
      <c r="AC68" s="537"/>
      <c r="AD68" s="212" t="str">
        <f t="shared" ca="1" si="14"/>
        <v/>
      </c>
    </row>
    <row r="69" spans="1:30" s="45" customFormat="1" ht="22.5" customHeight="1">
      <c r="A69" s="258" t="str">
        <f ca="1">IFERROR(INDEX(凭证录入!H:H,$AD69),"")</f>
        <v/>
      </c>
      <c r="B69" s="259" t="str">
        <f ca="1">IFERROR(INDEX(凭证录入!I:I,$AD69),"")</f>
        <v/>
      </c>
      <c r="C69" s="260" t="str">
        <f ca="1">IFERROR(VLOOKUP($B69,会计科目表!$A:$C,2,),"")</f>
        <v/>
      </c>
      <c r="D69" s="261" t="str">
        <f ca="1">IFERROR(VLOOKUP($B69,会计科目表!$A:$C,3,),"")</f>
        <v/>
      </c>
      <c r="E69" s="262">
        <f ca="1">IFERROR(INDEX(凭证录入!K:K,$AD69),0)</f>
        <v>0</v>
      </c>
      <c r="F69" s="262">
        <f ca="1">IFERROR(INDEX(凭证录入!L:L,$AD69),0)</f>
        <v>0</v>
      </c>
      <c r="G69" s="263" t="str">
        <f t="shared" ca="1" si="20"/>
        <v/>
      </c>
      <c r="H69" s="264" t="str">
        <f t="shared" ca="1" si="20"/>
        <v/>
      </c>
      <c r="I69" s="265" t="str">
        <f t="shared" ca="1" si="20"/>
        <v/>
      </c>
      <c r="J69" s="266" t="str">
        <f t="shared" ca="1" si="20"/>
        <v/>
      </c>
      <c r="K69" s="264" t="str">
        <f t="shared" ca="1" si="20"/>
        <v/>
      </c>
      <c r="L69" s="265" t="str">
        <f t="shared" ca="1" si="20"/>
        <v/>
      </c>
      <c r="M69" s="266" t="str">
        <f t="shared" ca="1" si="20"/>
        <v/>
      </c>
      <c r="N69" s="264" t="str">
        <f t="shared" ca="1" si="20"/>
        <v/>
      </c>
      <c r="O69" s="265" t="str">
        <f t="shared" ca="1" si="20"/>
        <v/>
      </c>
      <c r="P69" s="266" t="str">
        <f t="shared" ca="1" si="20"/>
        <v/>
      </c>
      <c r="Q69" s="267" t="str">
        <f t="shared" ca="1" si="20"/>
        <v/>
      </c>
      <c r="R69" s="268" t="str">
        <f t="shared" ca="1" si="21"/>
        <v/>
      </c>
      <c r="S69" s="264" t="str">
        <f t="shared" ca="1" si="21"/>
        <v/>
      </c>
      <c r="T69" s="269" t="str">
        <f t="shared" ca="1" si="21"/>
        <v/>
      </c>
      <c r="U69" s="268" t="str">
        <f t="shared" ca="1" si="21"/>
        <v/>
      </c>
      <c r="V69" s="264" t="str">
        <f t="shared" ca="1" si="21"/>
        <v/>
      </c>
      <c r="W69" s="265" t="str">
        <f t="shared" ca="1" si="21"/>
        <v/>
      </c>
      <c r="X69" s="266" t="str">
        <f t="shared" ca="1" si="21"/>
        <v/>
      </c>
      <c r="Y69" s="264" t="str">
        <f t="shared" ca="1" si="21"/>
        <v/>
      </c>
      <c r="Z69" s="265" t="str">
        <f t="shared" ca="1" si="21"/>
        <v/>
      </c>
      <c r="AA69" s="266" t="str">
        <f t="shared" ca="1" si="21"/>
        <v/>
      </c>
      <c r="AB69" s="267" t="str">
        <f t="shared" ca="1" si="21"/>
        <v/>
      </c>
      <c r="AC69" s="538"/>
      <c r="AD69" s="212" t="str">
        <f t="shared" ca="1" si="14"/>
        <v/>
      </c>
    </row>
    <row r="70" spans="1:30" s="45" customFormat="1" ht="22.5" customHeight="1">
      <c r="A70" s="258" t="str">
        <f ca="1">IFERROR(INDEX(凭证录入!H:H,$AD70),"")</f>
        <v/>
      </c>
      <c r="B70" s="259" t="str">
        <f ca="1">IFERROR(INDEX(凭证录入!I:I,$AD70),"")</f>
        <v/>
      </c>
      <c r="C70" s="260" t="str">
        <f ca="1">IFERROR(VLOOKUP($B70,会计科目表!$A:$C,2,),"")</f>
        <v/>
      </c>
      <c r="D70" s="261" t="str">
        <f ca="1">IFERROR(VLOOKUP($B70,会计科目表!$A:$C,3,),"")</f>
        <v/>
      </c>
      <c r="E70" s="262">
        <f ca="1">IFERROR(INDEX(凭证录入!K:K,$AD70),0)</f>
        <v>0</v>
      </c>
      <c r="F70" s="262">
        <f ca="1">IFERROR(INDEX(凭证录入!L:L,$AD70),0)</f>
        <v>0</v>
      </c>
      <c r="G70" s="263" t="str">
        <f t="shared" ca="1" si="20"/>
        <v/>
      </c>
      <c r="H70" s="264" t="str">
        <f t="shared" ca="1" si="20"/>
        <v/>
      </c>
      <c r="I70" s="265" t="str">
        <f t="shared" ca="1" si="20"/>
        <v/>
      </c>
      <c r="J70" s="266" t="str">
        <f t="shared" ca="1" si="20"/>
        <v/>
      </c>
      <c r="K70" s="264" t="str">
        <f t="shared" ca="1" si="20"/>
        <v/>
      </c>
      <c r="L70" s="265" t="str">
        <f t="shared" ca="1" si="20"/>
        <v/>
      </c>
      <c r="M70" s="266" t="str">
        <f t="shared" ca="1" si="20"/>
        <v/>
      </c>
      <c r="N70" s="264" t="str">
        <f t="shared" ca="1" si="20"/>
        <v/>
      </c>
      <c r="O70" s="265" t="str">
        <f t="shared" ca="1" si="20"/>
        <v/>
      </c>
      <c r="P70" s="266" t="str">
        <f t="shared" ca="1" si="20"/>
        <v/>
      </c>
      <c r="Q70" s="267" t="str">
        <f t="shared" ca="1" si="20"/>
        <v/>
      </c>
      <c r="R70" s="268" t="str">
        <f t="shared" ca="1" si="21"/>
        <v/>
      </c>
      <c r="S70" s="264" t="str">
        <f t="shared" ca="1" si="21"/>
        <v/>
      </c>
      <c r="T70" s="269" t="str">
        <f t="shared" ca="1" si="21"/>
        <v/>
      </c>
      <c r="U70" s="268" t="str">
        <f t="shared" ca="1" si="21"/>
        <v/>
      </c>
      <c r="V70" s="264" t="str">
        <f t="shared" ca="1" si="21"/>
        <v/>
      </c>
      <c r="W70" s="265" t="str">
        <f t="shared" ca="1" si="21"/>
        <v/>
      </c>
      <c r="X70" s="266" t="str">
        <f t="shared" ca="1" si="21"/>
        <v/>
      </c>
      <c r="Y70" s="264" t="str">
        <f t="shared" ca="1" si="21"/>
        <v/>
      </c>
      <c r="Z70" s="265" t="str">
        <f t="shared" ca="1" si="21"/>
        <v/>
      </c>
      <c r="AA70" s="266" t="str">
        <f t="shared" ca="1" si="21"/>
        <v/>
      </c>
      <c r="AB70" s="267" t="str">
        <f t="shared" ca="1" si="21"/>
        <v/>
      </c>
      <c r="AC70" s="538"/>
      <c r="AD70" s="212" t="str">
        <f t="shared" ca="1" si="14"/>
        <v/>
      </c>
    </row>
    <row r="71" spans="1:30" s="45" customFormat="1" ht="22.5" customHeight="1">
      <c r="A71" s="270" t="s">
        <v>625</v>
      </c>
      <c r="B71" s="271"/>
      <c r="C71" s="272" t="str">
        <f t="shared" ref="C71" ca="1" si="30">SUBSTITUTE(SUBSTITUTE(IF(-DOLLAR(E71),IF(E71&gt;0,,"负")&amp;TEXT(INT(ABS(E71)+0.5%),"[dbnum2]G/通用格式元;;")&amp;TEXT(RIGHT(DOLLAR(E71,2),2),"[dbnum2]0角0分;;整"),),"零角",IF(E71^2&lt;1,,"零")),"零分","整")</f>
        <v/>
      </c>
      <c r="D71" s="273"/>
      <c r="E71" s="274">
        <f t="shared" ref="E71:F71" ca="1" si="31">SUM(E65:E70)</f>
        <v>0</v>
      </c>
      <c r="F71" s="275">
        <f t="shared" ca="1" si="31"/>
        <v>0</v>
      </c>
      <c r="G71" s="276" t="str">
        <f t="shared" ca="1" si="20"/>
        <v/>
      </c>
      <c r="H71" s="277" t="str">
        <f t="shared" ca="1" si="20"/>
        <v/>
      </c>
      <c r="I71" s="278" t="str">
        <f t="shared" ca="1" si="20"/>
        <v/>
      </c>
      <c r="J71" s="279" t="str">
        <f t="shared" ca="1" si="20"/>
        <v/>
      </c>
      <c r="K71" s="277" t="str">
        <f t="shared" ca="1" si="20"/>
        <v/>
      </c>
      <c r="L71" s="278" t="str">
        <f t="shared" ca="1" si="20"/>
        <v/>
      </c>
      <c r="M71" s="279" t="str">
        <f t="shared" ca="1" si="20"/>
        <v/>
      </c>
      <c r="N71" s="277" t="str">
        <f t="shared" ca="1" si="20"/>
        <v/>
      </c>
      <c r="O71" s="278" t="str">
        <f t="shared" ca="1" si="20"/>
        <v/>
      </c>
      <c r="P71" s="279" t="str">
        <f t="shared" ca="1" si="20"/>
        <v/>
      </c>
      <c r="Q71" s="280" t="str">
        <f t="shared" ca="1" si="20"/>
        <v/>
      </c>
      <c r="R71" s="281" t="str">
        <f t="shared" ca="1" si="21"/>
        <v/>
      </c>
      <c r="S71" s="277" t="str">
        <f t="shared" ca="1" si="21"/>
        <v/>
      </c>
      <c r="T71" s="282" t="str">
        <f t="shared" ca="1" si="21"/>
        <v/>
      </c>
      <c r="U71" s="281" t="str">
        <f t="shared" ca="1" si="21"/>
        <v/>
      </c>
      <c r="V71" s="277" t="str">
        <f t="shared" ca="1" si="21"/>
        <v/>
      </c>
      <c r="W71" s="278" t="str">
        <f t="shared" ca="1" si="21"/>
        <v/>
      </c>
      <c r="X71" s="279" t="str">
        <f t="shared" ca="1" si="21"/>
        <v/>
      </c>
      <c r="Y71" s="277" t="str">
        <f t="shared" ca="1" si="21"/>
        <v/>
      </c>
      <c r="Z71" s="278" t="str">
        <f t="shared" ca="1" si="21"/>
        <v/>
      </c>
      <c r="AA71" s="279" t="str">
        <f t="shared" ca="1" si="21"/>
        <v/>
      </c>
      <c r="AB71" s="280" t="str">
        <f t="shared" ca="1" si="21"/>
        <v/>
      </c>
      <c r="AC71" s="283"/>
      <c r="AD71" s="212"/>
    </row>
    <row r="72" spans="1:30" s="22" customFormat="1" ht="22.5" customHeight="1">
      <c r="A72" s="284" t="s">
        <v>627</v>
      </c>
      <c r="B72" s="284"/>
      <c r="C72" s="284"/>
      <c r="D72" s="284" t="s">
        <v>629</v>
      </c>
      <c r="E72" s="284"/>
      <c r="F72" s="284"/>
      <c r="G72" s="284"/>
      <c r="H72" s="285"/>
      <c r="I72" s="284"/>
      <c r="J72" s="285"/>
      <c r="K72" s="285"/>
      <c r="L72" s="284"/>
      <c r="M72" s="285"/>
      <c r="N72" s="285"/>
      <c r="O72" s="285"/>
      <c r="P72" s="284"/>
      <c r="Q72" s="284" t="s">
        <v>631</v>
      </c>
      <c r="R72" s="284"/>
      <c r="S72" s="284"/>
      <c r="T72" s="284"/>
      <c r="U72" s="285"/>
      <c r="V72" s="284"/>
      <c r="W72" s="285"/>
      <c r="X72" s="284"/>
      <c r="Y72" s="284"/>
      <c r="Z72" s="285"/>
      <c r="AA72" s="285"/>
      <c r="AB72" s="285"/>
      <c r="AC72" s="286"/>
      <c r="AD72" s="212"/>
    </row>
    <row r="73" spans="1:30" ht="39.75" customHeight="1" thickBot="1">
      <c r="A73" s="226"/>
      <c r="B73" s="226"/>
      <c r="C73" s="227" t="s">
        <v>632</v>
      </c>
      <c r="D73" s="228"/>
      <c r="E73" s="226"/>
      <c r="F73" s="226"/>
      <c r="G73" s="228"/>
      <c r="H73" s="228"/>
      <c r="I73" s="228"/>
      <c r="J73" s="228"/>
      <c r="K73" s="228"/>
      <c r="L73" s="228"/>
      <c r="M73" s="228"/>
      <c r="N73" s="228"/>
      <c r="O73" s="228"/>
      <c r="P73" s="228"/>
      <c r="Q73" s="228"/>
      <c r="R73" s="229" t="s">
        <v>633</v>
      </c>
      <c r="S73" s="230"/>
      <c r="T73" s="230"/>
      <c r="U73" s="231" t="e">
        <f ca="1">DATE(AD$1,AF$1,INDEX(凭证录入!B:B,AD77))</f>
        <v>#VALUE!</v>
      </c>
      <c r="V73" s="232"/>
      <c r="W73" s="232"/>
      <c r="X73" s="232"/>
      <c r="Y73" s="232"/>
      <c r="Z73" s="232"/>
      <c r="AA73" s="232"/>
      <c r="AB73" s="232"/>
      <c r="AD73" s="212"/>
    </row>
    <row r="74" spans="1:30" s="45" customFormat="1" ht="23.25" customHeight="1" thickTop="1">
      <c r="A74" s="235" t="s">
        <v>634</v>
      </c>
      <c r="B74" s="235"/>
      <c r="C74" s="236" t="str">
        <f t="shared" si="17"/>
        <v>远大开发有限公司</v>
      </c>
      <c r="D74" s="236"/>
      <c r="E74" s="236"/>
      <c r="F74" s="236"/>
      <c r="G74" s="236"/>
      <c r="H74" s="236"/>
      <c r="I74" s="236"/>
      <c r="J74" s="236"/>
      <c r="K74" s="236"/>
      <c r="L74" s="236"/>
      <c r="M74" s="236"/>
      <c r="N74" s="236"/>
      <c r="O74" s="236"/>
      <c r="P74" s="236"/>
      <c r="Q74" s="236"/>
      <c r="R74" s="229" t="s">
        <v>635</v>
      </c>
      <c r="S74" s="229"/>
      <c r="T74" s="229"/>
      <c r="U74" s="237" t="str">
        <f t="shared" ref="U74" si="32">"第 "&amp;TEXT($AF$1,"00")&amp;TEXT($AC74,"0000 号")</f>
        <v>第 010007 号</v>
      </c>
      <c r="V74" s="237"/>
      <c r="W74" s="238"/>
      <c r="X74" s="238"/>
      <c r="Y74" s="238"/>
      <c r="Z74" s="238"/>
      <c r="AA74" s="238"/>
      <c r="AB74" s="238"/>
      <c r="AC74" s="239">
        <f t="shared" ref="AC74:AC98" si="33">N(LEFT((AC62),3)+1)</f>
        <v>7</v>
      </c>
      <c r="AD74" s="212"/>
    </row>
    <row r="75" spans="1:30" s="45" customFormat="1" ht="22.5" customHeight="1">
      <c r="A75" s="241" t="s">
        <v>586</v>
      </c>
      <c r="B75" s="542" t="s">
        <v>587</v>
      </c>
      <c r="C75" s="242" t="s">
        <v>589</v>
      </c>
      <c r="D75" s="243" t="s">
        <v>591</v>
      </c>
      <c r="E75" s="539" t="s">
        <v>636</v>
      </c>
      <c r="F75" s="539" t="s">
        <v>637</v>
      </c>
      <c r="G75" s="244" t="s">
        <v>638</v>
      </c>
      <c r="H75" s="245"/>
      <c r="I75" s="245"/>
      <c r="J75" s="245"/>
      <c r="K75" s="245"/>
      <c r="L75" s="245"/>
      <c r="M75" s="245"/>
      <c r="N75" s="245"/>
      <c r="O75" s="245"/>
      <c r="P75" s="245"/>
      <c r="Q75" s="246"/>
      <c r="R75" s="247" t="s">
        <v>599</v>
      </c>
      <c r="S75" s="245"/>
      <c r="T75" s="245"/>
      <c r="U75" s="245"/>
      <c r="V75" s="245"/>
      <c r="W75" s="245"/>
      <c r="X75" s="245"/>
      <c r="Y75" s="245"/>
      <c r="Z75" s="245"/>
      <c r="AA75" s="245"/>
      <c r="AB75" s="246"/>
      <c r="AC75" s="541" t="str">
        <f ca="1">"附单据数︵"&amp;INDEX(凭证录入!$D:$D,$AD$17)&amp;"︶张"</f>
        <v>附单据数︵4︶张</v>
      </c>
      <c r="AD75" s="235"/>
    </row>
    <row r="76" spans="1:30" s="45" customFormat="1" ht="22.5" customHeight="1">
      <c r="A76" s="248" t="s">
        <v>601</v>
      </c>
      <c r="B76" s="543"/>
      <c r="C76" s="249" t="s">
        <v>603</v>
      </c>
      <c r="D76" s="250" t="s">
        <v>603</v>
      </c>
      <c r="E76" s="540"/>
      <c r="F76" s="540"/>
      <c r="G76" s="251" t="s">
        <v>605</v>
      </c>
      <c r="H76" s="252" t="s">
        <v>607</v>
      </c>
      <c r="I76" s="253" t="s">
        <v>609</v>
      </c>
      <c r="J76" s="254" t="s">
        <v>639</v>
      </c>
      <c r="K76" s="252" t="s">
        <v>640</v>
      </c>
      <c r="L76" s="253" t="s">
        <v>607</v>
      </c>
      <c r="M76" s="254" t="s">
        <v>609</v>
      </c>
      <c r="N76" s="252" t="s">
        <v>639</v>
      </c>
      <c r="O76" s="253" t="s">
        <v>641</v>
      </c>
      <c r="P76" s="254" t="s">
        <v>642</v>
      </c>
      <c r="Q76" s="255" t="s">
        <v>643</v>
      </c>
      <c r="R76" s="256" t="s">
        <v>605</v>
      </c>
      <c r="S76" s="252" t="s">
        <v>607</v>
      </c>
      <c r="T76" s="257" t="s">
        <v>609</v>
      </c>
      <c r="U76" s="256" t="s">
        <v>639</v>
      </c>
      <c r="V76" s="252" t="s">
        <v>640</v>
      </c>
      <c r="W76" s="253" t="s">
        <v>607</v>
      </c>
      <c r="X76" s="254" t="s">
        <v>609</v>
      </c>
      <c r="Y76" s="252" t="s">
        <v>639</v>
      </c>
      <c r="Z76" s="253" t="s">
        <v>641</v>
      </c>
      <c r="AA76" s="254" t="s">
        <v>642</v>
      </c>
      <c r="AB76" s="255" t="s">
        <v>643</v>
      </c>
      <c r="AC76" s="541"/>
    </row>
    <row r="77" spans="1:30" s="45" customFormat="1" ht="22.5" customHeight="1">
      <c r="A77" s="258" t="str">
        <f ca="1">IFERROR(INDEX(凭证录入!H:H,$AD77),"")</f>
        <v/>
      </c>
      <c r="B77" s="259" t="str">
        <f ca="1">IFERROR(INDEX(凭证录入!I:I,$AD77),"")</f>
        <v/>
      </c>
      <c r="C77" s="260" t="str">
        <f ca="1">IFERROR(VLOOKUP($B77,会计科目表!$A:$C,2,),"")</f>
        <v/>
      </c>
      <c r="D77" s="261" t="str">
        <f ca="1">IFERROR(VLOOKUP($B77,会计科目表!$A:$C,3,),"")</f>
        <v/>
      </c>
      <c r="E77" s="262">
        <f ca="1">IFERROR(INDEX(凭证录入!K:K,$AD77),0)</f>
        <v>0</v>
      </c>
      <c r="F77" s="262">
        <f ca="1">IFERROR(INDEX(凭证录入!L:L,$AD77),0)</f>
        <v>0</v>
      </c>
      <c r="G77" s="263" t="str">
        <f t="shared" ca="1" si="20"/>
        <v/>
      </c>
      <c r="H77" s="264" t="str">
        <f t="shared" ca="1" si="20"/>
        <v/>
      </c>
      <c r="I77" s="265" t="str">
        <f t="shared" ca="1" si="20"/>
        <v/>
      </c>
      <c r="J77" s="266" t="str">
        <f t="shared" ca="1" si="20"/>
        <v/>
      </c>
      <c r="K77" s="264" t="str">
        <f t="shared" ca="1" si="20"/>
        <v/>
      </c>
      <c r="L77" s="265" t="str">
        <f t="shared" ca="1" si="20"/>
        <v/>
      </c>
      <c r="M77" s="266" t="str">
        <f t="shared" ca="1" si="20"/>
        <v/>
      </c>
      <c r="N77" s="264" t="str">
        <f t="shared" ca="1" si="20"/>
        <v/>
      </c>
      <c r="O77" s="265" t="str">
        <f t="shared" ca="1" si="20"/>
        <v/>
      </c>
      <c r="P77" s="266" t="str">
        <f t="shared" ca="1" si="20"/>
        <v/>
      </c>
      <c r="Q77" s="267" t="str">
        <f t="shared" ca="1" si="20"/>
        <v/>
      </c>
      <c r="R77" s="268" t="str">
        <f t="shared" ca="1" si="21"/>
        <v/>
      </c>
      <c r="S77" s="264" t="str">
        <f t="shared" ca="1" si="21"/>
        <v/>
      </c>
      <c r="T77" s="269" t="str">
        <f t="shared" ca="1" si="21"/>
        <v/>
      </c>
      <c r="U77" s="268" t="str">
        <f t="shared" ca="1" si="21"/>
        <v/>
      </c>
      <c r="V77" s="264" t="str">
        <f t="shared" ca="1" si="21"/>
        <v/>
      </c>
      <c r="W77" s="265" t="str">
        <f t="shared" ca="1" si="21"/>
        <v/>
      </c>
      <c r="X77" s="266" t="str">
        <f t="shared" ca="1" si="21"/>
        <v/>
      </c>
      <c r="Y77" s="264" t="str">
        <f t="shared" ca="1" si="21"/>
        <v/>
      </c>
      <c r="Z77" s="265" t="str">
        <f t="shared" ca="1" si="21"/>
        <v/>
      </c>
      <c r="AA77" s="266" t="str">
        <f t="shared" ca="1" si="21"/>
        <v/>
      </c>
      <c r="AB77" s="267" t="str">
        <f t="shared" ca="1" si="21"/>
        <v/>
      </c>
      <c r="AC77" s="541"/>
      <c r="AD77" s="212" t="str">
        <f t="shared" ca="1" si="14"/>
        <v/>
      </c>
    </row>
    <row r="78" spans="1:30" s="45" customFormat="1" ht="22.5" customHeight="1">
      <c r="A78" s="258" t="str">
        <f ca="1">IFERROR(INDEX(凭证录入!H:H,$AD78),"")</f>
        <v/>
      </c>
      <c r="B78" s="259" t="str">
        <f ca="1">IFERROR(INDEX(凭证录入!I:I,$AD78),"")</f>
        <v/>
      </c>
      <c r="C78" s="260" t="str">
        <f ca="1">IFERROR(VLOOKUP($B78,会计科目表!$A:$C,2,),"")</f>
        <v/>
      </c>
      <c r="D78" s="261" t="str">
        <f ca="1">IFERROR(VLOOKUP($B78,会计科目表!$A:$C,3,),"")</f>
        <v/>
      </c>
      <c r="E78" s="262">
        <f ca="1">IFERROR(INDEX(凭证录入!K:K,$AD78),0)</f>
        <v>0</v>
      </c>
      <c r="F78" s="262">
        <f ca="1">IFERROR(INDEX(凭证录入!L:L,$AD78),0)</f>
        <v>0</v>
      </c>
      <c r="G78" s="263" t="str">
        <f t="shared" ca="1" si="20"/>
        <v/>
      </c>
      <c r="H78" s="264" t="str">
        <f t="shared" ca="1" si="20"/>
        <v/>
      </c>
      <c r="I78" s="265" t="str">
        <f t="shared" ca="1" si="20"/>
        <v/>
      </c>
      <c r="J78" s="266" t="str">
        <f t="shared" ca="1" si="20"/>
        <v/>
      </c>
      <c r="K78" s="264" t="str">
        <f t="shared" ca="1" si="20"/>
        <v/>
      </c>
      <c r="L78" s="265" t="str">
        <f t="shared" ca="1" si="20"/>
        <v/>
      </c>
      <c r="M78" s="266" t="str">
        <f t="shared" ca="1" si="20"/>
        <v/>
      </c>
      <c r="N78" s="264" t="str">
        <f t="shared" ca="1" si="20"/>
        <v/>
      </c>
      <c r="O78" s="265" t="str">
        <f t="shared" ca="1" si="20"/>
        <v/>
      </c>
      <c r="P78" s="266" t="str">
        <f t="shared" ca="1" si="20"/>
        <v/>
      </c>
      <c r="Q78" s="267" t="str">
        <f t="shared" ca="1" si="20"/>
        <v/>
      </c>
      <c r="R78" s="268" t="str">
        <f t="shared" ca="1" si="21"/>
        <v/>
      </c>
      <c r="S78" s="264" t="str">
        <f t="shared" ca="1" si="21"/>
        <v/>
      </c>
      <c r="T78" s="269" t="str">
        <f t="shared" ca="1" si="21"/>
        <v/>
      </c>
      <c r="U78" s="268" t="str">
        <f t="shared" ca="1" si="21"/>
        <v/>
      </c>
      <c r="V78" s="264" t="str">
        <f t="shared" ca="1" si="21"/>
        <v/>
      </c>
      <c r="W78" s="265" t="str">
        <f t="shared" ca="1" si="21"/>
        <v/>
      </c>
      <c r="X78" s="266" t="str">
        <f t="shared" ca="1" si="21"/>
        <v/>
      </c>
      <c r="Y78" s="264" t="str">
        <f t="shared" ca="1" si="21"/>
        <v/>
      </c>
      <c r="Z78" s="265" t="str">
        <f t="shared" ca="1" si="21"/>
        <v/>
      </c>
      <c r="AA78" s="266" t="str">
        <f t="shared" ca="1" si="21"/>
        <v/>
      </c>
      <c r="AB78" s="267" t="str">
        <f t="shared" ca="1" si="21"/>
        <v/>
      </c>
      <c r="AC78" s="541"/>
      <c r="AD78" s="212" t="str">
        <f t="shared" ca="1" si="14"/>
        <v/>
      </c>
    </row>
    <row r="79" spans="1:30" s="45" customFormat="1" ht="22.5" customHeight="1">
      <c r="A79" s="258" t="str">
        <f ca="1">IFERROR(INDEX(凭证录入!H:H,$AD79),"")</f>
        <v/>
      </c>
      <c r="B79" s="259" t="str">
        <f ca="1">IFERROR(INDEX(凭证录入!I:I,$AD79),"")</f>
        <v/>
      </c>
      <c r="C79" s="260" t="str">
        <f ca="1">IFERROR(VLOOKUP($B79,会计科目表!$A:$C,2,),"")</f>
        <v/>
      </c>
      <c r="D79" s="261" t="str">
        <f ca="1">IFERROR(VLOOKUP($B79,会计科目表!$A:$C,3,),"")</f>
        <v/>
      </c>
      <c r="E79" s="262">
        <f ca="1">IFERROR(INDEX(凭证录入!K:K,$AD79),0)</f>
        <v>0</v>
      </c>
      <c r="F79" s="262">
        <f ca="1">IFERROR(INDEX(凭证录入!L:L,$AD79),0)</f>
        <v>0</v>
      </c>
      <c r="G79" s="263" t="str">
        <f t="shared" ca="1" si="20"/>
        <v/>
      </c>
      <c r="H79" s="264" t="str">
        <f t="shared" ca="1" si="20"/>
        <v/>
      </c>
      <c r="I79" s="265" t="str">
        <f t="shared" ref="G79:Q117" ca="1" si="34">LEFT(RIGHT(TEXT($E79/1%," ￥0; ￥-0;"),18-COLUMN()))</f>
        <v/>
      </c>
      <c r="J79" s="266" t="str">
        <f t="shared" ca="1" si="34"/>
        <v/>
      </c>
      <c r="K79" s="264" t="str">
        <f t="shared" ca="1" si="34"/>
        <v/>
      </c>
      <c r="L79" s="265" t="str">
        <f t="shared" ca="1" si="34"/>
        <v/>
      </c>
      <c r="M79" s="266" t="str">
        <f t="shared" ca="1" si="34"/>
        <v/>
      </c>
      <c r="N79" s="264" t="str">
        <f t="shared" ca="1" si="34"/>
        <v/>
      </c>
      <c r="O79" s="265" t="str">
        <f t="shared" ca="1" si="34"/>
        <v/>
      </c>
      <c r="P79" s="266" t="str">
        <f t="shared" ca="1" si="34"/>
        <v/>
      </c>
      <c r="Q79" s="267" t="str">
        <f t="shared" ca="1" si="34"/>
        <v/>
      </c>
      <c r="R79" s="268" t="str">
        <f t="shared" ca="1" si="21"/>
        <v/>
      </c>
      <c r="S79" s="264" t="str">
        <f t="shared" ca="1" si="21"/>
        <v/>
      </c>
      <c r="T79" s="269" t="str">
        <f t="shared" ref="R79:AB117" ca="1" si="35">LEFT(RIGHT(TEXT($F79/1%," ￥0; ￥-0;"),29-COLUMN()))</f>
        <v/>
      </c>
      <c r="U79" s="268" t="str">
        <f t="shared" ca="1" si="35"/>
        <v/>
      </c>
      <c r="V79" s="264" t="str">
        <f t="shared" ca="1" si="35"/>
        <v/>
      </c>
      <c r="W79" s="265" t="str">
        <f t="shared" ca="1" si="35"/>
        <v/>
      </c>
      <c r="X79" s="266" t="str">
        <f t="shared" ca="1" si="35"/>
        <v/>
      </c>
      <c r="Y79" s="264" t="str">
        <f t="shared" ca="1" si="35"/>
        <v/>
      </c>
      <c r="Z79" s="265" t="str">
        <f t="shared" ca="1" si="35"/>
        <v/>
      </c>
      <c r="AA79" s="266" t="str">
        <f t="shared" ca="1" si="35"/>
        <v/>
      </c>
      <c r="AB79" s="267" t="str">
        <f t="shared" ca="1" si="35"/>
        <v/>
      </c>
      <c r="AC79" s="536" t="s">
        <v>623</v>
      </c>
      <c r="AD79" s="212" t="str">
        <f t="shared" ca="1" si="14"/>
        <v/>
      </c>
    </row>
    <row r="80" spans="1:30" s="45" customFormat="1" ht="22.5" customHeight="1">
      <c r="A80" s="258" t="str">
        <f ca="1">IFERROR(INDEX(凭证录入!H:H,$AD80),"")</f>
        <v/>
      </c>
      <c r="B80" s="259" t="str">
        <f ca="1">IFERROR(INDEX(凭证录入!I:I,$AD80),"")</f>
        <v/>
      </c>
      <c r="C80" s="260" t="str">
        <f ca="1">IFERROR(VLOOKUP($B80,会计科目表!$A:$C,2,),"")</f>
        <v/>
      </c>
      <c r="D80" s="261" t="str">
        <f ca="1">IFERROR(VLOOKUP($B80,会计科目表!$A:$C,3,),"")</f>
        <v/>
      </c>
      <c r="E80" s="262">
        <f ca="1">IFERROR(INDEX(凭证录入!K:K,$AD80),0)</f>
        <v>0</v>
      </c>
      <c r="F80" s="262">
        <f ca="1">IFERROR(INDEX(凭证录入!L:L,$AD80),0)</f>
        <v>0</v>
      </c>
      <c r="G80" s="263" t="str">
        <f t="shared" ca="1" si="34"/>
        <v/>
      </c>
      <c r="H80" s="264" t="str">
        <f t="shared" ca="1" si="34"/>
        <v/>
      </c>
      <c r="I80" s="265" t="str">
        <f t="shared" ca="1" si="34"/>
        <v/>
      </c>
      <c r="J80" s="266" t="str">
        <f t="shared" ca="1" si="34"/>
        <v/>
      </c>
      <c r="K80" s="264" t="str">
        <f t="shared" ca="1" si="34"/>
        <v/>
      </c>
      <c r="L80" s="265" t="str">
        <f t="shared" ca="1" si="34"/>
        <v/>
      </c>
      <c r="M80" s="266" t="str">
        <f t="shared" ca="1" si="34"/>
        <v/>
      </c>
      <c r="N80" s="264" t="str">
        <f t="shared" ca="1" si="34"/>
        <v/>
      </c>
      <c r="O80" s="265" t="str">
        <f t="shared" ca="1" si="34"/>
        <v/>
      </c>
      <c r="P80" s="266" t="str">
        <f t="shared" ca="1" si="34"/>
        <v/>
      </c>
      <c r="Q80" s="267" t="str">
        <f t="shared" ca="1" si="34"/>
        <v/>
      </c>
      <c r="R80" s="268" t="str">
        <f t="shared" ca="1" si="35"/>
        <v/>
      </c>
      <c r="S80" s="264" t="str">
        <f t="shared" ca="1" si="35"/>
        <v/>
      </c>
      <c r="T80" s="269" t="str">
        <f t="shared" ca="1" si="35"/>
        <v/>
      </c>
      <c r="U80" s="268" t="str">
        <f t="shared" ca="1" si="35"/>
        <v/>
      </c>
      <c r="V80" s="264" t="str">
        <f t="shared" ca="1" si="35"/>
        <v/>
      </c>
      <c r="W80" s="265" t="str">
        <f t="shared" ca="1" si="35"/>
        <v/>
      </c>
      <c r="X80" s="266" t="str">
        <f t="shared" ca="1" si="35"/>
        <v/>
      </c>
      <c r="Y80" s="264" t="str">
        <f t="shared" ca="1" si="35"/>
        <v/>
      </c>
      <c r="Z80" s="265" t="str">
        <f t="shared" ca="1" si="35"/>
        <v/>
      </c>
      <c r="AA80" s="266" t="str">
        <f t="shared" ca="1" si="35"/>
        <v/>
      </c>
      <c r="AB80" s="267" t="str">
        <f t="shared" ca="1" si="35"/>
        <v/>
      </c>
      <c r="AC80" s="537"/>
      <c r="AD80" s="212" t="str">
        <f t="shared" ca="1" si="14"/>
        <v/>
      </c>
    </row>
    <row r="81" spans="1:30" s="45" customFormat="1" ht="22.5" customHeight="1">
      <c r="A81" s="258" t="str">
        <f ca="1">IFERROR(INDEX(凭证录入!H:H,$AD81),"")</f>
        <v/>
      </c>
      <c r="B81" s="259" t="str">
        <f ca="1">IFERROR(INDEX(凭证录入!I:I,$AD81),"")</f>
        <v/>
      </c>
      <c r="C81" s="260" t="str">
        <f ca="1">IFERROR(VLOOKUP($B81,会计科目表!$A:$C,2,),"")</f>
        <v/>
      </c>
      <c r="D81" s="261" t="str">
        <f ca="1">IFERROR(VLOOKUP($B81,会计科目表!$A:$C,3,),"")</f>
        <v/>
      </c>
      <c r="E81" s="262">
        <f ca="1">IFERROR(INDEX(凭证录入!K:K,$AD81),0)</f>
        <v>0</v>
      </c>
      <c r="F81" s="262">
        <f ca="1">IFERROR(INDEX(凭证录入!L:L,$AD81),0)</f>
        <v>0</v>
      </c>
      <c r="G81" s="263" t="str">
        <f t="shared" ca="1" si="34"/>
        <v/>
      </c>
      <c r="H81" s="264" t="str">
        <f t="shared" ca="1" si="34"/>
        <v/>
      </c>
      <c r="I81" s="265" t="str">
        <f t="shared" ca="1" si="34"/>
        <v/>
      </c>
      <c r="J81" s="266" t="str">
        <f t="shared" ca="1" si="34"/>
        <v/>
      </c>
      <c r="K81" s="264" t="str">
        <f t="shared" ca="1" si="34"/>
        <v/>
      </c>
      <c r="L81" s="265" t="str">
        <f t="shared" ca="1" si="34"/>
        <v/>
      </c>
      <c r="M81" s="266" t="str">
        <f t="shared" ca="1" si="34"/>
        <v/>
      </c>
      <c r="N81" s="264" t="str">
        <f t="shared" ca="1" si="34"/>
        <v/>
      </c>
      <c r="O81" s="265" t="str">
        <f t="shared" ca="1" si="34"/>
        <v/>
      </c>
      <c r="P81" s="266" t="str">
        <f t="shared" ca="1" si="34"/>
        <v/>
      </c>
      <c r="Q81" s="267" t="str">
        <f t="shared" ca="1" si="34"/>
        <v/>
      </c>
      <c r="R81" s="268" t="str">
        <f t="shared" ca="1" si="35"/>
        <v/>
      </c>
      <c r="S81" s="264" t="str">
        <f t="shared" ca="1" si="35"/>
        <v/>
      </c>
      <c r="T81" s="269" t="str">
        <f t="shared" ca="1" si="35"/>
        <v/>
      </c>
      <c r="U81" s="268" t="str">
        <f t="shared" ca="1" si="35"/>
        <v/>
      </c>
      <c r="V81" s="264" t="str">
        <f t="shared" ca="1" si="35"/>
        <v/>
      </c>
      <c r="W81" s="265" t="str">
        <f t="shared" ca="1" si="35"/>
        <v/>
      </c>
      <c r="X81" s="266" t="str">
        <f t="shared" ca="1" si="35"/>
        <v/>
      </c>
      <c r="Y81" s="264" t="str">
        <f t="shared" ca="1" si="35"/>
        <v/>
      </c>
      <c r="Z81" s="265" t="str">
        <f t="shared" ca="1" si="35"/>
        <v/>
      </c>
      <c r="AA81" s="266" t="str">
        <f t="shared" ca="1" si="35"/>
        <v/>
      </c>
      <c r="AB81" s="267" t="str">
        <f t="shared" ca="1" si="35"/>
        <v/>
      </c>
      <c r="AC81" s="538"/>
      <c r="AD81" s="212" t="str">
        <f t="shared" ca="1" si="14"/>
        <v/>
      </c>
    </row>
    <row r="82" spans="1:30" s="45" customFormat="1" ht="22.5" customHeight="1">
      <c r="A82" s="258" t="str">
        <f ca="1">IFERROR(INDEX(凭证录入!H:H,$AD82),"")</f>
        <v/>
      </c>
      <c r="B82" s="259" t="str">
        <f ca="1">IFERROR(INDEX(凭证录入!I:I,$AD82),"")</f>
        <v/>
      </c>
      <c r="C82" s="260" t="str">
        <f ca="1">IFERROR(VLOOKUP($B82,会计科目表!$A:$C,2,),"")</f>
        <v/>
      </c>
      <c r="D82" s="261" t="str">
        <f ca="1">IFERROR(VLOOKUP($B82,会计科目表!$A:$C,3,),"")</f>
        <v/>
      </c>
      <c r="E82" s="262">
        <f ca="1">IFERROR(INDEX(凭证录入!K:K,$AD82),0)</f>
        <v>0</v>
      </c>
      <c r="F82" s="262">
        <f ca="1">IFERROR(INDEX(凭证录入!L:L,$AD82),0)</f>
        <v>0</v>
      </c>
      <c r="G82" s="263" t="str">
        <f t="shared" ca="1" si="34"/>
        <v/>
      </c>
      <c r="H82" s="264" t="str">
        <f t="shared" ca="1" si="34"/>
        <v/>
      </c>
      <c r="I82" s="265" t="str">
        <f t="shared" ca="1" si="34"/>
        <v/>
      </c>
      <c r="J82" s="266" t="str">
        <f t="shared" ca="1" si="34"/>
        <v/>
      </c>
      <c r="K82" s="264" t="str">
        <f t="shared" ca="1" si="34"/>
        <v/>
      </c>
      <c r="L82" s="265" t="str">
        <f t="shared" ca="1" si="34"/>
        <v/>
      </c>
      <c r="M82" s="266" t="str">
        <f t="shared" ca="1" si="34"/>
        <v/>
      </c>
      <c r="N82" s="264" t="str">
        <f t="shared" ca="1" si="34"/>
        <v/>
      </c>
      <c r="O82" s="265" t="str">
        <f t="shared" ca="1" si="34"/>
        <v/>
      </c>
      <c r="P82" s="266" t="str">
        <f t="shared" ca="1" si="34"/>
        <v/>
      </c>
      <c r="Q82" s="267" t="str">
        <f t="shared" ca="1" si="34"/>
        <v/>
      </c>
      <c r="R82" s="268" t="str">
        <f t="shared" ca="1" si="35"/>
        <v/>
      </c>
      <c r="S82" s="264" t="str">
        <f t="shared" ca="1" si="35"/>
        <v/>
      </c>
      <c r="T82" s="269" t="str">
        <f t="shared" ca="1" si="35"/>
        <v/>
      </c>
      <c r="U82" s="268" t="str">
        <f t="shared" ca="1" si="35"/>
        <v/>
      </c>
      <c r="V82" s="264" t="str">
        <f t="shared" ca="1" si="35"/>
        <v/>
      </c>
      <c r="W82" s="265" t="str">
        <f t="shared" ca="1" si="35"/>
        <v/>
      </c>
      <c r="X82" s="266" t="str">
        <f t="shared" ca="1" si="35"/>
        <v/>
      </c>
      <c r="Y82" s="264" t="str">
        <f t="shared" ca="1" si="35"/>
        <v/>
      </c>
      <c r="Z82" s="265" t="str">
        <f t="shared" ca="1" si="35"/>
        <v/>
      </c>
      <c r="AA82" s="266" t="str">
        <f t="shared" ca="1" si="35"/>
        <v/>
      </c>
      <c r="AB82" s="267" t="str">
        <f t="shared" ca="1" si="35"/>
        <v/>
      </c>
      <c r="AC82" s="538"/>
      <c r="AD82" s="212" t="str">
        <f t="shared" ca="1" si="14"/>
        <v/>
      </c>
    </row>
    <row r="83" spans="1:30" s="45" customFormat="1" ht="22.5" customHeight="1">
      <c r="A83" s="270" t="s">
        <v>625</v>
      </c>
      <c r="B83" s="271"/>
      <c r="C83" s="272" t="str">
        <f t="shared" ref="C83" ca="1" si="36">SUBSTITUTE(SUBSTITUTE(IF(-DOLLAR(E83),IF(E83&gt;0,,"负")&amp;TEXT(INT(ABS(E83)+0.5%),"[dbnum2]G/通用格式元;;")&amp;TEXT(RIGHT(DOLLAR(E83,2),2),"[dbnum2]0角0分;;整"),),"零角",IF(E83^2&lt;1,,"零")),"零分","整")</f>
        <v/>
      </c>
      <c r="D83" s="273"/>
      <c r="E83" s="274">
        <f t="shared" ref="E83:F83" ca="1" si="37">SUM(E77:E82)</f>
        <v>0</v>
      </c>
      <c r="F83" s="275">
        <f t="shared" ca="1" si="37"/>
        <v>0</v>
      </c>
      <c r="G83" s="276" t="str">
        <f t="shared" ca="1" si="34"/>
        <v/>
      </c>
      <c r="H83" s="277" t="str">
        <f t="shared" ca="1" si="34"/>
        <v/>
      </c>
      <c r="I83" s="278" t="str">
        <f t="shared" ca="1" si="34"/>
        <v/>
      </c>
      <c r="J83" s="279" t="str">
        <f t="shared" ca="1" si="34"/>
        <v/>
      </c>
      <c r="K83" s="277" t="str">
        <f t="shared" ca="1" si="34"/>
        <v/>
      </c>
      <c r="L83" s="278" t="str">
        <f t="shared" ca="1" si="34"/>
        <v/>
      </c>
      <c r="M83" s="279" t="str">
        <f t="shared" ca="1" si="34"/>
        <v/>
      </c>
      <c r="N83" s="277" t="str">
        <f t="shared" ca="1" si="34"/>
        <v/>
      </c>
      <c r="O83" s="278" t="str">
        <f t="shared" ca="1" si="34"/>
        <v/>
      </c>
      <c r="P83" s="279" t="str">
        <f t="shared" ca="1" si="34"/>
        <v/>
      </c>
      <c r="Q83" s="280" t="str">
        <f t="shared" ca="1" si="34"/>
        <v/>
      </c>
      <c r="R83" s="281" t="str">
        <f t="shared" ca="1" si="35"/>
        <v/>
      </c>
      <c r="S83" s="277" t="str">
        <f t="shared" ca="1" si="35"/>
        <v/>
      </c>
      <c r="T83" s="282" t="str">
        <f t="shared" ca="1" si="35"/>
        <v/>
      </c>
      <c r="U83" s="281" t="str">
        <f t="shared" ca="1" si="35"/>
        <v/>
      </c>
      <c r="V83" s="277" t="str">
        <f t="shared" ca="1" si="35"/>
        <v/>
      </c>
      <c r="W83" s="278" t="str">
        <f t="shared" ca="1" si="35"/>
        <v/>
      </c>
      <c r="X83" s="279" t="str">
        <f t="shared" ca="1" si="35"/>
        <v/>
      </c>
      <c r="Y83" s="277" t="str">
        <f t="shared" ca="1" si="35"/>
        <v/>
      </c>
      <c r="Z83" s="278" t="str">
        <f t="shared" ca="1" si="35"/>
        <v/>
      </c>
      <c r="AA83" s="279" t="str">
        <f t="shared" ca="1" si="35"/>
        <v/>
      </c>
      <c r="AB83" s="280" t="str">
        <f t="shared" ca="1" si="35"/>
        <v/>
      </c>
      <c r="AC83" s="283"/>
      <c r="AD83" s="212"/>
    </row>
    <row r="84" spans="1:30" s="22" customFormat="1" ht="22.5" customHeight="1">
      <c r="A84" s="284" t="s">
        <v>644</v>
      </c>
      <c r="B84" s="284"/>
      <c r="C84" s="284"/>
      <c r="D84" s="284" t="s">
        <v>645</v>
      </c>
      <c r="E84" s="284"/>
      <c r="F84" s="284"/>
      <c r="G84" s="284"/>
      <c r="H84" s="285"/>
      <c r="I84" s="284"/>
      <c r="J84" s="285"/>
      <c r="K84" s="285"/>
      <c r="L84" s="284"/>
      <c r="M84" s="285"/>
      <c r="N84" s="285"/>
      <c r="O84" s="285"/>
      <c r="P84" s="284"/>
      <c r="Q84" s="284" t="s">
        <v>646</v>
      </c>
      <c r="R84" s="284"/>
      <c r="S84" s="284"/>
      <c r="T84" s="284"/>
      <c r="U84" s="285"/>
      <c r="V84" s="284"/>
      <c r="W84" s="285"/>
      <c r="X84" s="284"/>
      <c r="Y84" s="284"/>
      <c r="Z84" s="285"/>
      <c r="AA84" s="285"/>
      <c r="AB84" s="285"/>
      <c r="AC84" s="286"/>
      <c r="AD84" s="212"/>
    </row>
    <row r="85" spans="1:30" ht="39.75" customHeight="1" thickBot="1">
      <c r="A85" s="226"/>
      <c r="B85" s="226"/>
      <c r="C85" s="227" t="s">
        <v>647</v>
      </c>
      <c r="D85" s="228"/>
      <c r="E85" s="226"/>
      <c r="F85" s="226"/>
      <c r="G85" s="228"/>
      <c r="H85" s="228"/>
      <c r="I85" s="228"/>
      <c r="J85" s="228"/>
      <c r="K85" s="228"/>
      <c r="L85" s="228"/>
      <c r="M85" s="228"/>
      <c r="N85" s="228"/>
      <c r="O85" s="228"/>
      <c r="P85" s="228"/>
      <c r="Q85" s="228"/>
      <c r="R85" s="229" t="s">
        <v>648</v>
      </c>
      <c r="S85" s="230"/>
      <c r="T85" s="230"/>
      <c r="U85" s="231" t="e">
        <f ca="1">DATE(AD$1,AF$1,INDEX(凭证录入!B:B,AD89))</f>
        <v>#VALUE!</v>
      </c>
      <c r="V85" s="232"/>
      <c r="W85" s="232"/>
      <c r="X85" s="232"/>
      <c r="Y85" s="232"/>
      <c r="Z85" s="232"/>
      <c r="AA85" s="232"/>
      <c r="AB85" s="232"/>
      <c r="AD85" s="212"/>
    </row>
    <row r="86" spans="1:30" s="45" customFormat="1" ht="23.25" customHeight="1" thickTop="1">
      <c r="A86" s="235" t="s">
        <v>649</v>
      </c>
      <c r="B86" s="235"/>
      <c r="C86" s="236" t="str">
        <f t="shared" si="17"/>
        <v>远大开发有限公司</v>
      </c>
      <c r="D86" s="236"/>
      <c r="E86" s="236"/>
      <c r="F86" s="236"/>
      <c r="G86" s="236"/>
      <c r="H86" s="236"/>
      <c r="I86" s="236"/>
      <c r="J86" s="236"/>
      <c r="K86" s="236"/>
      <c r="L86" s="236"/>
      <c r="M86" s="236"/>
      <c r="N86" s="236"/>
      <c r="O86" s="236"/>
      <c r="P86" s="236"/>
      <c r="Q86" s="236"/>
      <c r="R86" s="229" t="s">
        <v>650</v>
      </c>
      <c r="S86" s="229"/>
      <c r="T86" s="229"/>
      <c r="U86" s="237" t="str">
        <f t="shared" ref="U86" si="38">"第 "&amp;TEXT($AF$1,"00")&amp;TEXT($AC86,"0000 号")</f>
        <v>第 010008 号</v>
      </c>
      <c r="V86" s="237"/>
      <c r="W86" s="238"/>
      <c r="X86" s="238"/>
      <c r="Y86" s="238"/>
      <c r="Z86" s="238"/>
      <c r="AA86" s="238"/>
      <c r="AB86" s="238"/>
      <c r="AC86" s="239">
        <f t="shared" si="33"/>
        <v>8</v>
      </c>
      <c r="AD86" s="212"/>
    </row>
    <row r="87" spans="1:30" s="45" customFormat="1" ht="22.5" customHeight="1">
      <c r="A87" s="241" t="s">
        <v>651</v>
      </c>
      <c r="B87" s="542" t="s">
        <v>652</v>
      </c>
      <c r="C87" s="242" t="s">
        <v>653</v>
      </c>
      <c r="D87" s="243" t="s">
        <v>654</v>
      </c>
      <c r="E87" s="539" t="s">
        <v>655</v>
      </c>
      <c r="F87" s="539" t="s">
        <v>656</v>
      </c>
      <c r="G87" s="244" t="s">
        <v>657</v>
      </c>
      <c r="H87" s="245"/>
      <c r="I87" s="245"/>
      <c r="J87" s="245"/>
      <c r="K87" s="245"/>
      <c r="L87" s="245"/>
      <c r="M87" s="245"/>
      <c r="N87" s="245"/>
      <c r="O87" s="245"/>
      <c r="P87" s="245"/>
      <c r="Q87" s="246"/>
      <c r="R87" s="247" t="s">
        <v>658</v>
      </c>
      <c r="S87" s="245"/>
      <c r="T87" s="245"/>
      <c r="U87" s="245"/>
      <c r="V87" s="245"/>
      <c r="W87" s="245"/>
      <c r="X87" s="245"/>
      <c r="Y87" s="245"/>
      <c r="Z87" s="245"/>
      <c r="AA87" s="245"/>
      <c r="AB87" s="246"/>
      <c r="AC87" s="541" t="str">
        <f ca="1">"附单据数︵"&amp;INDEX(凭证录入!$D:$D,$AD$17)&amp;"︶张"</f>
        <v>附单据数︵4︶张</v>
      </c>
      <c r="AD87" s="235"/>
    </row>
    <row r="88" spans="1:30" s="45" customFormat="1" ht="22.5" customHeight="1">
      <c r="A88" s="248" t="s">
        <v>659</v>
      </c>
      <c r="B88" s="543"/>
      <c r="C88" s="249" t="s">
        <v>660</v>
      </c>
      <c r="D88" s="250" t="s">
        <v>660</v>
      </c>
      <c r="E88" s="540"/>
      <c r="F88" s="540"/>
      <c r="G88" s="251" t="s">
        <v>661</v>
      </c>
      <c r="H88" s="252" t="s">
        <v>662</v>
      </c>
      <c r="I88" s="253" t="s">
        <v>663</v>
      </c>
      <c r="J88" s="254" t="s">
        <v>664</v>
      </c>
      <c r="K88" s="252" t="s">
        <v>665</v>
      </c>
      <c r="L88" s="253" t="s">
        <v>662</v>
      </c>
      <c r="M88" s="254" t="s">
        <v>663</v>
      </c>
      <c r="N88" s="252" t="s">
        <v>664</v>
      </c>
      <c r="O88" s="253" t="s">
        <v>666</v>
      </c>
      <c r="P88" s="254" t="s">
        <v>667</v>
      </c>
      <c r="Q88" s="255" t="s">
        <v>668</v>
      </c>
      <c r="R88" s="256" t="s">
        <v>661</v>
      </c>
      <c r="S88" s="252" t="s">
        <v>662</v>
      </c>
      <c r="T88" s="257" t="s">
        <v>663</v>
      </c>
      <c r="U88" s="256" t="s">
        <v>664</v>
      </c>
      <c r="V88" s="252" t="s">
        <v>665</v>
      </c>
      <c r="W88" s="253" t="s">
        <v>662</v>
      </c>
      <c r="X88" s="254" t="s">
        <v>663</v>
      </c>
      <c r="Y88" s="252" t="s">
        <v>664</v>
      </c>
      <c r="Z88" s="253" t="s">
        <v>666</v>
      </c>
      <c r="AA88" s="254" t="s">
        <v>667</v>
      </c>
      <c r="AB88" s="255" t="s">
        <v>668</v>
      </c>
      <c r="AC88" s="541"/>
    </row>
    <row r="89" spans="1:30" s="45" customFormat="1" ht="22.5" customHeight="1">
      <c r="A89" s="258" t="str">
        <f ca="1">IFERROR(INDEX(凭证录入!H:H,$AD89),"")</f>
        <v/>
      </c>
      <c r="B89" s="259" t="str">
        <f ca="1">IFERROR(INDEX(凭证录入!I:I,$AD89),"")</f>
        <v/>
      </c>
      <c r="C89" s="260" t="str">
        <f ca="1">IFERROR(VLOOKUP($B89,会计科目表!$A:$C,2,),"")</f>
        <v/>
      </c>
      <c r="D89" s="261" t="str">
        <f ca="1">IFERROR(VLOOKUP($B89,会计科目表!$A:$C,3,),"")</f>
        <v/>
      </c>
      <c r="E89" s="262">
        <f ca="1">IFERROR(INDEX(凭证录入!K:K,$AD89),0)</f>
        <v>0</v>
      </c>
      <c r="F89" s="262">
        <f ca="1">IFERROR(INDEX(凭证录入!L:L,$AD89),0)</f>
        <v>0</v>
      </c>
      <c r="G89" s="263" t="str">
        <f t="shared" ca="1" si="34"/>
        <v/>
      </c>
      <c r="H89" s="264" t="str">
        <f t="shared" ca="1" si="34"/>
        <v/>
      </c>
      <c r="I89" s="265" t="str">
        <f t="shared" ca="1" si="34"/>
        <v/>
      </c>
      <c r="J89" s="266" t="str">
        <f t="shared" ca="1" si="34"/>
        <v/>
      </c>
      <c r="K89" s="264" t="str">
        <f t="shared" ca="1" si="34"/>
        <v/>
      </c>
      <c r="L89" s="265" t="str">
        <f t="shared" ca="1" si="34"/>
        <v/>
      </c>
      <c r="M89" s="266" t="str">
        <f t="shared" ca="1" si="34"/>
        <v/>
      </c>
      <c r="N89" s="264" t="str">
        <f t="shared" ca="1" si="34"/>
        <v/>
      </c>
      <c r="O89" s="265" t="str">
        <f t="shared" ca="1" si="34"/>
        <v/>
      </c>
      <c r="P89" s="266" t="str">
        <f t="shared" ca="1" si="34"/>
        <v/>
      </c>
      <c r="Q89" s="267" t="str">
        <f t="shared" ca="1" si="34"/>
        <v/>
      </c>
      <c r="R89" s="268" t="str">
        <f t="shared" ca="1" si="35"/>
        <v/>
      </c>
      <c r="S89" s="264" t="str">
        <f t="shared" ca="1" si="35"/>
        <v/>
      </c>
      <c r="T89" s="269" t="str">
        <f t="shared" ca="1" si="35"/>
        <v/>
      </c>
      <c r="U89" s="268" t="str">
        <f t="shared" ca="1" si="35"/>
        <v/>
      </c>
      <c r="V89" s="264" t="str">
        <f t="shared" ca="1" si="35"/>
        <v/>
      </c>
      <c r="W89" s="265" t="str">
        <f t="shared" ca="1" si="35"/>
        <v/>
      </c>
      <c r="X89" s="266" t="str">
        <f t="shared" ca="1" si="35"/>
        <v/>
      </c>
      <c r="Y89" s="264" t="str">
        <f t="shared" ca="1" si="35"/>
        <v/>
      </c>
      <c r="Z89" s="265" t="str">
        <f t="shared" ca="1" si="35"/>
        <v/>
      </c>
      <c r="AA89" s="266" t="str">
        <f t="shared" ca="1" si="35"/>
        <v/>
      </c>
      <c r="AB89" s="267" t="str">
        <f t="shared" ca="1" si="35"/>
        <v/>
      </c>
      <c r="AC89" s="541"/>
      <c r="AD89" s="212" t="str">
        <f t="shared" ca="1" si="14"/>
        <v/>
      </c>
    </row>
    <row r="90" spans="1:30" s="45" customFormat="1" ht="22.5" customHeight="1">
      <c r="A90" s="258" t="str">
        <f ca="1">IFERROR(INDEX(凭证录入!H:H,$AD90),"")</f>
        <v/>
      </c>
      <c r="B90" s="259" t="str">
        <f ca="1">IFERROR(INDEX(凭证录入!I:I,$AD90),"")</f>
        <v/>
      </c>
      <c r="C90" s="260" t="str">
        <f ca="1">IFERROR(VLOOKUP($B90,会计科目表!$A:$C,2,),"")</f>
        <v/>
      </c>
      <c r="D90" s="261" t="str">
        <f ca="1">IFERROR(VLOOKUP($B90,会计科目表!$A:$C,3,),"")</f>
        <v/>
      </c>
      <c r="E90" s="262">
        <f ca="1">IFERROR(INDEX(凭证录入!K:K,$AD90),0)</f>
        <v>0</v>
      </c>
      <c r="F90" s="262">
        <f ca="1">IFERROR(INDEX(凭证录入!L:L,$AD90),0)</f>
        <v>0</v>
      </c>
      <c r="G90" s="263" t="str">
        <f t="shared" ca="1" si="34"/>
        <v/>
      </c>
      <c r="H90" s="264" t="str">
        <f t="shared" ca="1" si="34"/>
        <v/>
      </c>
      <c r="I90" s="265" t="str">
        <f t="shared" ca="1" si="34"/>
        <v/>
      </c>
      <c r="J90" s="266" t="str">
        <f t="shared" ca="1" si="34"/>
        <v/>
      </c>
      <c r="K90" s="264" t="str">
        <f t="shared" ca="1" si="34"/>
        <v/>
      </c>
      <c r="L90" s="265" t="str">
        <f t="shared" ca="1" si="34"/>
        <v/>
      </c>
      <c r="M90" s="266" t="str">
        <f t="shared" ca="1" si="34"/>
        <v/>
      </c>
      <c r="N90" s="264" t="str">
        <f t="shared" ca="1" si="34"/>
        <v/>
      </c>
      <c r="O90" s="265" t="str">
        <f t="shared" ca="1" si="34"/>
        <v/>
      </c>
      <c r="P90" s="266" t="str">
        <f t="shared" ca="1" si="34"/>
        <v/>
      </c>
      <c r="Q90" s="267" t="str">
        <f t="shared" ca="1" si="34"/>
        <v/>
      </c>
      <c r="R90" s="268" t="str">
        <f t="shared" ca="1" si="35"/>
        <v/>
      </c>
      <c r="S90" s="264" t="str">
        <f t="shared" ca="1" si="35"/>
        <v/>
      </c>
      <c r="T90" s="269" t="str">
        <f t="shared" ca="1" si="35"/>
        <v/>
      </c>
      <c r="U90" s="268" t="str">
        <f t="shared" ca="1" si="35"/>
        <v/>
      </c>
      <c r="V90" s="264" t="str">
        <f t="shared" ca="1" si="35"/>
        <v/>
      </c>
      <c r="W90" s="265" t="str">
        <f t="shared" ca="1" si="35"/>
        <v/>
      </c>
      <c r="X90" s="266" t="str">
        <f t="shared" ca="1" si="35"/>
        <v/>
      </c>
      <c r="Y90" s="264" t="str">
        <f t="shared" ca="1" si="35"/>
        <v/>
      </c>
      <c r="Z90" s="265" t="str">
        <f t="shared" ca="1" si="35"/>
        <v/>
      </c>
      <c r="AA90" s="266" t="str">
        <f t="shared" ca="1" si="35"/>
        <v/>
      </c>
      <c r="AB90" s="267" t="str">
        <f t="shared" ca="1" si="35"/>
        <v/>
      </c>
      <c r="AC90" s="541"/>
      <c r="AD90" s="212" t="str">
        <f t="shared" ca="1" si="14"/>
        <v/>
      </c>
    </row>
    <row r="91" spans="1:30" s="45" customFormat="1" ht="22.5" customHeight="1">
      <c r="A91" s="258" t="str">
        <f ca="1">IFERROR(INDEX(凭证录入!H:H,$AD91),"")</f>
        <v/>
      </c>
      <c r="B91" s="259" t="str">
        <f ca="1">IFERROR(INDEX(凭证录入!I:I,$AD91),"")</f>
        <v/>
      </c>
      <c r="C91" s="260" t="str">
        <f ca="1">IFERROR(VLOOKUP($B91,会计科目表!$A:$C,2,),"")</f>
        <v/>
      </c>
      <c r="D91" s="261" t="str">
        <f ca="1">IFERROR(VLOOKUP($B91,会计科目表!$A:$C,3,),"")</f>
        <v/>
      </c>
      <c r="E91" s="262">
        <f ca="1">IFERROR(INDEX(凭证录入!K:K,$AD91),0)</f>
        <v>0</v>
      </c>
      <c r="F91" s="262">
        <f ca="1">IFERROR(INDEX(凭证录入!L:L,$AD91),0)</f>
        <v>0</v>
      </c>
      <c r="G91" s="263" t="str">
        <f t="shared" ca="1" si="34"/>
        <v/>
      </c>
      <c r="H91" s="264" t="str">
        <f t="shared" ca="1" si="34"/>
        <v/>
      </c>
      <c r="I91" s="265" t="str">
        <f t="shared" ca="1" si="34"/>
        <v/>
      </c>
      <c r="J91" s="266" t="str">
        <f t="shared" ca="1" si="34"/>
        <v/>
      </c>
      <c r="K91" s="264" t="str">
        <f t="shared" ca="1" si="34"/>
        <v/>
      </c>
      <c r="L91" s="265" t="str">
        <f t="shared" ca="1" si="34"/>
        <v/>
      </c>
      <c r="M91" s="266" t="str">
        <f t="shared" ca="1" si="34"/>
        <v/>
      </c>
      <c r="N91" s="264" t="str">
        <f t="shared" ca="1" si="34"/>
        <v/>
      </c>
      <c r="O91" s="265" t="str">
        <f t="shared" ca="1" si="34"/>
        <v/>
      </c>
      <c r="P91" s="266" t="str">
        <f t="shared" ca="1" si="34"/>
        <v/>
      </c>
      <c r="Q91" s="267" t="str">
        <f t="shared" ca="1" si="34"/>
        <v/>
      </c>
      <c r="R91" s="268" t="str">
        <f t="shared" ca="1" si="35"/>
        <v/>
      </c>
      <c r="S91" s="264" t="str">
        <f t="shared" ca="1" si="35"/>
        <v/>
      </c>
      <c r="T91" s="269" t="str">
        <f t="shared" ca="1" si="35"/>
        <v/>
      </c>
      <c r="U91" s="268" t="str">
        <f t="shared" ca="1" si="35"/>
        <v/>
      </c>
      <c r="V91" s="264" t="str">
        <f t="shared" ca="1" si="35"/>
        <v/>
      </c>
      <c r="W91" s="265" t="str">
        <f t="shared" ca="1" si="35"/>
        <v/>
      </c>
      <c r="X91" s="266" t="str">
        <f t="shared" ca="1" si="35"/>
        <v/>
      </c>
      <c r="Y91" s="264" t="str">
        <f t="shared" ca="1" si="35"/>
        <v/>
      </c>
      <c r="Z91" s="265" t="str">
        <f t="shared" ca="1" si="35"/>
        <v/>
      </c>
      <c r="AA91" s="266" t="str">
        <f t="shared" ca="1" si="35"/>
        <v/>
      </c>
      <c r="AB91" s="267" t="str">
        <f t="shared" ca="1" si="35"/>
        <v/>
      </c>
      <c r="AC91" s="536" t="s">
        <v>623</v>
      </c>
      <c r="AD91" s="212" t="str">
        <f t="shared" ca="1" si="14"/>
        <v/>
      </c>
    </row>
    <row r="92" spans="1:30" s="45" customFormat="1" ht="22.5" customHeight="1">
      <c r="A92" s="258" t="str">
        <f ca="1">IFERROR(INDEX(凭证录入!H:H,$AD92),"")</f>
        <v/>
      </c>
      <c r="B92" s="259" t="str">
        <f ca="1">IFERROR(INDEX(凭证录入!I:I,$AD92),"")</f>
        <v/>
      </c>
      <c r="C92" s="260" t="str">
        <f ca="1">IFERROR(VLOOKUP($B92,会计科目表!$A:$C,2,),"")</f>
        <v/>
      </c>
      <c r="D92" s="261" t="str">
        <f ca="1">IFERROR(VLOOKUP($B92,会计科目表!$A:$C,3,),"")</f>
        <v/>
      </c>
      <c r="E92" s="262">
        <f ca="1">IFERROR(INDEX(凭证录入!K:K,$AD92),0)</f>
        <v>0</v>
      </c>
      <c r="F92" s="262">
        <f ca="1">IFERROR(INDEX(凭证录入!L:L,$AD92),0)</f>
        <v>0</v>
      </c>
      <c r="G92" s="263" t="str">
        <f t="shared" ca="1" si="34"/>
        <v/>
      </c>
      <c r="H92" s="264" t="str">
        <f t="shared" ca="1" si="34"/>
        <v/>
      </c>
      <c r="I92" s="265" t="str">
        <f t="shared" ca="1" si="34"/>
        <v/>
      </c>
      <c r="J92" s="266" t="str">
        <f t="shared" ca="1" si="34"/>
        <v/>
      </c>
      <c r="K92" s="264" t="str">
        <f t="shared" ca="1" si="34"/>
        <v/>
      </c>
      <c r="L92" s="265" t="str">
        <f t="shared" ca="1" si="34"/>
        <v/>
      </c>
      <c r="M92" s="266" t="str">
        <f t="shared" ca="1" si="34"/>
        <v/>
      </c>
      <c r="N92" s="264" t="str">
        <f t="shared" ca="1" si="34"/>
        <v/>
      </c>
      <c r="O92" s="265" t="str">
        <f t="shared" ca="1" si="34"/>
        <v/>
      </c>
      <c r="P92" s="266" t="str">
        <f t="shared" ca="1" si="34"/>
        <v/>
      </c>
      <c r="Q92" s="267" t="str">
        <f t="shared" ca="1" si="34"/>
        <v/>
      </c>
      <c r="R92" s="268" t="str">
        <f t="shared" ca="1" si="35"/>
        <v/>
      </c>
      <c r="S92" s="264" t="str">
        <f t="shared" ca="1" si="35"/>
        <v/>
      </c>
      <c r="T92" s="269" t="str">
        <f t="shared" ca="1" si="35"/>
        <v/>
      </c>
      <c r="U92" s="268" t="str">
        <f t="shared" ca="1" si="35"/>
        <v/>
      </c>
      <c r="V92" s="264" t="str">
        <f t="shared" ca="1" si="35"/>
        <v/>
      </c>
      <c r="W92" s="265" t="str">
        <f t="shared" ca="1" si="35"/>
        <v/>
      </c>
      <c r="X92" s="266" t="str">
        <f t="shared" ca="1" si="35"/>
        <v/>
      </c>
      <c r="Y92" s="264" t="str">
        <f t="shared" ca="1" si="35"/>
        <v/>
      </c>
      <c r="Z92" s="265" t="str">
        <f t="shared" ca="1" si="35"/>
        <v/>
      </c>
      <c r="AA92" s="266" t="str">
        <f t="shared" ca="1" si="35"/>
        <v/>
      </c>
      <c r="AB92" s="267" t="str">
        <f t="shared" ca="1" si="35"/>
        <v/>
      </c>
      <c r="AC92" s="537"/>
      <c r="AD92" s="212" t="str">
        <f t="shared" ca="1" si="14"/>
        <v/>
      </c>
    </row>
    <row r="93" spans="1:30" s="45" customFormat="1" ht="22.5" customHeight="1">
      <c r="A93" s="258" t="str">
        <f ca="1">IFERROR(INDEX(凭证录入!H:H,$AD93),"")</f>
        <v/>
      </c>
      <c r="B93" s="259" t="str">
        <f ca="1">IFERROR(INDEX(凭证录入!I:I,$AD93),"")</f>
        <v/>
      </c>
      <c r="C93" s="260" t="str">
        <f ca="1">IFERROR(VLOOKUP($B93,会计科目表!$A:$C,2,),"")</f>
        <v/>
      </c>
      <c r="D93" s="261" t="str">
        <f ca="1">IFERROR(VLOOKUP($B93,会计科目表!$A:$C,3,),"")</f>
        <v/>
      </c>
      <c r="E93" s="262">
        <f ca="1">IFERROR(INDEX(凭证录入!K:K,$AD93),0)</f>
        <v>0</v>
      </c>
      <c r="F93" s="262">
        <f ca="1">IFERROR(INDEX(凭证录入!L:L,$AD93),0)</f>
        <v>0</v>
      </c>
      <c r="G93" s="263" t="str">
        <f t="shared" ca="1" si="34"/>
        <v/>
      </c>
      <c r="H93" s="264" t="str">
        <f t="shared" ca="1" si="34"/>
        <v/>
      </c>
      <c r="I93" s="265" t="str">
        <f t="shared" ca="1" si="34"/>
        <v/>
      </c>
      <c r="J93" s="266" t="str">
        <f t="shared" ca="1" si="34"/>
        <v/>
      </c>
      <c r="K93" s="264" t="str">
        <f t="shared" ca="1" si="34"/>
        <v/>
      </c>
      <c r="L93" s="265" t="str">
        <f t="shared" ca="1" si="34"/>
        <v/>
      </c>
      <c r="M93" s="266" t="str">
        <f t="shared" ca="1" si="34"/>
        <v/>
      </c>
      <c r="N93" s="264" t="str">
        <f t="shared" ca="1" si="34"/>
        <v/>
      </c>
      <c r="O93" s="265" t="str">
        <f t="shared" ca="1" si="34"/>
        <v/>
      </c>
      <c r="P93" s="266" t="str">
        <f t="shared" ca="1" si="34"/>
        <v/>
      </c>
      <c r="Q93" s="267" t="str">
        <f t="shared" ca="1" si="34"/>
        <v/>
      </c>
      <c r="R93" s="268" t="str">
        <f t="shared" ca="1" si="35"/>
        <v/>
      </c>
      <c r="S93" s="264" t="str">
        <f t="shared" ca="1" si="35"/>
        <v/>
      </c>
      <c r="T93" s="269" t="str">
        <f t="shared" ca="1" si="35"/>
        <v/>
      </c>
      <c r="U93" s="268" t="str">
        <f t="shared" ca="1" si="35"/>
        <v/>
      </c>
      <c r="V93" s="264" t="str">
        <f t="shared" ca="1" si="35"/>
        <v/>
      </c>
      <c r="W93" s="265" t="str">
        <f t="shared" ca="1" si="35"/>
        <v/>
      </c>
      <c r="X93" s="266" t="str">
        <f t="shared" ca="1" si="35"/>
        <v/>
      </c>
      <c r="Y93" s="264" t="str">
        <f t="shared" ca="1" si="35"/>
        <v/>
      </c>
      <c r="Z93" s="265" t="str">
        <f t="shared" ca="1" si="35"/>
        <v/>
      </c>
      <c r="AA93" s="266" t="str">
        <f t="shared" ca="1" si="35"/>
        <v/>
      </c>
      <c r="AB93" s="267" t="str">
        <f t="shared" ca="1" si="35"/>
        <v/>
      </c>
      <c r="AC93" s="538"/>
      <c r="AD93" s="212" t="str">
        <f t="shared" ref="AD93:AD154" ca="1" si="39">IFERROR(INDEX(记账行号,MOD(ROW()-4,12)),"")</f>
        <v/>
      </c>
    </row>
    <row r="94" spans="1:30" s="45" customFormat="1" ht="22.5" customHeight="1">
      <c r="A94" s="258" t="str">
        <f ca="1">IFERROR(INDEX(凭证录入!H:H,$AD94),"")</f>
        <v/>
      </c>
      <c r="B94" s="259" t="str">
        <f ca="1">IFERROR(INDEX(凭证录入!I:I,$AD94),"")</f>
        <v/>
      </c>
      <c r="C94" s="260" t="str">
        <f ca="1">IFERROR(VLOOKUP($B94,会计科目表!$A:$C,2,),"")</f>
        <v/>
      </c>
      <c r="D94" s="261" t="str">
        <f ca="1">IFERROR(VLOOKUP($B94,会计科目表!$A:$C,3,),"")</f>
        <v/>
      </c>
      <c r="E94" s="262">
        <f ca="1">IFERROR(INDEX(凭证录入!K:K,$AD94),0)</f>
        <v>0</v>
      </c>
      <c r="F94" s="262">
        <f ca="1">IFERROR(INDEX(凭证录入!L:L,$AD94),0)</f>
        <v>0</v>
      </c>
      <c r="G94" s="263" t="str">
        <f t="shared" ca="1" si="34"/>
        <v/>
      </c>
      <c r="H94" s="264" t="str">
        <f t="shared" ca="1" si="34"/>
        <v/>
      </c>
      <c r="I94" s="265" t="str">
        <f t="shared" ca="1" si="34"/>
        <v/>
      </c>
      <c r="J94" s="266" t="str">
        <f t="shared" ca="1" si="34"/>
        <v/>
      </c>
      <c r="K94" s="264" t="str">
        <f t="shared" ca="1" si="34"/>
        <v/>
      </c>
      <c r="L94" s="265" t="str">
        <f t="shared" ca="1" si="34"/>
        <v/>
      </c>
      <c r="M94" s="266" t="str">
        <f t="shared" ca="1" si="34"/>
        <v/>
      </c>
      <c r="N94" s="264" t="str">
        <f t="shared" ca="1" si="34"/>
        <v/>
      </c>
      <c r="O94" s="265" t="str">
        <f t="shared" ca="1" si="34"/>
        <v/>
      </c>
      <c r="P94" s="266" t="str">
        <f t="shared" ca="1" si="34"/>
        <v/>
      </c>
      <c r="Q94" s="267" t="str">
        <f t="shared" ca="1" si="34"/>
        <v/>
      </c>
      <c r="R94" s="268" t="str">
        <f t="shared" ca="1" si="35"/>
        <v/>
      </c>
      <c r="S94" s="264" t="str">
        <f t="shared" ca="1" si="35"/>
        <v/>
      </c>
      <c r="T94" s="269" t="str">
        <f t="shared" ca="1" si="35"/>
        <v/>
      </c>
      <c r="U94" s="268" t="str">
        <f t="shared" ca="1" si="35"/>
        <v/>
      </c>
      <c r="V94" s="264" t="str">
        <f t="shared" ca="1" si="35"/>
        <v/>
      </c>
      <c r="W94" s="265" t="str">
        <f t="shared" ca="1" si="35"/>
        <v/>
      </c>
      <c r="X94" s="266" t="str">
        <f t="shared" ca="1" si="35"/>
        <v/>
      </c>
      <c r="Y94" s="264" t="str">
        <f t="shared" ca="1" si="35"/>
        <v/>
      </c>
      <c r="Z94" s="265" t="str">
        <f t="shared" ca="1" si="35"/>
        <v/>
      </c>
      <c r="AA94" s="266" t="str">
        <f t="shared" ca="1" si="35"/>
        <v/>
      </c>
      <c r="AB94" s="267" t="str">
        <f t="shared" ca="1" si="35"/>
        <v/>
      </c>
      <c r="AC94" s="538"/>
      <c r="AD94" s="212" t="str">
        <f t="shared" ca="1" si="39"/>
        <v/>
      </c>
    </row>
    <row r="95" spans="1:30" s="45" customFormat="1" ht="22.5" customHeight="1">
      <c r="A95" s="270" t="s">
        <v>625</v>
      </c>
      <c r="B95" s="271"/>
      <c r="C95" s="272" t="str">
        <f t="shared" ref="C95" ca="1" si="40">SUBSTITUTE(SUBSTITUTE(IF(-DOLLAR(E95),IF(E95&gt;0,,"负")&amp;TEXT(INT(ABS(E95)+0.5%),"[dbnum2]G/通用格式元;;")&amp;TEXT(RIGHT(DOLLAR(E95,2),2),"[dbnum2]0角0分;;整"),),"零角",IF(E95^2&lt;1,,"零")),"零分","整")</f>
        <v/>
      </c>
      <c r="D95" s="273"/>
      <c r="E95" s="274">
        <f t="shared" ref="E95:F95" ca="1" si="41">SUM(E89:E94)</f>
        <v>0</v>
      </c>
      <c r="F95" s="275">
        <f t="shared" ca="1" si="41"/>
        <v>0</v>
      </c>
      <c r="G95" s="276" t="str">
        <f t="shared" ca="1" si="34"/>
        <v/>
      </c>
      <c r="H95" s="277" t="str">
        <f t="shared" ca="1" si="34"/>
        <v/>
      </c>
      <c r="I95" s="278" t="str">
        <f t="shared" ca="1" si="34"/>
        <v/>
      </c>
      <c r="J95" s="279" t="str">
        <f t="shared" ca="1" si="34"/>
        <v/>
      </c>
      <c r="K95" s="277" t="str">
        <f t="shared" ca="1" si="34"/>
        <v/>
      </c>
      <c r="L95" s="278" t="str">
        <f t="shared" ca="1" si="34"/>
        <v/>
      </c>
      <c r="M95" s="279" t="str">
        <f t="shared" ca="1" si="34"/>
        <v/>
      </c>
      <c r="N95" s="277" t="str">
        <f t="shared" ca="1" si="34"/>
        <v/>
      </c>
      <c r="O95" s="278" t="str">
        <f t="shared" ca="1" si="34"/>
        <v/>
      </c>
      <c r="P95" s="279" t="str">
        <f t="shared" ca="1" si="34"/>
        <v/>
      </c>
      <c r="Q95" s="280" t="str">
        <f t="shared" ca="1" si="34"/>
        <v/>
      </c>
      <c r="R95" s="281" t="str">
        <f t="shared" ca="1" si="35"/>
        <v/>
      </c>
      <c r="S95" s="277" t="str">
        <f t="shared" ca="1" si="35"/>
        <v/>
      </c>
      <c r="T95" s="282" t="str">
        <f t="shared" ca="1" si="35"/>
        <v/>
      </c>
      <c r="U95" s="281" t="str">
        <f t="shared" ca="1" si="35"/>
        <v/>
      </c>
      <c r="V95" s="277" t="str">
        <f t="shared" ca="1" si="35"/>
        <v/>
      </c>
      <c r="W95" s="278" t="str">
        <f t="shared" ca="1" si="35"/>
        <v/>
      </c>
      <c r="X95" s="279" t="str">
        <f t="shared" ca="1" si="35"/>
        <v/>
      </c>
      <c r="Y95" s="277" t="str">
        <f t="shared" ca="1" si="35"/>
        <v/>
      </c>
      <c r="Z95" s="278" t="str">
        <f t="shared" ca="1" si="35"/>
        <v/>
      </c>
      <c r="AA95" s="279" t="str">
        <f t="shared" ca="1" si="35"/>
        <v/>
      </c>
      <c r="AB95" s="280" t="str">
        <f t="shared" ca="1" si="35"/>
        <v/>
      </c>
      <c r="AC95" s="283"/>
      <c r="AD95" s="212"/>
    </row>
    <row r="96" spans="1:30" s="22" customFormat="1" ht="22.5" customHeight="1">
      <c r="A96" s="284" t="s">
        <v>627</v>
      </c>
      <c r="B96" s="284"/>
      <c r="C96" s="284"/>
      <c r="D96" s="284" t="s">
        <v>629</v>
      </c>
      <c r="E96" s="284"/>
      <c r="F96" s="284"/>
      <c r="G96" s="284"/>
      <c r="H96" s="285"/>
      <c r="I96" s="284"/>
      <c r="J96" s="285"/>
      <c r="K96" s="285"/>
      <c r="L96" s="284"/>
      <c r="M96" s="285"/>
      <c r="N96" s="285"/>
      <c r="O96" s="285"/>
      <c r="P96" s="284"/>
      <c r="Q96" s="284" t="s">
        <v>631</v>
      </c>
      <c r="R96" s="284"/>
      <c r="S96" s="284"/>
      <c r="T96" s="284"/>
      <c r="U96" s="285"/>
      <c r="V96" s="284"/>
      <c r="W96" s="285"/>
      <c r="X96" s="284"/>
      <c r="Y96" s="284"/>
      <c r="Z96" s="285"/>
      <c r="AA96" s="285"/>
      <c r="AB96" s="285"/>
      <c r="AC96" s="286"/>
      <c r="AD96" s="212"/>
    </row>
    <row r="97" spans="1:30" ht="39.75" customHeight="1" thickBot="1">
      <c r="A97" s="226"/>
      <c r="B97" s="226"/>
      <c r="C97" s="227" t="s">
        <v>632</v>
      </c>
      <c r="D97" s="228"/>
      <c r="E97" s="226"/>
      <c r="F97" s="226"/>
      <c r="G97" s="228"/>
      <c r="H97" s="228"/>
      <c r="I97" s="228"/>
      <c r="J97" s="228"/>
      <c r="K97" s="228"/>
      <c r="L97" s="228"/>
      <c r="M97" s="228"/>
      <c r="N97" s="228"/>
      <c r="O97" s="228"/>
      <c r="P97" s="228"/>
      <c r="Q97" s="228"/>
      <c r="R97" s="229" t="s">
        <v>633</v>
      </c>
      <c r="S97" s="230"/>
      <c r="T97" s="230"/>
      <c r="U97" s="231" t="e">
        <f ca="1">DATE(AD$1,AF$1,INDEX(凭证录入!B:B,AD101))</f>
        <v>#VALUE!</v>
      </c>
      <c r="V97" s="232"/>
      <c r="W97" s="232"/>
      <c r="X97" s="232"/>
      <c r="Y97" s="232"/>
      <c r="Z97" s="232"/>
      <c r="AA97" s="232"/>
      <c r="AB97" s="232"/>
      <c r="AD97" s="212"/>
    </row>
    <row r="98" spans="1:30" s="45" customFormat="1" ht="23.25" customHeight="1" thickTop="1">
      <c r="A98" s="235" t="s">
        <v>634</v>
      </c>
      <c r="B98" s="235"/>
      <c r="C98" s="236" t="str">
        <f t="shared" si="17"/>
        <v>远大开发有限公司</v>
      </c>
      <c r="D98" s="236"/>
      <c r="E98" s="236"/>
      <c r="F98" s="236"/>
      <c r="G98" s="236"/>
      <c r="H98" s="236"/>
      <c r="I98" s="236"/>
      <c r="J98" s="236"/>
      <c r="K98" s="236"/>
      <c r="L98" s="236"/>
      <c r="M98" s="236"/>
      <c r="N98" s="236"/>
      <c r="O98" s="236"/>
      <c r="P98" s="236"/>
      <c r="Q98" s="236"/>
      <c r="R98" s="229" t="s">
        <v>635</v>
      </c>
      <c r="S98" s="229"/>
      <c r="T98" s="229"/>
      <c r="U98" s="237" t="str">
        <f t="shared" ref="U98" si="42">"第 "&amp;TEXT($AF$1,"00")&amp;TEXT($AC98,"0000 号")</f>
        <v>第 010009 号</v>
      </c>
      <c r="V98" s="237"/>
      <c r="W98" s="238"/>
      <c r="X98" s="238"/>
      <c r="Y98" s="238"/>
      <c r="Z98" s="238"/>
      <c r="AA98" s="238"/>
      <c r="AB98" s="238"/>
      <c r="AC98" s="239">
        <f t="shared" si="33"/>
        <v>9</v>
      </c>
      <c r="AD98" s="212"/>
    </row>
    <row r="99" spans="1:30" s="45" customFormat="1" ht="22.5" customHeight="1">
      <c r="A99" s="241" t="s">
        <v>586</v>
      </c>
      <c r="B99" s="542" t="s">
        <v>587</v>
      </c>
      <c r="C99" s="242" t="s">
        <v>589</v>
      </c>
      <c r="D99" s="243" t="s">
        <v>591</v>
      </c>
      <c r="E99" s="539" t="s">
        <v>636</v>
      </c>
      <c r="F99" s="539" t="s">
        <v>637</v>
      </c>
      <c r="G99" s="244" t="s">
        <v>638</v>
      </c>
      <c r="H99" s="245"/>
      <c r="I99" s="245"/>
      <c r="J99" s="245"/>
      <c r="K99" s="245"/>
      <c r="L99" s="245"/>
      <c r="M99" s="245"/>
      <c r="N99" s="245"/>
      <c r="O99" s="245"/>
      <c r="P99" s="245"/>
      <c r="Q99" s="246"/>
      <c r="R99" s="247" t="s">
        <v>599</v>
      </c>
      <c r="S99" s="245"/>
      <c r="T99" s="245"/>
      <c r="U99" s="245"/>
      <c r="V99" s="245"/>
      <c r="W99" s="245"/>
      <c r="X99" s="245"/>
      <c r="Y99" s="245"/>
      <c r="Z99" s="245"/>
      <c r="AA99" s="245"/>
      <c r="AB99" s="246"/>
      <c r="AC99" s="541" t="str">
        <f ca="1">"附单据数︵"&amp;INDEX(凭证录入!$D:$D,$AD$17)&amp;"︶张"</f>
        <v>附单据数︵4︶张</v>
      </c>
      <c r="AD99" s="235"/>
    </row>
    <row r="100" spans="1:30" s="45" customFormat="1" ht="22.5" customHeight="1">
      <c r="A100" s="248" t="s">
        <v>601</v>
      </c>
      <c r="B100" s="543"/>
      <c r="C100" s="249" t="s">
        <v>603</v>
      </c>
      <c r="D100" s="250" t="s">
        <v>603</v>
      </c>
      <c r="E100" s="540"/>
      <c r="F100" s="540"/>
      <c r="G100" s="251" t="s">
        <v>605</v>
      </c>
      <c r="H100" s="252" t="s">
        <v>607</v>
      </c>
      <c r="I100" s="253" t="s">
        <v>609</v>
      </c>
      <c r="J100" s="254" t="s">
        <v>639</v>
      </c>
      <c r="K100" s="252" t="s">
        <v>640</v>
      </c>
      <c r="L100" s="253" t="s">
        <v>607</v>
      </c>
      <c r="M100" s="254" t="s">
        <v>609</v>
      </c>
      <c r="N100" s="252" t="s">
        <v>639</v>
      </c>
      <c r="O100" s="253" t="s">
        <v>641</v>
      </c>
      <c r="P100" s="254" t="s">
        <v>642</v>
      </c>
      <c r="Q100" s="255" t="s">
        <v>643</v>
      </c>
      <c r="R100" s="256" t="s">
        <v>605</v>
      </c>
      <c r="S100" s="252" t="s">
        <v>607</v>
      </c>
      <c r="T100" s="257" t="s">
        <v>609</v>
      </c>
      <c r="U100" s="256" t="s">
        <v>639</v>
      </c>
      <c r="V100" s="252" t="s">
        <v>640</v>
      </c>
      <c r="W100" s="253" t="s">
        <v>607</v>
      </c>
      <c r="X100" s="254" t="s">
        <v>609</v>
      </c>
      <c r="Y100" s="252" t="s">
        <v>639</v>
      </c>
      <c r="Z100" s="253" t="s">
        <v>641</v>
      </c>
      <c r="AA100" s="254" t="s">
        <v>642</v>
      </c>
      <c r="AB100" s="255" t="s">
        <v>643</v>
      </c>
      <c r="AC100" s="541"/>
    </row>
    <row r="101" spans="1:30" s="45" customFormat="1" ht="22.5" customHeight="1">
      <c r="A101" s="258" t="str">
        <f ca="1">IFERROR(INDEX(凭证录入!H:H,$AD101),"")</f>
        <v/>
      </c>
      <c r="B101" s="259" t="str">
        <f ca="1">IFERROR(INDEX(凭证录入!I:I,$AD101),"")</f>
        <v/>
      </c>
      <c r="C101" s="260" t="str">
        <f ca="1">IFERROR(VLOOKUP($B101,会计科目表!$A:$C,2,),"")</f>
        <v/>
      </c>
      <c r="D101" s="261" t="str">
        <f ca="1">IFERROR(VLOOKUP($B101,会计科目表!$A:$C,3,),"")</f>
        <v/>
      </c>
      <c r="E101" s="262">
        <f ca="1">IFERROR(INDEX(凭证录入!K:K,$AD101),0)</f>
        <v>0</v>
      </c>
      <c r="F101" s="262">
        <f ca="1">IFERROR(INDEX(凭证录入!L:L,$AD101),0)</f>
        <v>0</v>
      </c>
      <c r="G101" s="263" t="str">
        <f t="shared" ca="1" si="34"/>
        <v/>
      </c>
      <c r="H101" s="264" t="str">
        <f t="shared" ca="1" si="34"/>
        <v/>
      </c>
      <c r="I101" s="265" t="str">
        <f t="shared" ca="1" si="34"/>
        <v/>
      </c>
      <c r="J101" s="266" t="str">
        <f t="shared" ca="1" si="34"/>
        <v/>
      </c>
      <c r="K101" s="264" t="str">
        <f t="shared" ca="1" si="34"/>
        <v/>
      </c>
      <c r="L101" s="265" t="str">
        <f t="shared" ca="1" si="34"/>
        <v/>
      </c>
      <c r="M101" s="266" t="str">
        <f t="shared" ca="1" si="34"/>
        <v/>
      </c>
      <c r="N101" s="264" t="str">
        <f t="shared" ca="1" si="34"/>
        <v/>
      </c>
      <c r="O101" s="265" t="str">
        <f t="shared" ca="1" si="34"/>
        <v/>
      </c>
      <c r="P101" s="266" t="str">
        <f t="shared" ca="1" si="34"/>
        <v/>
      </c>
      <c r="Q101" s="267" t="str">
        <f t="shared" ca="1" si="34"/>
        <v/>
      </c>
      <c r="R101" s="268" t="str">
        <f t="shared" ca="1" si="35"/>
        <v/>
      </c>
      <c r="S101" s="264" t="str">
        <f t="shared" ca="1" si="35"/>
        <v/>
      </c>
      <c r="T101" s="269" t="str">
        <f t="shared" ca="1" si="35"/>
        <v/>
      </c>
      <c r="U101" s="268" t="str">
        <f t="shared" ca="1" si="35"/>
        <v/>
      </c>
      <c r="V101" s="264" t="str">
        <f t="shared" ca="1" si="35"/>
        <v/>
      </c>
      <c r="W101" s="265" t="str">
        <f t="shared" ca="1" si="35"/>
        <v/>
      </c>
      <c r="X101" s="266" t="str">
        <f t="shared" ca="1" si="35"/>
        <v/>
      </c>
      <c r="Y101" s="264" t="str">
        <f t="shared" ca="1" si="35"/>
        <v/>
      </c>
      <c r="Z101" s="265" t="str">
        <f t="shared" ca="1" si="35"/>
        <v/>
      </c>
      <c r="AA101" s="266" t="str">
        <f t="shared" ca="1" si="35"/>
        <v/>
      </c>
      <c r="AB101" s="267" t="str">
        <f t="shared" ca="1" si="35"/>
        <v/>
      </c>
      <c r="AC101" s="541"/>
      <c r="AD101" s="212" t="str">
        <f t="shared" ca="1" si="39"/>
        <v/>
      </c>
    </row>
    <row r="102" spans="1:30" s="45" customFormat="1" ht="22.5" customHeight="1">
      <c r="A102" s="258" t="str">
        <f ca="1">IFERROR(INDEX(凭证录入!H:H,$AD102),"")</f>
        <v/>
      </c>
      <c r="B102" s="259" t="str">
        <f ca="1">IFERROR(INDEX(凭证录入!I:I,$AD102),"")</f>
        <v/>
      </c>
      <c r="C102" s="260" t="str">
        <f ca="1">IFERROR(VLOOKUP($B102,会计科目表!$A:$C,2,),"")</f>
        <v/>
      </c>
      <c r="D102" s="261" t="str">
        <f ca="1">IFERROR(VLOOKUP($B102,会计科目表!$A:$C,3,),"")</f>
        <v/>
      </c>
      <c r="E102" s="262">
        <f ca="1">IFERROR(INDEX(凭证录入!K:K,$AD102),0)</f>
        <v>0</v>
      </c>
      <c r="F102" s="262">
        <f ca="1">IFERROR(INDEX(凭证录入!L:L,$AD102),0)</f>
        <v>0</v>
      </c>
      <c r="G102" s="263" t="str">
        <f t="shared" ca="1" si="34"/>
        <v/>
      </c>
      <c r="H102" s="264" t="str">
        <f t="shared" ca="1" si="34"/>
        <v/>
      </c>
      <c r="I102" s="265" t="str">
        <f t="shared" ca="1" si="34"/>
        <v/>
      </c>
      <c r="J102" s="266" t="str">
        <f t="shared" ca="1" si="34"/>
        <v/>
      </c>
      <c r="K102" s="264" t="str">
        <f t="shared" ca="1" si="34"/>
        <v/>
      </c>
      <c r="L102" s="265" t="str">
        <f t="shared" ca="1" si="34"/>
        <v/>
      </c>
      <c r="M102" s="266" t="str">
        <f t="shared" ca="1" si="34"/>
        <v/>
      </c>
      <c r="N102" s="264" t="str">
        <f t="shared" ca="1" si="34"/>
        <v/>
      </c>
      <c r="O102" s="265" t="str">
        <f t="shared" ca="1" si="34"/>
        <v/>
      </c>
      <c r="P102" s="266" t="str">
        <f t="shared" ca="1" si="34"/>
        <v/>
      </c>
      <c r="Q102" s="267" t="str">
        <f t="shared" ca="1" si="34"/>
        <v/>
      </c>
      <c r="R102" s="268" t="str">
        <f t="shared" ca="1" si="35"/>
        <v/>
      </c>
      <c r="S102" s="264" t="str">
        <f t="shared" ca="1" si="35"/>
        <v/>
      </c>
      <c r="T102" s="269" t="str">
        <f t="shared" ca="1" si="35"/>
        <v/>
      </c>
      <c r="U102" s="268" t="str">
        <f t="shared" ca="1" si="35"/>
        <v/>
      </c>
      <c r="V102" s="264" t="str">
        <f t="shared" ca="1" si="35"/>
        <v/>
      </c>
      <c r="W102" s="265" t="str">
        <f t="shared" ca="1" si="35"/>
        <v/>
      </c>
      <c r="X102" s="266" t="str">
        <f t="shared" ca="1" si="35"/>
        <v/>
      </c>
      <c r="Y102" s="264" t="str">
        <f t="shared" ca="1" si="35"/>
        <v/>
      </c>
      <c r="Z102" s="265" t="str">
        <f t="shared" ca="1" si="35"/>
        <v/>
      </c>
      <c r="AA102" s="266" t="str">
        <f t="shared" ca="1" si="35"/>
        <v/>
      </c>
      <c r="AB102" s="267" t="str">
        <f t="shared" ca="1" si="35"/>
        <v/>
      </c>
      <c r="AC102" s="541"/>
      <c r="AD102" s="212" t="str">
        <f t="shared" ca="1" si="39"/>
        <v/>
      </c>
    </row>
    <row r="103" spans="1:30" s="45" customFormat="1" ht="22.5" customHeight="1">
      <c r="A103" s="258" t="str">
        <f ca="1">IFERROR(INDEX(凭证录入!H:H,$AD103),"")</f>
        <v/>
      </c>
      <c r="B103" s="259" t="str">
        <f ca="1">IFERROR(INDEX(凭证录入!I:I,$AD103),"")</f>
        <v/>
      </c>
      <c r="C103" s="260" t="str">
        <f ca="1">IFERROR(VLOOKUP($B103,会计科目表!$A:$C,2,),"")</f>
        <v/>
      </c>
      <c r="D103" s="261" t="str">
        <f ca="1">IFERROR(VLOOKUP($B103,会计科目表!$A:$C,3,),"")</f>
        <v/>
      </c>
      <c r="E103" s="262">
        <f ca="1">IFERROR(INDEX(凭证录入!K:K,$AD103),0)</f>
        <v>0</v>
      </c>
      <c r="F103" s="262">
        <f ca="1">IFERROR(INDEX(凭证录入!L:L,$AD103),0)</f>
        <v>0</v>
      </c>
      <c r="G103" s="263" t="str">
        <f t="shared" ca="1" si="34"/>
        <v/>
      </c>
      <c r="H103" s="264" t="str">
        <f t="shared" ca="1" si="34"/>
        <v/>
      </c>
      <c r="I103" s="265" t="str">
        <f t="shared" ca="1" si="34"/>
        <v/>
      </c>
      <c r="J103" s="266" t="str">
        <f t="shared" ca="1" si="34"/>
        <v/>
      </c>
      <c r="K103" s="264" t="str">
        <f t="shared" ca="1" si="34"/>
        <v/>
      </c>
      <c r="L103" s="265" t="str">
        <f t="shared" ca="1" si="34"/>
        <v/>
      </c>
      <c r="M103" s="266" t="str">
        <f t="shared" ca="1" si="34"/>
        <v/>
      </c>
      <c r="N103" s="264" t="str">
        <f t="shared" ca="1" si="34"/>
        <v/>
      </c>
      <c r="O103" s="265" t="str">
        <f t="shared" ca="1" si="34"/>
        <v/>
      </c>
      <c r="P103" s="266" t="str">
        <f t="shared" ca="1" si="34"/>
        <v/>
      </c>
      <c r="Q103" s="267" t="str">
        <f t="shared" ca="1" si="34"/>
        <v/>
      </c>
      <c r="R103" s="268" t="str">
        <f t="shared" ca="1" si="35"/>
        <v/>
      </c>
      <c r="S103" s="264" t="str">
        <f t="shared" ca="1" si="35"/>
        <v/>
      </c>
      <c r="T103" s="269" t="str">
        <f t="shared" ca="1" si="35"/>
        <v/>
      </c>
      <c r="U103" s="268" t="str">
        <f t="shared" ca="1" si="35"/>
        <v/>
      </c>
      <c r="V103" s="264" t="str">
        <f t="shared" ca="1" si="35"/>
        <v/>
      </c>
      <c r="W103" s="265" t="str">
        <f t="shared" ca="1" si="35"/>
        <v/>
      </c>
      <c r="X103" s="266" t="str">
        <f t="shared" ca="1" si="35"/>
        <v/>
      </c>
      <c r="Y103" s="264" t="str">
        <f t="shared" ca="1" si="35"/>
        <v/>
      </c>
      <c r="Z103" s="265" t="str">
        <f t="shared" ca="1" si="35"/>
        <v/>
      </c>
      <c r="AA103" s="266" t="str">
        <f t="shared" ca="1" si="35"/>
        <v/>
      </c>
      <c r="AB103" s="267" t="str">
        <f t="shared" ca="1" si="35"/>
        <v/>
      </c>
      <c r="AC103" s="536" t="s">
        <v>669</v>
      </c>
      <c r="AD103" s="212" t="str">
        <f t="shared" ca="1" si="39"/>
        <v/>
      </c>
    </row>
    <row r="104" spans="1:30" s="45" customFormat="1" ht="22.5" customHeight="1">
      <c r="A104" s="258" t="str">
        <f ca="1">IFERROR(INDEX(凭证录入!H:H,$AD104),"")</f>
        <v/>
      </c>
      <c r="B104" s="259" t="str">
        <f ca="1">IFERROR(INDEX(凭证录入!I:I,$AD104),"")</f>
        <v/>
      </c>
      <c r="C104" s="260" t="str">
        <f ca="1">IFERROR(VLOOKUP($B104,会计科目表!$A:$C,2,),"")</f>
        <v/>
      </c>
      <c r="D104" s="261" t="str">
        <f ca="1">IFERROR(VLOOKUP($B104,会计科目表!$A:$C,3,),"")</f>
        <v/>
      </c>
      <c r="E104" s="262">
        <f ca="1">IFERROR(INDEX(凭证录入!K:K,$AD104),0)</f>
        <v>0</v>
      </c>
      <c r="F104" s="262">
        <f ca="1">IFERROR(INDEX(凭证录入!L:L,$AD104),0)</f>
        <v>0</v>
      </c>
      <c r="G104" s="263" t="str">
        <f t="shared" ca="1" si="34"/>
        <v/>
      </c>
      <c r="H104" s="264" t="str">
        <f t="shared" ca="1" si="34"/>
        <v/>
      </c>
      <c r="I104" s="265" t="str">
        <f t="shared" ca="1" si="34"/>
        <v/>
      </c>
      <c r="J104" s="266" t="str">
        <f t="shared" ca="1" si="34"/>
        <v/>
      </c>
      <c r="K104" s="264" t="str">
        <f t="shared" ca="1" si="34"/>
        <v/>
      </c>
      <c r="L104" s="265" t="str">
        <f t="shared" ca="1" si="34"/>
        <v/>
      </c>
      <c r="M104" s="266" t="str">
        <f t="shared" ca="1" si="34"/>
        <v/>
      </c>
      <c r="N104" s="264" t="str">
        <f t="shared" ca="1" si="34"/>
        <v/>
      </c>
      <c r="O104" s="265" t="str">
        <f t="shared" ca="1" si="34"/>
        <v/>
      </c>
      <c r="P104" s="266" t="str">
        <f t="shared" ca="1" si="34"/>
        <v/>
      </c>
      <c r="Q104" s="267" t="str">
        <f t="shared" ca="1" si="34"/>
        <v/>
      </c>
      <c r="R104" s="268" t="str">
        <f t="shared" ca="1" si="35"/>
        <v/>
      </c>
      <c r="S104" s="264" t="str">
        <f t="shared" ca="1" si="35"/>
        <v/>
      </c>
      <c r="T104" s="269" t="str">
        <f t="shared" ca="1" si="35"/>
        <v/>
      </c>
      <c r="U104" s="268" t="str">
        <f t="shared" ca="1" si="35"/>
        <v/>
      </c>
      <c r="V104" s="264" t="str">
        <f t="shared" ca="1" si="35"/>
        <v/>
      </c>
      <c r="W104" s="265" t="str">
        <f t="shared" ca="1" si="35"/>
        <v/>
      </c>
      <c r="X104" s="266" t="str">
        <f t="shared" ca="1" si="35"/>
        <v/>
      </c>
      <c r="Y104" s="264" t="str">
        <f t="shared" ca="1" si="35"/>
        <v/>
      </c>
      <c r="Z104" s="265" t="str">
        <f t="shared" ca="1" si="35"/>
        <v/>
      </c>
      <c r="AA104" s="266" t="str">
        <f t="shared" ca="1" si="35"/>
        <v/>
      </c>
      <c r="AB104" s="267" t="str">
        <f t="shared" ca="1" si="35"/>
        <v/>
      </c>
      <c r="AC104" s="537"/>
      <c r="AD104" s="212" t="str">
        <f t="shared" ca="1" si="39"/>
        <v/>
      </c>
    </row>
    <row r="105" spans="1:30" s="45" customFormat="1" ht="22.5" customHeight="1">
      <c r="A105" s="258" t="str">
        <f ca="1">IFERROR(INDEX(凭证录入!H:H,$AD105),"")</f>
        <v/>
      </c>
      <c r="B105" s="259" t="str">
        <f ca="1">IFERROR(INDEX(凭证录入!I:I,$AD105),"")</f>
        <v/>
      </c>
      <c r="C105" s="260" t="str">
        <f ca="1">IFERROR(VLOOKUP($B105,会计科目表!$A:$C,2,),"")</f>
        <v/>
      </c>
      <c r="D105" s="261" t="str">
        <f ca="1">IFERROR(VLOOKUP($B105,会计科目表!$A:$C,3,),"")</f>
        <v/>
      </c>
      <c r="E105" s="262">
        <f ca="1">IFERROR(INDEX(凭证录入!K:K,$AD105),0)</f>
        <v>0</v>
      </c>
      <c r="F105" s="262">
        <f ca="1">IFERROR(INDEX(凭证录入!L:L,$AD105),0)</f>
        <v>0</v>
      </c>
      <c r="G105" s="263" t="str">
        <f t="shared" ca="1" si="34"/>
        <v/>
      </c>
      <c r="H105" s="264" t="str">
        <f t="shared" ca="1" si="34"/>
        <v/>
      </c>
      <c r="I105" s="265" t="str">
        <f t="shared" ca="1" si="34"/>
        <v/>
      </c>
      <c r="J105" s="266" t="str">
        <f t="shared" ca="1" si="34"/>
        <v/>
      </c>
      <c r="K105" s="264" t="str">
        <f t="shared" ca="1" si="34"/>
        <v/>
      </c>
      <c r="L105" s="265" t="str">
        <f t="shared" ca="1" si="34"/>
        <v/>
      </c>
      <c r="M105" s="266" t="str">
        <f t="shared" ca="1" si="34"/>
        <v/>
      </c>
      <c r="N105" s="264" t="str">
        <f t="shared" ca="1" si="34"/>
        <v/>
      </c>
      <c r="O105" s="265" t="str">
        <f t="shared" ca="1" si="34"/>
        <v/>
      </c>
      <c r="P105" s="266" t="str">
        <f t="shared" ca="1" si="34"/>
        <v/>
      </c>
      <c r="Q105" s="267" t="str">
        <f t="shared" ca="1" si="34"/>
        <v/>
      </c>
      <c r="R105" s="268" t="str">
        <f t="shared" ca="1" si="35"/>
        <v/>
      </c>
      <c r="S105" s="264" t="str">
        <f t="shared" ca="1" si="35"/>
        <v/>
      </c>
      <c r="T105" s="269" t="str">
        <f t="shared" ca="1" si="35"/>
        <v/>
      </c>
      <c r="U105" s="268" t="str">
        <f t="shared" ca="1" si="35"/>
        <v/>
      </c>
      <c r="V105" s="264" t="str">
        <f t="shared" ca="1" si="35"/>
        <v/>
      </c>
      <c r="W105" s="265" t="str">
        <f t="shared" ca="1" si="35"/>
        <v/>
      </c>
      <c r="X105" s="266" t="str">
        <f t="shared" ca="1" si="35"/>
        <v/>
      </c>
      <c r="Y105" s="264" t="str">
        <f t="shared" ca="1" si="35"/>
        <v/>
      </c>
      <c r="Z105" s="265" t="str">
        <f t="shared" ca="1" si="35"/>
        <v/>
      </c>
      <c r="AA105" s="266" t="str">
        <f t="shared" ca="1" si="35"/>
        <v/>
      </c>
      <c r="AB105" s="267" t="str">
        <f t="shared" ca="1" si="35"/>
        <v/>
      </c>
      <c r="AC105" s="538"/>
      <c r="AD105" s="212" t="str">
        <f t="shared" ca="1" si="39"/>
        <v/>
      </c>
    </row>
    <row r="106" spans="1:30" s="45" customFormat="1" ht="22.5" customHeight="1">
      <c r="A106" s="258" t="str">
        <f ca="1">IFERROR(INDEX(凭证录入!H:H,$AD106),"")</f>
        <v/>
      </c>
      <c r="B106" s="259" t="str">
        <f ca="1">IFERROR(INDEX(凭证录入!I:I,$AD106),"")</f>
        <v/>
      </c>
      <c r="C106" s="260" t="str">
        <f ca="1">IFERROR(VLOOKUP($B106,会计科目表!$A:$C,2,),"")</f>
        <v/>
      </c>
      <c r="D106" s="261" t="str">
        <f ca="1">IFERROR(VLOOKUP($B106,会计科目表!$A:$C,3,),"")</f>
        <v/>
      </c>
      <c r="E106" s="262">
        <f ca="1">IFERROR(INDEX(凭证录入!K:K,$AD106),0)</f>
        <v>0</v>
      </c>
      <c r="F106" s="262">
        <f ca="1">IFERROR(INDEX(凭证录入!L:L,$AD106),0)</f>
        <v>0</v>
      </c>
      <c r="G106" s="263" t="str">
        <f t="shared" ca="1" si="34"/>
        <v/>
      </c>
      <c r="H106" s="264" t="str">
        <f t="shared" ca="1" si="34"/>
        <v/>
      </c>
      <c r="I106" s="265" t="str">
        <f t="shared" ca="1" si="34"/>
        <v/>
      </c>
      <c r="J106" s="266" t="str">
        <f t="shared" ca="1" si="34"/>
        <v/>
      </c>
      <c r="K106" s="264" t="str">
        <f t="shared" ca="1" si="34"/>
        <v/>
      </c>
      <c r="L106" s="265" t="str">
        <f t="shared" ca="1" si="34"/>
        <v/>
      </c>
      <c r="M106" s="266" t="str">
        <f t="shared" ca="1" si="34"/>
        <v/>
      </c>
      <c r="N106" s="264" t="str">
        <f t="shared" ca="1" si="34"/>
        <v/>
      </c>
      <c r="O106" s="265" t="str">
        <f t="shared" ca="1" si="34"/>
        <v/>
      </c>
      <c r="P106" s="266" t="str">
        <f t="shared" ca="1" si="34"/>
        <v/>
      </c>
      <c r="Q106" s="267" t="str">
        <f t="shared" ca="1" si="34"/>
        <v/>
      </c>
      <c r="R106" s="268" t="str">
        <f t="shared" ca="1" si="35"/>
        <v/>
      </c>
      <c r="S106" s="264" t="str">
        <f t="shared" ca="1" si="35"/>
        <v/>
      </c>
      <c r="T106" s="269" t="str">
        <f t="shared" ca="1" si="35"/>
        <v/>
      </c>
      <c r="U106" s="268" t="str">
        <f t="shared" ca="1" si="35"/>
        <v/>
      </c>
      <c r="V106" s="264" t="str">
        <f t="shared" ca="1" si="35"/>
        <v/>
      </c>
      <c r="W106" s="265" t="str">
        <f t="shared" ca="1" si="35"/>
        <v/>
      </c>
      <c r="X106" s="266" t="str">
        <f t="shared" ca="1" si="35"/>
        <v/>
      </c>
      <c r="Y106" s="264" t="str">
        <f t="shared" ca="1" si="35"/>
        <v/>
      </c>
      <c r="Z106" s="265" t="str">
        <f t="shared" ca="1" si="35"/>
        <v/>
      </c>
      <c r="AA106" s="266" t="str">
        <f t="shared" ca="1" si="35"/>
        <v/>
      </c>
      <c r="AB106" s="267" t="str">
        <f t="shared" ca="1" si="35"/>
        <v/>
      </c>
      <c r="AC106" s="538"/>
      <c r="AD106" s="212" t="str">
        <f t="shared" ca="1" si="39"/>
        <v/>
      </c>
    </row>
    <row r="107" spans="1:30" s="45" customFormat="1" ht="22.5" customHeight="1">
      <c r="A107" s="270" t="s">
        <v>670</v>
      </c>
      <c r="B107" s="271"/>
      <c r="C107" s="272" t="str">
        <f t="shared" ref="C107" ca="1" si="43">SUBSTITUTE(SUBSTITUTE(IF(-DOLLAR(E107),IF(E107&gt;0,,"负")&amp;TEXT(INT(ABS(E107)+0.5%),"[dbnum2]G/通用格式元;;")&amp;TEXT(RIGHT(DOLLAR(E107,2),2),"[dbnum2]0角0分;;整"),),"零角",IF(E107^2&lt;1,,"零")),"零分","整")</f>
        <v/>
      </c>
      <c r="D107" s="273"/>
      <c r="E107" s="274">
        <f t="shared" ref="E107:F107" ca="1" si="44">SUM(E101:E106)</f>
        <v>0</v>
      </c>
      <c r="F107" s="275">
        <f t="shared" ca="1" si="44"/>
        <v>0</v>
      </c>
      <c r="G107" s="276" t="str">
        <f t="shared" ca="1" si="34"/>
        <v/>
      </c>
      <c r="H107" s="277" t="str">
        <f t="shared" ca="1" si="34"/>
        <v/>
      </c>
      <c r="I107" s="278" t="str">
        <f t="shared" ca="1" si="34"/>
        <v/>
      </c>
      <c r="J107" s="279" t="str">
        <f t="shared" ca="1" si="34"/>
        <v/>
      </c>
      <c r="K107" s="277" t="str">
        <f t="shared" ca="1" si="34"/>
        <v/>
      </c>
      <c r="L107" s="278" t="str">
        <f t="shared" ca="1" si="34"/>
        <v/>
      </c>
      <c r="M107" s="279" t="str">
        <f t="shared" ca="1" si="34"/>
        <v/>
      </c>
      <c r="N107" s="277" t="str">
        <f t="shared" ca="1" si="34"/>
        <v/>
      </c>
      <c r="O107" s="278" t="str">
        <f t="shared" ca="1" si="34"/>
        <v/>
      </c>
      <c r="P107" s="279" t="str">
        <f t="shared" ca="1" si="34"/>
        <v/>
      </c>
      <c r="Q107" s="280" t="str">
        <f t="shared" ca="1" si="34"/>
        <v/>
      </c>
      <c r="R107" s="281" t="str">
        <f t="shared" ca="1" si="35"/>
        <v/>
      </c>
      <c r="S107" s="277" t="str">
        <f t="shared" ca="1" si="35"/>
        <v/>
      </c>
      <c r="T107" s="282" t="str">
        <f t="shared" ca="1" si="35"/>
        <v/>
      </c>
      <c r="U107" s="281" t="str">
        <f t="shared" ca="1" si="35"/>
        <v/>
      </c>
      <c r="V107" s="277" t="str">
        <f t="shared" ca="1" si="35"/>
        <v/>
      </c>
      <c r="W107" s="278" t="str">
        <f t="shared" ca="1" si="35"/>
        <v/>
      </c>
      <c r="X107" s="279" t="str">
        <f t="shared" ca="1" si="35"/>
        <v/>
      </c>
      <c r="Y107" s="277" t="str">
        <f t="shared" ca="1" si="35"/>
        <v/>
      </c>
      <c r="Z107" s="278" t="str">
        <f t="shared" ca="1" si="35"/>
        <v/>
      </c>
      <c r="AA107" s="279" t="str">
        <f t="shared" ca="1" si="35"/>
        <v/>
      </c>
      <c r="AB107" s="280" t="str">
        <f t="shared" ca="1" si="35"/>
        <v/>
      </c>
      <c r="AC107" s="283"/>
      <c r="AD107" s="212"/>
    </row>
    <row r="108" spans="1:30" s="22" customFormat="1" ht="22.5" customHeight="1">
      <c r="A108" s="284" t="s">
        <v>644</v>
      </c>
      <c r="B108" s="284"/>
      <c r="C108" s="284"/>
      <c r="D108" s="284" t="s">
        <v>645</v>
      </c>
      <c r="E108" s="284"/>
      <c r="F108" s="284"/>
      <c r="G108" s="284"/>
      <c r="H108" s="285"/>
      <c r="I108" s="284"/>
      <c r="J108" s="285"/>
      <c r="K108" s="285"/>
      <c r="L108" s="284"/>
      <c r="M108" s="285"/>
      <c r="N108" s="285"/>
      <c r="O108" s="285"/>
      <c r="P108" s="284"/>
      <c r="Q108" s="284" t="s">
        <v>646</v>
      </c>
      <c r="R108" s="284"/>
      <c r="S108" s="284"/>
      <c r="T108" s="284"/>
      <c r="U108" s="285"/>
      <c r="V108" s="284"/>
      <c r="W108" s="285"/>
      <c r="X108" s="284"/>
      <c r="Y108" s="284"/>
      <c r="Z108" s="285"/>
      <c r="AA108" s="285"/>
      <c r="AB108" s="285"/>
      <c r="AC108" s="286"/>
      <c r="AD108" s="212"/>
    </row>
    <row r="109" spans="1:30" ht="39.75" customHeight="1" thickBot="1">
      <c r="A109" s="226"/>
      <c r="B109" s="226"/>
      <c r="C109" s="227" t="s">
        <v>647</v>
      </c>
      <c r="D109" s="228"/>
      <c r="E109" s="226"/>
      <c r="F109" s="226"/>
      <c r="G109" s="228"/>
      <c r="H109" s="228"/>
      <c r="I109" s="228"/>
      <c r="J109" s="228"/>
      <c r="K109" s="228"/>
      <c r="L109" s="228"/>
      <c r="M109" s="228"/>
      <c r="N109" s="228"/>
      <c r="O109" s="228"/>
      <c r="P109" s="228"/>
      <c r="Q109" s="228"/>
      <c r="R109" s="229" t="s">
        <v>648</v>
      </c>
      <c r="S109" s="230"/>
      <c r="T109" s="230"/>
      <c r="U109" s="231" t="e">
        <f ca="1">DATE(AD$1,AF$1,INDEX(凭证录入!B:B,AD113))</f>
        <v>#VALUE!</v>
      </c>
      <c r="V109" s="232"/>
      <c r="W109" s="232"/>
      <c r="X109" s="232"/>
      <c r="Y109" s="232"/>
      <c r="Z109" s="232"/>
      <c r="AA109" s="232"/>
      <c r="AB109" s="232"/>
      <c r="AD109" s="212"/>
    </row>
    <row r="110" spans="1:30" s="45" customFormat="1" ht="23.25" customHeight="1" thickTop="1">
      <c r="A110" s="235" t="s">
        <v>649</v>
      </c>
      <c r="B110" s="235"/>
      <c r="C110" s="236" t="str">
        <f t="shared" ref="C110:C170" si="45">Co</f>
        <v>远大开发有限公司</v>
      </c>
      <c r="D110" s="236"/>
      <c r="E110" s="236"/>
      <c r="F110" s="236"/>
      <c r="G110" s="236"/>
      <c r="H110" s="236"/>
      <c r="I110" s="236"/>
      <c r="J110" s="236"/>
      <c r="K110" s="236"/>
      <c r="L110" s="236"/>
      <c r="M110" s="236"/>
      <c r="N110" s="236"/>
      <c r="O110" s="236"/>
      <c r="P110" s="236"/>
      <c r="Q110" s="236"/>
      <c r="R110" s="229" t="s">
        <v>650</v>
      </c>
      <c r="S110" s="229"/>
      <c r="T110" s="229"/>
      <c r="U110" s="237" t="str">
        <f t="shared" ref="U110" si="46">"第 "&amp;TEXT($AF$1,"00")&amp;TEXT($AC110,"0000 号")</f>
        <v>第 010010 号</v>
      </c>
      <c r="V110" s="237"/>
      <c r="W110" s="238"/>
      <c r="X110" s="238"/>
      <c r="Y110" s="238"/>
      <c r="Z110" s="238"/>
      <c r="AA110" s="238"/>
      <c r="AB110" s="238"/>
      <c r="AC110" s="239">
        <f t="shared" ref="AC110:AC170" si="47">N(LEFT((AC98),3)+1)</f>
        <v>10</v>
      </c>
      <c r="AD110" s="212"/>
    </row>
    <row r="111" spans="1:30" s="45" customFormat="1" ht="22.5" customHeight="1">
      <c r="A111" s="241" t="s">
        <v>651</v>
      </c>
      <c r="B111" s="542" t="s">
        <v>652</v>
      </c>
      <c r="C111" s="242" t="s">
        <v>653</v>
      </c>
      <c r="D111" s="243" t="s">
        <v>654</v>
      </c>
      <c r="E111" s="539" t="s">
        <v>655</v>
      </c>
      <c r="F111" s="539" t="s">
        <v>656</v>
      </c>
      <c r="G111" s="244" t="s">
        <v>657</v>
      </c>
      <c r="H111" s="245"/>
      <c r="I111" s="245"/>
      <c r="J111" s="245"/>
      <c r="K111" s="245"/>
      <c r="L111" s="245"/>
      <c r="M111" s="245"/>
      <c r="N111" s="245"/>
      <c r="O111" s="245"/>
      <c r="P111" s="245"/>
      <c r="Q111" s="246"/>
      <c r="R111" s="247" t="s">
        <v>658</v>
      </c>
      <c r="S111" s="245"/>
      <c r="T111" s="245"/>
      <c r="U111" s="245"/>
      <c r="V111" s="245"/>
      <c r="W111" s="245"/>
      <c r="X111" s="245"/>
      <c r="Y111" s="245"/>
      <c r="Z111" s="245"/>
      <c r="AA111" s="245"/>
      <c r="AB111" s="246"/>
      <c r="AC111" s="541" t="str">
        <f ca="1">"附单据数︵"&amp;INDEX(凭证录入!$D:$D,$AD$17)&amp;"︶张"</f>
        <v>附单据数︵4︶张</v>
      </c>
      <c r="AD111" s="235"/>
    </row>
    <row r="112" spans="1:30" s="45" customFormat="1" ht="22.5" customHeight="1">
      <c r="A112" s="248" t="s">
        <v>659</v>
      </c>
      <c r="B112" s="543"/>
      <c r="C112" s="249" t="s">
        <v>660</v>
      </c>
      <c r="D112" s="250" t="s">
        <v>660</v>
      </c>
      <c r="E112" s="540"/>
      <c r="F112" s="540"/>
      <c r="G112" s="251" t="s">
        <v>661</v>
      </c>
      <c r="H112" s="252" t="s">
        <v>662</v>
      </c>
      <c r="I112" s="253" t="s">
        <v>663</v>
      </c>
      <c r="J112" s="254" t="s">
        <v>664</v>
      </c>
      <c r="K112" s="252" t="s">
        <v>665</v>
      </c>
      <c r="L112" s="253" t="s">
        <v>662</v>
      </c>
      <c r="M112" s="254" t="s">
        <v>663</v>
      </c>
      <c r="N112" s="252" t="s">
        <v>664</v>
      </c>
      <c r="O112" s="253" t="s">
        <v>666</v>
      </c>
      <c r="P112" s="254" t="s">
        <v>667</v>
      </c>
      <c r="Q112" s="255" t="s">
        <v>668</v>
      </c>
      <c r="R112" s="256" t="s">
        <v>661</v>
      </c>
      <c r="S112" s="252" t="s">
        <v>662</v>
      </c>
      <c r="T112" s="257" t="s">
        <v>663</v>
      </c>
      <c r="U112" s="256" t="s">
        <v>664</v>
      </c>
      <c r="V112" s="252" t="s">
        <v>665</v>
      </c>
      <c r="W112" s="253" t="s">
        <v>662</v>
      </c>
      <c r="X112" s="254" t="s">
        <v>663</v>
      </c>
      <c r="Y112" s="252" t="s">
        <v>664</v>
      </c>
      <c r="Z112" s="253" t="s">
        <v>666</v>
      </c>
      <c r="AA112" s="254" t="s">
        <v>667</v>
      </c>
      <c r="AB112" s="255" t="s">
        <v>668</v>
      </c>
      <c r="AC112" s="541"/>
    </row>
    <row r="113" spans="1:30" s="45" customFormat="1" ht="22.5" customHeight="1">
      <c r="A113" s="258" t="str">
        <f ca="1">IFERROR(INDEX(凭证录入!H:H,$AD113),"")</f>
        <v/>
      </c>
      <c r="B113" s="259" t="str">
        <f ca="1">IFERROR(INDEX(凭证录入!I:I,$AD113),"")</f>
        <v/>
      </c>
      <c r="C113" s="260" t="str">
        <f ca="1">IFERROR(VLOOKUP($B113,会计科目表!$A:$C,2,),"")</f>
        <v/>
      </c>
      <c r="D113" s="261" t="str">
        <f ca="1">IFERROR(VLOOKUP($B113,会计科目表!$A:$C,3,),"")</f>
        <v/>
      </c>
      <c r="E113" s="262">
        <f ca="1">IFERROR(INDEX(凭证录入!K:K,$AD113),0)</f>
        <v>0</v>
      </c>
      <c r="F113" s="262">
        <f ca="1">IFERROR(INDEX(凭证录入!L:L,$AD113),0)</f>
        <v>0</v>
      </c>
      <c r="G113" s="263" t="str">
        <f t="shared" ca="1" si="34"/>
        <v/>
      </c>
      <c r="H113" s="264" t="str">
        <f t="shared" ca="1" si="34"/>
        <v/>
      </c>
      <c r="I113" s="265" t="str">
        <f t="shared" ca="1" si="34"/>
        <v/>
      </c>
      <c r="J113" s="266" t="str">
        <f t="shared" ca="1" si="34"/>
        <v/>
      </c>
      <c r="K113" s="264" t="str">
        <f t="shared" ca="1" si="34"/>
        <v/>
      </c>
      <c r="L113" s="265" t="str">
        <f t="shared" ca="1" si="34"/>
        <v/>
      </c>
      <c r="M113" s="266" t="str">
        <f t="shared" ca="1" si="34"/>
        <v/>
      </c>
      <c r="N113" s="264" t="str">
        <f t="shared" ca="1" si="34"/>
        <v/>
      </c>
      <c r="O113" s="265" t="str">
        <f t="shared" ca="1" si="34"/>
        <v/>
      </c>
      <c r="P113" s="266" t="str">
        <f t="shared" ca="1" si="34"/>
        <v/>
      </c>
      <c r="Q113" s="267" t="str">
        <f t="shared" ca="1" si="34"/>
        <v/>
      </c>
      <c r="R113" s="268" t="str">
        <f t="shared" ca="1" si="35"/>
        <v/>
      </c>
      <c r="S113" s="264" t="str">
        <f t="shared" ca="1" si="35"/>
        <v/>
      </c>
      <c r="T113" s="269" t="str">
        <f t="shared" ca="1" si="35"/>
        <v/>
      </c>
      <c r="U113" s="268" t="str">
        <f t="shared" ca="1" si="35"/>
        <v/>
      </c>
      <c r="V113" s="264" t="str">
        <f t="shared" ca="1" si="35"/>
        <v/>
      </c>
      <c r="W113" s="265" t="str">
        <f t="shared" ca="1" si="35"/>
        <v/>
      </c>
      <c r="X113" s="266" t="str">
        <f t="shared" ca="1" si="35"/>
        <v/>
      </c>
      <c r="Y113" s="264" t="str">
        <f t="shared" ca="1" si="35"/>
        <v/>
      </c>
      <c r="Z113" s="265" t="str">
        <f t="shared" ca="1" si="35"/>
        <v/>
      </c>
      <c r="AA113" s="266" t="str">
        <f t="shared" ca="1" si="35"/>
        <v/>
      </c>
      <c r="AB113" s="267" t="str">
        <f t="shared" ca="1" si="35"/>
        <v/>
      </c>
      <c r="AC113" s="541"/>
      <c r="AD113" s="212" t="str">
        <f t="shared" ca="1" si="39"/>
        <v/>
      </c>
    </row>
    <row r="114" spans="1:30" s="45" customFormat="1" ht="22.5" customHeight="1">
      <c r="A114" s="258" t="str">
        <f ca="1">IFERROR(INDEX(凭证录入!H:H,$AD114),"")</f>
        <v/>
      </c>
      <c r="B114" s="259" t="str">
        <f ca="1">IFERROR(INDEX(凭证录入!I:I,$AD114),"")</f>
        <v/>
      </c>
      <c r="C114" s="260" t="str">
        <f ca="1">IFERROR(VLOOKUP($B114,会计科目表!$A:$C,2,),"")</f>
        <v/>
      </c>
      <c r="D114" s="261" t="str">
        <f ca="1">IFERROR(VLOOKUP($B114,会计科目表!$A:$C,3,),"")</f>
        <v/>
      </c>
      <c r="E114" s="262">
        <f ca="1">IFERROR(INDEX(凭证录入!K:K,$AD114),0)</f>
        <v>0</v>
      </c>
      <c r="F114" s="262">
        <f ca="1">IFERROR(INDEX(凭证录入!L:L,$AD114),0)</f>
        <v>0</v>
      </c>
      <c r="G114" s="263" t="str">
        <f t="shared" ca="1" si="34"/>
        <v/>
      </c>
      <c r="H114" s="264" t="str">
        <f t="shared" ca="1" si="34"/>
        <v/>
      </c>
      <c r="I114" s="265" t="str">
        <f t="shared" ca="1" si="34"/>
        <v/>
      </c>
      <c r="J114" s="266" t="str">
        <f t="shared" ca="1" si="34"/>
        <v/>
      </c>
      <c r="K114" s="264" t="str">
        <f t="shared" ca="1" si="34"/>
        <v/>
      </c>
      <c r="L114" s="265" t="str">
        <f t="shared" ca="1" si="34"/>
        <v/>
      </c>
      <c r="M114" s="266" t="str">
        <f t="shared" ca="1" si="34"/>
        <v/>
      </c>
      <c r="N114" s="264" t="str">
        <f t="shared" ca="1" si="34"/>
        <v/>
      </c>
      <c r="O114" s="265" t="str">
        <f t="shared" ca="1" si="34"/>
        <v/>
      </c>
      <c r="P114" s="266" t="str">
        <f t="shared" ca="1" si="34"/>
        <v/>
      </c>
      <c r="Q114" s="267" t="str">
        <f t="shared" ca="1" si="34"/>
        <v/>
      </c>
      <c r="R114" s="268" t="str">
        <f t="shared" ca="1" si="35"/>
        <v/>
      </c>
      <c r="S114" s="264" t="str">
        <f t="shared" ca="1" si="35"/>
        <v/>
      </c>
      <c r="T114" s="269" t="str">
        <f t="shared" ca="1" si="35"/>
        <v/>
      </c>
      <c r="U114" s="268" t="str">
        <f t="shared" ca="1" si="35"/>
        <v/>
      </c>
      <c r="V114" s="264" t="str">
        <f t="shared" ca="1" si="35"/>
        <v/>
      </c>
      <c r="W114" s="265" t="str">
        <f t="shared" ca="1" si="35"/>
        <v/>
      </c>
      <c r="X114" s="266" t="str">
        <f t="shared" ca="1" si="35"/>
        <v/>
      </c>
      <c r="Y114" s="264" t="str">
        <f t="shared" ca="1" si="35"/>
        <v/>
      </c>
      <c r="Z114" s="265" t="str">
        <f t="shared" ca="1" si="35"/>
        <v/>
      </c>
      <c r="AA114" s="266" t="str">
        <f t="shared" ca="1" si="35"/>
        <v/>
      </c>
      <c r="AB114" s="267" t="str">
        <f t="shared" ca="1" si="35"/>
        <v/>
      </c>
      <c r="AC114" s="541"/>
      <c r="AD114" s="212" t="str">
        <f t="shared" ca="1" si="39"/>
        <v/>
      </c>
    </row>
    <row r="115" spans="1:30" s="45" customFormat="1" ht="22.5" customHeight="1">
      <c r="A115" s="258" t="str">
        <f ca="1">IFERROR(INDEX(凭证录入!H:H,$AD115),"")</f>
        <v/>
      </c>
      <c r="B115" s="259" t="str">
        <f ca="1">IFERROR(INDEX(凭证录入!I:I,$AD115),"")</f>
        <v/>
      </c>
      <c r="C115" s="260" t="str">
        <f ca="1">IFERROR(VLOOKUP($B115,会计科目表!$A:$C,2,),"")</f>
        <v/>
      </c>
      <c r="D115" s="261" t="str">
        <f ca="1">IFERROR(VLOOKUP($B115,会计科目表!$A:$C,3,),"")</f>
        <v/>
      </c>
      <c r="E115" s="262">
        <f ca="1">IFERROR(INDEX(凭证录入!K:K,$AD115),0)</f>
        <v>0</v>
      </c>
      <c r="F115" s="262">
        <f ca="1">IFERROR(INDEX(凭证录入!L:L,$AD115),0)</f>
        <v>0</v>
      </c>
      <c r="G115" s="263" t="str">
        <f t="shared" ca="1" si="34"/>
        <v/>
      </c>
      <c r="H115" s="264" t="str">
        <f t="shared" ca="1" si="34"/>
        <v/>
      </c>
      <c r="I115" s="265" t="str">
        <f t="shared" ca="1" si="34"/>
        <v/>
      </c>
      <c r="J115" s="266" t="str">
        <f t="shared" ca="1" si="34"/>
        <v/>
      </c>
      <c r="K115" s="264" t="str">
        <f t="shared" ca="1" si="34"/>
        <v/>
      </c>
      <c r="L115" s="265" t="str">
        <f t="shared" ca="1" si="34"/>
        <v/>
      </c>
      <c r="M115" s="266" t="str">
        <f t="shared" ca="1" si="34"/>
        <v/>
      </c>
      <c r="N115" s="264" t="str">
        <f t="shared" ca="1" si="34"/>
        <v/>
      </c>
      <c r="O115" s="265" t="str">
        <f t="shared" ca="1" si="34"/>
        <v/>
      </c>
      <c r="P115" s="266" t="str">
        <f t="shared" ca="1" si="34"/>
        <v/>
      </c>
      <c r="Q115" s="267" t="str">
        <f t="shared" ca="1" si="34"/>
        <v/>
      </c>
      <c r="R115" s="268" t="str">
        <f t="shared" ca="1" si="35"/>
        <v/>
      </c>
      <c r="S115" s="264" t="str">
        <f t="shared" ca="1" si="35"/>
        <v/>
      </c>
      <c r="T115" s="269" t="str">
        <f t="shared" ca="1" si="35"/>
        <v/>
      </c>
      <c r="U115" s="268" t="str">
        <f t="shared" ca="1" si="35"/>
        <v/>
      </c>
      <c r="V115" s="264" t="str">
        <f t="shared" ca="1" si="35"/>
        <v/>
      </c>
      <c r="W115" s="265" t="str">
        <f t="shared" ca="1" si="35"/>
        <v/>
      </c>
      <c r="X115" s="266" t="str">
        <f t="shared" ca="1" si="35"/>
        <v/>
      </c>
      <c r="Y115" s="264" t="str">
        <f t="shared" ca="1" si="35"/>
        <v/>
      </c>
      <c r="Z115" s="265" t="str">
        <f t="shared" ca="1" si="35"/>
        <v/>
      </c>
      <c r="AA115" s="266" t="str">
        <f t="shared" ca="1" si="35"/>
        <v/>
      </c>
      <c r="AB115" s="267" t="str">
        <f t="shared" ca="1" si="35"/>
        <v/>
      </c>
      <c r="AC115" s="536" t="s">
        <v>669</v>
      </c>
      <c r="AD115" s="212" t="str">
        <f t="shared" ca="1" si="39"/>
        <v/>
      </c>
    </row>
    <row r="116" spans="1:30" s="45" customFormat="1" ht="22.5" customHeight="1">
      <c r="A116" s="258" t="str">
        <f ca="1">IFERROR(INDEX(凭证录入!H:H,$AD116),"")</f>
        <v/>
      </c>
      <c r="B116" s="259" t="str">
        <f ca="1">IFERROR(INDEX(凭证录入!I:I,$AD116),"")</f>
        <v/>
      </c>
      <c r="C116" s="260" t="str">
        <f ca="1">IFERROR(VLOOKUP($B116,会计科目表!$A:$C,2,),"")</f>
        <v/>
      </c>
      <c r="D116" s="261" t="str">
        <f ca="1">IFERROR(VLOOKUP($B116,会计科目表!$A:$C,3,),"")</f>
        <v/>
      </c>
      <c r="E116" s="262">
        <f ca="1">IFERROR(INDEX(凭证录入!K:K,$AD116),0)</f>
        <v>0</v>
      </c>
      <c r="F116" s="262">
        <f ca="1">IFERROR(INDEX(凭证录入!L:L,$AD116),0)</f>
        <v>0</v>
      </c>
      <c r="G116" s="263" t="str">
        <f t="shared" ca="1" si="34"/>
        <v/>
      </c>
      <c r="H116" s="264" t="str">
        <f t="shared" ca="1" si="34"/>
        <v/>
      </c>
      <c r="I116" s="265" t="str">
        <f t="shared" ca="1" si="34"/>
        <v/>
      </c>
      <c r="J116" s="266" t="str">
        <f t="shared" ca="1" si="34"/>
        <v/>
      </c>
      <c r="K116" s="264" t="str">
        <f t="shared" ca="1" si="34"/>
        <v/>
      </c>
      <c r="L116" s="265" t="str">
        <f t="shared" ca="1" si="34"/>
        <v/>
      </c>
      <c r="M116" s="266" t="str">
        <f t="shared" ca="1" si="34"/>
        <v/>
      </c>
      <c r="N116" s="264" t="str">
        <f t="shared" ca="1" si="34"/>
        <v/>
      </c>
      <c r="O116" s="265" t="str">
        <f t="shared" ca="1" si="34"/>
        <v/>
      </c>
      <c r="P116" s="266" t="str">
        <f t="shared" ca="1" si="34"/>
        <v/>
      </c>
      <c r="Q116" s="267" t="str">
        <f t="shared" ca="1" si="34"/>
        <v/>
      </c>
      <c r="R116" s="268" t="str">
        <f t="shared" ca="1" si="35"/>
        <v/>
      </c>
      <c r="S116" s="264" t="str">
        <f t="shared" ca="1" si="35"/>
        <v/>
      </c>
      <c r="T116" s="269" t="str">
        <f t="shared" ca="1" si="35"/>
        <v/>
      </c>
      <c r="U116" s="268" t="str">
        <f t="shared" ca="1" si="35"/>
        <v/>
      </c>
      <c r="V116" s="264" t="str">
        <f t="shared" ca="1" si="35"/>
        <v/>
      </c>
      <c r="W116" s="265" t="str">
        <f t="shared" ca="1" si="35"/>
        <v/>
      </c>
      <c r="X116" s="266" t="str">
        <f t="shared" ca="1" si="35"/>
        <v/>
      </c>
      <c r="Y116" s="264" t="str">
        <f t="shared" ca="1" si="35"/>
        <v/>
      </c>
      <c r="Z116" s="265" t="str">
        <f t="shared" ca="1" si="35"/>
        <v/>
      </c>
      <c r="AA116" s="266" t="str">
        <f t="shared" ca="1" si="35"/>
        <v/>
      </c>
      <c r="AB116" s="267" t="str">
        <f t="shared" ca="1" si="35"/>
        <v/>
      </c>
      <c r="AC116" s="537"/>
      <c r="AD116" s="212" t="str">
        <f t="shared" ca="1" si="39"/>
        <v/>
      </c>
    </row>
    <row r="117" spans="1:30" s="45" customFormat="1" ht="22.5" customHeight="1">
      <c r="A117" s="258" t="str">
        <f ca="1">IFERROR(INDEX(凭证录入!H:H,$AD117),"")</f>
        <v/>
      </c>
      <c r="B117" s="259" t="str">
        <f ca="1">IFERROR(INDEX(凭证录入!I:I,$AD117),"")</f>
        <v/>
      </c>
      <c r="C117" s="260" t="str">
        <f ca="1">IFERROR(VLOOKUP($B117,会计科目表!$A:$C,2,),"")</f>
        <v/>
      </c>
      <c r="D117" s="261" t="str">
        <f ca="1">IFERROR(VLOOKUP($B117,会计科目表!$A:$C,3,),"")</f>
        <v/>
      </c>
      <c r="E117" s="262">
        <f ca="1">IFERROR(INDEX(凭证录入!K:K,$AD117),0)</f>
        <v>0</v>
      </c>
      <c r="F117" s="262">
        <f ca="1">IFERROR(INDEX(凭证录入!L:L,$AD117),0)</f>
        <v>0</v>
      </c>
      <c r="G117" s="263" t="str">
        <f t="shared" ca="1" si="34"/>
        <v/>
      </c>
      <c r="H117" s="264" t="str">
        <f t="shared" ca="1" si="34"/>
        <v/>
      </c>
      <c r="I117" s="265" t="str">
        <f t="shared" ca="1" si="34"/>
        <v/>
      </c>
      <c r="J117" s="266" t="str">
        <f t="shared" ca="1" si="34"/>
        <v/>
      </c>
      <c r="K117" s="264" t="str">
        <f t="shared" ref="G117:Q155" ca="1" si="48">LEFT(RIGHT(TEXT($E117/1%," ￥0; ￥-0;"),18-COLUMN()))</f>
        <v/>
      </c>
      <c r="L117" s="265" t="str">
        <f t="shared" ca="1" si="48"/>
        <v/>
      </c>
      <c r="M117" s="266" t="str">
        <f t="shared" ca="1" si="48"/>
        <v/>
      </c>
      <c r="N117" s="264" t="str">
        <f t="shared" ca="1" si="48"/>
        <v/>
      </c>
      <c r="O117" s="265" t="str">
        <f t="shared" ca="1" si="48"/>
        <v/>
      </c>
      <c r="P117" s="266" t="str">
        <f t="shared" ca="1" si="48"/>
        <v/>
      </c>
      <c r="Q117" s="267" t="str">
        <f t="shared" ca="1" si="48"/>
        <v/>
      </c>
      <c r="R117" s="268" t="str">
        <f t="shared" ca="1" si="35"/>
        <v/>
      </c>
      <c r="S117" s="264" t="str">
        <f t="shared" ca="1" si="35"/>
        <v/>
      </c>
      <c r="T117" s="269" t="str">
        <f t="shared" ca="1" si="35"/>
        <v/>
      </c>
      <c r="U117" s="268" t="str">
        <f t="shared" ca="1" si="35"/>
        <v/>
      </c>
      <c r="V117" s="264" t="str">
        <f t="shared" ref="R117:AB155" ca="1" si="49">LEFT(RIGHT(TEXT($F117/1%," ￥0; ￥-0;"),29-COLUMN()))</f>
        <v/>
      </c>
      <c r="W117" s="265" t="str">
        <f t="shared" ca="1" si="49"/>
        <v/>
      </c>
      <c r="X117" s="266" t="str">
        <f t="shared" ca="1" si="49"/>
        <v/>
      </c>
      <c r="Y117" s="264" t="str">
        <f t="shared" ca="1" si="49"/>
        <v/>
      </c>
      <c r="Z117" s="265" t="str">
        <f t="shared" ca="1" si="49"/>
        <v/>
      </c>
      <c r="AA117" s="266" t="str">
        <f t="shared" ca="1" si="49"/>
        <v/>
      </c>
      <c r="AB117" s="267" t="str">
        <f t="shared" ca="1" si="49"/>
        <v/>
      </c>
      <c r="AC117" s="538"/>
      <c r="AD117" s="212" t="str">
        <f t="shared" ca="1" si="39"/>
        <v/>
      </c>
    </row>
    <row r="118" spans="1:30" s="45" customFormat="1" ht="22.5" customHeight="1">
      <c r="A118" s="258" t="str">
        <f ca="1">IFERROR(INDEX(凭证录入!H:H,$AD118),"")</f>
        <v/>
      </c>
      <c r="B118" s="259" t="str">
        <f ca="1">IFERROR(INDEX(凭证录入!I:I,$AD118),"")</f>
        <v/>
      </c>
      <c r="C118" s="260" t="str">
        <f ca="1">IFERROR(VLOOKUP($B118,会计科目表!$A:$C,2,),"")</f>
        <v/>
      </c>
      <c r="D118" s="261" t="str">
        <f ca="1">IFERROR(VLOOKUP($B118,会计科目表!$A:$C,3,),"")</f>
        <v/>
      </c>
      <c r="E118" s="262">
        <f ca="1">IFERROR(INDEX(凭证录入!K:K,$AD118),0)</f>
        <v>0</v>
      </c>
      <c r="F118" s="262">
        <f ca="1">IFERROR(INDEX(凭证录入!L:L,$AD118),0)</f>
        <v>0</v>
      </c>
      <c r="G118" s="263" t="str">
        <f t="shared" ca="1" si="48"/>
        <v/>
      </c>
      <c r="H118" s="264" t="str">
        <f t="shared" ca="1" si="48"/>
        <v/>
      </c>
      <c r="I118" s="265" t="str">
        <f t="shared" ca="1" si="48"/>
        <v/>
      </c>
      <c r="J118" s="266" t="str">
        <f t="shared" ca="1" si="48"/>
        <v/>
      </c>
      <c r="K118" s="264" t="str">
        <f t="shared" ca="1" si="48"/>
        <v/>
      </c>
      <c r="L118" s="265" t="str">
        <f t="shared" ca="1" si="48"/>
        <v/>
      </c>
      <c r="M118" s="266" t="str">
        <f t="shared" ca="1" si="48"/>
        <v/>
      </c>
      <c r="N118" s="264" t="str">
        <f t="shared" ca="1" si="48"/>
        <v/>
      </c>
      <c r="O118" s="265" t="str">
        <f t="shared" ca="1" si="48"/>
        <v/>
      </c>
      <c r="P118" s="266" t="str">
        <f t="shared" ca="1" si="48"/>
        <v/>
      </c>
      <c r="Q118" s="267" t="str">
        <f t="shared" ca="1" si="48"/>
        <v/>
      </c>
      <c r="R118" s="268" t="str">
        <f t="shared" ca="1" si="49"/>
        <v/>
      </c>
      <c r="S118" s="264" t="str">
        <f t="shared" ca="1" si="49"/>
        <v/>
      </c>
      <c r="T118" s="269" t="str">
        <f t="shared" ca="1" si="49"/>
        <v/>
      </c>
      <c r="U118" s="268" t="str">
        <f t="shared" ca="1" si="49"/>
        <v/>
      </c>
      <c r="V118" s="264" t="str">
        <f t="shared" ca="1" si="49"/>
        <v/>
      </c>
      <c r="W118" s="265" t="str">
        <f t="shared" ca="1" si="49"/>
        <v/>
      </c>
      <c r="X118" s="266" t="str">
        <f t="shared" ca="1" si="49"/>
        <v/>
      </c>
      <c r="Y118" s="264" t="str">
        <f t="shared" ca="1" si="49"/>
        <v/>
      </c>
      <c r="Z118" s="265" t="str">
        <f t="shared" ca="1" si="49"/>
        <v/>
      </c>
      <c r="AA118" s="266" t="str">
        <f t="shared" ca="1" si="49"/>
        <v/>
      </c>
      <c r="AB118" s="267" t="str">
        <f t="shared" ca="1" si="49"/>
        <v/>
      </c>
      <c r="AC118" s="538"/>
      <c r="AD118" s="212" t="str">
        <f t="shared" ca="1" si="39"/>
        <v/>
      </c>
    </row>
    <row r="119" spans="1:30" s="45" customFormat="1" ht="22.5" customHeight="1">
      <c r="A119" s="270" t="s">
        <v>670</v>
      </c>
      <c r="B119" s="271"/>
      <c r="C119" s="272" t="str">
        <f t="shared" ref="C119" ca="1" si="50">SUBSTITUTE(SUBSTITUTE(IF(-DOLLAR(E119),IF(E119&gt;0,,"负")&amp;TEXT(INT(ABS(E119)+0.5%),"[dbnum2]G/通用格式元;;")&amp;TEXT(RIGHT(DOLLAR(E119,2),2),"[dbnum2]0角0分;;整"),),"零角",IF(E119^2&lt;1,,"零")),"零分","整")</f>
        <v/>
      </c>
      <c r="D119" s="273"/>
      <c r="E119" s="274">
        <f t="shared" ref="E119:F119" ca="1" si="51">SUM(E113:E118)</f>
        <v>0</v>
      </c>
      <c r="F119" s="275">
        <f t="shared" ca="1" si="51"/>
        <v>0</v>
      </c>
      <c r="G119" s="276" t="str">
        <f t="shared" ca="1" si="48"/>
        <v/>
      </c>
      <c r="H119" s="277" t="str">
        <f t="shared" ca="1" si="48"/>
        <v/>
      </c>
      <c r="I119" s="278" t="str">
        <f t="shared" ca="1" si="48"/>
        <v/>
      </c>
      <c r="J119" s="279" t="str">
        <f t="shared" ca="1" si="48"/>
        <v/>
      </c>
      <c r="K119" s="277" t="str">
        <f t="shared" ca="1" si="48"/>
        <v/>
      </c>
      <c r="L119" s="278" t="str">
        <f t="shared" ca="1" si="48"/>
        <v/>
      </c>
      <c r="M119" s="279" t="str">
        <f t="shared" ca="1" si="48"/>
        <v/>
      </c>
      <c r="N119" s="277" t="str">
        <f t="shared" ca="1" si="48"/>
        <v/>
      </c>
      <c r="O119" s="278" t="str">
        <f t="shared" ca="1" si="48"/>
        <v/>
      </c>
      <c r="P119" s="279" t="str">
        <f t="shared" ca="1" si="48"/>
        <v/>
      </c>
      <c r="Q119" s="280" t="str">
        <f t="shared" ca="1" si="48"/>
        <v/>
      </c>
      <c r="R119" s="281" t="str">
        <f t="shared" ca="1" si="49"/>
        <v/>
      </c>
      <c r="S119" s="277" t="str">
        <f t="shared" ca="1" si="49"/>
        <v/>
      </c>
      <c r="T119" s="282" t="str">
        <f t="shared" ca="1" si="49"/>
        <v/>
      </c>
      <c r="U119" s="281" t="str">
        <f t="shared" ca="1" si="49"/>
        <v/>
      </c>
      <c r="V119" s="277" t="str">
        <f t="shared" ca="1" si="49"/>
        <v/>
      </c>
      <c r="W119" s="278" t="str">
        <f t="shared" ca="1" si="49"/>
        <v/>
      </c>
      <c r="X119" s="279" t="str">
        <f t="shared" ca="1" si="49"/>
        <v/>
      </c>
      <c r="Y119" s="277" t="str">
        <f t="shared" ca="1" si="49"/>
        <v/>
      </c>
      <c r="Z119" s="278" t="str">
        <f t="shared" ca="1" si="49"/>
        <v/>
      </c>
      <c r="AA119" s="279" t="str">
        <f t="shared" ca="1" si="49"/>
        <v/>
      </c>
      <c r="AB119" s="280" t="str">
        <f t="shared" ca="1" si="49"/>
        <v/>
      </c>
      <c r="AC119" s="283"/>
      <c r="AD119" s="212"/>
    </row>
    <row r="120" spans="1:30" s="22" customFormat="1" ht="22.5" customHeight="1">
      <c r="A120" s="284" t="s">
        <v>644</v>
      </c>
      <c r="B120" s="284"/>
      <c r="C120" s="284"/>
      <c r="D120" s="284" t="s">
        <v>645</v>
      </c>
      <c r="E120" s="284"/>
      <c r="F120" s="284"/>
      <c r="G120" s="284"/>
      <c r="H120" s="285"/>
      <c r="I120" s="284"/>
      <c r="J120" s="285"/>
      <c r="K120" s="285"/>
      <c r="L120" s="284"/>
      <c r="M120" s="285"/>
      <c r="N120" s="285"/>
      <c r="O120" s="285"/>
      <c r="P120" s="284"/>
      <c r="Q120" s="284" t="s">
        <v>646</v>
      </c>
      <c r="R120" s="284"/>
      <c r="S120" s="284"/>
      <c r="T120" s="284"/>
      <c r="U120" s="285"/>
      <c r="V120" s="284"/>
      <c r="W120" s="285"/>
      <c r="X120" s="284"/>
      <c r="Y120" s="284"/>
      <c r="Z120" s="285"/>
      <c r="AA120" s="285"/>
      <c r="AB120" s="285"/>
      <c r="AC120" s="286"/>
      <c r="AD120" s="212"/>
    </row>
    <row r="121" spans="1:30" ht="39.75" customHeight="1" thickBot="1">
      <c r="A121" s="226"/>
      <c r="B121" s="226"/>
      <c r="C121" s="227" t="s">
        <v>647</v>
      </c>
      <c r="D121" s="228"/>
      <c r="E121" s="226"/>
      <c r="F121" s="226"/>
      <c r="G121" s="228"/>
      <c r="H121" s="228"/>
      <c r="I121" s="228"/>
      <c r="J121" s="228"/>
      <c r="K121" s="228"/>
      <c r="L121" s="228"/>
      <c r="M121" s="228"/>
      <c r="N121" s="228"/>
      <c r="O121" s="228"/>
      <c r="P121" s="228"/>
      <c r="Q121" s="228"/>
      <c r="R121" s="229" t="s">
        <v>648</v>
      </c>
      <c r="S121" s="230"/>
      <c r="T121" s="230"/>
      <c r="U121" s="231" t="e">
        <f ca="1">DATE(AD$1,AF$1,INDEX(凭证录入!B:B,AD125))</f>
        <v>#VALUE!</v>
      </c>
      <c r="V121" s="232"/>
      <c r="W121" s="232"/>
      <c r="X121" s="232"/>
      <c r="Y121" s="232"/>
      <c r="Z121" s="232"/>
      <c r="AA121" s="232"/>
      <c r="AB121" s="232"/>
      <c r="AD121" s="212"/>
    </row>
    <row r="122" spans="1:30" s="45" customFormat="1" ht="23.25" customHeight="1" thickTop="1">
      <c r="A122" s="235" t="s">
        <v>649</v>
      </c>
      <c r="B122" s="235"/>
      <c r="C122" s="236" t="str">
        <f t="shared" si="45"/>
        <v>远大开发有限公司</v>
      </c>
      <c r="D122" s="236"/>
      <c r="E122" s="236"/>
      <c r="F122" s="236"/>
      <c r="G122" s="236"/>
      <c r="H122" s="236"/>
      <c r="I122" s="236"/>
      <c r="J122" s="236"/>
      <c r="K122" s="236"/>
      <c r="L122" s="236"/>
      <c r="M122" s="236"/>
      <c r="N122" s="236"/>
      <c r="O122" s="236"/>
      <c r="P122" s="236"/>
      <c r="Q122" s="236"/>
      <c r="R122" s="229" t="s">
        <v>650</v>
      </c>
      <c r="S122" s="229"/>
      <c r="T122" s="229"/>
      <c r="U122" s="237" t="str">
        <f t="shared" ref="U122" si="52">"第 "&amp;TEXT($AF$1,"00")&amp;TEXT($AC122,"0000 号")</f>
        <v>第 010011 号</v>
      </c>
      <c r="V122" s="237"/>
      <c r="W122" s="238"/>
      <c r="X122" s="238"/>
      <c r="Y122" s="238"/>
      <c r="Z122" s="238"/>
      <c r="AA122" s="238"/>
      <c r="AB122" s="238"/>
      <c r="AC122" s="239">
        <f t="shared" si="47"/>
        <v>11</v>
      </c>
      <c r="AD122" s="212"/>
    </row>
    <row r="123" spans="1:30" s="45" customFormat="1" ht="22.5" customHeight="1">
      <c r="A123" s="241" t="s">
        <v>651</v>
      </c>
      <c r="B123" s="542" t="s">
        <v>652</v>
      </c>
      <c r="C123" s="242" t="s">
        <v>653</v>
      </c>
      <c r="D123" s="243" t="s">
        <v>654</v>
      </c>
      <c r="E123" s="539" t="s">
        <v>655</v>
      </c>
      <c r="F123" s="539" t="s">
        <v>656</v>
      </c>
      <c r="G123" s="244" t="s">
        <v>657</v>
      </c>
      <c r="H123" s="245"/>
      <c r="I123" s="245"/>
      <c r="J123" s="245"/>
      <c r="K123" s="245"/>
      <c r="L123" s="245"/>
      <c r="M123" s="245"/>
      <c r="N123" s="245"/>
      <c r="O123" s="245"/>
      <c r="P123" s="245"/>
      <c r="Q123" s="246"/>
      <c r="R123" s="247" t="s">
        <v>658</v>
      </c>
      <c r="S123" s="245"/>
      <c r="T123" s="245"/>
      <c r="U123" s="245"/>
      <c r="V123" s="245"/>
      <c r="W123" s="245"/>
      <c r="X123" s="245"/>
      <c r="Y123" s="245"/>
      <c r="Z123" s="245"/>
      <c r="AA123" s="245"/>
      <c r="AB123" s="246"/>
      <c r="AC123" s="541" t="str">
        <f ca="1">"附单据数︵"&amp;INDEX(凭证录入!$D:$D,$AD$17)&amp;"︶张"</f>
        <v>附单据数︵4︶张</v>
      </c>
      <c r="AD123" s="235"/>
    </row>
    <row r="124" spans="1:30" s="45" customFormat="1" ht="22.5" customHeight="1">
      <c r="A124" s="248" t="s">
        <v>659</v>
      </c>
      <c r="B124" s="543"/>
      <c r="C124" s="249" t="s">
        <v>660</v>
      </c>
      <c r="D124" s="250" t="s">
        <v>660</v>
      </c>
      <c r="E124" s="540"/>
      <c r="F124" s="540"/>
      <c r="G124" s="251" t="s">
        <v>661</v>
      </c>
      <c r="H124" s="252" t="s">
        <v>662</v>
      </c>
      <c r="I124" s="253" t="s">
        <v>663</v>
      </c>
      <c r="J124" s="254" t="s">
        <v>664</v>
      </c>
      <c r="K124" s="252" t="s">
        <v>665</v>
      </c>
      <c r="L124" s="253" t="s">
        <v>662</v>
      </c>
      <c r="M124" s="254" t="s">
        <v>663</v>
      </c>
      <c r="N124" s="252" t="s">
        <v>664</v>
      </c>
      <c r="O124" s="253" t="s">
        <v>666</v>
      </c>
      <c r="P124" s="254" t="s">
        <v>667</v>
      </c>
      <c r="Q124" s="255" t="s">
        <v>668</v>
      </c>
      <c r="R124" s="256" t="s">
        <v>661</v>
      </c>
      <c r="S124" s="252" t="s">
        <v>662</v>
      </c>
      <c r="T124" s="257" t="s">
        <v>663</v>
      </c>
      <c r="U124" s="256" t="s">
        <v>664</v>
      </c>
      <c r="V124" s="252" t="s">
        <v>665</v>
      </c>
      <c r="W124" s="253" t="s">
        <v>662</v>
      </c>
      <c r="X124" s="254" t="s">
        <v>663</v>
      </c>
      <c r="Y124" s="252" t="s">
        <v>664</v>
      </c>
      <c r="Z124" s="253" t="s">
        <v>666</v>
      </c>
      <c r="AA124" s="254" t="s">
        <v>667</v>
      </c>
      <c r="AB124" s="255" t="s">
        <v>668</v>
      </c>
      <c r="AC124" s="541"/>
    </row>
    <row r="125" spans="1:30" s="45" customFormat="1" ht="22.5" customHeight="1">
      <c r="A125" s="258" t="str">
        <f ca="1">IFERROR(INDEX(凭证录入!H:H,$AD125),"")</f>
        <v/>
      </c>
      <c r="B125" s="259" t="str">
        <f ca="1">IFERROR(INDEX(凭证录入!I:I,$AD125),"")</f>
        <v/>
      </c>
      <c r="C125" s="260" t="str">
        <f ca="1">IFERROR(VLOOKUP($B125,会计科目表!$A:$C,2,),"")</f>
        <v/>
      </c>
      <c r="D125" s="261" t="str">
        <f ca="1">IFERROR(VLOOKUP($B125,会计科目表!$A:$C,3,),"")</f>
        <v/>
      </c>
      <c r="E125" s="262">
        <f ca="1">IFERROR(INDEX(凭证录入!K:K,$AD125),0)</f>
        <v>0</v>
      </c>
      <c r="F125" s="262">
        <f ca="1">IFERROR(INDEX(凭证录入!L:L,$AD125),0)</f>
        <v>0</v>
      </c>
      <c r="G125" s="263" t="str">
        <f t="shared" ca="1" si="48"/>
        <v/>
      </c>
      <c r="H125" s="264" t="str">
        <f t="shared" ca="1" si="48"/>
        <v/>
      </c>
      <c r="I125" s="265" t="str">
        <f t="shared" ca="1" si="48"/>
        <v/>
      </c>
      <c r="J125" s="266" t="str">
        <f t="shared" ca="1" si="48"/>
        <v/>
      </c>
      <c r="K125" s="264" t="str">
        <f t="shared" ca="1" si="48"/>
        <v/>
      </c>
      <c r="L125" s="265" t="str">
        <f t="shared" ca="1" si="48"/>
        <v/>
      </c>
      <c r="M125" s="266" t="str">
        <f t="shared" ca="1" si="48"/>
        <v/>
      </c>
      <c r="N125" s="264" t="str">
        <f t="shared" ca="1" si="48"/>
        <v/>
      </c>
      <c r="O125" s="265" t="str">
        <f t="shared" ca="1" si="48"/>
        <v/>
      </c>
      <c r="P125" s="266" t="str">
        <f t="shared" ca="1" si="48"/>
        <v/>
      </c>
      <c r="Q125" s="267" t="str">
        <f t="shared" ca="1" si="48"/>
        <v/>
      </c>
      <c r="R125" s="268" t="str">
        <f t="shared" ca="1" si="49"/>
        <v/>
      </c>
      <c r="S125" s="264" t="str">
        <f t="shared" ca="1" si="49"/>
        <v/>
      </c>
      <c r="T125" s="269" t="str">
        <f t="shared" ca="1" si="49"/>
        <v/>
      </c>
      <c r="U125" s="268" t="str">
        <f t="shared" ca="1" si="49"/>
        <v/>
      </c>
      <c r="V125" s="264" t="str">
        <f t="shared" ca="1" si="49"/>
        <v/>
      </c>
      <c r="W125" s="265" t="str">
        <f t="shared" ca="1" si="49"/>
        <v/>
      </c>
      <c r="X125" s="266" t="str">
        <f t="shared" ca="1" si="49"/>
        <v/>
      </c>
      <c r="Y125" s="264" t="str">
        <f t="shared" ca="1" si="49"/>
        <v/>
      </c>
      <c r="Z125" s="265" t="str">
        <f t="shared" ca="1" si="49"/>
        <v/>
      </c>
      <c r="AA125" s="266" t="str">
        <f t="shared" ca="1" si="49"/>
        <v/>
      </c>
      <c r="AB125" s="267" t="str">
        <f t="shared" ca="1" si="49"/>
        <v/>
      </c>
      <c r="AC125" s="541"/>
      <c r="AD125" s="212" t="str">
        <f t="shared" ca="1" si="39"/>
        <v/>
      </c>
    </row>
    <row r="126" spans="1:30" s="45" customFormat="1" ht="22.5" customHeight="1">
      <c r="A126" s="258" t="str">
        <f ca="1">IFERROR(INDEX(凭证录入!H:H,$AD126),"")</f>
        <v/>
      </c>
      <c r="B126" s="259" t="str">
        <f ca="1">IFERROR(INDEX(凭证录入!I:I,$AD126),"")</f>
        <v/>
      </c>
      <c r="C126" s="260" t="str">
        <f ca="1">IFERROR(VLOOKUP($B126,会计科目表!$A:$C,2,),"")</f>
        <v/>
      </c>
      <c r="D126" s="261" t="str">
        <f ca="1">IFERROR(VLOOKUP($B126,会计科目表!$A:$C,3,),"")</f>
        <v/>
      </c>
      <c r="E126" s="262">
        <f ca="1">IFERROR(INDEX(凭证录入!K:K,$AD126),0)</f>
        <v>0</v>
      </c>
      <c r="F126" s="262">
        <f ca="1">IFERROR(INDEX(凭证录入!L:L,$AD126),0)</f>
        <v>0</v>
      </c>
      <c r="G126" s="263" t="str">
        <f t="shared" ca="1" si="48"/>
        <v/>
      </c>
      <c r="H126" s="264" t="str">
        <f t="shared" ca="1" si="48"/>
        <v/>
      </c>
      <c r="I126" s="265" t="str">
        <f t="shared" ca="1" si="48"/>
        <v/>
      </c>
      <c r="J126" s="266" t="str">
        <f t="shared" ca="1" si="48"/>
        <v/>
      </c>
      <c r="K126" s="264" t="str">
        <f t="shared" ca="1" si="48"/>
        <v/>
      </c>
      <c r="L126" s="265" t="str">
        <f t="shared" ca="1" si="48"/>
        <v/>
      </c>
      <c r="M126" s="266" t="str">
        <f t="shared" ca="1" si="48"/>
        <v/>
      </c>
      <c r="N126" s="264" t="str">
        <f t="shared" ca="1" si="48"/>
        <v/>
      </c>
      <c r="O126" s="265" t="str">
        <f t="shared" ca="1" si="48"/>
        <v/>
      </c>
      <c r="P126" s="266" t="str">
        <f t="shared" ca="1" si="48"/>
        <v/>
      </c>
      <c r="Q126" s="267" t="str">
        <f t="shared" ca="1" si="48"/>
        <v/>
      </c>
      <c r="R126" s="268" t="str">
        <f t="shared" ca="1" si="49"/>
        <v/>
      </c>
      <c r="S126" s="264" t="str">
        <f t="shared" ca="1" si="49"/>
        <v/>
      </c>
      <c r="T126" s="269" t="str">
        <f t="shared" ca="1" si="49"/>
        <v/>
      </c>
      <c r="U126" s="268" t="str">
        <f t="shared" ca="1" si="49"/>
        <v/>
      </c>
      <c r="V126" s="264" t="str">
        <f t="shared" ca="1" si="49"/>
        <v/>
      </c>
      <c r="W126" s="265" t="str">
        <f t="shared" ca="1" si="49"/>
        <v/>
      </c>
      <c r="X126" s="266" t="str">
        <f t="shared" ca="1" si="49"/>
        <v/>
      </c>
      <c r="Y126" s="264" t="str">
        <f t="shared" ca="1" si="49"/>
        <v/>
      </c>
      <c r="Z126" s="265" t="str">
        <f t="shared" ca="1" si="49"/>
        <v/>
      </c>
      <c r="AA126" s="266" t="str">
        <f t="shared" ca="1" si="49"/>
        <v/>
      </c>
      <c r="AB126" s="267" t="str">
        <f t="shared" ca="1" si="49"/>
        <v/>
      </c>
      <c r="AC126" s="541"/>
      <c r="AD126" s="212" t="str">
        <f t="shared" ca="1" si="39"/>
        <v/>
      </c>
    </row>
    <row r="127" spans="1:30" s="45" customFormat="1" ht="22.5" customHeight="1">
      <c r="A127" s="258" t="str">
        <f ca="1">IFERROR(INDEX(凭证录入!H:H,$AD127),"")</f>
        <v/>
      </c>
      <c r="B127" s="259" t="str">
        <f ca="1">IFERROR(INDEX(凭证录入!I:I,$AD127),"")</f>
        <v/>
      </c>
      <c r="C127" s="260" t="str">
        <f ca="1">IFERROR(VLOOKUP($B127,会计科目表!$A:$C,2,),"")</f>
        <v/>
      </c>
      <c r="D127" s="261" t="str">
        <f ca="1">IFERROR(VLOOKUP($B127,会计科目表!$A:$C,3,),"")</f>
        <v/>
      </c>
      <c r="E127" s="262">
        <f ca="1">IFERROR(INDEX(凭证录入!K:K,$AD127),0)</f>
        <v>0</v>
      </c>
      <c r="F127" s="262">
        <f ca="1">IFERROR(INDEX(凭证录入!L:L,$AD127),0)</f>
        <v>0</v>
      </c>
      <c r="G127" s="263" t="str">
        <f t="shared" ca="1" si="48"/>
        <v/>
      </c>
      <c r="H127" s="264" t="str">
        <f t="shared" ca="1" si="48"/>
        <v/>
      </c>
      <c r="I127" s="265" t="str">
        <f t="shared" ca="1" si="48"/>
        <v/>
      </c>
      <c r="J127" s="266" t="str">
        <f t="shared" ca="1" si="48"/>
        <v/>
      </c>
      <c r="K127" s="264" t="str">
        <f t="shared" ca="1" si="48"/>
        <v/>
      </c>
      <c r="L127" s="265" t="str">
        <f t="shared" ca="1" si="48"/>
        <v/>
      </c>
      <c r="M127" s="266" t="str">
        <f t="shared" ca="1" si="48"/>
        <v/>
      </c>
      <c r="N127" s="264" t="str">
        <f t="shared" ca="1" si="48"/>
        <v/>
      </c>
      <c r="O127" s="265" t="str">
        <f t="shared" ca="1" si="48"/>
        <v/>
      </c>
      <c r="P127" s="266" t="str">
        <f t="shared" ca="1" si="48"/>
        <v/>
      </c>
      <c r="Q127" s="267" t="str">
        <f t="shared" ca="1" si="48"/>
        <v/>
      </c>
      <c r="R127" s="268" t="str">
        <f t="shared" ca="1" si="49"/>
        <v/>
      </c>
      <c r="S127" s="264" t="str">
        <f t="shared" ca="1" si="49"/>
        <v/>
      </c>
      <c r="T127" s="269" t="str">
        <f t="shared" ca="1" si="49"/>
        <v/>
      </c>
      <c r="U127" s="268" t="str">
        <f t="shared" ca="1" si="49"/>
        <v/>
      </c>
      <c r="V127" s="264" t="str">
        <f t="shared" ca="1" si="49"/>
        <v/>
      </c>
      <c r="W127" s="265" t="str">
        <f t="shared" ca="1" si="49"/>
        <v/>
      </c>
      <c r="X127" s="266" t="str">
        <f t="shared" ca="1" si="49"/>
        <v/>
      </c>
      <c r="Y127" s="264" t="str">
        <f t="shared" ca="1" si="49"/>
        <v/>
      </c>
      <c r="Z127" s="265" t="str">
        <f t="shared" ca="1" si="49"/>
        <v/>
      </c>
      <c r="AA127" s="266" t="str">
        <f t="shared" ca="1" si="49"/>
        <v/>
      </c>
      <c r="AB127" s="267" t="str">
        <f t="shared" ca="1" si="49"/>
        <v/>
      </c>
      <c r="AC127" s="536" t="s">
        <v>669</v>
      </c>
      <c r="AD127" s="212" t="str">
        <f t="shared" ca="1" si="39"/>
        <v/>
      </c>
    </row>
    <row r="128" spans="1:30" s="45" customFormat="1" ht="22.5" customHeight="1">
      <c r="A128" s="258" t="str">
        <f ca="1">IFERROR(INDEX(凭证录入!H:H,$AD128),"")</f>
        <v/>
      </c>
      <c r="B128" s="259" t="str">
        <f ca="1">IFERROR(INDEX(凭证录入!I:I,$AD128),"")</f>
        <v/>
      </c>
      <c r="C128" s="260" t="str">
        <f ca="1">IFERROR(VLOOKUP($B128,会计科目表!$A:$C,2,),"")</f>
        <v/>
      </c>
      <c r="D128" s="261" t="str">
        <f ca="1">IFERROR(VLOOKUP($B128,会计科目表!$A:$C,3,),"")</f>
        <v/>
      </c>
      <c r="E128" s="262">
        <f ca="1">IFERROR(INDEX(凭证录入!K:K,$AD128),0)</f>
        <v>0</v>
      </c>
      <c r="F128" s="262">
        <f ca="1">IFERROR(INDEX(凭证录入!L:L,$AD128),0)</f>
        <v>0</v>
      </c>
      <c r="G128" s="263" t="str">
        <f t="shared" ca="1" si="48"/>
        <v/>
      </c>
      <c r="H128" s="264" t="str">
        <f t="shared" ca="1" si="48"/>
        <v/>
      </c>
      <c r="I128" s="265" t="str">
        <f t="shared" ca="1" si="48"/>
        <v/>
      </c>
      <c r="J128" s="266" t="str">
        <f t="shared" ca="1" si="48"/>
        <v/>
      </c>
      <c r="K128" s="264" t="str">
        <f t="shared" ca="1" si="48"/>
        <v/>
      </c>
      <c r="L128" s="265" t="str">
        <f t="shared" ca="1" si="48"/>
        <v/>
      </c>
      <c r="M128" s="266" t="str">
        <f t="shared" ca="1" si="48"/>
        <v/>
      </c>
      <c r="N128" s="264" t="str">
        <f t="shared" ca="1" si="48"/>
        <v/>
      </c>
      <c r="O128" s="265" t="str">
        <f t="shared" ca="1" si="48"/>
        <v/>
      </c>
      <c r="P128" s="266" t="str">
        <f t="shared" ca="1" si="48"/>
        <v/>
      </c>
      <c r="Q128" s="267" t="str">
        <f t="shared" ca="1" si="48"/>
        <v/>
      </c>
      <c r="R128" s="268" t="str">
        <f t="shared" ca="1" si="49"/>
        <v/>
      </c>
      <c r="S128" s="264" t="str">
        <f t="shared" ca="1" si="49"/>
        <v/>
      </c>
      <c r="T128" s="269" t="str">
        <f t="shared" ca="1" si="49"/>
        <v/>
      </c>
      <c r="U128" s="268" t="str">
        <f t="shared" ca="1" si="49"/>
        <v/>
      </c>
      <c r="V128" s="264" t="str">
        <f t="shared" ca="1" si="49"/>
        <v/>
      </c>
      <c r="W128" s="265" t="str">
        <f t="shared" ca="1" si="49"/>
        <v/>
      </c>
      <c r="X128" s="266" t="str">
        <f t="shared" ca="1" si="49"/>
        <v/>
      </c>
      <c r="Y128" s="264" t="str">
        <f t="shared" ca="1" si="49"/>
        <v/>
      </c>
      <c r="Z128" s="265" t="str">
        <f t="shared" ca="1" si="49"/>
        <v/>
      </c>
      <c r="AA128" s="266" t="str">
        <f t="shared" ca="1" si="49"/>
        <v/>
      </c>
      <c r="AB128" s="267" t="str">
        <f t="shared" ca="1" si="49"/>
        <v/>
      </c>
      <c r="AC128" s="537"/>
      <c r="AD128" s="212" t="str">
        <f t="shared" ca="1" si="39"/>
        <v/>
      </c>
    </row>
    <row r="129" spans="1:30" s="45" customFormat="1" ht="22.5" customHeight="1">
      <c r="A129" s="258" t="str">
        <f ca="1">IFERROR(INDEX(凭证录入!H:H,$AD129),"")</f>
        <v/>
      </c>
      <c r="B129" s="259" t="str">
        <f ca="1">IFERROR(INDEX(凭证录入!I:I,$AD129),"")</f>
        <v/>
      </c>
      <c r="C129" s="260" t="str">
        <f ca="1">IFERROR(VLOOKUP($B129,会计科目表!$A:$C,2,),"")</f>
        <v/>
      </c>
      <c r="D129" s="261" t="str">
        <f ca="1">IFERROR(VLOOKUP($B129,会计科目表!$A:$C,3,),"")</f>
        <v/>
      </c>
      <c r="E129" s="262">
        <f ca="1">IFERROR(INDEX(凭证录入!K:K,$AD129),0)</f>
        <v>0</v>
      </c>
      <c r="F129" s="262">
        <f ca="1">IFERROR(INDEX(凭证录入!L:L,$AD129),0)</f>
        <v>0</v>
      </c>
      <c r="G129" s="263" t="str">
        <f t="shared" ca="1" si="48"/>
        <v/>
      </c>
      <c r="H129" s="264" t="str">
        <f t="shared" ca="1" si="48"/>
        <v/>
      </c>
      <c r="I129" s="265" t="str">
        <f t="shared" ca="1" si="48"/>
        <v/>
      </c>
      <c r="J129" s="266" t="str">
        <f t="shared" ca="1" si="48"/>
        <v/>
      </c>
      <c r="K129" s="264" t="str">
        <f t="shared" ca="1" si="48"/>
        <v/>
      </c>
      <c r="L129" s="265" t="str">
        <f t="shared" ca="1" si="48"/>
        <v/>
      </c>
      <c r="M129" s="266" t="str">
        <f t="shared" ca="1" si="48"/>
        <v/>
      </c>
      <c r="N129" s="264" t="str">
        <f t="shared" ca="1" si="48"/>
        <v/>
      </c>
      <c r="O129" s="265" t="str">
        <f t="shared" ca="1" si="48"/>
        <v/>
      </c>
      <c r="P129" s="266" t="str">
        <f t="shared" ca="1" si="48"/>
        <v/>
      </c>
      <c r="Q129" s="267" t="str">
        <f t="shared" ca="1" si="48"/>
        <v/>
      </c>
      <c r="R129" s="268" t="str">
        <f t="shared" ca="1" si="49"/>
        <v/>
      </c>
      <c r="S129" s="264" t="str">
        <f t="shared" ca="1" si="49"/>
        <v/>
      </c>
      <c r="T129" s="269" t="str">
        <f t="shared" ca="1" si="49"/>
        <v/>
      </c>
      <c r="U129" s="268" t="str">
        <f t="shared" ca="1" si="49"/>
        <v/>
      </c>
      <c r="V129" s="264" t="str">
        <f t="shared" ca="1" si="49"/>
        <v/>
      </c>
      <c r="W129" s="265" t="str">
        <f t="shared" ca="1" si="49"/>
        <v/>
      </c>
      <c r="X129" s="266" t="str">
        <f t="shared" ca="1" si="49"/>
        <v/>
      </c>
      <c r="Y129" s="264" t="str">
        <f t="shared" ca="1" si="49"/>
        <v/>
      </c>
      <c r="Z129" s="265" t="str">
        <f t="shared" ca="1" si="49"/>
        <v/>
      </c>
      <c r="AA129" s="266" t="str">
        <f t="shared" ca="1" si="49"/>
        <v/>
      </c>
      <c r="AB129" s="267" t="str">
        <f t="shared" ca="1" si="49"/>
        <v/>
      </c>
      <c r="AC129" s="538"/>
      <c r="AD129" s="212" t="str">
        <f t="shared" ca="1" si="39"/>
        <v/>
      </c>
    </row>
    <row r="130" spans="1:30" s="45" customFormat="1" ht="22.5" customHeight="1">
      <c r="A130" s="258" t="str">
        <f ca="1">IFERROR(INDEX(凭证录入!H:H,$AD130),"")</f>
        <v/>
      </c>
      <c r="B130" s="259" t="str">
        <f ca="1">IFERROR(INDEX(凭证录入!I:I,$AD130),"")</f>
        <v/>
      </c>
      <c r="C130" s="260" t="str">
        <f ca="1">IFERROR(VLOOKUP($B130,会计科目表!$A:$C,2,),"")</f>
        <v/>
      </c>
      <c r="D130" s="261" t="str">
        <f ca="1">IFERROR(VLOOKUP($B130,会计科目表!$A:$C,3,),"")</f>
        <v/>
      </c>
      <c r="E130" s="262">
        <f ca="1">IFERROR(INDEX(凭证录入!K:K,$AD130),0)</f>
        <v>0</v>
      </c>
      <c r="F130" s="262">
        <f ca="1">IFERROR(INDEX(凭证录入!L:L,$AD130),0)</f>
        <v>0</v>
      </c>
      <c r="G130" s="263" t="str">
        <f t="shared" ca="1" si="48"/>
        <v/>
      </c>
      <c r="H130" s="264" t="str">
        <f t="shared" ca="1" si="48"/>
        <v/>
      </c>
      <c r="I130" s="265" t="str">
        <f t="shared" ca="1" si="48"/>
        <v/>
      </c>
      <c r="J130" s="266" t="str">
        <f t="shared" ca="1" si="48"/>
        <v/>
      </c>
      <c r="K130" s="264" t="str">
        <f t="shared" ca="1" si="48"/>
        <v/>
      </c>
      <c r="L130" s="265" t="str">
        <f t="shared" ca="1" si="48"/>
        <v/>
      </c>
      <c r="M130" s="266" t="str">
        <f t="shared" ca="1" si="48"/>
        <v/>
      </c>
      <c r="N130" s="264" t="str">
        <f t="shared" ca="1" si="48"/>
        <v/>
      </c>
      <c r="O130" s="265" t="str">
        <f t="shared" ca="1" si="48"/>
        <v/>
      </c>
      <c r="P130" s="266" t="str">
        <f t="shared" ca="1" si="48"/>
        <v/>
      </c>
      <c r="Q130" s="267" t="str">
        <f t="shared" ca="1" si="48"/>
        <v/>
      </c>
      <c r="R130" s="268" t="str">
        <f t="shared" ca="1" si="49"/>
        <v/>
      </c>
      <c r="S130" s="264" t="str">
        <f t="shared" ca="1" si="49"/>
        <v/>
      </c>
      <c r="T130" s="269" t="str">
        <f t="shared" ca="1" si="49"/>
        <v/>
      </c>
      <c r="U130" s="268" t="str">
        <f t="shared" ca="1" si="49"/>
        <v/>
      </c>
      <c r="V130" s="264" t="str">
        <f t="shared" ca="1" si="49"/>
        <v/>
      </c>
      <c r="W130" s="265" t="str">
        <f t="shared" ca="1" si="49"/>
        <v/>
      </c>
      <c r="X130" s="266" t="str">
        <f t="shared" ca="1" si="49"/>
        <v/>
      </c>
      <c r="Y130" s="264" t="str">
        <f t="shared" ca="1" si="49"/>
        <v/>
      </c>
      <c r="Z130" s="265" t="str">
        <f t="shared" ca="1" si="49"/>
        <v/>
      </c>
      <c r="AA130" s="266" t="str">
        <f t="shared" ca="1" si="49"/>
        <v/>
      </c>
      <c r="AB130" s="267" t="str">
        <f t="shared" ca="1" si="49"/>
        <v/>
      </c>
      <c r="AC130" s="538"/>
      <c r="AD130" s="212" t="str">
        <f t="shared" ca="1" si="39"/>
        <v/>
      </c>
    </row>
    <row r="131" spans="1:30" s="45" customFormat="1" ht="22.5" customHeight="1">
      <c r="A131" s="270" t="s">
        <v>670</v>
      </c>
      <c r="B131" s="271"/>
      <c r="C131" s="272" t="str">
        <f t="shared" ref="C131" ca="1" si="53">SUBSTITUTE(SUBSTITUTE(IF(-DOLLAR(E131),IF(E131&gt;0,,"负")&amp;TEXT(INT(ABS(E131)+0.5%),"[dbnum2]G/通用格式元;;")&amp;TEXT(RIGHT(DOLLAR(E131,2),2),"[dbnum2]0角0分;;整"),),"零角",IF(E131^2&lt;1,,"零")),"零分","整")</f>
        <v/>
      </c>
      <c r="D131" s="273"/>
      <c r="E131" s="274">
        <f t="shared" ref="E131:F131" ca="1" si="54">SUM(E125:E130)</f>
        <v>0</v>
      </c>
      <c r="F131" s="275">
        <f t="shared" ca="1" si="54"/>
        <v>0</v>
      </c>
      <c r="G131" s="276" t="str">
        <f t="shared" ca="1" si="48"/>
        <v/>
      </c>
      <c r="H131" s="277" t="str">
        <f t="shared" ca="1" si="48"/>
        <v/>
      </c>
      <c r="I131" s="278" t="str">
        <f t="shared" ca="1" si="48"/>
        <v/>
      </c>
      <c r="J131" s="279" t="str">
        <f t="shared" ca="1" si="48"/>
        <v/>
      </c>
      <c r="K131" s="277" t="str">
        <f t="shared" ca="1" si="48"/>
        <v/>
      </c>
      <c r="L131" s="278" t="str">
        <f t="shared" ca="1" si="48"/>
        <v/>
      </c>
      <c r="M131" s="279" t="str">
        <f t="shared" ca="1" si="48"/>
        <v/>
      </c>
      <c r="N131" s="277" t="str">
        <f t="shared" ca="1" si="48"/>
        <v/>
      </c>
      <c r="O131" s="278" t="str">
        <f t="shared" ca="1" si="48"/>
        <v/>
      </c>
      <c r="P131" s="279" t="str">
        <f t="shared" ca="1" si="48"/>
        <v/>
      </c>
      <c r="Q131" s="280" t="str">
        <f t="shared" ca="1" si="48"/>
        <v/>
      </c>
      <c r="R131" s="281" t="str">
        <f t="shared" ca="1" si="49"/>
        <v/>
      </c>
      <c r="S131" s="277" t="str">
        <f t="shared" ca="1" si="49"/>
        <v/>
      </c>
      <c r="T131" s="282" t="str">
        <f t="shared" ca="1" si="49"/>
        <v/>
      </c>
      <c r="U131" s="281" t="str">
        <f t="shared" ca="1" si="49"/>
        <v/>
      </c>
      <c r="V131" s="277" t="str">
        <f t="shared" ca="1" si="49"/>
        <v/>
      </c>
      <c r="W131" s="278" t="str">
        <f t="shared" ca="1" si="49"/>
        <v/>
      </c>
      <c r="X131" s="279" t="str">
        <f t="shared" ca="1" si="49"/>
        <v/>
      </c>
      <c r="Y131" s="277" t="str">
        <f t="shared" ca="1" si="49"/>
        <v/>
      </c>
      <c r="Z131" s="278" t="str">
        <f t="shared" ca="1" si="49"/>
        <v/>
      </c>
      <c r="AA131" s="279" t="str">
        <f t="shared" ca="1" si="49"/>
        <v/>
      </c>
      <c r="AB131" s="280" t="str">
        <f t="shared" ca="1" si="49"/>
        <v/>
      </c>
      <c r="AC131" s="283"/>
      <c r="AD131" s="212"/>
    </row>
    <row r="132" spans="1:30" s="22" customFormat="1" ht="22.5" customHeight="1">
      <c r="A132" s="284" t="s">
        <v>644</v>
      </c>
      <c r="B132" s="284"/>
      <c r="C132" s="284"/>
      <c r="D132" s="284" t="s">
        <v>645</v>
      </c>
      <c r="E132" s="284"/>
      <c r="F132" s="284"/>
      <c r="G132" s="284"/>
      <c r="H132" s="285"/>
      <c r="I132" s="284"/>
      <c r="J132" s="285"/>
      <c r="K132" s="285"/>
      <c r="L132" s="284"/>
      <c r="M132" s="285"/>
      <c r="N132" s="285"/>
      <c r="O132" s="285"/>
      <c r="P132" s="284"/>
      <c r="Q132" s="284" t="s">
        <v>646</v>
      </c>
      <c r="R132" s="284"/>
      <c r="S132" s="284"/>
      <c r="T132" s="284"/>
      <c r="U132" s="285"/>
      <c r="V132" s="284"/>
      <c r="W132" s="285"/>
      <c r="X132" s="284"/>
      <c r="Y132" s="284"/>
      <c r="Z132" s="285"/>
      <c r="AA132" s="285"/>
      <c r="AB132" s="285"/>
      <c r="AC132" s="286"/>
      <c r="AD132" s="212"/>
    </row>
    <row r="133" spans="1:30" ht="39.75" customHeight="1" thickBot="1">
      <c r="A133" s="226"/>
      <c r="B133" s="226"/>
      <c r="C133" s="227" t="s">
        <v>647</v>
      </c>
      <c r="D133" s="228"/>
      <c r="E133" s="226"/>
      <c r="F133" s="226"/>
      <c r="G133" s="228"/>
      <c r="H133" s="228"/>
      <c r="I133" s="228"/>
      <c r="J133" s="228"/>
      <c r="K133" s="228"/>
      <c r="L133" s="228"/>
      <c r="M133" s="228"/>
      <c r="N133" s="228"/>
      <c r="O133" s="228"/>
      <c r="P133" s="228"/>
      <c r="Q133" s="228"/>
      <c r="R133" s="229" t="s">
        <v>648</v>
      </c>
      <c r="S133" s="230"/>
      <c r="T133" s="230"/>
      <c r="U133" s="231" t="e">
        <f ca="1">DATE(AD$1,AF$1,INDEX(凭证录入!B:B,AD137))</f>
        <v>#VALUE!</v>
      </c>
      <c r="V133" s="232"/>
      <c r="W133" s="232"/>
      <c r="X133" s="232"/>
      <c r="Y133" s="232"/>
      <c r="Z133" s="232"/>
      <c r="AA133" s="232"/>
      <c r="AB133" s="232"/>
      <c r="AD133" s="212"/>
    </row>
    <row r="134" spans="1:30" s="45" customFormat="1" ht="23.25" customHeight="1" thickTop="1">
      <c r="A134" s="235" t="s">
        <v>649</v>
      </c>
      <c r="B134" s="235"/>
      <c r="C134" s="236" t="str">
        <f t="shared" si="45"/>
        <v>远大开发有限公司</v>
      </c>
      <c r="D134" s="236"/>
      <c r="E134" s="236"/>
      <c r="F134" s="236"/>
      <c r="G134" s="236"/>
      <c r="H134" s="236"/>
      <c r="I134" s="236"/>
      <c r="J134" s="236"/>
      <c r="K134" s="236"/>
      <c r="L134" s="236"/>
      <c r="M134" s="236"/>
      <c r="N134" s="236"/>
      <c r="O134" s="236"/>
      <c r="P134" s="236"/>
      <c r="Q134" s="236"/>
      <c r="R134" s="229" t="s">
        <v>650</v>
      </c>
      <c r="S134" s="229"/>
      <c r="T134" s="229"/>
      <c r="U134" s="237" t="str">
        <f t="shared" ref="U134" si="55">"第 "&amp;TEXT($AF$1,"00")&amp;TEXT($AC134,"0000 号")</f>
        <v>第 010012 号</v>
      </c>
      <c r="V134" s="237"/>
      <c r="W134" s="238"/>
      <c r="X134" s="238"/>
      <c r="Y134" s="238"/>
      <c r="Z134" s="238"/>
      <c r="AA134" s="238"/>
      <c r="AB134" s="238"/>
      <c r="AC134" s="239">
        <f t="shared" si="47"/>
        <v>12</v>
      </c>
      <c r="AD134" s="212"/>
    </row>
    <row r="135" spans="1:30" s="45" customFormat="1" ht="22.5" customHeight="1">
      <c r="A135" s="241" t="s">
        <v>651</v>
      </c>
      <c r="B135" s="542" t="s">
        <v>652</v>
      </c>
      <c r="C135" s="242" t="s">
        <v>653</v>
      </c>
      <c r="D135" s="243" t="s">
        <v>654</v>
      </c>
      <c r="E135" s="539" t="s">
        <v>655</v>
      </c>
      <c r="F135" s="539" t="s">
        <v>656</v>
      </c>
      <c r="G135" s="244" t="s">
        <v>657</v>
      </c>
      <c r="H135" s="245"/>
      <c r="I135" s="245"/>
      <c r="J135" s="245"/>
      <c r="K135" s="245"/>
      <c r="L135" s="245"/>
      <c r="M135" s="245"/>
      <c r="N135" s="245"/>
      <c r="O135" s="245"/>
      <c r="P135" s="245"/>
      <c r="Q135" s="246"/>
      <c r="R135" s="247" t="s">
        <v>658</v>
      </c>
      <c r="S135" s="245"/>
      <c r="T135" s="245"/>
      <c r="U135" s="245"/>
      <c r="V135" s="245"/>
      <c r="W135" s="245"/>
      <c r="X135" s="245"/>
      <c r="Y135" s="245"/>
      <c r="Z135" s="245"/>
      <c r="AA135" s="245"/>
      <c r="AB135" s="246"/>
      <c r="AC135" s="541" t="str">
        <f ca="1">"附单据数︵"&amp;INDEX(凭证录入!$D:$D,$AD$17)&amp;"︶张"</f>
        <v>附单据数︵4︶张</v>
      </c>
      <c r="AD135" s="235"/>
    </row>
    <row r="136" spans="1:30" s="45" customFormat="1" ht="22.5" customHeight="1">
      <c r="A136" s="248" t="s">
        <v>659</v>
      </c>
      <c r="B136" s="543"/>
      <c r="C136" s="249" t="s">
        <v>660</v>
      </c>
      <c r="D136" s="250" t="s">
        <v>660</v>
      </c>
      <c r="E136" s="540"/>
      <c r="F136" s="540"/>
      <c r="G136" s="251" t="s">
        <v>661</v>
      </c>
      <c r="H136" s="252" t="s">
        <v>662</v>
      </c>
      <c r="I136" s="253" t="s">
        <v>663</v>
      </c>
      <c r="J136" s="254" t="s">
        <v>664</v>
      </c>
      <c r="K136" s="252" t="s">
        <v>665</v>
      </c>
      <c r="L136" s="253" t="s">
        <v>662</v>
      </c>
      <c r="M136" s="254" t="s">
        <v>663</v>
      </c>
      <c r="N136" s="252" t="s">
        <v>664</v>
      </c>
      <c r="O136" s="253" t="s">
        <v>666</v>
      </c>
      <c r="P136" s="254" t="s">
        <v>667</v>
      </c>
      <c r="Q136" s="255" t="s">
        <v>668</v>
      </c>
      <c r="R136" s="256" t="s">
        <v>661</v>
      </c>
      <c r="S136" s="252" t="s">
        <v>662</v>
      </c>
      <c r="T136" s="257" t="s">
        <v>663</v>
      </c>
      <c r="U136" s="256" t="s">
        <v>664</v>
      </c>
      <c r="V136" s="252" t="s">
        <v>665</v>
      </c>
      <c r="W136" s="253" t="s">
        <v>662</v>
      </c>
      <c r="X136" s="254" t="s">
        <v>663</v>
      </c>
      <c r="Y136" s="252" t="s">
        <v>664</v>
      </c>
      <c r="Z136" s="253" t="s">
        <v>666</v>
      </c>
      <c r="AA136" s="254" t="s">
        <v>667</v>
      </c>
      <c r="AB136" s="255" t="s">
        <v>668</v>
      </c>
      <c r="AC136" s="541"/>
    </row>
    <row r="137" spans="1:30" s="45" customFormat="1" ht="22.5" customHeight="1">
      <c r="A137" s="258" t="str">
        <f ca="1">IFERROR(INDEX(凭证录入!H:H,$AD137),"")</f>
        <v/>
      </c>
      <c r="B137" s="259" t="str">
        <f ca="1">IFERROR(INDEX(凭证录入!I:I,$AD137),"")</f>
        <v/>
      </c>
      <c r="C137" s="260" t="str">
        <f ca="1">IFERROR(VLOOKUP($B137,会计科目表!$A:$C,2,),"")</f>
        <v/>
      </c>
      <c r="D137" s="261" t="str">
        <f ca="1">IFERROR(VLOOKUP($B137,会计科目表!$A:$C,3,),"")</f>
        <v/>
      </c>
      <c r="E137" s="262">
        <f ca="1">IFERROR(INDEX(凭证录入!K:K,$AD137),0)</f>
        <v>0</v>
      </c>
      <c r="F137" s="262">
        <f ca="1">IFERROR(INDEX(凭证录入!L:L,$AD137),0)</f>
        <v>0</v>
      </c>
      <c r="G137" s="263" t="str">
        <f t="shared" ca="1" si="48"/>
        <v/>
      </c>
      <c r="H137" s="264" t="str">
        <f t="shared" ca="1" si="48"/>
        <v/>
      </c>
      <c r="I137" s="265" t="str">
        <f t="shared" ca="1" si="48"/>
        <v/>
      </c>
      <c r="J137" s="266" t="str">
        <f t="shared" ca="1" si="48"/>
        <v/>
      </c>
      <c r="K137" s="264" t="str">
        <f t="shared" ca="1" si="48"/>
        <v/>
      </c>
      <c r="L137" s="265" t="str">
        <f t="shared" ca="1" si="48"/>
        <v/>
      </c>
      <c r="M137" s="266" t="str">
        <f t="shared" ca="1" si="48"/>
        <v/>
      </c>
      <c r="N137" s="264" t="str">
        <f t="shared" ca="1" si="48"/>
        <v/>
      </c>
      <c r="O137" s="265" t="str">
        <f t="shared" ca="1" si="48"/>
        <v/>
      </c>
      <c r="P137" s="266" t="str">
        <f t="shared" ca="1" si="48"/>
        <v/>
      </c>
      <c r="Q137" s="267" t="str">
        <f t="shared" ca="1" si="48"/>
        <v/>
      </c>
      <c r="R137" s="268" t="str">
        <f t="shared" ca="1" si="49"/>
        <v/>
      </c>
      <c r="S137" s="264" t="str">
        <f t="shared" ca="1" si="49"/>
        <v/>
      </c>
      <c r="T137" s="269" t="str">
        <f t="shared" ca="1" si="49"/>
        <v/>
      </c>
      <c r="U137" s="268" t="str">
        <f t="shared" ca="1" si="49"/>
        <v/>
      </c>
      <c r="V137" s="264" t="str">
        <f t="shared" ca="1" si="49"/>
        <v/>
      </c>
      <c r="W137" s="265" t="str">
        <f t="shared" ca="1" si="49"/>
        <v/>
      </c>
      <c r="X137" s="266" t="str">
        <f t="shared" ca="1" si="49"/>
        <v/>
      </c>
      <c r="Y137" s="264" t="str">
        <f t="shared" ca="1" si="49"/>
        <v/>
      </c>
      <c r="Z137" s="265" t="str">
        <f t="shared" ca="1" si="49"/>
        <v/>
      </c>
      <c r="AA137" s="266" t="str">
        <f t="shared" ca="1" si="49"/>
        <v/>
      </c>
      <c r="AB137" s="267" t="str">
        <f t="shared" ca="1" si="49"/>
        <v/>
      </c>
      <c r="AC137" s="541"/>
      <c r="AD137" s="212" t="str">
        <f t="shared" ca="1" si="39"/>
        <v/>
      </c>
    </row>
    <row r="138" spans="1:30" s="45" customFormat="1" ht="22.5" customHeight="1">
      <c r="A138" s="258" t="str">
        <f ca="1">IFERROR(INDEX(凭证录入!H:H,$AD138),"")</f>
        <v/>
      </c>
      <c r="B138" s="259" t="str">
        <f ca="1">IFERROR(INDEX(凭证录入!I:I,$AD138),"")</f>
        <v/>
      </c>
      <c r="C138" s="260" t="str">
        <f ca="1">IFERROR(VLOOKUP($B138,会计科目表!$A:$C,2,),"")</f>
        <v/>
      </c>
      <c r="D138" s="261" t="str">
        <f ca="1">IFERROR(VLOOKUP($B138,会计科目表!$A:$C,3,),"")</f>
        <v/>
      </c>
      <c r="E138" s="262">
        <f ca="1">IFERROR(INDEX(凭证录入!K:K,$AD138),0)</f>
        <v>0</v>
      </c>
      <c r="F138" s="262">
        <f ca="1">IFERROR(INDEX(凭证录入!L:L,$AD138),0)</f>
        <v>0</v>
      </c>
      <c r="G138" s="263" t="str">
        <f t="shared" ca="1" si="48"/>
        <v/>
      </c>
      <c r="H138" s="264" t="str">
        <f t="shared" ca="1" si="48"/>
        <v/>
      </c>
      <c r="I138" s="265" t="str">
        <f t="shared" ca="1" si="48"/>
        <v/>
      </c>
      <c r="J138" s="266" t="str">
        <f t="shared" ca="1" si="48"/>
        <v/>
      </c>
      <c r="K138" s="264" t="str">
        <f t="shared" ca="1" si="48"/>
        <v/>
      </c>
      <c r="L138" s="265" t="str">
        <f t="shared" ca="1" si="48"/>
        <v/>
      </c>
      <c r="M138" s="266" t="str">
        <f t="shared" ca="1" si="48"/>
        <v/>
      </c>
      <c r="N138" s="264" t="str">
        <f t="shared" ca="1" si="48"/>
        <v/>
      </c>
      <c r="O138" s="265" t="str">
        <f t="shared" ca="1" si="48"/>
        <v/>
      </c>
      <c r="P138" s="266" t="str">
        <f t="shared" ca="1" si="48"/>
        <v/>
      </c>
      <c r="Q138" s="267" t="str">
        <f t="shared" ca="1" si="48"/>
        <v/>
      </c>
      <c r="R138" s="268" t="str">
        <f t="shared" ca="1" si="49"/>
        <v/>
      </c>
      <c r="S138" s="264" t="str">
        <f t="shared" ca="1" si="49"/>
        <v/>
      </c>
      <c r="T138" s="269" t="str">
        <f t="shared" ca="1" si="49"/>
        <v/>
      </c>
      <c r="U138" s="268" t="str">
        <f t="shared" ca="1" si="49"/>
        <v/>
      </c>
      <c r="V138" s="264" t="str">
        <f t="shared" ca="1" si="49"/>
        <v/>
      </c>
      <c r="W138" s="265" t="str">
        <f t="shared" ca="1" si="49"/>
        <v/>
      </c>
      <c r="X138" s="266" t="str">
        <f t="shared" ca="1" si="49"/>
        <v/>
      </c>
      <c r="Y138" s="264" t="str">
        <f t="shared" ca="1" si="49"/>
        <v/>
      </c>
      <c r="Z138" s="265" t="str">
        <f t="shared" ca="1" si="49"/>
        <v/>
      </c>
      <c r="AA138" s="266" t="str">
        <f t="shared" ca="1" si="49"/>
        <v/>
      </c>
      <c r="AB138" s="267" t="str">
        <f t="shared" ca="1" si="49"/>
        <v/>
      </c>
      <c r="AC138" s="541"/>
      <c r="AD138" s="212" t="str">
        <f t="shared" ca="1" si="39"/>
        <v/>
      </c>
    </row>
    <row r="139" spans="1:30" s="45" customFormat="1" ht="22.5" customHeight="1">
      <c r="A139" s="258" t="str">
        <f ca="1">IFERROR(INDEX(凭证录入!H:H,$AD139),"")</f>
        <v/>
      </c>
      <c r="B139" s="259" t="str">
        <f ca="1">IFERROR(INDEX(凭证录入!I:I,$AD139),"")</f>
        <v/>
      </c>
      <c r="C139" s="260" t="str">
        <f ca="1">IFERROR(VLOOKUP($B139,会计科目表!$A:$C,2,),"")</f>
        <v/>
      </c>
      <c r="D139" s="261" t="str">
        <f ca="1">IFERROR(VLOOKUP($B139,会计科目表!$A:$C,3,),"")</f>
        <v/>
      </c>
      <c r="E139" s="262">
        <f ca="1">IFERROR(INDEX(凭证录入!K:K,$AD139),0)</f>
        <v>0</v>
      </c>
      <c r="F139" s="262">
        <f ca="1">IFERROR(INDEX(凭证录入!L:L,$AD139),0)</f>
        <v>0</v>
      </c>
      <c r="G139" s="263" t="str">
        <f t="shared" ca="1" si="48"/>
        <v/>
      </c>
      <c r="H139" s="264" t="str">
        <f t="shared" ca="1" si="48"/>
        <v/>
      </c>
      <c r="I139" s="265" t="str">
        <f t="shared" ca="1" si="48"/>
        <v/>
      </c>
      <c r="J139" s="266" t="str">
        <f t="shared" ca="1" si="48"/>
        <v/>
      </c>
      <c r="K139" s="264" t="str">
        <f t="shared" ca="1" si="48"/>
        <v/>
      </c>
      <c r="L139" s="265" t="str">
        <f t="shared" ca="1" si="48"/>
        <v/>
      </c>
      <c r="M139" s="266" t="str">
        <f t="shared" ca="1" si="48"/>
        <v/>
      </c>
      <c r="N139" s="264" t="str">
        <f t="shared" ca="1" si="48"/>
        <v/>
      </c>
      <c r="O139" s="265" t="str">
        <f t="shared" ca="1" si="48"/>
        <v/>
      </c>
      <c r="P139" s="266" t="str">
        <f t="shared" ca="1" si="48"/>
        <v/>
      </c>
      <c r="Q139" s="267" t="str">
        <f t="shared" ca="1" si="48"/>
        <v/>
      </c>
      <c r="R139" s="268" t="str">
        <f t="shared" ca="1" si="49"/>
        <v/>
      </c>
      <c r="S139" s="264" t="str">
        <f t="shared" ca="1" si="49"/>
        <v/>
      </c>
      <c r="T139" s="269" t="str">
        <f t="shared" ca="1" si="49"/>
        <v/>
      </c>
      <c r="U139" s="268" t="str">
        <f t="shared" ca="1" si="49"/>
        <v/>
      </c>
      <c r="V139" s="264" t="str">
        <f t="shared" ca="1" si="49"/>
        <v/>
      </c>
      <c r="W139" s="265" t="str">
        <f t="shared" ca="1" si="49"/>
        <v/>
      </c>
      <c r="X139" s="266" t="str">
        <f t="shared" ca="1" si="49"/>
        <v/>
      </c>
      <c r="Y139" s="264" t="str">
        <f t="shared" ca="1" si="49"/>
        <v/>
      </c>
      <c r="Z139" s="265" t="str">
        <f t="shared" ca="1" si="49"/>
        <v/>
      </c>
      <c r="AA139" s="266" t="str">
        <f t="shared" ca="1" si="49"/>
        <v/>
      </c>
      <c r="AB139" s="267" t="str">
        <f t="shared" ca="1" si="49"/>
        <v/>
      </c>
      <c r="AC139" s="536" t="s">
        <v>669</v>
      </c>
      <c r="AD139" s="212" t="str">
        <f t="shared" ca="1" si="39"/>
        <v/>
      </c>
    </row>
    <row r="140" spans="1:30" s="45" customFormat="1" ht="22.5" customHeight="1">
      <c r="A140" s="258" t="str">
        <f ca="1">IFERROR(INDEX(凭证录入!H:H,$AD140),"")</f>
        <v/>
      </c>
      <c r="B140" s="259" t="str">
        <f ca="1">IFERROR(INDEX(凭证录入!I:I,$AD140),"")</f>
        <v/>
      </c>
      <c r="C140" s="260" t="str">
        <f ca="1">IFERROR(VLOOKUP($B140,会计科目表!$A:$C,2,),"")</f>
        <v/>
      </c>
      <c r="D140" s="261" t="str">
        <f ca="1">IFERROR(VLOOKUP($B140,会计科目表!$A:$C,3,),"")</f>
        <v/>
      </c>
      <c r="E140" s="262">
        <f ca="1">IFERROR(INDEX(凭证录入!K:K,$AD140),0)</f>
        <v>0</v>
      </c>
      <c r="F140" s="262">
        <f ca="1">IFERROR(INDEX(凭证录入!L:L,$AD140),0)</f>
        <v>0</v>
      </c>
      <c r="G140" s="263" t="str">
        <f t="shared" ca="1" si="48"/>
        <v/>
      </c>
      <c r="H140" s="264" t="str">
        <f t="shared" ca="1" si="48"/>
        <v/>
      </c>
      <c r="I140" s="265" t="str">
        <f t="shared" ca="1" si="48"/>
        <v/>
      </c>
      <c r="J140" s="266" t="str">
        <f t="shared" ca="1" si="48"/>
        <v/>
      </c>
      <c r="K140" s="264" t="str">
        <f t="shared" ca="1" si="48"/>
        <v/>
      </c>
      <c r="L140" s="265" t="str">
        <f t="shared" ca="1" si="48"/>
        <v/>
      </c>
      <c r="M140" s="266" t="str">
        <f t="shared" ca="1" si="48"/>
        <v/>
      </c>
      <c r="N140" s="264" t="str">
        <f t="shared" ca="1" si="48"/>
        <v/>
      </c>
      <c r="O140" s="265" t="str">
        <f t="shared" ca="1" si="48"/>
        <v/>
      </c>
      <c r="P140" s="266" t="str">
        <f t="shared" ca="1" si="48"/>
        <v/>
      </c>
      <c r="Q140" s="267" t="str">
        <f t="shared" ca="1" si="48"/>
        <v/>
      </c>
      <c r="R140" s="268" t="str">
        <f t="shared" ca="1" si="49"/>
        <v/>
      </c>
      <c r="S140" s="264" t="str">
        <f t="shared" ca="1" si="49"/>
        <v/>
      </c>
      <c r="T140" s="269" t="str">
        <f t="shared" ca="1" si="49"/>
        <v/>
      </c>
      <c r="U140" s="268" t="str">
        <f t="shared" ca="1" si="49"/>
        <v/>
      </c>
      <c r="V140" s="264" t="str">
        <f t="shared" ca="1" si="49"/>
        <v/>
      </c>
      <c r="W140" s="265" t="str">
        <f t="shared" ca="1" si="49"/>
        <v/>
      </c>
      <c r="X140" s="266" t="str">
        <f t="shared" ca="1" si="49"/>
        <v/>
      </c>
      <c r="Y140" s="264" t="str">
        <f t="shared" ca="1" si="49"/>
        <v/>
      </c>
      <c r="Z140" s="265" t="str">
        <f t="shared" ca="1" si="49"/>
        <v/>
      </c>
      <c r="AA140" s="266" t="str">
        <f t="shared" ca="1" si="49"/>
        <v/>
      </c>
      <c r="AB140" s="267" t="str">
        <f t="shared" ca="1" si="49"/>
        <v/>
      </c>
      <c r="AC140" s="537"/>
      <c r="AD140" s="212" t="str">
        <f t="shared" ca="1" si="39"/>
        <v/>
      </c>
    </row>
    <row r="141" spans="1:30" s="45" customFormat="1" ht="22.5" customHeight="1">
      <c r="A141" s="258" t="str">
        <f ca="1">IFERROR(INDEX(凭证录入!H:H,$AD141),"")</f>
        <v/>
      </c>
      <c r="B141" s="259" t="str">
        <f ca="1">IFERROR(INDEX(凭证录入!I:I,$AD141),"")</f>
        <v/>
      </c>
      <c r="C141" s="260" t="str">
        <f ca="1">IFERROR(VLOOKUP($B141,会计科目表!$A:$C,2,),"")</f>
        <v/>
      </c>
      <c r="D141" s="261" t="str">
        <f ca="1">IFERROR(VLOOKUP($B141,会计科目表!$A:$C,3,),"")</f>
        <v/>
      </c>
      <c r="E141" s="262">
        <f ca="1">IFERROR(INDEX(凭证录入!K:K,$AD141),0)</f>
        <v>0</v>
      </c>
      <c r="F141" s="262">
        <f ca="1">IFERROR(INDEX(凭证录入!L:L,$AD141),0)</f>
        <v>0</v>
      </c>
      <c r="G141" s="263" t="str">
        <f t="shared" ca="1" si="48"/>
        <v/>
      </c>
      <c r="H141" s="264" t="str">
        <f t="shared" ca="1" si="48"/>
        <v/>
      </c>
      <c r="I141" s="265" t="str">
        <f t="shared" ca="1" si="48"/>
        <v/>
      </c>
      <c r="J141" s="266" t="str">
        <f t="shared" ca="1" si="48"/>
        <v/>
      </c>
      <c r="K141" s="264" t="str">
        <f t="shared" ca="1" si="48"/>
        <v/>
      </c>
      <c r="L141" s="265" t="str">
        <f t="shared" ca="1" si="48"/>
        <v/>
      </c>
      <c r="M141" s="266" t="str">
        <f t="shared" ca="1" si="48"/>
        <v/>
      </c>
      <c r="N141" s="264" t="str">
        <f t="shared" ca="1" si="48"/>
        <v/>
      </c>
      <c r="O141" s="265" t="str">
        <f t="shared" ca="1" si="48"/>
        <v/>
      </c>
      <c r="P141" s="266" t="str">
        <f t="shared" ca="1" si="48"/>
        <v/>
      </c>
      <c r="Q141" s="267" t="str">
        <f t="shared" ca="1" si="48"/>
        <v/>
      </c>
      <c r="R141" s="268" t="str">
        <f t="shared" ca="1" si="49"/>
        <v/>
      </c>
      <c r="S141" s="264" t="str">
        <f t="shared" ca="1" si="49"/>
        <v/>
      </c>
      <c r="T141" s="269" t="str">
        <f t="shared" ca="1" si="49"/>
        <v/>
      </c>
      <c r="U141" s="268" t="str">
        <f t="shared" ca="1" si="49"/>
        <v/>
      </c>
      <c r="V141" s="264" t="str">
        <f t="shared" ca="1" si="49"/>
        <v/>
      </c>
      <c r="W141" s="265" t="str">
        <f t="shared" ca="1" si="49"/>
        <v/>
      </c>
      <c r="X141" s="266" t="str">
        <f t="shared" ca="1" si="49"/>
        <v/>
      </c>
      <c r="Y141" s="264" t="str">
        <f t="shared" ca="1" si="49"/>
        <v/>
      </c>
      <c r="Z141" s="265" t="str">
        <f t="shared" ca="1" si="49"/>
        <v/>
      </c>
      <c r="AA141" s="266" t="str">
        <f t="shared" ca="1" si="49"/>
        <v/>
      </c>
      <c r="AB141" s="267" t="str">
        <f t="shared" ca="1" si="49"/>
        <v/>
      </c>
      <c r="AC141" s="538"/>
      <c r="AD141" s="212" t="str">
        <f t="shared" ca="1" si="39"/>
        <v/>
      </c>
    </row>
    <row r="142" spans="1:30" s="45" customFormat="1" ht="22.5" customHeight="1">
      <c r="A142" s="258" t="str">
        <f ca="1">IFERROR(INDEX(凭证录入!H:H,$AD142),"")</f>
        <v/>
      </c>
      <c r="B142" s="259" t="str">
        <f ca="1">IFERROR(INDEX(凭证录入!I:I,$AD142),"")</f>
        <v/>
      </c>
      <c r="C142" s="260" t="str">
        <f ca="1">IFERROR(VLOOKUP($B142,会计科目表!$A:$C,2,),"")</f>
        <v/>
      </c>
      <c r="D142" s="261" t="str">
        <f ca="1">IFERROR(VLOOKUP($B142,会计科目表!$A:$C,3,),"")</f>
        <v/>
      </c>
      <c r="E142" s="262">
        <f ca="1">IFERROR(INDEX(凭证录入!K:K,$AD142),0)</f>
        <v>0</v>
      </c>
      <c r="F142" s="262">
        <f ca="1">IFERROR(INDEX(凭证录入!L:L,$AD142),0)</f>
        <v>0</v>
      </c>
      <c r="G142" s="263" t="str">
        <f t="shared" ca="1" si="48"/>
        <v/>
      </c>
      <c r="H142" s="264" t="str">
        <f t="shared" ca="1" si="48"/>
        <v/>
      </c>
      <c r="I142" s="265" t="str">
        <f t="shared" ca="1" si="48"/>
        <v/>
      </c>
      <c r="J142" s="266" t="str">
        <f t="shared" ca="1" si="48"/>
        <v/>
      </c>
      <c r="K142" s="264" t="str">
        <f t="shared" ca="1" si="48"/>
        <v/>
      </c>
      <c r="L142" s="265" t="str">
        <f t="shared" ca="1" si="48"/>
        <v/>
      </c>
      <c r="M142" s="266" t="str">
        <f t="shared" ca="1" si="48"/>
        <v/>
      </c>
      <c r="N142" s="264" t="str">
        <f t="shared" ca="1" si="48"/>
        <v/>
      </c>
      <c r="O142" s="265" t="str">
        <f t="shared" ca="1" si="48"/>
        <v/>
      </c>
      <c r="P142" s="266" t="str">
        <f t="shared" ca="1" si="48"/>
        <v/>
      </c>
      <c r="Q142" s="267" t="str">
        <f t="shared" ca="1" si="48"/>
        <v/>
      </c>
      <c r="R142" s="268" t="str">
        <f t="shared" ca="1" si="49"/>
        <v/>
      </c>
      <c r="S142" s="264" t="str">
        <f t="shared" ca="1" si="49"/>
        <v/>
      </c>
      <c r="T142" s="269" t="str">
        <f t="shared" ca="1" si="49"/>
        <v/>
      </c>
      <c r="U142" s="268" t="str">
        <f t="shared" ca="1" si="49"/>
        <v/>
      </c>
      <c r="V142" s="264" t="str">
        <f t="shared" ca="1" si="49"/>
        <v/>
      </c>
      <c r="W142" s="265" t="str">
        <f t="shared" ca="1" si="49"/>
        <v/>
      </c>
      <c r="X142" s="266" t="str">
        <f t="shared" ca="1" si="49"/>
        <v/>
      </c>
      <c r="Y142" s="264" t="str">
        <f t="shared" ca="1" si="49"/>
        <v/>
      </c>
      <c r="Z142" s="265" t="str">
        <f t="shared" ca="1" si="49"/>
        <v/>
      </c>
      <c r="AA142" s="266" t="str">
        <f t="shared" ca="1" si="49"/>
        <v/>
      </c>
      <c r="AB142" s="267" t="str">
        <f t="shared" ca="1" si="49"/>
        <v/>
      </c>
      <c r="AC142" s="538"/>
      <c r="AD142" s="212" t="str">
        <f t="shared" ca="1" si="39"/>
        <v/>
      </c>
    </row>
    <row r="143" spans="1:30" s="45" customFormat="1" ht="22.5" customHeight="1">
      <c r="A143" s="270" t="s">
        <v>670</v>
      </c>
      <c r="B143" s="271"/>
      <c r="C143" s="272" t="str">
        <f t="shared" ref="C143" ca="1" si="56">SUBSTITUTE(SUBSTITUTE(IF(-DOLLAR(E143),IF(E143&gt;0,,"负")&amp;TEXT(INT(ABS(E143)+0.5%),"[dbnum2]G/通用格式元;;")&amp;TEXT(RIGHT(DOLLAR(E143,2),2),"[dbnum2]0角0分;;整"),),"零角",IF(E143^2&lt;1,,"零")),"零分","整")</f>
        <v/>
      </c>
      <c r="D143" s="273"/>
      <c r="E143" s="274">
        <f t="shared" ref="E143:F143" ca="1" si="57">SUM(E137:E142)</f>
        <v>0</v>
      </c>
      <c r="F143" s="275">
        <f t="shared" ca="1" si="57"/>
        <v>0</v>
      </c>
      <c r="G143" s="276" t="str">
        <f t="shared" ca="1" si="48"/>
        <v/>
      </c>
      <c r="H143" s="277" t="str">
        <f t="shared" ca="1" si="48"/>
        <v/>
      </c>
      <c r="I143" s="278" t="str">
        <f t="shared" ca="1" si="48"/>
        <v/>
      </c>
      <c r="J143" s="279" t="str">
        <f t="shared" ca="1" si="48"/>
        <v/>
      </c>
      <c r="K143" s="277" t="str">
        <f t="shared" ca="1" si="48"/>
        <v/>
      </c>
      <c r="L143" s="278" t="str">
        <f t="shared" ca="1" si="48"/>
        <v/>
      </c>
      <c r="M143" s="279" t="str">
        <f t="shared" ca="1" si="48"/>
        <v/>
      </c>
      <c r="N143" s="277" t="str">
        <f t="shared" ca="1" si="48"/>
        <v/>
      </c>
      <c r="O143" s="278" t="str">
        <f t="shared" ca="1" si="48"/>
        <v/>
      </c>
      <c r="P143" s="279" t="str">
        <f t="shared" ca="1" si="48"/>
        <v/>
      </c>
      <c r="Q143" s="280" t="str">
        <f t="shared" ca="1" si="48"/>
        <v/>
      </c>
      <c r="R143" s="281" t="str">
        <f t="shared" ca="1" si="49"/>
        <v/>
      </c>
      <c r="S143" s="277" t="str">
        <f t="shared" ca="1" si="49"/>
        <v/>
      </c>
      <c r="T143" s="282" t="str">
        <f t="shared" ca="1" si="49"/>
        <v/>
      </c>
      <c r="U143" s="281" t="str">
        <f t="shared" ca="1" si="49"/>
        <v/>
      </c>
      <c r="V143" s="277" t="str">
        <f t="shared" ca="1" si="49"/>
        <v/>
      </c>
      <c r="W143" s="278" t="str">
        <f t="shared" ca="1" si="49"/>
        <v/>
      </c>
      <c r="X143" s="279" t="str">
        <f t="shared" ca="1" si="49"/>
        <v/>
      </c>
      <c r="Y143" s="277" t="str">
        <f t="shared" ca="1" si="49"/>
        <v/>
      </c>
      <c r="Z143" s="278" t="str">
        <f t="shared" ca="1" si="49"/>
        <v/>
      </c>
      <c r="AA143" s="279" t="str">
        <f t="shared" ca="1" si="49"/>
        <v/>
      </c>
      <c r="AB143" s="280" t="str">
        <f t="shared" ca="1" si="49"/>
        <v/>
      </c>
      <c r="AC143" s="283"/>
      <c r="AD143" s="212"/>
    </row>
    <row r="144" spans="1:30" s="22" customFormat="1" ht="22.5" customHeight="1">
      <c r="A144" s="284" t="s">
        <v>644</v>
      </c>
      <c r="B144" s="284"/>
      <c r="C144" s="284"/>
      <c r="D144" s="284" t="s">
        <v>645</v>
      </c>
      <c r="E144" s="284"/>
      <c r="F144" s="284"/>
      <c r="G144" s="284"/>
      <c r="H144" s="285"/>
      <c r="I144" s="284"/>
      <c r="J144" s="285"/>
      <c r="K144" s="285"/>
      <c r="L144" s="284"/>
      <c r="M144" s="285"/>
      <c r="N144" s="285"/>
      <c r="O144" s="285"/>
      <c r="P144" s="284"/>
      <c r="Q144" s="284" t="s">
        <v>646</v>
      </c>
      <c r="R144" s="284"/>
      <c r="S144" s="284"/>
      <c r="T144" s="284"/>
      <c r="U144" s="285"/>
      <c r="V144" s="284"/>
      <c r="W144" s="285"/>
      <c r="X144" s="284"/>
      <c r="Y144" s="284"/>
      <c r="Z144" s="285"/>
      <c r="AA144" s="285"/>
      <c r="AB144" s="285"/>
      <c r="AC144" s="286"/>
      <c r="AD144" s="212"/>
    </row>
    <row r="145" spans="1:30" ht="39.75" customHeight="1" thickBot="1">
      <c r="A145" s="226"/>
      <c r="B145" s="226"/>
      <c r="C145" s="227" t="s">
        <v>647</v>
      </c>
      <c r="D145" s="228"/>
      <c r="E145" s="226"/>
      <c r="F145" s="226"/>
      <c r="G145" s="228"/>
      <c r="H145" s="228"/>
      <c r="I145" s="228"/>
      <c r="J145" s="228"/>
      <c r="K145" s="228"/>
      <c r="L145" s="228"/>
      <c r="M145" s="228"/>
      <c r="N145" s="228"/>
      <c r="O145" s="228"/>
      <c r="P145" s="228"/>
      <c r="Q145" s="228"/>
      <c r="R145" s="229" t="s">
        <v>648</v>
      </c>
      <c r="S145" s="230"/>
      <c r="T145" s="230"/>
      <c r="U145" s="231" t="e">
        <f ca="1">DATE(AD$1,AF$1,INDEX(凭证录入!B:B,AD149))</f>
        <v>#VALUE!</v>
      </c>
      <c r="V145" s="232"/>
      <c r="W145" s="232"/>
      <c r="X145" s="232"/>
      <c r="Y145" s="232"/>
      <c r="Z145" s="232"/>
      <c r="AA145" s="232"/>
      <c r="AB145" s="232"/>
      <c r="AD145" s="212"/>
    </row>
    <row r="146" spans="1:30" s="45" customFormat="1" ht="23.25" customHeight="1" thickTop="1">
      <c r="A146" s="235" t="s">
        <v>649</v>
      </c>
      <c r="B146" s="235"/>
      <c r="C146" s="236" t="str">
        <f t="shared" si="45"/>
        <v>远大开发有限公司</v>
      </c>
      <c r="D146" s="236"/>
      <c r="E146" s="236"/>
      <c r="F146" s="236"/>
      <c r="G146" s="236"/>
      <c r="H146" s="236"/>
      <c r="I146" s="236"/>
      <c r="J146" s="236"/>
      <c r="K146" s="236"/>
      <c r="L146" s="236"/>
      <c r="M146" s="236"/>
      <c r="N146" s="236"/>
      <c r="O146" s="236"/>
      <c r="P146" s="236"/>
      <c r="Q146" s="236"/>
      <c r="R146" s="229" t="s">
        <v>650</v>
      </c>
      <c r="S146" s="229"/>
      <c r="T146" s="229"/>
      <c r="U146" s="237" t="str">
        <f t="shared" ref="U146" si="58">"第 "&amp;TEXT($AF$1,"00")&amp;TEXT($AC146,"0000 号")</f>
        <v>第 010013 号</v>
      </c>
      <c r="V146" s="237"/>
      <c r="W146" s="238"/>
      <c r="X146" s="238"/>
      <c r="Y146" s="238"/>
      <c r="Z146" s="238"/>
      <c r="AA146" s="238"/>
      <c r="AB146" s="238"/>
      <c r="AC146" s="239">
        <f t="shared" si="47"/>
        <v>13</v>
      </c>
      <c r="AD146" s="212"/>
    </row>
    <row r="147" spans="1:30" s="45" customFormat="1" ht="22.5" customHeight="1">
      <c r="A147" s="241" t="s">
        <v>651</v>
      </c>
      <c r="B147" s="542" t="s">
        <v>652</v>
      </c>
      <c r="C147" s="242" t="s">
        <v>653</v>
      </c>
      <c r="D147" s="243" t="s">
        <v>654</v>
      </c>
      <c r="E147" s="539" t="s">
        <v>655</v>
      </c>
      <c r="F147" s="539" t="s">
        <v>656</v>
      </c>
      <c r="G147" s="244" t="s">
        <v>657</v>
      </c>
      <c r="H147" s="245"/>
      <c r="I147" s="245"/>
      <c r="J147" s="245"/>
      <c r="K147" s="245"/>
      <c r="L147" s="245"/>
      <c r="M147" s="245"/>
      <c r="N147" s="245"/>
      <c r="O147" s="245"/>
      <c r="P147" s="245"/>
      <c r="Q147" s="246"/>
      <c r="R147" s="247" t="s">
        <v>658</v>
      </c>
      <c r="S147" s="245"/>
      <c r="T147" s="245"/>
      <c r="U147" s="245"/>
      <c r="V147" s="245"/>
      <c r="W147" s="245"/>
      <c r="X147" s="245"/>
      <c r="Y147" s="245"/>
      <c r="Z147" s="245"/>
      <c r="AA147" s="245"/>
      <c r="AB147" s="246"/>
      <c r="AC147" s="541" t="str">
        <f ca="1">"附单据数︵"&amp;INDEX(凭证录入!$D:$D,$AD$17)&amp;"︶张"</f>
        <v>附单据数︵4︶张</v>
      </c>
      <c r="AD147" s="235"/>
    </row>
    <row r="148" spans="1:30" s="45" customFormat="1" ht="22.5" customHeight="1">
      <c r="A148" s="248" t="s">
        <v>659</v>
      </c>
      <c r="B148" s="543"/>
      <c r="C148" s="249" t="s">
        <v>660</v>
      </c>
      <c r="D148" s="250" t="s">
        <v>660</v>
      </c>
      <c r="E148" s="540"/>
      <c r="F148" s="540"/>
      <c r="G148" s="251" t="s">
        <v>661</v>
      </c>
      <c r="H148" s="252" t="s">
        <v>662</v>
      </c>
      <c r="I148" s="253" t="s">
        <v>663</v>
      </c>
      <c r="J148" s="254" t="s">
        <v>664</v>
      </c>
      <c r="K148" s="252" t="s">
        <v>665</v>
      </c>
      <c r="L148" s="253" t="s">
        <v>662</v>
      </c>
      <c r="M148" s="254" t="s">
        <v>663</v>
      </c>
      <c r="N148" s="252" t="s">
        <v>664</v>
      </c>
      <c r="O148" s="253" t="s">
        <v>666</v>
      </c>
      <c r="P148" s="254" t="s">
        <v>667</v>
      </c>
      <c r="Q148" s="255" t="s">
        <v>668</v>
      </c>
      <c r="R148" s="256" t="s">
        <v>661</v>
      </c>
      <c r="S148" s="252" t="s">
        <v>662</v>
      </c>
      <c r="T148" s="257" t="s">
        <v>663</v>
      </c>
      <c r="U148" s="256" t="s">
        <v>664</v>
      </c>
      <c r="V148" s="252" t="s">
        <v>665</v>
      </c>
      <c r="W148" s="253" t="s">
        <v>662</v>
      </c>
      <c r="X148" s="254" t="s">
        <v>663</v>
      </c>
      <c r="Y148" s="252" t="s">
        <v>664</v>
      </c>
      <c r="Z148" s="253" t="s">
        <v>666</v>
      </c>
      <c r="AA148" s="254" t="s">
        <v>667</v>
      </c>
      <c r="AB148" s="255" t="s">
        <v>668</v>
      </c>
      <c r="AC148" s="541"/>
    </row>
    <row r="149" spans="1:30" s="45" customFormat="1" ht="22.5" customHeight="1">
      <c r="A149" s="258" t="str">
        <f ca="1">IFERROR(INDEX(凭证录入!H:H,$AD149),"")</f>
        <v/>
      </c>
      <c r="B149" s="259" t="str">
        <f ca="1">IFERROR(INDEX(凭证录入!I:I,$AD149),"")</f>
        <v/>
      </c>
      <c r="C149" s="260" t="str">
        <f ca="1">IFERROR(VLOOKUP($B149,会计科目表!$A:$C,2,),"")</f>
        <v/>
      </c>
      <c r="D149" s="261" t="str">
        <f ca="1">IFERROR(VLOOKUP($B149,会计科目表!$A:$C,3,),"")</f>
        <v/>
      </c>
      <c r="E149" s="262">
        <f ca="1">IFERROR(INDEX(凭证录入!K:K,$AD149),0)</f>
        <v>0</v>
      </c>
      <c r="F149" s="262">
        <f ca="1">IFERROR(INDEX(凭证录入!L:L,$AD149),0)</f>
        <v>0</v>
      </c>
      <c r="G149" s="263" t="str">
        <f t="shared" ca="1" si="48"/>
        <v/>
      </c>
      <c r="H149" s="264" t="str">
        <f t="shared" ca="1" si="48"/>
        <v/>
      </c>
      <c r="I149" s="265" t="str">
        <f t="shared" ca="1" si="48"/>
        <v/>
      </c>
      <c r="J149" s="266" t="str">
        <f t="shared" ca="1" si="48"/>
        <v/>
      </c>
      <c r="K149" s="264" t="str">
        <f t="shared" ca="1" si="48"/>
        <v/>
      </c>
      <c r="L149" s="265" t="str">
        <f t="shared" ca="1" si="48"/>
        <v/>
      </c>
      <c r="M149" s="266" t="str">
        <f t="shared" ca="1" si="48"/>
        <v/>
      </c>
      <c r="N149" s="264" t="str">
        <f t="shared" ca="1" si="48"/>
        <v/>
      </c>
      <c r="O149" s="265" t="str">
        <f t="shared" ca="1" si="48"/>
        <v/>
      </c>
      <c r="P149" s="266" t="str">
        <f t="shared" ca="1" si="48"/>
        <v/>
      </c>
      <c r="Q149" s="267" t="str">
        <f t="shared" ca="1" si="48"/>
        <v/>
      </c>
      <c r="R149" s="268" t="str">
        <f t="shared" ca="1" si="49"/>
        <v/>
      </c>
      <c r="S149" s="264" t="str">
        <f t="shared" ca="1" si="49"/>
        <v/>
      </c>
      <c r="T149" s="269" t="str">
        <f t="shared" ca="1" si="49"/>
        <v/>
      </c>
      <c r="U149" s="268" t="str">
        <f t="shared" ca="1" si="49"/>
        <v/>
      </c>
      <c r="V149" s="264" t="str">
        <f t="shared" ca="1" si="49"/>
        <v/>
      </c>
      <c r="W149" s="265" t="str">
        <f t="shared" ca="1" si="49"/>
        <v/>
      </c>
      <c r="X149" s="266" t="str">
        <f t="shared" ca="1" si="49"/>
        <v/>
      </c>
      <c r="Y149" s="264" t="str">
        <f t="shared" ca="1" si="49"/>
        <v/>
      </c>
      <c r="Z149" s="265" t="str">
        <f t="shared" ca="1" si="49"/>
        <v/>
      </c>
      <c r="AA149" s="266" t="str">
        <f t="shared" ca="1" si="49"/>
        <v/>
      </c>
      <c r="AB149" s="267" t="str">
        <f t="shared" ca="1" si="49"/>
        <v/>
      </c>
      <c r="AC149" s="541"/>
      <c r="AD149" s="212" t="str">
        <f t="shared" ca="1" si="39"/>
        <v/>
      </c>
    </row>
    <row r="150" spans="1:30" s="45" customFormat="1" ht="22.5" customHeight="1">
      <c r="A150" s="258" t="str">
        <f ca="1">IFERROR(INDEX(凭证录入!H:H,$AD150),"")</f>
        <v/>
      </c>
      <c r="B150" s="259" t="str">
        <f ca="1">IFERROR(INDEX(凭证录入!I:I,$AD150),"")</f>
        <v/>
      </c>
      <c r="C150" s="260" t="str">
        <f ca="1">IFERROR(VLOOKUP($B150,会计科目表!$A:$C,2,),"")</f>
        <v/>
      </c>
      <c r="D150" s="261" t="str">
        <f ca="1">IFERROR(VLOOKUP($B150,会计科目表!$A:$C,3,),"")</f>
        <v/>
      </c>
      <c r="E150" s="262">
        <f ca="1">IFERROR(INDEX(凭证录入!K:K,$AD150),0)</f>
        <v>0</v>
      </c>
      <c r="F150" s="262">
        <f ca="1">IFERROR(INDEX(凭证录入!L:L,$AD150),0)</f>
        <v>0</v>
      </c>
      <c r="G150" s="263" t="str">
        <f t="shared" ca="1" si="48"/>
        <v/>
      </c>
      <c r="H150" s="264" t="str">
        <f t="shared" ca="1" si="48"/>
        <v/>
      </c>
      <c r="I150" s="265" t="str">
        <f t="shared" ca="1" si="48"/>
        <v/>
      </c>
      <c r="J150" s="266" t="str">
        <f t="shared" ca="1" si="48"/>
        <v/>
      </c>
      <c r="K150" s="264" t="str">
        <f t="shared" ca="1" si="48"/>
        <v/>
      </c>
      <c r="L150" s="265" t="str">
        <f t="shared" ca="1" si="48"/>
        <v/>
      </c>
      <c r="M150" s="266" t="str">
        <f t="shared" ca="1" si="48"/>
        <v/>
      </c>
      <c r="N150" s="264" t="str">
        <f t="shared" ca="1" si="48"/>
        <v/>
      </c>
      <c r="O150" s="265" t="str">
        <f t="shared" ca="1" si="48"/>
        <v/>
      </c>
      <c r="P150" s="266" t="str">
        <f t="shared" ca="1" si="48"/>
        <v/>
      </c>
      <c r="Q150" s="267" t="str">
        <f t="shared" ca="1" si="48"/>
        <v/>
      </c>
      <c r="R150" s="268" t="str">
        <f t="shared" ca="1" si="49"/>
        <v/>
      </c>
      <c r="S150" s="264" t="str">
        <f t="shared" ca="1" si="49"/>
        <v/>
      </c>
      <c r="T150" s="269" t="str">
        <f t="shared" ca="1" si="49"/>
        <v/>
      </c>
      <c r="U150" s="268" t="str">
        <f t="shared" ca="1" si="49"/>
        <v/>
      </c>
      <c r="V150" s="264" t="str">
        <f t="shared" ca="1" si="49"/>
        <v/>
      </c>
      <c r="W150" s="265" t="str">
        <f t="shared" ca="1" si="49"/>
        <v/>
      </c>
      <c r="X150" s="266" t="str">
        <f t="shared" ca="1" si="49"/>
        <v/>
      </c>
      <c r="Y150" s="264" t="str">
        <f t="shared" ca="1" si="49"/>
        <v/>
      </c>
      <c r="Z150" s="265" t="str">
        <f t="shared" ca="1" si="49"/>
        <v/>
      </c>
      <c r="AA150" s="266" t="str">
        <f t="shared" ca="1" si="49"/>
        <v/>
      </c>
      <c r="AB150" s="267" t="str">
        <f t="shared" ca="1" si="49"/>
        <v/>
      </c>
      <c r="AC150" s="541"/>
      <c r="AD150" s="212" t="str">
        <f t="shared" ca="1" si="39"/>
        <v/>
      </c>
    </row>
    <row r="151" spans="1:30" s="45" customFormat="1" ht="22.5" customHeight="1">
      <c r="A151" s="258" t="str">
        <f ca="1">IFERROR(INDEX(凭证录入!H:H,$AD151),"")</f>
        <v/>
      </c>
      <c r="B151" s="259" t="str">
        <f ca="1">IFERROR(INDEX(凭证录入!I:I,$AD151),"")</f>
        <v/>
      </c>
      <c r="C151" s="260" t="str">
        <f ca="1">IFERROR(VLOOKUP($B151,会计科目表!$A:$C,2,),"")</f>
        <v/>
      </c>
      <c r="D151" s="261" t="str">
        <f ca="1">IFERROR(VLOOKUP($B151,会计科目表!$A:$C,3,),"")</f>
        <v/>
      </c>
      <c r="E151" s="262">
        <f ca="1">IFERROR(INDEX(凭证录入!K:K,$AD151),0)</f>
        <v>0</v>
      </c>
      <c r="F151" s="262">
        <f ca="1">IFERROR(INDEX(凭证录入!L:L,$AD151),0)</f>
        <v>0</v>
      </c>
      <c r="G151" s="263" t="str">
        <f t="shared" ca="1" si="48"/>
        <v/>
      </c>
      <c r="H151" s="264" t="str">
        <f t="shared" ca="1" si="48"/>
        <v/>
      </c>
      <c r="I151" s="265" t="str">
        <f t="shared" ca="1" si="48"/>
        <v/>
      </c>
      <c r="J151" s="266" t="str">
        <f t="shared" ca="1" si="48"/>
        <v/>
      </c>
      <c r="K151" s="264" t="str">
        <f t="shared" ca="1" si="48"/>
        <v/>
      </c>
      <c r="L151" s="265" t="str">
        <f t="shared" ca="1" si="48"/>
        <v/>
      </c>
      <c r="M151" s="266" t="str">
        <f t="shared" ca="1" si="48"/>
        <v/>
      </c>
      <c r="N151" s="264" t="str">
        <f t="shared" ca="1" si="48"/>
        <v/>
      </c>
      <c r="O151" s="265" t="str">
        <f t="shared" ca="1" si="48"/>
        <v/>
      </c>
      <c r="P151" s="266" t="str">
        <f t="shared" ca="1" si="48"/>
        <v/>
      </c>
      <c r="Q151" s="267" t="str">
        <f t="shared" ca="1" si="48"/>
        <v/>
      </c>
      <c r="R151" s="268" t="str">
        <f t="shared" ca="1" si="49"/>
        <v/>
      </c>
      <c r="S151" s="264" t="str">
        <f t="shared" ca="1" si="49"/>
        <v/>
      </c>
      <c r="T151" s="269" t="str">
        <f t="shared" ca="1" si="49"/>
        <v/>
      </c>
      <c r="U151" s="268" t="str">
        <f t="shared" ca="1" si="49"/>
        <v/>
      </c>
      <c r="V151" s="264" t="str">
        <f t="shared" ca="1" si="49"/>
        <v/>
      </c>
      <c r="W151" s="265" t="str">
        <f t="shared" ca="1" si="49"/>
        <v/>
      </c>
      <c r="X151" s="266" t="str">
        <f t="shared" ca="1" si="49"/>
        <v/>
      </c>
      <c r="Y151" s="264" t="str">
        <f t="shared" ca="1" si="49"/>
        <v/>
      </c>
      <c r="Z151" s="265" t="str">
        <f t="shared" ca="1" si="49"/>
        <v/>
      </c>
      <c r="AA151" s="266" t="str">
        <f t="shared" ca="1" si="49"/>
        <v/>
      </c>
      <c r="AB151" s="267" t="str">
        <f t="shared" ca="1" si="49"/>
        <v/>
      </c>
      <c r="AC151" s="536" t="s">
        <v>669</v>
      </c>
      <c r="AD151" s="212" t="str">
        <f t="shared" ca="1" si="39"/>
        <v/>
      </c>
    </row>
    <row r="152" spans="1:30" s="45" customFormat="1" ht="22.5" customHeight="1">
      <c r="A152" s="258" t="str">
        <f ca="1">IFERROR(INDEX(凭证录入!H:H,$AD152),"")</f>
        <v/>
      </c>
      <c r="B152" s="259" t="str">
        <f ca="1">IFERROR(INDEX(凭证录入!I:I,$AD152),"")</f>
        <v/>
      </c>
      <c r="C152" s="260" t="str">
        <f ca="1">IFERROR(VLOOKUP($B152,会计科目表!$A:$C,2,),"")</f>
        <v/>
      </c>
      <c r="D152" s="261" t="str">
        <f ca="1">IFERROR(VLOOKUP($B152,会计科目表!$A:$C,3,),"")</f>
        <v/>
      </c>
      <c r="E152" s="262">
        <f ca="1">IFERROR(INDEX(凭证录入!K:K,$AD152),0)</f>
        <v>0</v>
      </c>
      <c r="F152" s="262">
        <f ca="1">IFERROR(INDEX(凭证录入!L:L,$AD152),0)</f>
        <v>0</v>
      </c>
      <c r="G152" s="263" t="str">
        <f t="shared" ca="1" si="48"/>
        <v/>
      </c>
      <c r="H152" s="264" t="str">
        <f t="shared" ca="1" si="48"/>
        <v/>
      </c>
      <c r="I152" s="265" t="str">
        <f t="shared" ca="1" si="48"/>
        <v/>
      </c>
      <c r="J152" s="266" t="str">
        <f t="shared" ca="1" si="48"/>
        <v/>
      </c>
      <c r="K152" s="264" t="str">
        <f t="shared" ca="1" si="48"/>
        <v/>
      </c>
      <c r="L152" s="265" t="str">
        <f t="shared" ca="1" si="48"/>
        <v/>
      </c>
      <c r="M152" s="266" t="str">
        <f t="shared" ca="1" si="48"/>
        <v/>
      </c>
      <c r="N152" s="264" t="str">
        <f t="shared" ca="1" si="48"/>
        <v/>
      </c>
      <c r="O152" s="265" t="str">
        <f t="shared" ca="1" si="48"/>
        <v/>
      </c>
      <c r="P152" s="266" t="str">
        <f t="shared" ca="1" si="48"/>
        <v/>
      </c>
      <c r="Q152" s="267" t="str">
        <f t="shared" ca="1" si="48"/>
        <v/>
      </c>
      <c r="R152" s="268" t="str">
        <f t="shared" ca="1" si="49"/>
        <v/>
      </c>
      <c r="S152" s="264" t="str">
        <f t="shared" ca="1" si="49"/>
        <v/>
      </c>
      <c r="T152" s="269" t="str">
        <f t="shared" ca="1" si="49"/>
        <v/>
      </c>
      <c r="U152" s="268" t="str">
        <f t="shared" ca="1" si="49"/>
        <v/>
      </c>
      <c r="V152" s="264" t="str">
        <f t="shared" ca="1" si="49"/>
        <v/>
      </c>
      <c r="W152" s="265" t="str">
        <f t="shared" ca="1" si="49"/>
        <v/>
      </c>
      <c r="X152" s="266" t="str">
        <f t="shared" ca="1" si="49"/>
        <v/>
      </c>
      <c r="Y152" s="264" t="str">
        <f t="shared" ca="1" si="49"/>
        <v/>
      </c>
      <c r="Z152" s="265" t="str">
        <f t="shared" ca="1" si="49"/>
        <v/>
      </c>
      <c r="AA152" s="266" t="str">
        <f t="shared" ca="1" si="49"/>
        <v/>
      </c>
      <c r="AB152" s="267" t="str">
        <f t="shared" ca="1" si="49"/>
        <v/>
      </c>
      <c r="AC152" s="537"/>
      <c r="AD152" s="212" t="str">
        <f t="shared" ca="1" si="39"/>
        <v/>
      </c>
    </row>
    <row r="153" spans="1:30" s="45" customFormat="1" ht="22.5" customHeight="1">
      <c r="A153" s="258" t="str">
        <f ca="1">IFERROR(INDEX(凭证录入!H:H,$AD153),"")</f>
        <v/>
      </c>
      <c r="B153" s="259" t="str">
        <f ca="1">IFERROR(INDEX(凭证录入!I:I,$AD153),"")</f>
        <v/>
      </c>
      <c r="C153" s="260" t="str">
        <f ca="1">IFERROR(VLOOKUP($B153,会计科目表!$A:$C,2,),"")</f>
        <v/>
      </c>
      <c r="D153" s="261" t="str">
        <f ca="1">IFERROR(VLOOKUP($B153,会计科目表!$A:$C,3,),"")</f>
        <v/>
      </c>
      <c r="E153" s="262">
        <f ca="1">IFERROR(INDEX(凭证录入!K:K,$AD153),0)</f>
        <v>0</v>
      </c>
      <c r="F153" s="262">
        <f ca="1">IFERROR(INDEX(凭证录入!L:L,$AD153),0)</f>
        <v>0</v>
      </c>
      <c r="G153" s="263" t="str">
        <f t="shared" ca="1" si="48"/>
        <v/>
      </c>
      <c r="H153" s="264" t="str">
        <f t="shared" ca="1" si="48"/>
        <v/>
      </c>
      <c r="I153" s="265" t="str">
        <f t="shared" ca="1" si="48"/>
        <v/>
      </c>
      <c r="J153" s="266" t="str">
        <f t="shared" ca="1" si="48"/>
        <v/>
      </c>
      <c r="K153" s="264" t="str">
        <f t="shared" ca="1" si="48"/>
        <v/>
      </c>
      <c r="L153" s="265" t="str">
        <f t="shared" ca="1" si="48"/>
        <v/>
      </c>
      <c r="M153" s="266" t="str">
        <f t="shared" ca="1" si="48"/>
        <v/>
      </c>
      <c r="N153" s="264" t="str">
        <f t="shared" ca="1" si="48"/>
        <v/>
      </c>
      <c r="O153" s="265" t="str">
        <f t="shared" ca="1" si="48"/>
        <v/>
      </c>
      <c r="P153" s="266" t="str">
        <f t="shared" ca="1" si="48"/>
        <v/>
      </c>
      <c r="Q153" s="267" t="str">
        <f t="shared" ca="1" si="48"/>
        <v/>
      </c>
      <c r="R153" s="268" t="str">
        <f t="shared" ca="1" si="49"/>
        <v/>
      </c>
      <c r="S153" s="264" t="str">
        <f t="shared" ca="1" si="49"/>
        <v/>
      </c>
      <c r="T153" s="269" t="str">
        <f t="shared" ca="1" si="49"/>
        <v/>
      </c>
      <c r="U153" s="268" t="str">
        <f t="shared" ca="1" si="49"/>
        <v/>
      </c>
      <c r="V153" s="264" t="str">
        <f t="shared" ca="1" si="49"/>
        <v/>
      </c>
      <c r="W153" s="265" t="str">
        <f t="shared" ca="1" si="49"/>
        <v/>
      </c>
      <c r="X153" s="266" t="str">
        <f t="shared" ca="1" si="49"/>
        <v/>
      </c>
      <c r="Y153" s="264" t="str">
        <f t="shared" ca="1" si="49"/>
        <v/>
      </c>
      <c r="Z153" s="265" t="str">
        <f t="shared" ca="1" si="49"/>
        <v/>
      </c>
      <c r="AA153" s="266" t="str">
        <f t="shared" ca="1" si="49"/>
        <v/>
      </c>
      <c r="AB153" s="267" t="str">
        <f t="shared" ca="1" si="49"/>
        <v/>
      </c>
      <c r="AC153" s="538"/>
      <c r="AD153" s="212" t="str">
        <f t="shared" ca="1" si="39"/>
        <v/>
      </c>
    </row>
    <row r="154" spans="1:30" s="45" customFormat="1" ht="22.5" customHeight="1">
      <c r="A154" s="258" t="str">
        <f ca="1">IFERROR(INDEX(凭证录入!H:H,$AD154),"")</f>
        <v/>
      </c>
      <c r="B154" s="259" t="str">
        <f ca="1">IFERROR(INDEX(凭证录入!I:I,$AD154),"")</f>
        <v/>
      </c>
      <c r="C154" s="260" t="str">
        <f ca="1">IFERROR(VLOOKUP($B154,会计科目表!$A:$C,2,),"")</f>
        <v/>
      </c>
      <c r="D154" s="261" t="str">
        <f ca="1">IFERROR(VLOOKUP($B154,会计科目表!$A:$C,3,),"")</f>
        <v/>
      </c>
      <c r="E154" s="262">
        <f ca="1">IFERROR(INDEX(凭证录入!K:K,$AD154),0)</f>
        <v>0</v>
      </c>
      <c r="F154" s="262">
        <f ca="1">IFERROR(INDEX(凭证录入!L:L,$AD154),0)</f>
        <v>0</v>
      </c>
      <c r="G154" s="263" t="str">
        <f t="shared" ca="1" si="48"/>
        <v/>
      </c>
      <c r="H154" s="264" t="str">
        <f t="shared" ca="1" si="48"/>
        <v/>
      </c>
      <c r="I154" s="265" t="str">
        <f t="shared" ca="1" si="48"/>
        <v/>
      </c>
      <c r="J154" s="266" t="str">
        <f t="shared" ca="1" si="48"/>
        <v/>
      </c>
      <c r="K154" s="264" t="str">
        <f t="shared" ca="1" si="48"/>
        <v/>
      </c>
      <c r="L154" s="265" t="str">
        <f t="shared" ca="1" si="48"/>
        <v/>
      </c>
      <c r="M154" s="266" t="str">
        <f t="shared" ca="1" si="48"/>
        <v/>
      </c>
      <c r="N154" s="264" t="str">
        <f t="shared" ca="1" si="48"/>
        <v/>
      </c>
      <c r="O154" s="265" t="str">
        <f t="shared" ca="1" si="48"/>
        <v/>
      </c>
      <c r="P154" s="266" t="str">
        <f t="shared" ca="1" si="48"/>
        <v/>
      </c>
      <c r="Q154" s="267" t="str">
        <f t="shared" ca="1" si="48"/>
        <v/>
      </c>
      <c r="R154" s="268" t="str">
        <f t="shared" ca="1" si="49"/>
        <v/>
      </c>
      <c r="S154" s="264" t="str">
        <f t="shared" ca="1" si="49"/>
        <v/>
      </c>
      <c r="T154" s="269" t="str">
        <f t="shared" ca="1" si="49"/>
        <v/>
      </c>
      <c r="U154" s="268" t="str">
        <f t="shared" ca="1" si="49"/>
        <v/>
      </c>
      <c r="V154" s="264" t="str">
        <f t="shared" ca="1" si="49"/>
        <v/>
      </c>
      <c r="W154" s="265" t="str">
        <f t="shared" ca="1" si="49"/>
        <v/>
      </c>
      <c r="X154" s="266" t="str">
        <f t="shared" ca="1" si="49"/>
        <v/>
      </c>
      <c r="Y154" s="264" t="str">
        <f t="shared" ca="1" si="49"/>
        <v/>
      </c>
      <c r="Z154" s="265" t="str">
        <f t="shared" ca="1" si="49"/>
        <v/>
      </c>
      <c r="AA154" s="266" t="str">
        <f t="shared" ca="1" si="49"/>
        <v/>
      </c>
      <c r="AB154" s="267" t="str">
        <f t="shared" ca="1" si="49"/>
        <v/>
      </c>
      <c r="AC154" s="538"/>
      <c r="AD154" s="212" t="str">
        <f t="shared" ca="1" si="39"/>
        <v/>
      </c>
    </row>
    <row r="155" spans="1:30" s="45" customFormat="1" ht="22.5" customHeight="1">
      <c r="A155" s="270" t="s">
        <v>671</v>
      </c>
      <c r="B155" s="271"/>
      <c r="C155" s="272" t="str">
        <f t="shared" ref="C155" ca="1" si="59">SUBSTITUTE(SUBSTITUTE(IF(-DOLLAR(E155),IF(E155&gt;0,,"负")&amp;TEXT(INT(ABS(E155)+0.5%),"[dbnum2]G/通用格式元;;")&amp;TEXT(RIGHT(DOLLAR(E155,2),2),"[dbnum2]0角0分;;整"),),"零角",IF(E155^2&lt;1,,"零")),"零分","整")</f>
        <v/>
      </c>
      <c r="D155" s="273"/>
      <c r="E155" s="274">
        <f t="shared" ref="E155:F155" ca="1" si="60">SUM(E149:E154)</f>
        <v>0</v>
      </c>
      <c r="F155" s="275">
        <f t="shared" ca="1" si="60"/>
        <v>0</v>
      </c>
      <c r="G155" s="276" t="str">
        <f t="shared" ca="1" si="48"/>
        <v/>
      </c>
      <c r="H155" s="277" t="str">
        <f t="shared" ca="1" si="48"/>
        <v/>
      </c>
      <c r="I155" s="278" t="str">
        <f t="shared" ca="1" si="48"/>
        <v/>
      </c>
      <c r="J155" s="279" t="str">
        <f t="shared" ca="1" si="48"/>
        <v/>
      </c>
      <c r="K155" s="277" t="str">
        <f t="shared" ca="1" si="48"/>
        <v/>
      </c>
      <c r="L155" s="278" t="str">
        <f t="shared" ca="1" si="48"/>
        <v/>
      </c>
      <c r="M155" s="279" t="str">
        <f t="shared" ref="M155:Q155" ca="1" si="61">LEFT(RIGHT(TEXT($E155/1%," ￥0; ￥-0;"),18-COLUMN()))</f>
        <v/>
      </c>
      <c r="N155" s="277" t="str">
        <f t="shared" ca="1" si="61"/>
        <v/>
      </c>
      <c r="O155" s="278" t="str">
        <f t="shared" ca="1" si="61"/>
        <v/>
      </c>
      <c r="P155" s="279" t="str">
        <f t="shared" ca="1" si="61"/>
        <v/>
      </c>
      <c r="Q155" s="280" t="str">
        <f t="shared" ca="1" si="61"/>
        <v/>
      </c>
      <c r="R155" s="281" t="str">
        <f t="shared" ca="1" si="49"/>
        <v/>
      </c>
      <c r="S155" s="277" t="str">
        <f t="shared" ca="1" si="49"/>
        <v/>
      </c>
      <c r="T155" s="282" t="str">
        <f t="shared" ca="1" si="49"/>
        <v/>
      </c>
      <c r="U155" s="281" t="str">
        <f t="shared" ca="1" si="49"/>
        <v/>
      </c>
      <c r="V155" s="277" t="str">
        <f t="shared" ca="1" si="49"/>
        <v/>
      </c>
      <c r="W155" s="278" t="str">
        <f t="shared" ca="1" si="49"/>
        <v/>
      </c>
      <c r="X155" s="279" t="str">
        <f t="shared" ref="X155:AB155" ca="1" si="62">LEFT(RIGHT(TEXT($F155/1%," ￥0; ￥-0;"),29-COLUMN()))</f>
        <v/>
      </c>
      <c r="Y155" s="277" t="str">
        <f t="shared" ca="1" si="62"/>
        <v/>
      </c>
      <c r="Z155" s="278" t="str">
        <f t="shared" ca="1" si="62"/>
        <v/>
      </c>
      <c r="AA155" s="279" t="str">
        <f t="shared" ca="1" si="62"/>
        <v/>
      </c>
      <c r="AB155" s="280" t="str">
        <f t="shared" ca="1" si="62"/>
        <v/>
      </c>
      <c r="AC155" s="283"/>
      <c r="AD155" s="212"/>
    </row>
    <row r="156" spans="1:30" s="22" customFormat="1" ht="22.5" customHeight="1">
      <c r="A156" s="284" t="s">
        <v>672</v>
      </c>
      <c r="B156" s="284"/>
      <c r="C156" s="284"/>
      <c r="D156" s="284" t="s">
        <v>673</v>
      </c>
      <c r="E156" s="284"/>
      <c r="F156" s="284"/>
      <c r="G156" s="284"/>
      <c r="H156" s="285"/>
      <c r="I156" s="284"/>
      <c r="J156" s="285"/>
      <c r="K156" s="285"/>
      <c r="L156" s="284"/>
      <c r="M156" s="285"/>
      <c r="N156" s="285"/>
      <c r="O156" s="285"/>
      <c r="P156" s="284"/>
      <c r="Q156" s="284" t="s">
        <v>674</v>
      </c>
      <c r="R156" s="284"/>
      <c r="S156" s="284"/>
      <c r="T156" s="284"/>
      <c r="U156" s="285"/>
      <c r="V156" s="284"/>
      <c r="W156" s="285"/>
      <c r="X156" s="284"/>
      <c r="Y156" s="284"/>
      <c r="Z156" s="285"/>
      <c r="AA156" s="285"/>
      <c r="AB156" s="285"/>
      <c r="AC156" s="286"/>
      <c r="AD156" s="212"/>
    </row>
    <row r="157" spans="1:30" ht="39.75" customHeight="1" thickBot="1">
      <c r="A157" s="226"/>
      <c r="B157" s="226"/>
      <c r="C157" s="227" t="s">
        <v>675</v>
      </c>
      <c r="D157" s="228"/>
      <c r="E157" s="226"/>
      <c r="F157" s="226"/>
      <c r="G157" s="228"/>
      <c r="H157" s="228"/>
      <c r="I157" s="228"/>
      <c r="J157" s="228"/>
      <c r="K157" s="228"/>
      <c r="L157" s="228"/>
      <c r="M157" s="228"/>
      <c r="N157" s="228"/>
      <c r="O157" s="228"/>
      <c r="P157" s="228"/>
      <c r="Q157" s="228"/>
      <c r="R157" s="229" t="s">
        <v>676</v>
      </c>
      <c r="S157" s="230"/>
      <c r="T157" s="230"/>
      <c r="U157" s="231" t="e">
        <f ca="1">DATE(AD$1,AF$1,INDEX(凭证录入!B:B,AD161))</f>
        <v>#VALUE!</v>
      </c>
      <c r="V157" s="232"/>
      <c r="W157" s="232"/>
      <c r="X157" s="232"/>
      <c r="Y157" s="232"/>
      <c r="Z157" s="232"/>
      <c r="AA157" s="232"/>
      <c r="AB157" s="232"/>
      <c r="AD157" s="212"/>
    </row>
    <row r="158" spans="1:30" s="45" customFormat="1" ht="23.25" customHeight="1" thickTop="1">
      <c r="A158" s="235" t="s">
        <v>677</v>
      </c>
      <c r="B158" s="235"/>
      <c r="C158" s="236" t="str">
        <f t="shared" si="45"/>
        <v>远大开发有限公司</v>
      </c>
      <c r="D158" s="236"/>
      <c r="E158" s="236"/>
      <c r="F158" s="236"/>
      <c r="G158" s="236"/>
      <c r="H158" s="236"/>
      <c r="I158" s="236"/>
      <c r="J158" s="236"/>
      <c r="K158" s="236"/>
      <c r="L158" s="236"/>
      <c r="M158" s="236"/>
      <c r="N158" s="236"/>
      <c r="O158" s="236"/>
      <c r="P158" s="236"/>
      <c r="Q158" s="236"/>
      <c r="R158" s="229" t="s">
        <v>678</v>
      </c>
      <c r="S158" s="229"/>
      <c r="T158" s="229"/>
      <c r="U158" s="237" t="str">
        <f t="shared" ref="U158" si="63">"第 "&amp;TEXT($AF$1,"00")&amp;TEXT($AC158,"0000 号")</f>
        <v>第 010014 号</v>
      </c>
      <c r="V158" s="237"/>
      <c r="W158" s="238"/>
      <c r="X158" s="238"/>
      <c r="Y158" s="238"/>
      <c r="Z158" s="238"/>
      <c r="AA158" s="238"/>
      <c r="AB158" s="238"/>
      <c r="AC158" s="239">
        <f t="shared" si="47"/>
        <v>14</v>
      </c>
      <c r="AD158" s="212"/>
    </row>
    <row r="159" spans="1:30" s="45" customFormat="1" ht="22.5" customHeight="1">
      <c r="A159" s="241" t="s">
        <v>679</v>
      </c>
      <c r="B159" s="542" t="s">
        <v>680</v>
      </c>
      <c r="C159" s="242" t="s">
        <v>681</v>
      </c>
      <c r="D159" s="243" t="s">
        <v>682</v>
      </c>
      <c r="E159" s="539" t="s">
        <v>683</v>
      </c>
      <c r="F159" s="539" t="s">
        <v>684</v>
      </c>
      <c r="G159" s="244" t="s">
        <v>685</v>
      </c>
      <c r="H159" s="245"/>
      <c r="I159" s="245"/>
      <c r="J159" s="245"/>
      <c r="K159" s="245"/>
      <c r="L159" s="245"/>
      <c r="M159" s="245"/>
      <c r="N159" s="245"/>
      <c r="O159" s="245"/>
      <c r="P159" s="245"/>
      <c r="Q159" s="246"/>
      <c r="R159" s="247" t="s">
        <v>686</v>
      </c>
      <c r="S159" s="245"/>
      <c r="T159" s="245"/>
      <c r="U159" s="245"/>
      <c r="V159" s="245"/>
      <c r="W159" s="245"/>
      <c r="X159" s="245"/>
      <c r="Y159" s="245"/>
      <c r="Z159" s="245"/>
      <c r="AA159" s="245"/>
      <c r="AB159" s="246"/>
      <c r="AC159" s="541" t="str">
        <f ca="1">"附单据数︵"&amp;INDEX(凭证录入!$D:$D,$AD$17)&amp;"︶张"</f>
        <v>附单据数︵4︶张</v>
      </c>
      <c r="AD159" s="235"/>
    </row>
    <row r="160" spans="1:30" s="45" customFormat="1" ht="22.5" customHeight="1">
      <c r="A160" s="248" t="s">
        <v>687</v>
      </c>
      <c r="B160" s="543"/>
      <c r="C160" s="249" t="s">
        <v>688</v>
      </c>
      <c r="D160" s="250" t="s">
        <v>688</v>
      </c>
      <c r="E160" s="540"/>
      <c r="F160" s="540"/>
      <c r="G160" s="251" t="s">
        <v>689</v>
      </c>
      <c r="H160" s="252" t="s">
        <v>690</v>
      </c>
      <c r="I160" s="253" t="s">
        <v>691</v>
      </c>
      <c r="J160" s="254" t="s">
        <v>692</v>
      </c>
      <c r="K160" s="252" t="s">
        <v>693</v>
      </c>
      <c r="L160" s="253" t="s">
        <v>690</v>
      </c>
      <c r="M160" s="254" t="s">
        <v>691</v>
      </c>
      <c r="N160" s="252" t="s">
        <v>692</v>
      </c>
      <c r="O160" s="253" t="s">
        <v>694</v>
      </c>
      <c r="P160" s="254" t="s">
        <v>695</v>
      </c>
      <c r="Q160" s="255" t="s">
        <v>696</v>
      </c>
      <c r="R160" s="256" t="s">
        <v>689</v>
      </c>
      <c r="S160" s="252" t="s">
        <v>690</v>
      </c>
      <c r="T160" s="257" t="s">
        <v>691</v>
      </c>
      <c r="U160" s="256" t="s">
        <v>692</v>
      </c>
      <c r="V160" s="252" t="s">
        <v>693</v>
      </c>
      <c r="W160" s="253" t="s">
        <v>690</v>
      </c>
      <c r="X160" s="254" t="s">
        <v>691</v>
      </c>
      <c r="Y160" s="252" t="s">
        <v>692</v>
      </c>
      <c r="Z160" s="253" t="s">
        <v>694</v>
      </c>
      <c r="AA160" s="254" t="s">
        <v>695</v>
      </c>
      <c r="AB160" s="255" t="s">
        <v>696</v>
      </c>
      <c r="AC160" s="541"/>
    </row>
    <row r="161" spans="1:30" s="45" customFormat="1" ht="22.5" customHeight="1">
      <c r="A161" s="258" t="str">
        <f ca="1">IFERROR(INDEX(凭证录入!H:H,$AD161),"")</f>
        <v/>
      </c>
      <c r="B161" s="259" t="str">
        <f ca="1">IFERROR(INDEX(凭证录入!I:I,$AD161),"")</f>
        <v/>
      </c>
      <c r="C161" s="260" t="str">
        <f ca="1">IFERROR(VLOOKUP($B161,会计科目表!$A:$C,2,),"")</f>
        <v/>
      </c>
      <c r="D161" s="261" t="str">
        <f ca="1">IFERROR(VLOOKUP($B161,会计科目表!$A:$C,3,),"")</f>
        <v/>
      </c>
      <c r="E161" s="262">
        <f ca="1">IFERROR(INDEX(凭证录入!K:K,$AD161),0)</f>
        <v>0</v>
      </c>
      <c r="F161" s="262">
        <f ca="1">IFERROR(INDEX(凭证录入!L:L,$AD161),0)</f>
        <v>0</v>
      </c>
      <c r="G161" s="263" t="str">
        <f t="shared" ref="G161:Q199" ca="1" si="64">LEFT(RIGHT(TEXT($E161/1%," ￥0; ￥-0;"),18-COLUMN()))</f>
        <v/>
      </c>
      <c r="H161" s="264" t="str">
        <f t="shared" ca="1" si="64"/>
        <v/>
      </c>
      <c r="I161" s="265" t="str">
        <f t="shared" ca="1" si="64"/>
        <v/>
      </c>
      <c r="J161" s="266" t="str">
        <f t="shared" ca="1" si="64"/>
        <v/>
      </c>
      <c r="K161" s="264" t="str">
        <f t="shared" ca="1" si="64"/>
        <v/>
      </c>
      <c r="L161" s="265" t="str">
        <f t="shared" ca="1" si="64"/>
        <v/>
      </c>
      <c r="M161" s="266" t="str">
        <f t="shared" ca="1" si="64"/>
        <v/>
      </c>
      <c r="N161" s="264" t="str">
        <f t="shared" ca="1" si="64"/>
        <v/>
      </c>
      <c r="O161" s="265" t="str">
        <f t="shared" ca="1" si="64"/>
        <v/>
      </c>
      <c r="P161" s="266" t="str">
        <f t="shared" ca="1" si="64"/>
        <v/>
      </c>
      <c r="Q161" s="267" t="str">
        <f t="shared" ca="1" si="64"/>
        <v/>
      </c>
      <c r="R161" s="268" t="str">
        <f t="shared" ref="R161:AB199" ca="1" si="65">LEFT(RIGHT(TEXT($F161/1%," ￥0; ￥-0;"),29-COLUMN()))</f>
        <v/>
      </c>
      <c r="S161" s="264" t="str">
        <f t="shared" ca="1" si="65"/>
        <v/>
      </c>
      <c r="T161" s="269" t="str">
        <f t="shared" ca="1" si="65"/>
        <v/>
      </c>
      <c r="U161" s="268" t="str">
        <f t="shared" ca="1" si="65"/>
        <v/>
      </c>
      <c r="V161" s="264" t="str">
        <f t="shared" ca="1" si="65"/>
        <v/>
      </c>
      <c r="W161" s="265" t="str">
        <f t="shared" ca="1" si="65"/>
        <v/>
      </c>
      <c r="X161" s="266" t="str">
        <f t="shared" ca="1" si="65"/>
        <v/>
      </c>
      <c r="Y161" s="264" t="str">
        <f t="shared" ca="1" si="65"/>
        <v/>
      </c>
      <c r="Z161" s="265" t="str">
        <f t="shared" ca="1" si="65"/>
        <v/>
      </c>
      <c r="AA161" s="266" t="str">
        <f t="shared" ca="1" si="65"/>
        <v/>
      </c>
      <c r="AB161" s="267" t="str">
        <f t="shared" ca="1" si="65"/>
        <v/>
      </c>
      <c r="AC161" s="541"/>
      <c r="AD161" s="212" t="str">
        <f t="shared" ref="AD161:AD224" ca="1" si="66">IFERROR(INDEX(记账行号,MOD(ROW()-4,12)),"")</f>
        <v/>
      </c>
    </row>
    <row r="162" spans="1:30" s="45" customFormat="1" ht="22.5" customHeight="1">
      <c r="A162" s="258" t="str">
        <f ca="1">IFERROR(INDEX(凭证录入!H:H,$AD162),"")</f>
        <v/>
      </c>
      <c r="B162" s="259" t="str">
        <f ca="1">IFERROR(INDEX(凭证录入!I:I,$AD162),"")</f>
        <v/>
      </c>
      <c r="C162" s="260" t="str">
        <f ca="1">IFERROR(VLOOKUP($B162,会计科目表!$A:$C,2,),"")</f>
        <v/>
      </c>
      <c r="D162" s="261" t="str">
        <f ca="1">IFERROR(VLOOKUP($B162,会计科目表!$A:$C,3,),"")</f>
        <v/>
      </c>
      <c r="E162" s="262">
        <f ca="1">IFERROR(INDEX(凭证录入!K:K,$AD162),0)</f>
        <v>0</v>
      </c>
      <c r="F162" s="262">
        <f ca="1">IFERROR(INDEX(凭证录入!L:L,$AD162),0)</f>
        <v>0</v>
      </c>
      <c r="G162" s="263" t="str">
        <f t="shared" ca="1" si="64"/>
        <v/>
      </c>
      <c r="H162" s="264" t="str">
        <f t="shared" ca="1" si="64"/>
        <v/>
      </c>
      <c r="I162" s="265" t="str">
        <f t="shared" ca="1" si="64"/>
        <v/>
      </c>
      <c r="J162" s="266" t="str">
        <f t="shared" ca="1" si="64"/>
        <v/>
      </c>
      <c r="K162" s="264" t="str">
        <f t="shared" ca="1" si="64"/>
        <v/>
      </c>
      <c r="L162" s="265" t="str">
        <f t="shared" ca="1" si="64"/>
        <v/>
      </c>
      <c r="M162" s="266" t="str">
        <f t="shared" ca="1" si="64"/>
        <v/>
      </c>
      <c r="N162" s="264" t="str">
        <f t="shared" ca="1" si="64"/>
        <v/>
      </c>
      <c r="O162" s="265" t="str">
        <f t="shared" ca="1" si="64"/>
        <v/>
      </c>
      <c r="P162" s="266" t="str">
        <f t="shared" ca="1" si="64"/>
        <v/>
      </c>
      <c r="Q162" s="267" t="str">
        <f t="shared" ca="1" si="64"/>
        <v/>
      </c>
      <c r="R162" s="268" t="str">
        <f t="shared" ca="1" si="65"/>
        <v/>
      </c>
      <c r="S162" s="264" t="str">
        <f t="shared" ca="1" si="65"/>
        <v/>
      </c>
      <c r="T162" s="269" t="str">
        <f t="shared" ca="1" si="65"/>
        <v/>
      </c>
      <c r="U162" s="268" t="str">
        <f t="shared" ca="1" si="65"/>
        <v/>
      </c>
      <c r="V162" s="264" t="str">
        <f t="shared" ca="1" si="65"/>
        <v/>
      </c>
      <c r="W162" s="265" t="str">
        <f t="shared" ca="1" si="65"/>
        <v/>
      </c>
      <c r="X162" s="266" t="str">
        <f t="shared" ca="1" si="65"/>
        <v/>
      </c>
      <c r="Y162" s="264" t="str">
        <f t="shared" ca="1" si="65"/>
        <v/>
      </c>
      <c r="Z162" s="265" t="str">
        <f t="shared" ca="1" si="65"/>
        <v/>
      </c>
      <c r="AA162" s="266" t="str">
        <f t="shared" ca="1" si="65"/>
        <v/>
      </c>
      <c r="AB162" s="267" t="str">
        <f t="shared" ca="1" si="65"/>
        <v/>
      </c>
      <c r="AC162" s="541"/>
      <c r="AD162" s="212" t="str">
        <f t="shared" ca="1" si="66"/>
        <v/>
      </c>
    </row>
    <row r="163" spans="1:30" s="45" customFormat="1" ht="22.5" customHeight="1">
      <c r="A163" s="258" t="str">
        <f ca="1">IFERROR(INDEX(凭证录入!H:H,$AD163),"")</f>
        <v/>
      </c>
      <c r="B163" s="259" t="str">
        <f ca="1">IFERROR(INDEX(凭证录入!I:I,$AD163),"")</f>
        <v/>
      </c>
      <c r="C163" s="260" t="str">
        <f ca="1">IFERROR(VLOOKUP($B163,会计科目表!$A:$C,2,),"")</f>
        <v/>
      </c>
      <c r="D163" s="261" t="str">
        <f ca="1">IFERROR(VLOOKUP($B163,会计科目表!$A:$C,3,),"")</f>
        <v/>
      </c>
      <c r="E163" s="262">
        <f ca="1">IFERROR(INDEX(凭证录入!K:K,$AD163),0)</f>
        <v>0</v>
      </c>
      <c r="F163" s="262">
        <f ca="1">IFERROR(INDEX(凭证录入!L:L,$AD163),0)</f>
        <v>0</v>
      </c>
      <c r="G163" s="263" t="str">
        <f t="shared" ca="1" si="64"/>
        <v/>
      </c>
      <c r="H163" s="264" t="str">
        <f t="shared" ca="1" si="64"/>
        <v/>
      </c>
      <c r="I163" s="265" t="str">
        <f t="shared" ca="1" si="64"/>
        <v/>
      </c>
      <c r="J163" s="266" t="str">
        <f t="shared" ca="1" si="64"/>
        <v/>
      </c>
      <c r="K163" s="264" t="str">
        <f t="shared" ca="1" si="64"/>
        <v/>
      </c>
      <c r="L163" s="265" t="str">
        <f t="shared" ca="1" si="64"/>
        <v/>
      </c>
      <c r="M163" s="266" t="str">
        <f t="shared" ca="1" si="64"/>
        <v/>
      </c>
      <c r="N163" s="264" t="str">
        <f t="shared" ca="1" si="64"/>
        <v/>
      </c>
      <c r="O163" s="265" t="str">
        <f t="shared" ca="1" si="64"/>
        <v/>
      </c>
      <c r="P163" s="266" t="str">
        <f t="shared" ca="1" si="64"/>
        <v/>
      </c>
      <c r="Q163" s="267" t="str">
        <f t="shared" ca="1" si="64"/>
        <v/>
      </c>
      <c r="R163" s="268" t="str">
        <f t="shared" ca="1" si="65"/>
        <v/>
      </c>
      <c r="S163" s="264" t="str">
        <f t="shared" ca="1" si="65"/>
        <v/>
      </c>
      <c r="T163" s="269" t="str">
        <f t="shared" ca="1" si="65"/>
        <v/>
      </c>
      <c r="U163" s="268" t="str">
        <f t="shared" ca="1" si="65"/>
        <v/>
      </c>
      <c r="V163" s="264" t="str">
        <f t="shared" ca="1" si="65"/>
        <v/>
      </c>
      <c r="W163" s="265" t="str">
        <f t="shared" ca="1" si="65"/>
        <v/>
      </c>
      <c r="X163" s="266" t="str">
        <f t="shared" ca="1" si="65"/>
        <v/>
      </c>
      <c r="Y163" s="264" t="str">
        <f t="shared" ca="1" si="65"/>
        <v/>
      </c>
      <c r="Z163" s="265" t="str">
        <f t="shared" ca="1" si="65"/>
        <v/>
      </c>
      <c r="AA163" s="266" t="str">
        <f t="shared" ca="1" si="65"/>
        <v/>
      </c>
      <c r="AB163" s="267" t="str">
        <f t="shared" ca="1" si="65"/>
        <v/>
      </c>
      <c r="AC163" s="536" t="s">
        <v>697</v>
      </c>
      <c r="AD163" s="212" t="str">
        <f t="shared" ca="1" si="66"/>
        <v/>
      </c>
    </row>
    <row r="164" spans="1:30" s="45" customFormat="1" ht="22.5" customHeight="1">
      <c r="A164" s="258" t="str">
        <f ca="1">IFERROR(INDEX(凭证录入!H:H,$AD164),"")</f>
        <v/>
      </c>
      <c r="B164" s="259" t="str">
        <f ca="1">IFERROR(INDEX(凭证录入!I:I,$AD164),"")</f>
        <v/>
      </c>
      <c r="C164" s="260" t="str">
        <f ca="1">IFERROR(VLOOKUP($B164,会计科目表!$A:$C,2,),"")</f>
        <v/>
      </c>
      <c r="D164" s="261" t="str">
        <f ca="1">IFERROR(VLOOKUP($B164,会计科目表!$A:$C,3,),"")</f>
        <v/>
      </c>
      <c r="E164" s="262">
        <f ca="1">IFERROR(INDEX(凭证录入!K:K,$AD164),0)</f>
        <v>0</v>
      </c>
      <c r="F164" s="262">
        <f ca="1">IFERROR(INDEX(凭证录入!L:L,$AD164),0)</f>
        <v>0</v>
      </c>
      <c r="G164" s="263" t="str">
        <f t="shared" ca="1" si="64"/>
        <v/>
      </c>
      <c r="H164" s="264" t="str">
        <f t="shared" ca="1" si="64"/>
        <v/>
      </c>
      <c r="I164" s="265" t="str">
        <f t="shared" ca="1" si="64"/>
        <v/>
      </c>
      <c r="J164" s="266" t="str">
        <f t="shared" ca="1" si="64"/>
        <v/>
      </c>
      <c r="K164" s="264" t="str">
        <f t="shared" ca="1" si="64"/>
        <v/>
      </c>
      <c r="L164" s="265" t="str">
        <f t="shared" ca="1" si="64"/>
        <v/>
      </c>
      <c r="M164" s="266" t="str">
        <f t="shared" ca="1" si="64"/>
        <v/>
      </c>
      <c r="N164" s="264" t="str">
        <f t="shared" ca="1" si="64"/>
        <v/>
      </c>
      <c r="O164" s="265" t="str">
        <f t="shared" ca="1" si="64"/>
        <v/>
      </c>
      <c r="P164" s="266" t="str">
        <f t="shared" ca="1" si="64"/>
        <v/>
      </c>
      <c r="Q164" s="267" t="str">
        <f t="shared" ca="1" si="64"/>
        <v/>
      </c>
      <c r="R164" s="268" t="str">
        <f t="shared" ca="1" si="65"/>
        <v/>
      </c>
      <c r="S164" s="264" t="str">
        <f t="shared" ca="1" si="65"/>
        <v/>
      </c>
      <c r="T164" s="269" t="str">
        <f t="shared" ca="1" si="65"/>
        <v/>
      </c>
      <c r="U164" s="268" t="str">
        <f t="shared" ca="1" si="65"/>
        <v/>
      </c>
      <c r="V164" s="264" t="str">
        <f t="shared" ca="1" si="65"/>
        <v/>
      </c>
      <c r="W164" s="265" t="str">
        <f t="shared" ca="1" si="65"/>
        <v/>
      </c>
      <c r="X164" s="266" t="str">
        <f t="shared" ca="1" si="65"/>
        <v/>
      </c>
      <c r="Y164" s="264" t="str">
        <f t="shared" ca="1" si="65"/>
        <v/>
      </c>
      <c r="Z164" s="265" t="str">
        <f t="shared" ca="1" si="65"/>
        <v/>
      </c>
      <c r="AA164" s="266" t="str">
        <f t="shared" ca="1" si="65"/>
        <v/>
      </c>
      <c r="AB164" s="267" t="str">
        <f t="shared" ca="1" si="65"/>
        <v/>
      </c>
      <c r="AC164" s="537"/>
      <c r="AD164" s="212" t="str">
        <f t="shared" ca="1" si="66"/>
        <v/>
      </c>
    </row>
    <row r="165" spans="1:30" s="45" customFormat="1" ht="22.5" customHeight="1">
      <c r="A165" s="258" t="str">
        <f ca="1">IFERROR(INDEX(凭证录入!H:H,$AD165),"")</f>
        <v/>
      </c>
      <c r="B165" s="259" t="str">
        <f ca="1">IFERROR(INDEX(凭证录入!I:I,$AD165),"")</f>
        <v/>
      </c>
      <c r="C165" s="260" t="str">
        <f ca="1">IFERROR(VLOOKUP($B165,会计科目表!$A:$C,2,),"")</f>
        <v/>
      </c>
      <c r="D165" s="261" t="str">
        <f ca="1">IFERROR(VLOOKUP($B165,会计科目表!$A:$C,3,),"")</f>
        <v/>
      </c>
      <c r="E165" s="262">
        <f ca="1">IFERROR(INDEX(凭证录入!K:K,$AD165),0)</f>
        <v>0</v>
      </c>
      <c r="F165" s="262">
        <f ca="1">IFERROR(INDEX(凭证录入!L:L,$AD165),0)</f>
        <v>0</v>
      </c>
      <c r="G165" s="263" t="str">
        <f t="shared" ca="1" si="64"/>
        <v/>
      </c>
      <c r="H165" s="264" t="str">
        <f t="shared" ca="1" si="64"/>
        <v/>
      </c>
      <c r="I165" s="265" t="str">
        <f t="shared" ca="1" si="64"/>
        <v/>
      </c>
      <c r="J165" s="266" t="str">
        <f t="shared" ca="1" si="64"/>
        <v/>
      </c>
      <c r="K165" s="264" t="str">
        <f t="shared" ca="1" si="64"/>
        <v/>
      </c>
      <c r="L165" s="265" t="str">
        <f t="shared" ca="1" si="64"/>
        <v/>
      </c>
      <c r="M165" s="266" t="str">
        <f t="shared" ca="1" si="64"/>
        <v/>
      </c>
      <c r="N165" s="264" t="str">
        <f t="shared" ca="1" si="64"/>
        <v/>
      </c>
      <c r="O165" s="265" t="str">
        <f t="shared" ca="1" si="64"/>
        <v/>
      </c>
      <c r="P165" s="266" t="str">
        <f t="shared" ca="1" si="64"/>
        <v/>
      </c>
      <c r="Q165" s="267" t="str">
        <f t="shared" ca="1" si="64"/>
        <v/>
      </c>
      <c r="R165" s="268" t="str">
        <f t="shared" ca="1" si="65"/>
        <v/>
      </c>
      <c r="S165" s="264" t="str">
        <f t="shared" ca="1" si="65"/>
        <v/>
      </c>
      <c r="T165" s="269" t="str">
        <f t="shared" ca="1" si="65"/>
        <v/>
      </c>
      <c r="U165" s="268" t="str">
        <f t="shared" ca="1" si="65"/>
        <v/>
      </c>
      <c r="V165" s="264" t="str">
        <f t="shared" ca="1" si="65"/>
        <v/>
      </c>
      <c r="W165" s="265" t="str">
        <f t="shared" ca="1" si="65"/>
        <v/>
      </c>
      <c r="X165" s="266" t="str">
        <f t="shared" ca="1" si="65"/>
        <v/>
      </c>
      <c r="Y165" s="264" t="str">
        <f t="shared" ca="1" si="65"/>
        <v/>
      </c>
      <c r="Z165" s="265" t="str">
        <f t="shared" ca="1" si="65"/>
        <v/>
      </c>
      <c r="AA165" s="266" t="str">
        <f t="shared" ca="1" si="65"/>
        <v/>
      </c>
      <c r="AB165" s="267" t="str">
        <f t="shared" ca="1" si="65"/>
        <v/>
      </c>
      <c r="AC165" s="538"/>
      <c r="AD165" s="212" t="str">
        <f t="shared" ca="1" si="66"/>
        <v/>
      </c>
    </row>
    <row r="166" spans="1:30" s="45" customFormat="1" ht="22.5" customHeight="1">
      <c r="A166" s="258" t="str">
        <f ca="1">IFERROR(INDEX(凭证录入!H:H,$AD166),"")</f>
        <v/>
      </c>
      <c r="B166" s="259" t="str">
        <f ca="1">IFERROR(INDEX(凭证录入!I:I,$AD166),"")</f>
        <v/>
      </c>
      <c r="C166" s="260" t="str">
        <f ca="1">IFERROR(VLOOKUP($B166,会计科目表!$A:$C,2,),"")</f>
        <v/>
      </c>
      <c r="D166" s="261" t="str">
        <f ca="1">IFERROR(VLOOKUP($B166,会计科目表!$A:$C,3,),"")</f>
        <v/>
      </c>
      <c r="E166" s="262">
        <f ca="1">IFERROR(INDEX(凭证录入!K:K,$AD166),0)</f>
        <v>0</v>
      </c>
      <c r="F166" s="262">
        <f ca="1">IFERROR(INDEX(凭证录入!L:L,$AD166),0)</f>
        <v>0</v>
      </c>
      <c r="G166" s="263" t="str">
        <f t="shared" ca="1" si="64"/>
        <v/>
      </c>
      <c r="H166" s="264" t="str">
        <f t="shared" ca="1" si="64"/>
        <v/>
      </c>
      <c r="I166" s="265" t="str">
        <f t="shared" ca="1" si="64"/>
        <v/>
      </c>
      <c r="J166" s="266" t="str">
        <f t="shared" ca="1" si="64"/>
        <v/>
      </c>
      <c r="K166" s="264" t="str">
        <f t="shared" ca="1" si="64"/>
        <v/>
      </c>
      <c r="L166" s="265" t="str">
        <f t="shared" ca="1" si="64"/>
        <v/>
      </c>
      <c r="M166" s="266" t="str">
        <f t="shared" ca="1" si="64"/>
        <v/>
      </c>
      <c r="N166" s="264" t="str">
        <f t="shared" ca="1" si="64"/>
        <v/>
      </c>
      <c r="O166" s="265" t="str">
        <f t="shared" ca="1" si="64"/>
        <v/>
      </c>
      <c r="P166" s="266" t="str">
        <f t="shared" ca="1" si="64"/>
        <v/>
      </c>
      <c r="Q166" s="267" t="str">
        <f t="shared" ca="1" si="64"/>
        <v/>
      </c>
      <c r="R166" s="268" t="str">
        <f t="shared" ca="1" si="65"/>
        <v/>
      </c>
      <c r="S166" s="264" t="str">
        <f t="shared" ca="1" si="65"/>
        <v/>
      </c>
      <c r="T166" s="269" t="str">
        <f t="shared" ca="1" si="65"/>
        <v/>
      </c>
      <c r="U166" s="268" t="str">
        <f t="shared" ca="1" si="65"/>
        <v/>
      </c>
      <c r="V166" s="264" t="str">
        <f t="shared" ca="1" si="65"/>
        <v/>
      </c>
      <c r="W166" s="265" t="str">
        <f t="shared" ca="1" si="65"/>
        <v/>
      </c>
      <c r="X166" s="266" t="str">
        <f t="shared" ca="1" si="65"/>
        <v/>
      </c>
      <c r="Y166" s="264" t="str">
        <f t="shared" ca="1" si="65"/>
        <v/>
      </c>
      <c r="Z166" s="265" t="str">
        <f t="shared" ca="1" si="65"/>
        <v/>
      </c>
      <c r="AA166" s="266" t="str">
        <f t="shared" ca="1" si="65"/>
        <v/>
      </c>
      <c r="AB166" s="267" t="str">
        <f t="shared" ca="1" si="65"/>
        <v/>
      </c>
      <c r="AC166" s="538"/>
      <c r="AD166" s="212" t="str">
        <f t="shared" ca="1" si="66"/>
        <v/>
      </c>
    </row>
    <row r="167" spans="1:30" s="45" customFormat="1" ht="22.5" customHeight="1">
      <c r="A167" s="270" t="s">
        <v>698</v>
      </c>
      <c r="B167" s="271"/>
      <c r="C167" s="272" t="str">
        <f t="shared" ref="C167" ca="1" si="67">SUBSTITUTE(SUBSTITUTE(IF(-DOLLAR(E167),IF(E167&gt;0,,"负")&amp;TEXT(INT(ABS(E167)+0.5%),"[dbnum2]G/通用格式元;;")&amp;TEXT(RIGHT(DOLLAR(E167,2),2),"[dbnum2]0角0分;;整"),),"零角",IF(E167^2&lt;1,,"零")),"零分","整")</f>
        <v/>
      </c>
      <c r="D167" s="273"/>
      <c r="E167" s="274">
        <f t="shared" ref="E167:F167" ca="1" si="68">SUM(E161:E166)</f>
        <v>0</v>
      </c>
      <c r="F167" s="275">
        <f t="shared" ca="1" si="68"/>
        <v>0</v>
      </c>
      <c r="G167" s="276" t="str">
        <f t="shared" ca="1" si="64"/>
        <v/>
      </c>
      <c r="H167" s="277" t="str">
        <f t="shared" ca="1" si="64"/>
        <v/>
      </c>
      <c r="I167" s="278" t="str">
        <f t="shared" ca="1" si="64"/>
        <v/>
      </c>
      <c r="J167" s="279" t="str">
        <f t="shared" ca="1" si="64"/>
        <v/>
      </c>
      <c r="K167" s="277" t="str">
        <f t="shared" ca="1" si="64"/>
        <v/>
      </c>
      <c r="L167" s="278" t="str">
        <f t="shared" ca="1" si="64"/>
        <v/>
      </c>
      <c r="M167" s="279" t="str">
        <f t="shared" ca="1" si="64"/>
        <v/>
      </c>
      <c r="N167" s="277" t="str">
        <f t="shared" ca="1" si="64"/>
        <v/>
      </c>
      <c r="O167" s="278" t="str">
        <f t="shared" ca="1" si="64"/>
        <v/>
      </c>
      <c r="P167" s="279" t="str">
        <f t="shared" ca="1" si="64"/>
        <v/>
      </c>
      <c r="Q167" s="280" t="str">
        <f t="shared" ca="1" si="64"/>
        <v/>
      </c>
      <c r="R167" s="281" t="str">
        <f t="shared" ca="1" si="65"/>
        <v/>
      </c>
      <c r="S167" s="277" t="str">
        <f t="shared" ca="1" si="65"/>
        <v/>
      </c>
      <c r="T167" s="282" t="str">
        <f t="shared" ca="1" si="65"/>
        <v/>
      </c>
      <c r="U167" s="281" t="str">
        <f t="shared" ca="1" si="65"/>
        <v/>
      </c>
      <c r="V167" s="277" t="str">
        <f t="shared" ca="1" si="65"/>
        <v/>
      </c>
      <c r="W167" s="278" t="str">
        <f t="shared" ca="1" si="65"/>
        <v/>
      </c>
      <c r="X167" s="279" t="str">
        <f t="shared" ca="1" si="65"/>
        <v/>
      </c>
      <c r="Y167" s="277" t="str">
        <f t="shared" ca="1" si="65"/>
        <v/>
      </c>
      <c r="Z167" s="278" t="str">
        <f t="shared" ca="1" si="65"/>
        <v/>
      </c>
      <c r="AA167" s="279" t="str">
        <f t="shared" ca="1" si="65"/>
        <v/>
      </c>
      <c r="AB167" s="280" t="str">
        <f t="shared" ca="1" si="65"/>
        <v/>
      </c>
      <c r="AC167" s="283"/>
      <c r="AD167" s="212"/>
    </row>
    <row r="168" spans="1:30" s="22" customFormat="1" ht="22.5" customHeight="1">
      <c r="A168" s="284" t="s">
        <v>699</v>
      </c>
      <c r="B168" s="284"/>
      <c r="C168" s="284"/>
      <c r="D168" s="284" t="s">
        <v>700</v>
      </c>
      <c r="E168" s="284"/>
      <c r="F168" s="284"/>
      <c r="G168" s="284"/>
      <c r="H168" s="285"/>
      <c r="I168" s="284"/>
      <c r="J168" s="285"/>
      <c r="K168" s="285"/>
      <c r="L168" s="284"/>
      <c r="M168" s="285"/>
      <c r="N168" s="285"/>
      <c r="O168" s="285"/>
      <c r="P168" s="284"/>
      <c r="Q168" s="284" t="s">
        <v>701</v>
      </c>
      <c r="R168" s="284"/>
      <c r="S168" s="284"/>
      <c r="T168" s="284"/>
      <c r="U168" s="285"/>
      <c r="V168" s="284"/>
      <c r="W168" s="285"/>
      <c r="X168" s="284"/>
      <c r="Y168" s="284"/>
      <c r="Z168" s="285"/>
      <c r="AA168" s="285"/>
      <c r="AB168" s="285"/>
      <c r="AC168" s="286"/>
      <c r="AD168" s="212"/>
    </row>
    <row r="169" spans="1:30" ht="39.75" customHeight="1" thickBot="1">
      <c r="A169" s="226"/>
      <c r="B169" s="226"/>
      <c r="C169" s="227" t="s">
        <v>702</v>
      </c>
      <c r="D169" s="228"/>
      <c r="E169" s="226"/>
      <c r="F169" s="226"/>
      <c r="G169" s="228"/>
      <c r="H169" s="228"/>
      <c r="I169" s="228"/>
      <c r="J169" s="228"/>
      <c r="K169" s="228"/>
      <c r="L169" s="228"/>
      <c r="M169" s="228"/>
      <c r="N169" s="228"/>
      <c r="O169" s="228"/>
      <c r="P169" s="228"/>
      <c r="Q169" s="228"/>
      <c r="R169" s="229" t="s">
        <v>703</v>
      </c>
      <c r="S169" s="230"/>
      <c r="T169" s="230"/>
      <c r="U169" s="231" t="e">
        <f ca="1">DATE(AD$1,AF$1,INDEX(凭证录入!B:B,AD173))</f>
        <v>#VALUE!</v>
      </c>
      <c r="V169" s="232"/>
      <c r="W169" s="232"/>
      <c r="X169" s="232"/>
      <c r="Y169" s="232"/>
      <c r="Z169" s="232"/>
      <c r="AA169" s="232"/>
      <c r="AB169" s="232"/>
      <c r="AD169" s="212"/>
    </row>
    <row r="170" spans="1:30" s="45" customFormat="1" ht="23.25" customHeight="1" thickTop="1">
      <c r="A170" s="235" t="s">
        <v>704</v>
      </c>
      <c r="B170" s="235"/>
      <c r="C170" s="236" t="str">
        <f t="shared" si="45"/>
        <v>远大开发有限公司</v>
      </c>
      <c r="D170" s="236"/>
      <c r="E170" s="236"/>
      <c r="F170" s="236"/>
      <c r="G170" s="236"/>
      <c r="H170" s="236"/>
      <c r="I170" s="236"/>
      <c r="J170" s="236"/>
      <c r="K170" s="236"/>
      <c r="L170" s="236"/>
      <c r="M170" s="236"/>
      <c r="N170" s="236"/>
      <c r="O170" s="236"/>
      <c r="P170" s="236"/>
      <c r="Q170" s="236"/>
      <c r="R170" s="229" t="s">
        <v>705</v>
      </c>
      <c r="S170" s="229"/>
      <c r="T170" s="229"/>
      <c r="U170" s="237" t="str">
        <f t="shared" ref="U170" si="69">"第 "&amp;TEXT($AF$1,"00")&amp;TEXT($AC170,"0000 号")</f>
        <v>第 010015 号</v>
      </c>
      <c r="V170" s="237"/>
      <c r="W170" s="238"/>
      <c r="X170" s="238"/>
      <c r="Y170" s="238"/>
      <c r="Z170" s="238"/>
      <c r="AA170" s="238"/>
      <c r="AB170" s="238"/>
      <c r="AC170" s="239">
        <f t="shared" si="47"/>
        <v>15</v>
      </c>
      <c r="AD170" s="212"/>
    </row>
    <row r="171" spans="1:30" s="45" customFormat="1" ht="22.5" customHeight="1">
      <c r="A171" s="241" t="s">
        <v>706</v>
      </c>
      <c r="B171" s="542" t="s">
        <v>707</v>
      </c>
      <c r="C171" s="242" t="s">
        <v>708</v>
      </c>
      <c r="D171" s="243" t="s">
        <v>709</v>
      </c>
      <c r="E171" s="539" t="s">
        <v>710</v>
      </c>
      <c r="F171" s="539" t="s">
        <v>711</v>
      </c>
      <c r="G171" s="244" t="s">
        <v>712</v>
      </c>
      <c r="H171" s="245"/>
      <c r="I171" s="245"/>
      <c r="J171" s="245"/>
      <c r="K171" s="245"/>
      <c r="L171" s="245"/>
      <c r="M171" s="245"/>
      <c r="N171" s="245"/>
      <c r="O171" s="245"/>
      <c r="P171" s="245"/>
      <c r="Q171" s="246"/>
      <c r="R171" s="247" t="s">
        <v>713</v>
      </c>
      <c r="S171" s="245"/>
      <c r="T171" s="245"/>
      <c r="U171" s="245"/>
      <c r="V171" s="245"/>
      <c r="W171" s="245"/>
      <c r="X171" s="245"/>
      <c r="Y171" s="245"/>
      <c r="Z171" s="245"/>
      <c r="AA171" s="245"/>
      <c r="AB171" s="246"/>
      <c r="AC171" s="541" t="str">
        <f ca="1">"附单据数︵"&amp;INDEX(凭证录入!$D:$D,$AD$17)&amp;"︶张"</f>
        <v>附单据数︵4︶张</v>
      </c>
      <c r="AD171" s="235"/>
    </row>
    <row r="172" spans="1:30" s="45" customFormat="1" ht="22.5" customHeight="1">
      <c r="A172" s="248" t="s">
        <v>714</v>
      </c>
      <c r="B172" s="543"/>
      <c r="C172" s="249" t="s">
        <v>715</v>
      </c>
      <c r="D172" s="250" t="s">
        <v>715</v>
      </c>
      <c r="E172" s="540"/>
      <c r="F172" s="540"/>
      <c r="G172" s="251" t="s">
        <v>716</v>
      </c>
      <c r="H172" s="252" t="s">
        <v>717</v>
      </c>
      <c r="I172" s="253" t="s">
        <v>718</v>
      </c>
      <c r="J172" s="254" t="s">
        <v>719</v>
      </c>
      <c r="K172" s="252" t="s">
        <v>720</v>
      </c>
      <c r="L172" s="253" t="s">
        <v>717</v>
      </c>
      <c r="M172" s="254" t="s">
        <v>718</v>
      </c>
      <c r="N172" s="252" t="s">
        <v>719</v>
      </c>
      <c r="O172" s="253" t="s">
        <v>721</v>
      </c>
      <c r="P172" s="254" t="s">
        <v>722</v>
      </c>
      <c r="Q172" s="255" t="s">
        <v>723</v>
      </c>
      <c r="R172" s="256" t="s">
        <v>716</v>
      </c>
      <c r="S172" s="252" t="s">
        <v>717</v>
      </c>
      <c r="T172" s="257" t="s">
        <v>718</v>
      </c>
      <c r="U172" s="256" t="s">
        <v>719</v>
      </c>
      <c r="V172" s="252" t="s">
        <v>720</v>
      </c>
      <c r="W172" s="253" t="s">
        <v>717</v>
      </c>
      <c r="X172" s="254" t="s">
        <v>718</v>
      </c>
      <c r="Y172" s="252" t="s">
        <v>719</v>
      </c>
      <c r="Z172" s="253" t="s">
        <v>721</v>
      </c>
      <c r="AA172" s="254" t="s">
        <v>722</v>
      </c>
      <c r="AB172" s="255" t="s">
        <v>723</v>
      </c>
      <c r="AC172" s="541"/>
    </row>
    <row r="173" spans="1:30" s="45" customFormat="1" ht="22.5" customHeight="1">
      <c r="A173" s="258" t="str">
        <f ca="1">IFERROR(INDEX(凭证录入!H:H,$AD173),"")</f>
        <v/>
      </c>
      <c r="B173" s="259" t="str">
        <f ca="1">IFERROR(INDEX(凭证录入!I:I,$AD173),"")</f>
        <v/>
      </c>
      <c r="C173" s="260" t="str">
        <f ca="1">IFERROR(VLOOKUP($B173,会计科目表!$A:$C,2,),"")</f>
        <v/>
      </c>
      <c r="D173" s="261" t="str">
        <f ca="1">IFERROR(VLOOKUP($B173,会计科目表!$A:$C,3,),"")</f>
        <v/>
      </c>
      <c r="E173" s="262">
        <f ca="1">IFERROR(INDEX(凭证录入!K:K,$AD173),0)</f>
        <v>0</v>
      </c>
      <c r="F173" s="262">
        <f ca="1">IFERROR(INDEX(凭证录入!L:L,$AD173),0)</f>
        <v>0</v>
      </c>
      <c r="G173" s="263" t="str">
        <f t="shared" ca="1" si="64"/>
        <v/>
      </c>
      <c r="H173" s="264" t="str">
        <f t="shared" ca="1" si="64"/>
        <v/>
      </c>
      <c r="I173" s="265" t="str">
        <f t="shared" ca="1" si="64"/>
        <v/>
      </c>
      <c r="J173" s="266" t="str">
        <f t="shared" ca="1" si="64"/>
        <v/>
      </c>
      <c r="K173" s="264" t="str">
        <f t="shared" ca="1" si="64"/>
        <v/>
      </c>
      <c r="L173" s="265" t="str">
        <f t="shared" ca="1" si="64"/>
        <v/>
      </c>
      <c r="M173" s="266" t="str">
        <f t="shared" ca="1" si="64"/>
        <v/>
      </c>
      <c r="N173" s="264" t="str">
        <f t="shared" ca="1" si="64"/>
        <v/>
      </c>
      <c r="O173" s="265" t="str">
        <f t="shared" ca="1" si="64"/>
        <v/>
      </c>
      <c r="P173" s="266" t="str">
        <f t="shared" ca="1" si="64"/>
        <v/>
      </c>
      <c r="Q173" s="267" t="str">
        <f t="shared" ca="1" si="64"/>
        <v/>
      </c>
      <c r="R173" s="268" t="str">
        <f t="shared" ca="1" si="65"/>
        <v/>
      </c>
      <c r="S173" s="264" t="str">
        <f t="shared" ca="1" si="65"/>
        <v/>
      </c>
      <c r="T173" s="269" t="str">
        <f t="shared" ca="1" si="65"/>
        <v/>
      </c>
      <c r="U173" s="268" t="str">
        <f t="shared" ca="1" si="65"/>
        <v/>
      </c>
      <c r="V173" s="264" t="str">
        <f t="shared" ca="1" si="65"/>
        <v/>
      </c>
      <c r="W173" s="265" t="str">
        <f t="shared" ca="1" si="65"/>
        <v/>
      </c>
      <c r="X173" s="266" t="str">
        <f t="shared" ca="1" si="65"/>
        <v/>
      </c>
      <c r="Y173" s="264" t="str">
        <f t="shared" ca="1" si="65"/>
        <v/>
      </c>
      <c r="Z173" s="265" t="str">
        <f t="shared" ca="1" si="65"/>
        <v/>
      </c>
      <c r="AA173" s="266" t="str">
        <f t="shared" ca="1" si="65"/>
        <v/>
      </c>
      <c r="AB173" s="267" t="str">
        <f t="shared" ca="1" si="65"/>
        <v/>
      </c>
      <c r="AC173" s="541"/>
      <c r="AD173" s="212" t="str">
        <f t="shared" ca="1" si="66"/>
        <v/>
      </c>
    </row>
    <row r="174" spans="1:30" s="45" customFormat="1" ht="22.5" customHeight="1">
      <c r="A174" s="258" t="str">
        <f ca="1">IFERROR(INDEX(凭证录入!H:H,$AD174),"")</f>
        <v/>
      </c>
      <c r="B174" s="259" t="str">
        <f ca="1">IFERROR(INDEX(凭证录入!I:I,$AD174),"")</f>
        <v/>
      </c>
      <c r="C174" s="260" t="str">
        <f ca="1">IFERROR(VLOOKUP($B174,会计科目表!$A:$C,2,),"")</f>
        <v/>
      </c>
      <c r="D174" s="261" t="str">
        <f ca="1">IFERROR(VLOOKUP($B174,会计科目表!$A:$C,3,),"")</f>
        <v/>
      </c>
      <c r="E174" s="262">
        <f ca="1">IFERROR(INDEX(凭证录入!K:K,$AD174),0)</f>
        <v>0</v>
      </c>
      <c r="F174" s="262">
        <f ca="1">IFERROR(INDEX(凭证录入!L:L,$AD174),0)</f>
        <v>0</v>
      </c>
      <c r="G174" s="263" t="str">
        <f t="shared" ca="1" si="64"/>
        <v/>
      </c>
      <c r="H174" s="264" t="str">
        <f t="shared" ca="1" si="64"/>
        <v/>
      </c>
      <c r="I174" s="265" t="str">
        <f t="shared" ca="1" si="64"/>
        <v/>
      </c>
      <c r="J174" s="266" t="str">
        <f t="shared" ca="1" si="64"/>
        <v/>
      </c>
      <c r="K174" s="264" t="str">
        <f t="shared" ca="1" si="64"/>
        <v/>
      </c>
      <c r="L174" s="265" t="str">
        <f t="shared" ca="1" si="64"/>
        <v/>
      </c>
      <c r="M174" s="266" t="str">
        <f t="shared" ca="1" si="64"/>
        <v/>
      </c>
      <c r="N174" s="264" t="str">
        <f t="shared" ca="1" si="64"/>
        <v/>
      </c>
      <c r="O174" s="265" t="str">
        <f t="shared" ca="1" si="64"/>
        <v/>
      </c>
      <c r="P174" s="266" t="str">
        <f t="shared" ca="1" si="64"/>
        <v/>
      </c>
      <c r="Q174" s="267" t="str">
        <f t="shared" ca="1" si="64"/>
        <v/>
      </c>
      <c r="R174" s="268" t="str">
        <f t="shared" ca="1" si="65"/>
        <v/>
      </c>
      <c r="S174" s="264" t="str">
        <f t="shared" ca="1" si="65"/>
        <v/>
      </c>
      <c r="T174" s="269" t="str">
        <f t="shared" ca="1" si="65"/>
        <v/>
      </c>
      <c r="U174" s="268" t="str">
        <f t="shared" ca="1" si="65"/>
        <v/>
      </c>
      <c r="V174" s="264" t="str">
        <f t="shared" ca="1" si="65"/>
        <v/>
      </c>
      <c r="W174" s="265" t="str">
        <f t="shared" ca="1" si="65"/>
        <v/>
      </c>
      <c r="X174" s="266" t="str">
        <f t="shared" ca="1" si="65"/>
        <v/>
      </c>
      <c r="Y174" s="264" t="str">
        <f t="shared" ca="1" si="65"/>
        <v/>
      </c>
      <c r="Z174" s="265" t="str">
        <f t="shared" ca="1" si="65"/>
        <v/>
      </c>
      <c r="AA174" s="266" t="str">
        <f t="shared" ca="1" si="65"/>
        <v/>
      </c>
      <c r="AB174" s="267" t="str">
        <f t="shared" ca="1" si="65"/>
        <v/>
      </c>
      <c r="AC174" s="541"/>
      <c r="AD174" s="212" t="str">
        <f t="shared" ca="1" si="66"/>
        <v/>
      </c>
    </row>
    <row r="175" spans="1:30" s="45" customFormat="1" ht="22.5" customHeight="1">
      <c r="A175" s="258" t="str">
        <f ca="1">IFERROR(INDEX(凭证录入!H:H,$AD175),"")</f>
        <v/>
      </c>
      <c r="B175" s="259" t="str">
        <f ca="1">IFERROR(INDEX(凭证录入!I:I,$AD175),"")</f>
        <v/>
      </c>
      <c r="C175" s="260" t="str">
        <f ca="1">IFERROR(VLOOKUP($B175,会计科目表!$A:$C,2,),"")</f>
        <v/>
      </c>
      <c r="D175" s="261" t="str">
        <f ca="1">IFERROR(VLOOKUP($B175,会计科目表!$A:$C,3,),"")</f>
        <v/>
      </c>
      <c r="E175" s="262">
        <f ca="1">IFERROR(INDEX(凭证录入!K:K,$AD175),0)</f>
        <v>0</v>
      </c>
      <c r="F175" s="262">
        <f ca="1">IFERROR(INDEX(凭证录入!L:L,$AD175),0)</f>
        <v>0</v>
      </c>
      <c r="G175" s="263" t="str">
        <f t="shared" ca="1" si="64"/>
        <v/>
      </c>
      <c r="H175" s="264" t="str">
        <f t="shared" ca="1" si="64"/>
        <v/>
      </c>
      <c r="I175" s="265" t="str">
        <f t="shared" ca="1" si="64"/>
        <v/>
      </c>
      <c r="J175" s="266" t="str">
        <f t="shared" ca="1" si="64"/>
        <v/>
      </c>
      <c r="K175" s="264" t="str">
        <f t="shared" ca="1" si="64"/>
        <v/>
      </c>
      <c r="L175" s="265" t="str">
        <f t="shared" ca="1" si="64"/>
        <v/>
      </c>
      <c r="M175" s="266" t="str">
        <f t="shared" ca="1" si="64"/>
        <v/>
      </c>
      <c r="N175" s="264" t="str">
        <f t="shared" ca="1" si="64"/>
        <v/>
      </c>
      <c r="O175" s="265" t="str">
        <f t="shared" ca="1" si="64"/>
        <v/>
      </c>
      <c r="P175" s="266" t="str">
        <f t="shared" ca="1" si="64"/>
        <v/>
      </c>
      <c r="Q175" s="267" t="str">
        <f t="shared" ca="1" si="64"/>
        <v/>
      </c>
      <c r="R175" s="268" t="str">
        <f t="shared" ca="1" si="65"/>
        <v/>
      </c>
      <c r="S175" s="264" t="str">
        <f t="shared" ca="1" si="65"/>
        <v/>
      </c>
      <c r="T175" s="269" t="str">
        <f t="shared" ca="1" si="65"/>
        <v/>
      </c>
      <c r="U175" s="268" t="str">
        <f t="shared" ca="1" si="65"/>
        <v/>
      </c>
      <c r="V175" s="264" t="str">
        <f t="shared" ca="1" si="65"/>
        <v/>
      </c>
      <c r="W175" s="265" t="str">
        <f t="shared" ca="1" si="65"/>
        <v/>
      </c>
      <c r="X175" s="266" t="str">
        <f t="shared" ca="1" si="65"/>
        <v/>
      </c>
      <c r="Y175" s="264" t="str">
        <f t="shared" ca="1" si="65"/>
        <v/>
      </c>
      <c r="Z175" s="265" t="str">
        <f t="shared" ca="1" si="65"/>
        <v/>
      </c>
      <c r="AA175" s="266" t="str">
        <f t="shared" ca="1" si="65"/>
        <v/>
      </c>
      <c r="AB175" s="267" t="str">
        <f t="shared" ca="1" si="65"/>
        <v/>
      </c>
      <c r="AC175" s="536" t="s">
        <v>669</v>
      </c>
      <c r="AD175" s="212" t="str">
        <f t="shared" ca="1" si="66"/>
        <v/>
      </c>
    </row>
    <row r="176" spans="1:30" s="45" customFormat="1" ht="22.5" customHeight="1">
      <c r="A176" s="258" t="str">
        <f ca="1">IFERROR(INDEX(凭证录入!H:H,$AD176),"")</f>
        <v/>
      </c>
      <c r="B176" s="259" t="str">
        <f ca="1">IFERROR(INDEX(凭证录入!I:I,$AD176),"")</f>
        <v/>
      </c>
      <c r="C176" s="260" t="str">
        <f ca="1">IFERROR(VLOOKUP($B176,会计科目表!$A:$C,2,),"")</f>
        <v/>
      </c>
      <c r="D176" s="261" t="str">
        <f ca="1">IFERROR(VLOOKUP($B176,会计科目表!$A:$C,3,),"")</f>
        <v/>
      </c>
      <c r="E176" s="262">
        <f ca="1">IFERROR(INDEX(凭证录入!K:K,$AD176),0)</f>
        <v>0</v>
      </c>
      <c r="F176" s="262">
        <f ca="1">IFERROR(INDEX(凭证录入!L:L,$AD176),0)</f>
        <v>0</v>
      </c>
      <c r="G176" s="263" t="str">
        <f t="shared" ca="1" si="64"/>
        <v/>
      </c>
      <c r="H176" s="264" t="str">
        <f t="shared" ca="1" si="64"/>
        <v/>
      </c>
      <c r="I176" s="265" t="str">
        <f t="shared" ca="1" si="64"/>
        <v/>
      </c>
      <c r="J176" s="266" t="str">
        <f t="shared" ca="1" si="64"/>
        <v/>
      </c>
      <c r="K176" s="264" t="str">
        <f t="shared" ca="1" si="64"/>
        <v/>
      </c>
      <c r="L176" s="265" t="str">
        <f t="shared" ca="1" si="64"/>
        <v/>
      </c>
      <c r="M176" s="266" t="str">
        <f t="shared" ca="1" si="64"/>
        <v/>
      </c>
      <c r="N176" s="264" t="str">
        <f t="shared" ca="1" si="64"/>
        <v/>
      </c>
      <c r="O176" s="265" t="str">
        <f t="shared" ca="1" si="64"/>
        <v/>
      </c>
      <c r="P176" s="266" t="str">
        <f t="shared" ca="1" si="64"/>
        <v/>
      </c>
      <c r="Q176" s="267" t="str">
        <f t="shared" ca="1" si="64"/>
        <v/>
      </c>
      <c r="R176" s="268" t="str">
        <f t="shared" ca="1" si="65"/>
        <v/>
      </c>
      <c r="S176" s="264" t="str">
        <f t="shared" ca="1" si="65"/>
        <v/>
      </c>
      <c r="T176" s="269" t="str">
        <f t="shared" ca="1" si="65"/>
        <v/>
      </c>
      <c r="U176" s="268" t="str">
        <f t="shared" ca="1" si="65"/>
        <v/>
      </c>
      <c r="V176" s="264" t="str">
        <f t="shared" ca="1" si="65"/>
        <v/>
      </c>
      <c r="W176" s="265" t="str">
        <f t="shared" ca="1" si="65"/>
        <v/>
      </c>
      <c r="X176" s="266" t="str">
        <f t="shared" ca="1" si="65"/>
        <v/>
      </c>
      <c r="Y176" s="264" t="str">
        <f t="shared" ca="1" si="65"/>
        <v/>
      </c>
      <c r="Z176" s="265" t="str">
        <f t="shared" ca="1" si="65"/>
        <v/>
      </c>
      <c r="AA176" s="266" t="str">
        <f t="shared" ca="1" si="65"/>
        <v/>
      </c>
      <c r="AB176" s="267" t="str">
        <f t="shared" ca="1" si="65"/>
        <v/>
      </c>
      <c r="AC176" s="537"/>
      <c r="AD176" s="212" t="str">
        <f t="shared" ca="1" si="66"/>
        <v/>
      </c>
    </row>
    <row r="177" spans="1:30" s="45" customFormat="1" ht="22.5" customHeight="1">
      <c r="A177" s="258" t="str">
        <f ca="1">IFERROR(INDEX(凭证录入!H:H,$AD177),"")</f>
        <v/>
      </c>
      <c r="B177" s="259" t="str">
        <f ca="1">IFERROR(INDEX(凭证录入!I:I,$AD177),"")</f>
        <v/>
      </c>
      <c r="C177" s="260" t="str">
        <f ca="1">IFERROR(VLOOKUP($B177,会计科目表!$A:$C,2,),"")</f>
        <v/>
      </c>
      <c r="D177" s="261" t="str">
        <f ca="1">IFERROR(VLOOKUP($B177,会计科目表!$A:$C,3,),"")</f>
        <v/>
      </c>
      <c r="E177" s="262">
        <f ca="1">IFERROR(INDEX(凭证录入!K:K,$AD177),0)</f>
        <v>0</v>
      </c>
      <c r="F177" s="262">
        <f ca="1">IFERROR(INDEX(凭证录入!L:L,$AD177),0)</f>
        <v>0</v>
      </c>
      <c r="G177" s="263" t="str">
        <f t="shared" ca="1" si="64"/>
        <v/>
      </c>
      <c r="H177" s="264" t="str">
        <f t="shared" ca="1" si="64"/>
        <v/>
      </c>
      <c r="I177" s="265" t="str">
        <f t="shared" ca="1" si="64"/>
        <v/>
      </c>
      <c r="J177" s="266" t="str">
        <f t="shared" ca="1" si="64"/>
        <v/>
      </c>
      <c r="K177" s="264" t="str">
        <f t="shared" ca="1" si="64"/>
        <v/>
      </c>
      <c r="L177" s="265" t="str">
        <f t="shared" ca="1" si="64"/>
        <v/>
      </c>
      <c r="M177" s="266" t="str">
        <f t="shared" ca="1" si="64"/>
        <v/>
      </c>
      <c r="N177" s="264" t="str">
        <f t="shared" ca="1" si="64"/>
        <v/>
      </c>
      <c r="O177" s="265" t="str">
        <f t="shared" ca="1" si="64"/>
        <v/>
      </c>
      <c r="P177" s="266" t="str">
        <f t="shared" ca="1" si="64"/>
        <v/>
      </c>
      <c r="Q177" s="267" t="str">
        <f t="shared" ca="1" si="64"/>
        <v/>
      </c>
      <c r="R177" s="268" t="str">
        <f t="shared" ca="1" si="65"/>
        <v/>
      </c>
      <c r="S177" s="264" t="str">
        <f t="shared" ca="1" si="65"/>
        <v/>
      </c>
      <c r="T177" s="269" t="str">
        <f t="shared" ca="1" si="65"/>
        <v/>
      </c>
      <c r="U177" s="268" t="str">
        <f t="shared" ca="1" si="65"/>
        <v/>
      </c>
      <c r="V177" s="264" t="str">
        <f t="shared" ca="1" si="65"/>
        <v/>
      </c>
      <c r="W177" s="265" t="str">
        <f t="shared" ca="1" si="65"/>
        <v/>
      </c>
      <c r="X177" s="266" t="str">
        <f t="shared" ca="1" si="65"/>
        <v/>
      </c>
      <c r="Y177" s="264" t="str">
        <f t="shared" ca="1" si="65"/>
        <v/>
      </c>
      <c r="Z177" s="265" t="str">
        <f t="shared" ca="1" si="65"/>
        <v/>
      </c>
      <c r="AA177" s="266" t="str">
        <f t="shared" ca="1" si="65"/>
        <v/>
      </c>
      <c r="AB177" s="267" t="str">
        <f t="shared" ca="1" si="65"/>
        <v/>
      </c>
      <c r="AC177" s="538"/>
      <c r="AD177" s="212" t="str">
        <f t="shared" ca="1" si="66"/>
        <v/>
      </c>
    </row>
    <row r="178" spans="1:30" s="45" customFormat="1" ht="22.5" customHeight="1">
      <c r="A178" s="258" t="str">
        <f ca="1">IFERROR(INDEX(凭证录入!H:H,$AD178),"")</f>
        <v/>
      </c>
      <c r="B178" s="259" t="str">
        <f ca="1">IFERROR(INDEX(凭证录入!I:I,$AD178),"")</f>
        <v/>
      </c>
      <c r="C178" s="260" t="str">
        <f ca="1">IFERROR(VLOOKUP($B178,会计科目表!$A:$C,2,),"")</f>
        <v/>
      </c>
      <c r="D178" s="261" t="str">
        <f ca="1">IFERROR(VLOOKUP($B178,会计科目表!$A:$C,3,),"")</f>
        <v/>
      </c>
      <c r="E178" s="262">
        <f ca="1">IFERROR(INDEX(凭证录入!K:K,$AD178),0)</f>
        <v>0</v>
      </c>
      <c r="F178" s="262">
        <f ca="1">IFERROR(INDEX(凭证录入!L:L,$AD178),0)</f>
        <v>0</v>
      </c>
      <c r="G178" s="263" t="str">
        <f t="shared" ca="1" si="64"/>
        <v/>
      </c>
      <c r="H178" s="264" t="str">
        <f t="shared" ca="1" si="64"/>
        <v/>
      </c>
      <c r="I178" s="265" t="str">
        <f t="shared" ca="1" si="64"/>
        <v/>
      </c>
      <c r="J178" s="266" t="str">
        <f t="shared" ca="1" si="64"/>
        <v/>
      </c>
      <c r="K178" s="264" t="str">
        <f t="shared" ca="1" si="64"/>
        <v/>
      </c>
      <c r="L178" s="265" t="str">
        <f t="shared" ca="1" si="64"/>
        <v/>
      </c>
      <c r="M178" s="266" t="str">
        <f t="shared" ca="1" si="64"/>
        <v/>
      </c>
      <c r="N178" s="264" t="str">
        <f t="shared" ca="1" si="64"/>
        <v/>
      </c>
      <c r="O178" s="265" t="str">
        <f t="shared" ca="1" si="64"/>
        <v/>
      </c>
      <c r="P178" s="266" t="str">
        <f t="shared" ca="1" si="64"/>
        <v/>
      </c>
      <c r="Q178" s="267" t="str">
        <f t="shared" ca="1" si="64"/>
        <v/>
      </c>
      <c r="R178" s="268" t="str">
        <f t="shared" ca="1" si="65"/>
        <v/>
      </c>
      <c r="S178" s="264" t="str">
        <f t="shared" ca="1" si="65"/>
        <v/>
      </c>
      <c r="T178" s="269" t="str">
        <f t="shared" ca="1" si="65"/>
        <v/>
      </c>
      <c r="U178" s="268" t="str">
        <f t="shared" ca="1" si="65"/>
        <v/>
      </c>
      <c r="V178" s="264" t="str">
        <f t="shared" ca="1" si="65"/>
        <v/>
      </c>
      <c r="W178" s="265" t="str">
        <f t="shared" ca="1" si="65"/>
        <v/>
      </c>
      <c r="X178" s="266" t="str">
        <f t="shared" ca="1" si="65"/>
        <v/>
      </c>
      <c r="Y178" s="264" t="str">
        <f t="shared" ca="1" si="65"/>
        <v/>
      </c>
      <c r="Z178" s="265" t="str">
        <f t="shared" ca="1" si="65"/>
        <v/>
      </c>
      <c r="AA178" s="266" t="str">
        <f t="shared" ca="1" si="65"/>
        <v/>
      </c>
      <c r="AB178" s="267" t="str">
        <f t="shared" ca="1" si="65"/>
        <v/>
      </c>
      <c r="AC178" s="538"/>
      <c r="AD178" s="212" t="str">
        <f t="shared" ca="1" si="66"/>
        <v/>
      </c>
    </row>
    <row r="179" spans="1:30" s="45" customFormat="1" ht="22.5" customHeight="1">
      <c r="A179" s="270" t="s">
        <v>670</v>
      </c>
      <c r="B179" s="271"/>
      <c r="C179" s="272" t="str">
        <f t="shared" ref="C179" ca="1" si="70">SUBSTITUTE(SUBSTITUTE(IF(-DOLLAR(E179),IF(E179&gt;0,,"负")&amp;TEXT(INT(ABS(E179)+0.5%),"[dbnum2]G/通用格式元;;")&amp;TEXT(RIGHT(DOLLAR(E179,2),2),"[dbnum2]0角0分;;整"),),"零角",IF(E179^2&lt;1,,"零")),"零分","整")</f>
        <v/>
      </c>
      <c r="D179" s="273"/>
      <c r="E179" s="274">
        <f t="shared" ref="E179:F179" ca="1" si="71">SUM(E173:E178)</f>
        <v>0</v>
      </c>
      <c r="F179" s="275">
        <f t="shared" ca="1" si="71"/>
        <v>0</v>
      </c>
      <c r="G179" s="276" t="str">
        <f t="shared" ca="1" si="64"/>
        <v/>
      </c>
      <c r="H179" s="277" t="str">
        <f t="shared" ca="1" si="64"/>
        <v/>
      </c>
      <c r="I179" s="278" t="str">
        <f t="shared" ca="1" si="64"/>
        <v/>
      </c>
      <c r="J179" s="279" t="str">
        <f t="shared" ca="1" si="64"/>
        <v/>
      </c>
      <c r="K179" s="277" t="str">
        <f t="shared" ca="1" si="64"/>
        <v/>
      </c>
      <c r="L179" s="278" t="str">
        <f t="shared" ca="1" si="64"/>
        <v/>
      </c>
      <c r="M179" s="279" t="str">
        <f t="shared" ca="1" si="64"/>
        <v/>
      </c>
      <c r="N179" s="277" t="str">
        <f t="shared" ca="1" si="64"/>
        <v/>
      </c>
      <c r="O179" s="278" t="str">
        <f t="shared" ca="1" si="64"/>
        <v/>
      </c>
      <c r="P179" s="279" t="str">
        <f t="shared" ca="1" si="64"/>
        <v/>
      </c>
      <c r="Q179" s="280" t="str">
        <f t="shared" ca="1" si="64"/>
        <v/>
      </c>
      <c r="R179" s="281" t="str">
        <f t="shared" ca="1" si="65"/>
        <v/>
      </c>
      <c r="S179" s="277" t="str">
        <f t="shared" ca="1" si="65"/>
        <v/>
      </c>
      <c r="T179" s="282" t="str">
        <f t="shared" ca="1" si="65"/>
        <v/>
      </c>
      <c r="U179" s="281" t="str">
        <f t="shared" ca="1" si="65"/>
        <v/>
      </c>
      <c r="V179" s="277" t="str">
        <f t="shared" ca="1" si="65"/>
        <v/>
      </c>
      <c r="W179" s="278" t="str">
        <f t="shared" ca="1" si="65"/>
        <v/>
      </c>
      <c r="X179" s="279" t="str">
        <f t="shared" ca="1" si="65"/>
        <v/>
      </c>
      <c r="Y179" s="277" t="str">
        <f t="shared" ca="1" si="65"/>
        <v/>
      </c>
      <c r="Z179" s="278" t="str">
        <f t="shared" ca="1" si="65"/>
        <v/>
      </c>
      <c r="AA179" s="279" t="str">
        <f t="shared" ca="1" si="65"/>
        <v/>
      </c>
      <c r="AB179" s="280" t="str">
        <f t="shared" ca="1" si="65"/>
        <v/>
      </c>
      <c r="AC179" s="283"/>
      <c r="AD179" s="212"/>
    </row>
    <row r="180" spans="1:30" s="22" customFormat="1" ht="22.5" customHeight="1">
      <c r="A180" s="284" t="s">
        <v>644</v>
      </c>
      <c r="B180" s="284"/>
      <c r="C180" s="284"/>
      <c r="D180" s="284" t="s">
        <v>645</v>
      </c>
      <c r="E180" s="284"/>
      <c r="F180" s="284"/>
      <c r="G180" s="284"/>
      <c r="H180" s="285"/>
      <c r="I180" s="284"/>
      <c r="J180" s="285"/>
      <c r="K180" s="285"/>
      <c r="L180" s="284"/>
      <c r="M180" s="285"/>
      <c r="N180" s="285"/>
      <c r="O180" s="285"/>
      <c r="P180" s="284"/>
      <c r="Q180" s="284" t="s">
        <v>646</v>
      </c>
      <c r="R180" s="284"/>
      <c r="S180" s="284"/>
      <c r="T180" s="284"/>
      <c r="U180" s="285"/>
      <c r="V180" s="284"/>
      <c r="W180" s="285"/>
      <c r="X180" s="284"/>
      <c r="Y180" s="284"/>
      <c r="Z180" s="285"/>
      <c r="AA180" s="285"/>
      <c r="AB180" s="285"/>
      <c r="AC180" s="286"/>
      <c r="AD180" s="212"/>
    </row>
    <row r="181" spans="1:30" ht="39.75" customHeight="1" thickBot="1">
      <c r="A181" s="226"/>
      <c r="B181" s="226"/>
      <c r="C181" s="227" t="s">
        <v>647</v>
      </c>
      <c r="D181" s="228"/>
      <c r="E181" s="226"/>
      <c r="F181" s="226"/>
      <c r="G181" s="228"/>
      <c r="H181" s="228"/>
      <c r="I181" s="228"/>
      <c r="J181" s="228"/>
      <c r="K181" s="228"/>
      <c r="L181" s="228"/>
      <c r="M181" s="228"/>
      <c r="N181" s="228"/>
      <c r="O181" s="228"/>
      <c r="P181" s="228"/>
      <c r="Q181" s="228"/>
      <c r="R181" s="229" t="s">
        <v>648</v>
      </c>
      <c r="S181" s="230"/>
      <c r="T181" s="230"/>
      <c r="U181" s="231" t="e">
        <f ca="1">DATE(AD$1,AF$1,INDEX(凭证录入!B:B,AD185))</f>
        <v>#VALUE!</v>
      </c>
      <c r="V181" s="232"/>
      <c r="W181" s="232"/>
      <c r="X181" s="232"/>
      <c r="Y181" s="232"/>
      <c r="Z181" s="232"/>
      <c r="AA181" s="232"/>
      <c r="AB181" s="232"/>
      <c r="AD181" s="212"/>
    </row>
    <row r="182" spans="1:30" s="45" customFormat="1" ht="23.25" customHeight="1" thickTop="1">
      <c r="A182" s="235" t="s">
        <v>649</v>
      </c>
      <c r="B182" s="235"/>
      <c r="C182" s="236" t="str">
        <f t="shared" ref="C182:C242" si="72">Co</f>
        <v>远大开发有限公司</v>
      </c>
      <c r="D182" s="236"/>
      <c r="E182" s="236"/>
      <c r="F182" s="236"/>
      <c r="G182" s="236"/>
      <c r="H182" s="236"/>
      <c r="I182" s="236"/>
      <c r="J182" s="236"/>
      <c r="K182" s="236"/>
      <c r="L182" s="236"/>
      <c r="M182" s="236"/>
      <c r="N182" s="236"/>
      <c r="O182" s="236"/>
      <c r="P182" s="236"/>
      <c r="Q182" s="236"/>
      <c r="R182" s="229" t="s">
        <v>650</v>
      </c>
      <c r="S182" s="229"/>
      <c r="T182" s="229"/>
      <c r="U182" s="237" t="str">
        <f t="shared" ref="U182" si="73">"第 "&amp;TEXT($AF$1,"00")&amp;TEXT($AC182,"0000 号")</f>
        <v>第 010016 号</v>
      </c>
      <c r="V182" s="237"/>
      <c r="W182" s="238"/>
      <c r="X182" s="238"/>
      <c r="Y182" s="238"/>
      <c r="Z182" s="238"/>
      <c r="AA182" s="238"/>
      <c r="AB182" s="238"/>
      <c r="AC182" s="239">
        <f t="shared" ref="AC182:AC242" si="74">N(LEFT((AC170),3)+1)</f>
        <v>16</v>
      </c>
      <c r="AD182" s="212"/>
    </row>
    <row r="183" spans="1:30" s="45" customFormat="1" ht="22.5" customHeight="1">
      <c r="A183" s="241" t="s">
        <v>651</v>
      </c>
      <c r="B183" s="542" t="s">
        <v>652</v>
      </c>
      <c r="C183" s="242" t="s">
        <v>653</v>
      </c>
      <c r="D183" s="243" t="s">
        <v>654</v>
      </c>
      <c r="E183" s="539" t="s">
        <v>655</v>
      </c>
      <c r="F183" s="539" t="s">
        <v>656</v>
      </c>
      <c r="G183" s="244" t="s">
        <v>657</v>
      </c>
      <c r="H183" s="245"/>
      <c r="I183" s="245"/>
      <c r="J183" s="245"/>
      <c r="K183" s="245"/>
      <c r="L183" s="245"/>
      <c r="M183" s="245"/>
      <c r="N183" s="245"/>
      <c r="O183" s="245"/>
      <c r="P183" s="245"/>
      <c r="Q183" s="246"/>
      <c r="R183" s="247" t="s">
        <v>658</v>
      </c>
      <c r="S183" s="245"/>
      <c r="T183" s="245"/>
      <c r="U183" s="245"/>
      <c r="V183" s="245"/>
      <c r="W183" s="245"/>
      <c r="X183" s="245"/>
      <c r="Y183" s="245"/>
      <c r="Z183" s="245"/>
      <c r="AA183" s="245"/>
      <c r="AB183" s="246"/>
      <c r="AC183" s="541" t="str">
        <f ca="1">"附单据数︵"&amp;INDEX(凭证录入!$D:$D,$AD$17)&amp;"︶张"</f>
        <v>附单据数︵4︶张</v>
      </c>
      <c r="AD183" s="235"/>
    </row>
    <row r="184" spans="1:30" s="45" customFormat="1" ht="22.5" customHeight="1">
      <c r="A184" s="248" t="s">
        <v>659</v>
      </c>
      <c r="B184" s="543"/>
      <c r="C184" s="249" t="s">
        <v>660</v>
      </c>
      <c r="D184" s="250" t="s">
        <v>660</v>
      </c>
      <c r="E184" s="540"/>
      <c r="F184" s="540"/>
      <c r="G184" s="251" t="s">
        <v>661</v>
      </c>
      <c r="H184" s="252" t="s">
        <v>662</v>
      </c>
      <c r="I184" s="253" t="s">
        <v>663</v>
      </c>
      <c r="J184" s="254" t="s">
        <v>664</v>
      </c>
      <c r="K184" s="252" t="s">
        <v>665</v>
      </c>
      <c r="L184" s="253" t="s">
        <v>662</v>
      </c>
      <c r="M184" s="254" t="s">
        <v>663</v>
      </c>
      <c r="N184" s="252" t="s">
        <v>664</v>
      </c>
      <c r="O184" s="253" t="s">
        <v>666</v>
      </c>
      <c r="P184" s="254" t="s">
        <v>667</v>
      </c>
      <c r="Q184" s="255" t="s">
        <v>668</v>
      </c>
      <c r="R184" s="256" t="s">
        <v>661</v>
      </c>
      <c r="S184" s="252" t="s">
        <v>662</v>
      </c>
      <c r="T184" s="257" t="s">
        <v>663</v>
      </c>
      <c r="U184" s="256" t="s">
        <v>664</v>
      </c>
      <c r="V184" s="252" t="s">
        <v>665</v>
      </c>
      <c r="W184" s="253" t="s">
        <v>662</v>
      </c>
      <c r="X184" s="254" t="s">
        <v>663</v>
      </c>
      <c r="Y184" s="252" t="s">
        <v>664</v>
      </c>
      <c r="Z184" s="253" t="s">
        <v>666</v>
      </c>
      <c r="AA184" s="254" t="s">
        <v>667</v>
      </c>
      <c r="AB184" s="255" t="s">
        <v>668</v>
      </c>
      <c r="AC184" s="541"/>
    </row>
    <row r="185" spans="1:30" s="45" customFormat="1" ht="22.5" customHeight="1">
      <c r="A185" s="258" t="str">
        <f ca="1">IFERROR(INDEX(凭证录入!H:H,$AD185),"")</f>
        <v/>
      </c>
      <c r="B185" s="259" t="str">
        <f ca="1">IFERROR(INDEX(凭证录入!I:I,$AD185),"")</f>
        <v/>
      </c>
      <c r="C185" s="260" t="str">
        <f ca="1">IFERROR(VLOOKUP($B185,会计科目表!$A:$C,2,),"")</f>
        <v/>
      </c>
      <c r="D185" s="261" t="str">
        <f ca="1">IFERROR(VLOOKUP($B185,会计科目表!$A:$C,3,),"")</f>
        <v/>
      </c>
      <c r="E185" s="262">
        <f ca="1">IFERROR(INDEX(凭证录入!K:K,$AD185),0)</f>
        <v>0</v>
      </c>
      <c r="F185" s="262">
        <f ca="1">IFERROR(INDEX(凭证录入!L:L,$AD185),0)</f>
        <v>0</v>
      </c>
      <c r="G185" s="263" t="str">
        <f t="shared" ca="1" si="64"/>
        <v/>
      </c>
      <c r="H185" s="264" t="str">
        <f t="shared" ca="1" si="64"/>
        <v/>
      </c>
      <c r="I185" s="265" t="str">
        <f t="shared" ca="1" si="64"/>
        <v/>
      </c>
      <c r="J185" s="266" t="str">
        <f t="shared" ca="1" si="64"/>
        <v/>
      </c>
      <c r="K185" s="264" t="str">
        <f t="shared" ca="1" si="64"/>
        <v/>
      </c>
      <c r="L185" s="265" t="str">
        <f t="shared" ca="1" si="64"/>
        <v/>
      </c>
      <c r="M185" s="266" t="str">
        <f t="shared" ca="1" si="64"/>
        <v/>
      </c>
      <c r="N185" s="264" t="str">
        <f t="shared" ca="1" si="64"/>
        <v/>
      </c>
      <c r="O185" s="265" t="str">
        <f t="shared" ca="1" si="64"/>
        <v/>
      </c>
      <c r="P185" s="266" t="str">
        <f t="shared" ca="1" si="64"/>
        <v/>
      </c>
      <c r="Q185" s="267" t="str">
        <f t="shared" ca="1" si="64"/>
        <v/>
      </c>
      <c r="R185" s="268" t="str">
        <f t="shared" ca="1" si="65"/>
        <v/>
      </c>
      <c r="S185" s="264" t="str">
        <f t="shared" ca="1" si="65"/>
        <v/>
      </c>
      <c r="T185" s="269" t="str">
        <f t="shared" ca="1" si="65"/>
        <v/>
      </c>
      <c r="U185" s="268" t="str">
        <f t="shared" ca="1" si="65"/>
        <v/>
      </c>
      <c r="V185" s="264" t="str">
        <f t="shared" ca="1" si="65"/>
        <v/>
      </c>
      <c r="W185" s="265" t="str">
        <f t="shared" ca="1" si="65"/>
        <v/>
      </c>
      <c r="X185" s="266" t="str">
        <f t="shared" ca="1" si="65"/>
        <v/>
      </c>
      <c r="Y185" s="264" t="str">
        <f t="shared" ca="1" si="65"/>
        <v/>
      </c>
      <c r="Z185" s="265" t="str">
        <f t="shared" ca="1" si="65"/>
        <v/>
      </c>
      <c r="AA185" s="266" t="str">
        <f t="shared" ca="1" si="65"/>
        <v/>
      </c>
      <c r="AB185" s="267" t="str">
        <f t="shared" ca="1" si="65"/>
        <v/>
      </c>
      <c r="AC185" s="541"/>
      <c r="AD185" s="212" t="str">
        <f t="shared" ca="1" si="66"/>
        <v/>
      </c>
    </row>
    <row r="186" spans="1:30" s="45" customFormat="1" ht="22.5" customHeight="1">
      <c r="A186" s="258" t="str">
        <f ca="1">IFERROR(INDEX(凭证录入!H:H,$AD186),"")</f>
        <v/>
      </c>
      <c r="B186" s="259" t="str">
        <f ca="1">IFERROR(INDEX(凭证录入!I:I,$AD186),"")</f>
        <v/>
      </c>
      <c r="C186" s="260" t="str">
        <f ca="1">IFERROR(VLOOKUP($B186,会计科目表!$A:$C,2,),"")</f>
        <v/>
      </c>
      <c r="D186" s="261" t="str">
        <f ca="1">IFERROR(VLOOKUP($B186,会计科目表!$A:$C,3,),"")</f>
        <v/>
      </c>
      <c r="E186" s="262">
        <f ca="1">IFERROR(INDEX(凭证录入!K:K,$AD186),0)</f>
        <v>0</v>
      </c>
      <c r="F186" s="262">
        <f ca="1">IFERROR(INDEX(凭证录入!L:L,$AD186),0)</f>
        <v>0</v>
      </c>
      <c r="G186" s="263" t="str">
        <f t="shared" ca="1" si="64"/>
        <v/>
      </c>
      <c r="H186" s="264" t="str">
        <f t="shared" ca="1" si="64"/>
        <v/>
      </c>
      <c r="I186" s="265" t="str">
        <f t="shared" ca="1" si="64"/>
        <v/>
      </c>
      <c r="J186" s="266" t="str">
        <f t="shared" ca="1" si="64"/>
        <v/>
      </c>
      <c r="K186" s="264" t="str">
        <f t="shared" ca="1" si="64"/>
        <v/>
      </c>
      <c r="L186" s="265" t="str">
        <f t="shared" ca="1" si="64"/>
        <v/>
      </c>
      <c r="M186" s="266" t="str">
        <f t="shared" ca="1" si="64"/>
        <v/>
      </c>
      <c r="N186" s="264" t="str">
        <f t="shared" ca="1" si="64"/>
        <v/>
      </c>
      <c r="O186" s="265" t="str">
        <f t="shared" ca="1" si="64"/>
        <v/>
      </c>
      <c r="P186" s="266" t="str">
        <f t="shared" ca="1" si="64"/>
        <v/>
      </c>
      <c r="Q186" s="267" t="str">
        <f t="shared" ca="1" si="64"/>
        <v/>
      </c>
      <c r="R186" s="268" t="str">
        <f t="shared" ca="1" si="65"/>
        <v/>
      </c>
      <c r="S186" s="264" t="str">
        <f t="shared" ca="1" si="65"/>
        <v/>
      </c>
      <c r="T186" s="269" t="str">
        <f t="shared" ca="1" si="65"/>
        <v/>
      </c>
      <c r="U186" s="268" t="str">
        <f t="shared" ca="1" si="65"/>
        <v/>
      </c>
      <c r="V186" s="264" t="str">
        <f t="shared" ca="1" si="65"/>
        <v/>
      </c>
      <c r="W186" s="265" t="str">
        <f t="shared" ca="1" si="65"/>
        <v/>
      </c>
      <c r="X186" s="266" t="str">
        <f t="shared" ca="1" si="65"/>
        <v/>
      </c>
      <c r="Y186" s="264" t="str">
        <f t="shared" ca="1" si="65"/>
        <v/>
      </c>
      <c r="Z186" s="265" t="str">
        <f t="shared" ca="1" si="65"/>
        <v/>
      </c>
      <c r="AA186" s="266" t="str">
        <f t="shared" ca="1" si="65"/>
        <v/>
      </c>
      <c r="AB186" s="267" t="str">
        <f t="shared" ca="1" si="65"/>
        <v/>
      </c>
      <c r="AC186" s="541"/>
      <c r="AD186" s="212" t="str">
        <f t="shared" ca="1" si="66"/>
        <v/>
      </c>
    </row>
    <row r="187" spans="1:30" s="45" customFormat="1" ht="22.5" customHeight="1">
      <c r="A187" s="258" t="str">
        <f ca="1">IFERROR(INDEX(凭证录入!H:H,$AD187),"")</f>
        <v/>
      </c>
      <c r="B187" s="259" t="str">
        <f ca="1">IFERROR(INDEX(凭证录入!I:I,$AD187),"")</f>
        <v/>
      </c>
      <c r="C187" s="260" t="str">
        <f ca="1">IFERROR(VLOOKUP($B187,会计科目表!$A:$C,2,),"")</f>
        <v/>
      </c>
      <c r="D187" s="261" t="str">
        <f ca="1">IFERROR(VLOOKUP($B187,会计科目表!$A:$C,3,),"")</f>
        <v/>
      </c>
      <c r="E187" s="262">
        <f ca="1">IFERROR(INDEX(凭证录入!K:K,$AD187),0)</f>
        <v>0</v>
      </c>
      <c r="F187" s="262">
        <f ca="1">IFERROR(INDEX(凭证录入!L:L,$AD187),0)</f>
        <v>0</v>
      </c>
      <c r="G187" s="263" t="str">
        <f t="shared" ca="1" si="64"/>
        <v/>
      </c>
      <c r="H187" s="264" t="str">
        <f t="shared" ca="1" si="64"/>
        <v/>
      </c>
      <c r="I187" s="265" t="str">
        <f t="shared" ca="1" si="64"/>
        <v/>
      </c>
      <c r="J187" s="266" t="str">
        <f t="shared" ca="1" si="64"/>
        <v/>
      </c>
      <c r="K187" s="264" t="str">
        <f t="shared" ca="1" si="64"/>
        <v/>
      </c>
      <c r="L187" s="265" t="str">
        <f t="shared" ca="1" si="64"/>
        <v/>
      </c>
      <c r="M187" s="266" t="str">
        <f t="shared" ca="1" si="64"/>
        <v/>
      </c>
      <c r="N187" s="264" t="str">
        <f t="shared" ca="1" si="64"/>
        <v/>
      </c>
      <c r="O187" s="265" t="str">
        <f t="shared" ca="1" si="64"/>
        <v/>
      </c>
      <c r="P187" s="266" t="str">
        <f t="shared" ca="1" si="64"/>
        <v/>
      </c>
      <c r="Q187" s="267" t="str">
        <f t="shared" ca="1" si="64"/>
        <v/>
      </c>
      <c r="R187" s="268" t="str">
        <f t="shared" ca="1" si="65"/>
        <v/>
      </c>
      <c r="S187" s="264" t="str">
        <f t="shared" ca="1" si="65"/>
        <v/>
      </c>
      <c r="T187" s="269" t="str">
        <f t="shared" ca="1" si="65"/>
        <v/>
      </c>
      <c r="U187" s="268" t="str">
        <f t="shared" ca="1" si="65"/>
        <v/>
      </c>
      <c r="V187" s="264" t="str">
        <f t="shared" ca="1" si="65"/>
        <v/>
      </c>
      <c r="W187" s="265" t="str">
        <f t="shared" ca="1" si="65"/>
        <v/>
      </c>
      <c r="X187" s="266" t="str">
        <f t="shared" ca="1" si="65"/>
        <v/>
      </c>
      <c r="Y187" s="264" t="str">
        <f t="shared" ca="1" si="65"/>
        <v/>
      </c>
      <c r="Z187" s="265" t="str">
        <f t="shared" ca="1" si="65"/>
        <v/>
      </c>
      <c r="AA187" s="266" t="str">
        <f t="shared" ca="1" si="65"/>
        <v/>
      </c>
      <c r="AB187" s="267" t="str">
        <f t="shared" ca="1" si="65"/>
        <v/>
      </c>
      <c r="AC187" s="536" t="s">
        <v>669</v>
      </c>
      <c r="AD187" s="212" t="str">
        <f t="shared" ca="1" si="66"/>
        <v/>
      </c>
    </row>
    <row r="188" spans="1:30" s="45" customFormat="1" ht="22.5" customHeight="1">
      <c r="A188" s="258" t="str">
        <f ca="1">IFERROR(INDEX(凭证录入!H:H,$AD188),"")</f>
        <v/>
      </c>
      <c r="B188" s="259" t="str">
        <f ca="1">IFERROR(INDEX(凭证录入!I:I,$AD188),"")</f>
        <v/>
      </c>
      <c r="C188" s="260" t="str">
        <f ca="1">IFERROR(VLOOKUP($B188,会计科目表!$A:$C,2,),"")</f>
        <v/>
      </c>
      <c r="D188" s="261" t="str">
        <f ca="1">IFERROR(VLOOKUP($B188,会计科目表!$A:$C,3,),"")</f>
        <v/>
      </c>
      <c r="E188" s="262">
        <f ca="1">IFERROR(INDEX(凭证录入!K:K,$AD188),0)</f>
        <v>0</v>
      </c>
      <c r="F188" s="262">
        <f ca="1">IFERROR(INDEX(凭证录入!L:L,$AD188),0)</f>
        <v>0</v>
      </c>
      <c r="G188" s="263" t="str">
        <f t="shared" ca="1" si="64"/>
        <v/>
      </c>
      <c r="H188" s="264" t="str">
        <f t="shared" ca="1" si="64"/>
        <v/>
      </c>
      <c r="I188" s="265" t="str">
        <f t="shared" ca="1" si="64"/>
        <v/>
      </c>
      <c r="J188" s="266" t="str">
        <f t="shared" ca="1" si="64"/>
        <v/>
      </c>
      <c r="K188" s="264" t="str">
        <f t="shared" ca="1" si="64"/>
        <v/>
      </c>
      <c r="L188" s="265" t="str">
        <f t="shared" ca="1" si="64"/>
        <v/>
      </c>
      <c r="M188" s="266" t="str">
        <f t="shared" ca="1" si="64"/>
        <v/>
      </c>
      <c r="N188" s="264" t="str">
        <f t="shared" ca="1" si="64"/>
        <v/>
      </c>
      <c r="O188" s="265" t="str">
        <f t="shared" ca="1" si="64"/>
        <v/>
      </c>
      <c r="P188" s="266" t="str">
        <f t="shared" ca="1" si="64"/>
        <v/>
      </c>
      <c r="Q188" s="267" t="str">
        <f t="shared" ca="1" si="64"/>
        <v/>
      </c>
      <c r="R188" s="268" t="str">
        <f t="shared" ca="1" si="65"/>
        <v/>
      </c>
      <c r="S188" s="264" t="str">
        <f t="shared" ca="1" si="65"/>
        <v/>
      </c>
      <c r="T188" s="269" t="str">
        <f t="shared" ca="1" si="65"/>
        <v/>
      </c>
      <c r="U188" s="268" t="str">
        <f t="shared" ca="1" si="65"/>
        <v/>
      </c>
      <c r="V188" s="264" t="str">
        <f t="shared" ca="1" si="65"/>
        <v/>
      </c>
      <c r="W188" s="265" t="str">
        <f t="shared" ca="1" si="65"/>
        <v/>
      </c>
      <c r="X188" s="266" t="str">
        <f t="shared" ca="1" si="65"/>
        <v/>
      </c>
      <c r="Y188" s="264" t="str">
        <f t="shared" ca="1" si="65"/>
        <v/>
      </c>
      <c r="Z188" s="265" t="str">
        <f t="shared" ca="1" si="65"/>
        <v/>
      </c>
      <c r="AA188" s="266" t="str">
        <f t="shared" ca="1" si="65"/>
        <v/>
      </c>
      <c r="AB188" s="267" t="str">
        <f t="shared" ca="1" si="65"/>
        <v/>
      </c>
      <c r="AC188" s="537"/>
      <c r="AD188" s="212" t="str">
        <f t="shared" ca="1" si="66"/>
        <v/>
      </c>
    </row>
    <row r="189" spans="1:30" s="45" customFormat="1" ht="22.5" customHeight="1">
      <c r="A189" s="258" t="str">
        <f ca="1">IFERROR(INDEX(凭证录入!H:H,$AD189),"")</f>
        <v/>
      </c>
      <c r="B189" s="259" t="str">
        <f ca="1">IFERROR(INDEX(凭证录入!I:I,$AD189),"")</f>
        <v/>
      </c>
      <c r="C189" s="260" t="str">
        <f ca="1">IFERROR(VLOOKUP($B189,会计科目表!$A:$C,2,),"")</f>
        <v/>
      </c>
      <c r="D189" s="261" t="str">
        <f ca="1">IFERROR(VLOOKUP($B189,会计科目表!$A:$C,3,),"")</f>
        <v/>
      </c>
      <c r="E189" s="262">
        <f ca="1">IFERROR(INDEX(凭证录入!K:K,$AD189),0)</f>
        <v>0</v>
      </c>
      <c r="F189" s="262">
        <f ca="1">IFERROR(INDEX(凭证录入!L:L,$AD189),0)</f>
        <v>0</v>
      </c>
      <c r="G189" s="263" t="str">
        <f t="shared" ca="1" si="64"/>
        <v/>
      </c>
      <c r="H189" s="264" t="str">
        <f t="shared" ca="1" si="64"/>
        <v/>
      </c>
      <c r="I189" s="265" t="str">
        <f t="shared" ca="1" si="64"/>
        <v/>
      </c>
      <c r="J189" s="266" t="str">
        <f t="shared" ca="1" si="64"/>
        <v/>
      </c>
      <c r="K189" s="264" t="str">
        <f t="shared" ca="1" si="64"/>
        <v/>
      </c>
      <c r="L189" s="265" t="str">
        <f t="shared" ca="1" si="64"/>
        <v/>
      </c>
      <c r="M189" s="266" t="str">
        <f t="shared" ca="1" si="64"/>
        <v/>
      </c>
      <c r="N189" s="264" t="str">
        <f t="shared" ca="1" si="64"/>
        <v/>
      </c>
      <c r="O189" s="265" t="str">
        <f t="shared" ca="1" si="64"/>
        <v/>
      </c>
      <c r="P189" s="266" t="str">
        <f t="shared" ca="1" si="64"/>
        <v/>
      </c>
      <c r="Q189" s="267" t="str">
        <f t="shared" ca="1" si="64"/>
        <v/>
      </c>
      <c r="R189" s="268" t="str">
        <f t="shared" ca="1" si="65"/>
        <v/>
      </c>
      <c r="S189" s="264" t="str">
        <f t="shared" ca="1" si="65"/>
        <v/>
      </c>
      <c r="T189" s="269" t="str">
        <f t="shared" ca="1" si="65"/>
        <v/>
      </c>
      <c r="U189" s="268" t="str">
        <f t="shared" ca="1" si="65"/>
        <v/>
      </c>
      <c r="V189" s="264" t="str">
        <f t="shared" ca="1" si="65"/>
        <v/>
      </c>
      <c r="W189" s="265" t="str">
        <f t="shared" ca="1" si="65"/>
        <v/>
      </c>
      <c r="X189" s="266" t="str">
        <f t="shared" ca="1" si="65"/>
        <v/>
      </c>
      <c r="Y189" s="264" t="str">
        <f t="shared" ca="1" si="65"/>
        <v/>
      </c>
      <c r="Z189" s="265" t="str">
        <f t="shared" ca="1" si="65"/>
        <v/>
      </c>
      <c r="AA189" s="266" t="str">
        <f t="shared" ca="1" si="65"/>
        <v/>
      </c>
      <c r="AB189" s="267" t="str">
        <f t="shared" ca="1" si="65"/>
        <v/>
      </c>
      <c r="AC189" s="538"/>
      <c r="AD189" s="212" t="str">
        <f t="shared" ca="1" si="66"/>
        <v/>
      </c>
    </row>
    <row r="190" spans="1:30" s="45" customFormat="1" ht="22.5" customHeight="1">
      <c r="A190" s="258" t="str">
        <f ca="1">IFERROR(INDEX(凭证录入!H:H,$AD190),"")</f>
        <v/>
      </c>
      <c r="B190" s="259" t="str">
        <f ca="1">IFERROR(INDEX(凭证录入!I:I,$AD190),"")</f>
        <v/>
      </c>
      <c r="C190" s="260" t="str">
        <f ca="1">IFERROR(VLOOKUP($B190,会计科目表!$A:$C,2,),"")</f>
        <v/>
      </c>
      <c r="D190" s="261" t="str">
        <f ca="1">IFERROR(VLOOKUP($B190,会计科目表!$A:$C,3,),"")</f>
        <v/>
      </c>
      <c r="E190" s="262">
        <f ca="1">IFERROR(INDEX(凭证录入!K:K,$AD190),0)</f>
        <v>0</v>
      </c>
      <c r="F190" s="262">
        <f ca="1">IFERROR(INDEX(凭证录入!L:L,$AD190),0)</f>
        <v>0</v>
      </c>
      <c r="G190" s="263" t="str">
        <f t="shared" ca="1" si="64"/>
        <v/>
      </c>
      <c r="H190" s="264" t="str">
        <f t="shared" ca="1" si="64"/>
        <v/>
      </c>
      <c r="I190" s="265" t="str">
        <f t="shared" ca="1" si="64"/>
        <v/>
      </c>
      <c r="J190" s="266" t="str">
        <f t="shared" ca="1" si="64"/>
        <v/>
      </c>
      <c r="K190" s="264" t="str">
        <f t="shared" ca="1" si="64"/>
        <v/>
      </c>
      <c r="L190" s="265" t="str">
        <f t="shared" ca="1" si="64"/>
        <v/>
      </c>
      <c r="M190" s="266" t="str">
        <f t="shared" ca="1" si="64"/>
        <v/>
      </c>
      <c r="N190" s="264" t="str">
        <f t="shared" ca="1" si="64"/>
        <v/>
      </c>
      <c r="O190" s="265" t="str">
        <f t="shared" ca="1" si="64"/>
        <v/>
      </c>
      <c r="P190" s="266" t="str">
        <f t="shared" ca="1" si="64"/>
        <v/>
      </c>
      <c r="Q190" s="267" t="str">
        <f t="shared" ca="1" si="64"/>
        <v/>
      </c>
      <c r="R190" s="268" t="str">
        <f t="shared" ca="1" si="65"/>
        <v/>
      </c>
      <c r="S190" s="264" t="str">
        <f t="shared" ca="1" si="65"/>
        <v/>
      </c>
      <c r="T190" s="269" t="str">
        <f t="shared" ca="1" si="65"/>
        <v/>
      </c>
      <c r="U190" s="268" t="str">
        <f t="shared" ca="1" si="65"/>
        <v/>
      </c>
      <c r="V190" s="264" t="str">
        <f t="shared" ca="1" si="65"/>
        <v/>
      </c>
      <c r="W190" s="265" t="str">
        <f t="shared" ca="1" si="65"/>
        <v/>
      </c>
      <c r="X190" s="266" t="str">
        <f t="shared" ca="1" si="65"/>
        <v/>
      </c>
      <c r="Y190" s="264" t="str">
        <f t="shared" ca="1" si="65"/>
        <v/>
      </c>
      <c r="Z190" s="265" t="str">
        <f t="shared" ca="1" si="65"/>
        <v/>
      </c>
      <c r="AA190" s="266" t="str">
        <f t="shared" ca="1" si="65"/>
        <v/>
      </c>
      <c r="AB190" s="267" t="str">
        <f t="shared" ca="1" si="65"/>
        <v/>
      </c>
      <c r="AC190" s="538"/>
      <c r="AD190" s="212" t="str">
        <f t="shared" ca="1" si="66"/>
        <v/>
      </c>
    </row>
    <row r="191" spans="1:30" s="45" customFormat="1" ht="22.5" customHeight="1">
      <c r="A191" s="270" t="s">
        <v>670</v>
      </c>
      <c r="B191" s="271"/>
      <c r="C191" s="272" t="str">
        <f t="shared" ref="C191" ca="1" si="75">SUBSTITUTE(SUBSTITUTE(IF(-DOLLAR(E191),IF(E191&gt;0,,"负")&amp;TEXT(INT(ABS(E191)+0.5%),"[dbnum2]G/通用格式元;;")&amp;TEXT(RIGHT(DOLLAR(E191,2),2),"[dbnum2]0角0分;;整"),),"零角",IF(E191^2&lt;1,,"零")),"零分","整")</f>
        <v/>
      </c>
      <c r="D191" s="273"/>
      <c r="E191" s="274">
        <f t="shared" ref="E191:F191" ca="1" si="76">SUM(E185:E190)</f>
        <v>0</v>
      </c>
      <c r="F191" s="275">
        <f t="shared" ca="1" si="76"/>
        <v>0</v>
      </c>
      <c r="G191" s="276" t="str">
        <f t="shared" ca="1" si="64"/>
        <v/>
      </c>
      <c r="H191" s="277" t="str">
        <f t="shared" ca="1" si="64"/>
        <v/>
      </c>
      <c r="I191" s="278" t="str">
        <f t="shared" ca="1" si="64"/>
        <v/>
      </c>
      <c r="J191" s="279" t="str">
        <f t="shared" ca="1" si="64"/>
        <v/>
      </c>
      <c r="K191" s="277" t="str">
        <f t="shared" ca="1" si="64"/>
        <v/>
      </c>
      <c r="L191" s="278" t="str">
        <f t="shared" ca="1" si="64"/>
        <v/>
      </c>
      <c r="M191" s="279" t="str">
        <f t="shared" ca="1" si="64"/>
        <v/>
      </c>
      <c r="N191" s="277" t="str">
        <f t="shared" ca="1" si="64"/>
        <v/>
      </c>
      <c r="O191" s="278" t="str">
        <f t="shared" ca="1" si="64"/>
        <v/>
      </c>
      <c r="P191" s="279" t="str">
        <f t="shared" ca="1" si="64"/>
        <v/>
      </c>
      <c r="Q191" s="280" t="str">
        <f t="shared" ca="1" si="64"/>
        <v/>
      </c>
      <c r="R191" s="281" t="str">
        <f t="shared" ca="1" si="65"/>
        <v/>
      </c>
      <c r="S191" s="277" t="str">
        <f t="shared" ca="1" si="65"/>
        <v/>
      </c>
      <c r="T191" s="282" t="str">
        <f t="shared" ca="1" si="65"/>
        <v/>
      </c>
      <c r="U191" s="281" t="str">
        <f t="shared" ca="1" si="65"/>
        <v/>
      </c>
      <c r="V191" s="277" t="str">
        <f t="shared" ca="1" si="65"/>
        <v/>
      </c>
      <c r="W191" s="278" t="str">
        <f t="shared" ca="1" si="65"/>
        <v/>
      </c>
      <c r="X191" s="279" t="str">
        <f t="shared" ca="1" si="65"/>
        <v/>
      </c>
      <c r="Y191" s="277" t="str">
        <f t="shared" ca="1" si="65"/>
        <v/>
      </c>
      <c r="Z191" s="278" t="str">
        <f t="shared" ca="1" si="65"/>
        <v/>
      </c>
      <c r="AA191" s="279" t="str">
        <f t="shared" ca="1" si="65"/>
        <v/>
      </c>
      <c r="AB191" s="280" t="str">
        <f t="shared" ca="1" si="65"/>
        <v/>
      </c>
      <c r="AC191" s="283"/>
      <c r="AD191" s="212"/>
    </row>
    <row r="192" spans="1:30" s="22" customFormat="1" ht="22.5" customHeight="1">
      <c r="A192" s="284" t="s">
        <v>644</v>
      </c>
      <c r="B192" s="284"/>
      <c r="C192" s="284"/>
      <c r="D192" s="284" t="s">
        <v>645</v>
      </c>
      <c r="E192" s="284"/>
      <c r="F192" s="284"/>
      <c r="G192" s="284"/>
      <c r="H192" s="285"/>
      <c r="I192" s="284"/>
      <c r="J192" s="285"/>
      <c r="K192" s="285"/>
      <c r="L192" s="284"/>
      <c r="M192" s="285"/>
      <c r="N192" s="285"/>
      <c r="O192" s="285"/>
      <c r="P192" s="284"/>
      <c r="Q192" s="284" t="s">
        <v>646</v>
      </c>
      <c r="R192" s="284"/>
      <c r="S192" s="284"/>
      <c r="T192" s="284"/>
      <c r="U192" s="285"/>
      <c r="V192" s="284"/>
      <c r="W192" s="285"/>
      <c r="X192" s="284"/>
      <c r="Y192" s="284"/>
      <c r="Z192" s="285"/>
      <c r="AA192" s="285"/>
      <c r="AB192" s="285"/>
      <c r="AC192" s="286"/>
      <c r="AD192" s="212"/>
    </row>
    <row r="193" spans="1:30" ht="39.75" customHeight="1" thickBot="1">
      <c r="A193" s="226"/>
      <c r="B193" s="226"/>
      <c r="C193" s="227" t="s">
        <v>647</v>
      </c>
      <c r="D193" s="228"/>
      <c r="E193" s="226"/>
      <c r="F193" s="226"/>
      <c r="G193" s="228"/>
      <c r="H193" s="228"/>
      <c r="I193" s="228"/>
      <c r="J193" s="228"/>
      <c r="K193" s="228"/>
      <c r="L193" s="228"/>
      <c r="M193" s="228"/>
      <c r="N193" s="228"/>
      <c r="O193" s="228"/>
      <c r="P193" s="228"/>
      <c r="Q193" s="228"/>
      <c r="R193" s="229" t="s">
        <v>648</v>
      </c>
      <c r="S193" s="230"/>
      <c r="T193" s="230"/>
      <c r="U193" s="231" t="e">
        <f ca="1">DATE(AD$1,AF$1,INDEX(凭证录入!B:B,AD197))</f>
        <v>#VALUE!</v>
      </c>
      <c r="V193" s="232"/>
      <c r="W193" s="232"/>
      <c r="X193" s="232"/>
      <c r="Y193" s="232"/>
      <c r="Z193" s="232"/>
      <c r="AA193" s="232"/>
      <c r="AB193" s="232"/>
      <c r="AD193" s="212"/>
    </row>
    <row r="194" spans="1:30" s="45" customFormat="1" ht="23.25" customHeight="1" thickTop="1">
      <c r="A194" s="235" t="s">
        <v>649</v>
      </c>
      <c r="B194" s="235"/>
      <c r="C194" s="236" t="str">
        <f t="shared" si="72"/>
        <v>远大开发有限公司</v>
      </c>
      <c r="D194" s="236"/>
      <c r="E194" s="236"/>
      <c r="F194" s="236"/>
      <c r="G194" s="236"/>
      <c r="H194" s="236"/>
      <c r="I194" s="236"/>
      <c r="J194" s="236"/>
      <c r="K194" s="236"/>
      <c r="L194" s="236"/>
      <c r="M194" s="236"/>
      <c r="N194" s="236"/>
      <c r="O194" s="236"/>
      <c r="P194" s="236"/>
      <c r="Q194" s="236"/>
      <c r="R194" s="229" t="s">
        <v>650</v>
      </c>
      <c r="S194" s="229"/>
      <c r="T194" s="229"/>
      <c r="U194" s="237" t="str">
        <f t="shared" ref="U194" si="77">"第 "&amp;TEXT($AF$1,"00")&amp;TEXT($AC194,"0000 号")</f>
        <v>第 010017 号</v>
      </c>
      <c r="V194" s="237"/>
      <c r="W194" s="238"/>
      <c r="X194" s="238"/>
      <c r="Y194" s="238"/>
      <c r="Z194" s="238"/>
      <c r="AA194" s="238"/>
      <c r="AB194" s="238"/>
      <c r="AC194" s="239">
        <f t="shared" si="74"/>
        <v>17</v>
      </c>
      <c r="AD194" s="212"/>
    </row>
    <row r="195" spans="1:30" s="45" customFormat="1" ht="22.5" customHeight="1">
      <c r="A195" s="241" t="s">
        <v>651</v>
      </c>
      <c r="B195" s="542" t="s">
        <v>652</v>
      </c>
      <c r="C195" s="242" t="s">
        <v>653</v>
      </c>
      <c r="D195" s="243" t="s">
        <v>654</v>
      </c>
      <c r="E195" s="539" t="s">
        <v>655</v>
      </c>
      <c r="F195" s="539" t="s">
        <v>656</v>
      </c>
      <c r="G195" s="244" t="s">
        <v>657</v>
      </c>
      <c r="H195" s="245"/>
      <c r="I195" s="245"/>
      <c r="J195" s="245"/>
      <c r="K195" s="245"/>
      <c r="L195" s="245"/>
      <c r="M195" s="245"/>
      <c r="N195" s="245"/>
      <c r="O195" s="245"/>
      <c r="P195" s="245"/>
      <c r="Q195" s="246"/>
      <c r="R195" s="247" t="s">
        <v>658</v>
      </c>
      <c r="S195" s="245"/>
      <c r="T195" s="245"/>
      <c r="U195" s="245"/>
      <c r="V195" s="245"/>
      <c r="W195" s="245"/>
      <c r="X195" s="245"/>
      <c r="Y195" s="245"/>
      <c r="Z195" s="245"/>
      <c r="AA195" s="245"/>
      <c r="AB195" s="246"/>
      <c r="AC195" s="541" t="str">
        <f ca="1">"附单据数︵"&amp;INDEX(凭证录入!$D:$D,$AD$17)&amp;"︶张"</f>
        <v>附单据数︵4︶张</v>
      </c>
      <c r="AD195" s="235"/>
    </row>
    <row r="196" spans="1:30" s="45" customFormat="1" ht="22.5" customHeight="1">
      <c r="A196" s="248" t="s">
        <v>659</v>
      </c>
      <c r="B196" s="543"/>
      <c r="C196" s="249" t="s">
        <v>660</v>
      </c>
      <c r="D196" s="250" t="s">
        <v>660</v>
      </c>
      <c r="E196" s="540"/>
      <c r="F196" s="540"/>
      <c r="G196" s="251" t="s">
        <v>661</v>
      </c>
      <c r="H196" s="252" t="s">
        <v>662</v>
      </c>
      <c r="I196" s="253" t="s">
        <v>663</v>
      </c>
      <c r="J196" s="254" t="s">
        <v>664</v>
      </c>
      <c r="K196" s="252" t="s">
        <v>665</v>
      </c>
      <c r="L196" s="253" t="s">
        <v>662</v>
      </c>
      <c r="M196" s="254" t="s">
        <v>663</v>
      </c>
      <c r="N196" s="252" t="s">
        <v>664</v>
      </c>
      <c r="O196" s="253" t="s">
        <v>666</v>
      </c>
      <c r="P196" s="254" t="s">
        <v>667</v>
      </c>
      <c r="Q196" s="255" t="s">
        <v>668</v>
      </c>
      <c r="R196" s="256" t="s">
        <v>661</v>
      </c>
      <c r="S196" s="252" t="s">
        <v>662</v>
      </c>
      <c r="T196" s="257" t="s">
        <v>663</v>
      </c>
      <c r="U196" s="256" t="s">
        <v>664</v>
      </c>
      <c r="V196" s="252" t="s">
        <v>665</v>
      </c>
      <c r="W196" s="253" t="s">
        <v>662</v>
      </c>
      <c r="X196" s="254" t="s">
        <v>663</v>
      </c>
      <c r="Y196" s="252" t="s">
        <v>664</v>
      </c>
      <c r="Z196" s="253" t="s">
        <v>666</v>
      </c>
      <c r="AA196" s="254" t="s">
        <v>667</v>
      </c>
      <c r="AB196" s="255" t="s">
        <v>668</v>
      </c>
      <c r="AC196" s="541"/>
    </row>
    <row r="197" spans="1:30" s="45" customFormat="1" ht="22.5" customHeight="1">
      <c r="A197" s="258" t="str">
        <f ca="1">IFERROR(INDEX(凭证录入!H:H,$AD197),"")</f>
        <v/>
      </c>
      <c r="B197" s="259" t="str">
        <f ca="1">IFERROR(INDEX(凭证录入!I:I,$AD197),"")</f>
        <v/>
      </c>
      <c r="C197" s="260" t="str">
        <f ca="1">IFERROR(VLOOKUP($B197,会计科目表!$A:$C,2,),"")</f>
        <v/>
      </c>
      <c r="D197" s="261" t="str">
        <f ca="1">IFERROR(VLOOKUP($B197,会计科目表!$A:$C,3,),"")</f>
        <v/>
      </c>
      <c r="E197" s="262">
        <f ca="1">IFERROR(INDEX(凭证录入!K:K,$AD197),0)</f>
        <v>0</v>
      </c>
      <c r="F197" s="262">
        <f ca="1">IFERROR(INDEX(凭证录入!L:L,$AD197),0)</f>
        <v>0</v>
      </c>
      <c r="G197" s="263" t="str">
        <f t="shared" ca="1" si="64"/>
        <v/>
      </c>
      <c r="H197" s="264" t="str">
        <f t="shared" ca="1" si="64"/>
        <v/>
      </c>
      <c r="I197" s="265" t="str">
        <f t="shared" ca="1" si="64"/>
        <v/>
      </c>
      <c r="J197" s="266" t="str">
        <f t="shared" ca="1" si="64"/>
        <v/>
      </c>
      <c r="K197" s="264" t="str">
        <f t="shared" ca="1" si="64"/>
        <v/>
      </c>
      <c r="L197" s="265" t="str">
        <f t="shared" ca="1" si="64"/>
        <v/>
      </c>
      <c r="M197" s="266" t="str">
        <f t="shared" ca="1" si="64"/>
        <v/>
      </c>
      <c r="N197" s="264" t="str">
        <f t="shared" ca="1" si="64"/>
        <v/>
      </c>
      <c r="O197" s="265" t="str">
        <f t="shared" ca="1" si="64"/>
        <v/>
      </c>
      <c r="P197" s="266" t="str">
        <f t="shared" ca="1" si="64"/>
        <v/>
      </c>
      <c r="Q197" s="267" t="str">
        <f t="shared" ca="1" si="64"/>
        <v/>
      </c>
      <c r="R197" s="268" t="str">
        <f t="shared" ca="1" si="65"/>
        <v/>
      </c>
      <c r="S197" s="264" t="str">
        <f t="shared" ca="1" si="65"/>
        <v/>
      </c>
      <c r="T197" s="269" t="str">
        <f t="shared" ca="1" si="65"/>
        <v/>
      </c>
      <c r="U197" s="268" t="str">
        <f t="shared" ca="1" si="65"/>
        <v/>
      </c>
      <c r="V197" s="264" t="str">
        <f t="shared" ca="1" si="65"/>
        <v/>
      </c>
      <c r="W197" s="265" t="str">
        <f t="shared" ca="1" si="65"/>
        <v/>
      </c>
      <c r="X197" s="266" t="str">
        <f t="shared" ca="1" si="65"/>
        <v/>
      </c>
      <c r="Y197" s="264" t="str">
        <f t="shared" ca="1" si="65"/>
        <v/>
      </c>
      <c r="Z197" s="265" t="str">
        <f t="shared" ca="1" si="65"/>
        <v/>
      </c>
      <c r="AA197" s="266" t="str">
        <f t="shared" ca="1" si="65"/>
        <v/>
      </c>
      <c r="AB197" s="267" t="str">
        <f t="shared" ca="1" si="65"/>
        <v/>
      </c>
      <c r="AC197" s="541"/>
      <c r="AD197" s="212" t="str">
        <f t="shared" ca="1" si="66"/>
        <v/>
      </c>
    </row>
    <row r="198" spans="1:30" s="45" customFormat="1" ht="22.5" customHeight="1">
      <c r="A198" s="258" t="str">
        <f ca="1">IFERROR(INDEX(凭证录入!H:H,$AD198),"")</f>
        <v/>
      </c>
      <c r="B198" s="259" t="str">
        <f ca="1">IFERROR(INDEX(凭证录入!I:I,$AD198),"")</f>
        <v/>
      </c>
      <c r="C198" s="260" t="str">
        <f ca="1">IFERROR(VLOOKUP($B198,会计科目表!$A:$C,2,),"")</f>
        <v/>
      </c>
      <c r="D198" s="261" t="str">
        <f ca="1">IFERROR(VLOOKUP($B198,会计科目表!$A:$C,3,),"")</f>
        <v/>
      </c>
      <c r="E198" s="262">
        <f ca="1">IFERROR(INDEX(凭证录入!K:K,$AD198),0)</f>
        <v>0</v>
      </c>
      <c r="F198" s="262">
        <f ca="1">IFERROR(INDEX(凭证录入!L:L,$AD198),0)</f>
        <v>0</v>
      </c>
      <c r="G198" s="263" t="str">
        <f t="shared" ca="1" si="64"/>
        <v/>
      </c>
      <c r="H198" s="264" t="str">
        <f t="shared" ca="1" si="64"/>
        <v/>
      </c>
      <c r="I198" s="265" t="str">
        <f t="shared" ca="1" si="64"/>
        <v/>
      </c>
      <c r="J198" s="266" t="str">
        <f t="shared" ca="1" si="64"/>
        <v/>
      </c>
      <c r="K198" s="264" t="str">
        <f t="shared" ca="1" si="64"/>
        <v/>
      </c>
      <c r="L198" s="265" t="str">
        <f t="shared" ca="1" si="64"/>
        <v/>
      </c>
      <c r="M198" s="266" t="str">
        <f t="shared" ca="1" si="64"/>
        <v/>
      </c>
      <c r="N198" s="264" t="str">
        <f t="shared" ca="1" si="64"/>
        <v/>
      </c>
      <c r="O198" s="265" t="str">
        <f t="shared" ca="1" si="64"/>
        <v/>
      </c>
      <c r="P198" s="266" t="str">
        <f t="shared" ca="1" si="64"/>
        <v/>
      </c>
      <c r="Q198" s="267" t="str">
        <f t="shared" ca="1" si="64"/>
        <v/>
      </c>
      <c r="R198" s="268" t="str">
        <f t="shared" ca="1" si="65"/>
        <v/>
      </c>
      <c r="S198" s="264" t="str">
        <f t="shared" ca="1" si="65"/>
        <v/>
      </c>
      <c r="T198" s="269" t="str">
        <f t="shared" ca="1" si="65"/>
        <v/>
      </c>
      <c r="U198" s="268" t="str">
        <f t="shared" ca="1" si="65"/>
        <v/>
      </c>
      <c r="V198" s="264" t="str">
        <f t="shared" ca="1" si="65"/>
        <v/>
      </c>
      <c r="W198" s="265" t="str">
        <f t="shared" ca="1" si="65"/>
        <v/>
      </c>
      <c r="X198" s="266" t="str">
        <f t="shared" ca="1" si="65"/>
        <v/>
      </c>
      <c r="Y198" s="264" t="str">
        <f t="shared" ca="1" si="65"/>
        <v/>
      </c>
      <c r="Z198" s="265" t="str">
        <f t="shared" ca="1" si="65"/>
        <v/>
      </c>
      <c r="AA198" s="266" t="str">
        <f t="shared" ca="1" si="65"/>
        <v/>
      </c>
      <c r="AB198" s="267" t="str">
        <f t="shared" ca="1" si="65"/>
        <v/>
      </c>
      <c r="AC198" s="541"/>
      <c r="AD198" s="212" t="str">
        <f t="shared" ca="1" si="66"/>
        <v/>
      </c>
    </row>
    <row r="199" spans="1:30" s="45" customFormat="1" ht="22.5" customHeight="1">
      <c r="A199" s="258" t="str">
        <f ca="1">IFERROR(INDEX(凭证录入!H:H,$AD199),"")</f>
        <v/>
      </c>
      <c r="B199" s="259" t="str">
        <f ca="1">IFERROR(INDEX(凭证录入!I:I,$AD199),"")</f>
        <v/>
      </c>
      <c r="C199" s="260" t="str">
        <f ca="1">IFERROR(VLOOKUP($B199,会计科目表!$A:$C,2,),"")</f>
        <v/>
      </c>
      <c r="D199" s="261" t="str">
        <f ca="1">IFERROR(VLOOKUP($B199,会计科目表!$A:$C,3,),"")</f>
        <v/>
      </c>
      <c r="E199" s="262">
        <f ca="1">IFERROR(INDEX(凭证录入!K:K,$AD199),0)</f>
        <v>0</v>
      </c>
      <c r="F199" s="262">
        <f ca="1">IFERROR(INDEX(凭证录入!L:L,$AD199),0)</f>
        <v>0</v>
      </c>
      <c r="G199" s="263" t="str">
        <f t="shared" ca="1" si="64"/>
        <v/>
      </c>
      <c r="H199" s="264" t="str">
        <f t="shared" ca="1" si="64"/>
        <v/>
      </c>
      <c r="I199" s="265" t="str">
        <f t="shared" ref="G199:Q237" ca="1" si="78">LEFT(RIGHT(TEXT($E199/1%," ￥0; ￥-0;"),18-COLUMN()))</f>
        <v/>
      </c>
      <c r="J199" s="266" t="str">
        <f t="shared" ca="1" si="78"/>
        <v/>
      </c>
      <c r="K199" s="264" t="str">
        <f t="shared" ca="1" si="78"/>
        <v/>
      </c>
      <c r="L199" s="265" t="str">
        <f t="shared" ca="1" si="78"/>
        <v/>
      </c>
      <c r="M199" s="266" t="str">
        <f t="shared" ca="1" si="78"/>
        <v/>
      </c>
      <c r="N199" s="264" t="str">
        <f t="shared" ca="1" si="78"/>
        <v/>
      </c>
      <c r="O199" s="265" t="str">
        <f t="shared" ca="1" si="78"/>
        <v/>
      </c>
      <c r="P199" s="266" t="str">
        <f t="shared" ca="1" si="78"/>
        <v/>
      </c>
      <c r="Q199" s="267" t="str">
        <f t="shared" ca="1" si="78"/>
        <v/>
      </c>
      <c r="R199" s="268" t="str">
        <f t="shared" ca="1" si="65"/>
        <v/>
      </c>
      <c r="S199" s="264" t="str">
        <f t="shared" ca="1" si="65"/>
        <v/>
      </c>
      <c r="T199" s="269" t="str">
        <f t="shared" ref="R199:AB237" ca="1" si="79">LEFT(RIGHT(TEXT($F199/1%," ￥0; ￥-0;"),29-COLUMN()))</f>
        <v/>
      </c>
      <c r="U199" s="268" t="str">
        <f t="shared" ca="1" si="79"/>
        <v/>
      </c>
      <c r="V199" s="264" t="str">
        <f t="shared" ca="1" si="79"/>
        <v/>
      </c>
      <c r="W199" s="265" t="str">
        <f t="shared" ca="1" si="79"/>
        <v/>
      </c>
      <c r="X199" s="266" t="str">
        <f t="shared" ca="1" si="79"/>
        <v/>
      </c>
      <c r="Y199" s="264" t="str">
        <f t="shared" ca="1" si="79"/>
        <v/>
      </c>
      <c r="Z199" s="265" t="str">
        <f t="shared" ca="1" si="79"/>
        <v/>
      </c>
      <c r="AA199" s="266" t="str">
        <f t="shared" ca="1" si="79"/>
        <v/>
      </c>
      <c r="AB199" s="267" t="str">
        <f t="shared" ca="1" si="79"/>
        <v/>
      </c>
      <c r="AC199" s="536" t="s">
        <v>669</v>
      </c>
      <c r="AD199" s="212" t="str">
        <f t="shared" ca="1" si="66"/>
        <v/>
      </c>
    </row>
    <row r="200" spans="1:30" s="45" customFormat="1" ht="22.5" customHeight="1">
      <c r="A200" s="258" t="str">
        <f ca="1">IFERROR(INDEX(凭证录入!H:H,$AD200),"")</f>
        <v/>
      </c>
      <c r="B200" s="259" t="str">
        <f ca="1">IFERROR(INDEX(凭证录入!I:I,$AD200),"")</f>
        <v/>
      </c>
      <c r="C200" s="260" t="str">
        <f ca="1">IFERROR(VLOOKUP($B200,会计科目表!$A:$C,2,),"")</f>
        <v/>
      </c>
      <c r="D200" s="261" t="str">
        <f ca="1">IFERROR(VLOOKUP($B200,会计科目表!$A:$C,3,),"")</f>
        <v/>
      </c>
      <c r="E200" s="262">
        <f ca="1">IFERROR(INDEX(凭证录入!K:K,$AD200),0)</f>
        <v>0</v>
      </c>
      <c r="F200" s="262">
        <f ca="1">IFERROR(INDEX(凭证录入!L:L,$AD200),0)</f>
        <v>0</v>
      </c>
      <c r="G200" s="263" t="str">
        <f t="shared" ca="1" si="78"/>
        <v/>
      </c>
      <c r="H200" s="264" t="str">
        <f t="shared" ca="1" si="78"/>
        <v/>
      </c>
      <c r="I200" s="265" t="str">
        <f t="shared" ca="1" si="78"/>
        <v/>
      </c>
      <c r="J200" s="266" t="str">
        <f t="shared" ca="1" si="78"/>
        <v/>
      </c>
      <c r="K200" s="264" t="str">
        <f t="shared" ca="1" si="78"/>
        <v/>
      </c>
      <c r="L200" s="265" t="str">
        <f t="shared" ca="1" si="78"/>
        <v/>
      </c>
      <c r="M200" s="266" t="str">
        <f t="shared" ca="1" si="78"/>
        <v/>
      </c>
      <c r="N200" s="264" t="str">
        <f t="shared" ca="1" si="78"/>
        <v/>
      </c>
      <c r="O200" s="265" t="str">
        <f t="shared" ca="1" si="78"/>
        <v/>
      </c>
      <c r="P200" s="266" t="str">
        <f t="shared" ca="1" si="78"/>
        <v/>
      </c>
      <c r="Q200" s="267" t="str">
        <f t="shared" ca="1" si="78"/>
        <v/>
      </c>
      <c r="R200" s="268" t="str">
        <f t="shared" ca="1" si="79"/>
        <v/>
      </c>
      <c r="S200" s="264" t="str">
        <f t="shared" ca="1" si="79"/>
        <v/>
      </c>
      <c r="T200" s="269" t="str">
        <f t="shared" ca="1" si="79"/>
        <v/>
      </c>
      <c r="U200" s="268" t="str">
        <f t="shared" ca="1" si="79"/>
        <v/>
      </c>
      <c r="V200" s="264" t="str">
        <f t="shared" ca="1" si="79"/>
        <v/>
      </c>
      <c r="W200" s="265" t="str">
        <f t="shared" ca="1" si="79"/>
        <v/>
      </c>
      <c r="X200" s="266" t="str">
        <f t="shared" ca="1" si="79"/>
        <v/>
      </c>
      <c r="Y200" s="264" t="str">
        <f t="shared" ca="1" si="79"/>
        <v/>
      </c>
      <c r="Z200" s="265" t="str">
        <f t="shared" ca="1" si="79"/>
        <v/>
      </c>
      <c r="AA200" s="266" t="str">
        <f t="shared" ca="1" si="79"/>
        <v/>
      </c>
      <c r="AB200" s="267" t="str">
        <f t="shared" ca="1" si="79"/>
        <v/>
      </c>
      <c r="AC200" s="537"/>
      <c r="AD200" s="212" t="str">
        <f t="shared" ca="1" si="66"/>
        <v/>
      </c>
    </row>
    <row r="201" spans="1:30" s="45" customFormat="1" ht="22.5" customHeight="1">
      <c r="A201" s="258" t="str">
        <f ca="1">IFERROR(INDEX(凭证录入!H:H,$AD201),"")</f>
        <v/>
      </c>
      <c r="B201" s="259" t="str">
        <f ca="1">IFERROR(INDEX(凭证录入!I:I,$AD201),"")</f>
        <v/>
      </c>
      <c r="C201" s="260" t="str">
        <f ca="1">IFERROR(VLOOKUP($B201,会计科目表!$A:$C,2,),"")</f>
        <v/>
      </c>
      <c r="D201" s="261" t="str">
        <f ca="1">IFERROR(VLOOKUP($B201,会计科目表!$A:$C,3,),"")</f>
        <v/>
      </c>
      <c r="E201" s="262">
        <f ca="1">IFERROR(INDEX(凭证录入!K:K,$AD201),0)</f>
        <v>0</v>
      </c>
      <c r="F201" s="262">
        <f ca="1">IFERROR(INDEX(凭证录入!L:L,$AD201),0)</f>
        <v>0</v>
      </c>
      <c r="G201" s="263" t="str">
        <f t="shared" ca="1" si="78"/>
        <v/>
      </c>
      <c r="H201" s="264" t="str">
        <f t="shared" ca="1" si="78"/>
        <v/>
      </c>
      <c r="I201" s="265" t="str">
        <f t="shared" ca="1" si="78"/>
        <v/>
      </c>
      <c r="J201" s="266" t="str">
        <f t="shared" ca="1" si="78"/>
        <v/>
      </c>
      <c r="K201" s="264" t="str">
        <f t="shared" ca="1" si="78"/>
        <v/>
      </c>
      <c r="L201" s="265" t="str">
        <f t="shared" ca="1" si="78"/>
        <v/>
      </c>
      <c r="M201" s="266" t="str">
        <f t="shared" ca="1" si="78"/>
        <v/>
      </c>
      <c r="N201" s="264" t="str">
        <f t="shared" ca="1" si="78"/>
        <v/>
      </c>
      <c r="O201" s="265" t="str">
        <f t="shared" ca="1" si="78"/>
        <v/>
      </c>
      <c r="P201" s="266" t="str">
        <f t="shared" ca="1" si="78"/>
        <v/>
      </c>
      <c r="Q201" s="267" t="str">
        <f t="shared" ca="1" si="78"/>
        <v/>
      </c>
      <c r="R201" s="268" t="str">
        <f t="shared" ca="1" si="79"/>
        <v/>
      </c>
      <c r="S201" s="264" t="str">
        <f t="shared" ca="1" si="79"/>
        <v/>
      </c>
      <c r="T201" s="269" t="str">
        <f t="shared" ca="1" si="79"/>
        <v/>
      </c>
      <c r="U201" s="268" t="str">
        <f t="shared" ca="1" si="79"/>
        <v/>
      </c>
      <c r="V201" s="264" t="str">
        <f t="shared" ca="1" si="79"/>
        <v/>
      </c>
      <c r="W201" s="265" t="str">
        <f t="shared" ca="1" si="79"/>
        <v/>
      </c>
      <c r="X201" s="266" t="str">
        <f t="shared" ca="1" si="79"/>
        <v/>
      </c>
      <c r="Y201" s="264" t="str">
        <f t="shared" ca="1" si="79"/>
        <v/>
      </c>
      <c r="Z201" s="265" t="str">
        <f t="shared" ca="1" si="79"/>
        <v/>
      </c>
      <c r="AA201" s="266" t="str">
        <f t="shared" ca="1" si="79"/>
        <v/>
      </c>
      <c r="AB201" s="267" t="str">
        <f t="shared" ca="1" si="79"/>
        <v/>
      </c>
      <c r="AC201" s="538"/>
      <c r="AD201" s="212" t="str">
        <f t="shared" ca="1" si="66"/>
        <v/>
      </c>
    </row>
    <row r="202" spans="1:30" s="45" customFormat="1" ht="22.5" customHeight="1">
      <c r="A202" s="258" t="str">
        <f ca="1">IFERROR(INDEX(凭证录入!H:H,$AD202),"")</f>
        <v/>
      </c>
      <c r="B202" s="259" t="str">
        <f ca="1">IFERROR(INDEX(凭证录入!I:I,$AD202),"")</f>
        <v/>
      </c>
      <c r="C202" s="260" t="str">
        <f ca="1">IFERROR(VLOOKUP($B202,会计科目表!$A:$C,2,),"")</f>
        <v/>
      </c>
      <c r="D202" s="261" t="str">
        <f ca="1">IFERROR(VLOOKUP($B202,会计科目表!$A:$C,3,),"")</f>
        <v/>
      </c>
      <c r="E202" s="262">
        <f ca="1">IFERROR(INDEX(凭证录入!K:K,$AD202),0)</f>
        <v>0</v>
      </c>
      <c r="F202" s="262">
        <f ca="1">IFERROR(INDEX(凭证录入!L:L,$AD202),0)</f>
        <v>0</v>
      </c>
      <c r="G202" s="263" t="str">
        <f t="shared" ca="1" si="78"/>
        <v/>
      </c>
      <c r="H202" s="264" t="str">
        <f t="shared" ca="1" si="78"/>
        <v/>
      </c>
      <c r="I202" s="265" t="str">
        <f t="shared" ca="1" si="78"/>
        <v/>
      </c>
      <c r="J202" s="266" t="str">
        <f t="shared" ca="1" si="78"/>
        <v/>
      </c>
      <c r="K202" s="264" t="str">
        <f t="shared" ca="1" si="78"/>
        <v/>
      </c>
      <c r="L202" s="265" t="str">
        <f t="shared" ca="1" si="78"/>
        <v/>
      </c>
      <c r="M202" s="266" t="str">
        <f t="shared" ca="1" si="78"/>
        <v/>
      </c>
      <c r="N202" s="264" t="str">
        <f t="shared" ca="1" si="78"/>
        <v/>
      </c>
      <c r="O202" s="265" t="str">
        <f t="shared" ca="1" si="78"/>
        <v/>
      </c>
      <c r="P202" s="266" t="str">
        <f t="shared" ca="1" si="78"/>
        <v/>
      </c>
      <c r="Q202" s="267" t="str">
        <f t="shared" ca="1" si="78"/>
        <v/>
      </c>
      <c r="R202" s="268" t="str">
        <f t="shared" ca="1" si="79"/>
        <v/>
      </c>
      <c r="S202" s="264" t="str">
        <f t="shared" ca="1" si="79"/>
        <v/>
      </c>
      <c r="T202" s="269" t="str">
        <f t="shared" ca="1" si="79"/>
        <v/>
      </c>
      <c r="U202" s="268" t="str">
        <f t="shared" ca="1" si="79"/>
        <v/>
      </c>
      <c r="V202" s="264" t="str">
        <f t="shared" ca="1" si="79"/>
        <v/>
      </c>
      <c r="W202" s="265" t="str">
        <f t="shared" ca="1" si="79"/>
        <v/>
      </c>
      <c r="X202" s="266" t="str">
        <f t="shared" ca="1" si="79"/>
        <v/>
      </c>
      <c r="Y202" s="264" t="str">
        <f t="shared" ca="1" si="79"/>
        <v/>
      </c>
      <c r="Z202" s="265" t="str">
        <f t="shared" ca="1" si="79"/>
        <v/>
      </c>
      <c r="AA202" s="266" t="str">
        <f t="shared" ca="1" si="79"/>
        <v/>
      </c>
      <c r="AB202" s="267" t="str">
        <f t="shared" ca="1" si="79"/>
        <v/>
      </c>
      <c r="AC202" s="538"/>
      <c r="AD202" s="212" t="str">
        <f t="shared" ca="1" si="66"/>
        <v/>
      </c>
    </row>
    <row r="203" spans="1:30" s="45" customFormat="1" ht="22.5" customHeight="1">
      <c r="A203" s="270" t="s">
        <v>670</v>
      </c>
      <c r="B203" s="271"/>
      <c r="C203" s="272" t="str">
        <f t="shared" ref="C203" ca="1" si="80">SUBSTITUTE(SUBSTITUTE(IF(-DOLLAR(E203),IF(E203&gt;0,,"负")&amp;TEXT(INT(ABS(E203)+0.5%),"[dbnum2]G/通用格式元;;")&amp;TEXT(RIGHT(DOLLAR(E203,2),2),"[dbnum2]0角0分;;整"),),"零角",IF(E203^2&lt;1,,"零")),"零分","整")</f>
        <v/>
      </c>
      <c r="D203" s="273"/>
      <c r="E203" s="274">
        <f t="shared" ref="E203:F203" ca="1" si="81">SUM(E197:E202)</f>
        <v>0</v>
      </c>
      <c r="F203" s="275">
        <f t="shared" ca="1" si="81"/>
        <v>0</v>
      </c>
      <c r="G203" s="276" t="str">
        <f t="shared" ca="1" si="78"/>
        <v/>
      </c>
      <c r="H203" s="277" t="str">
        <f t="shared" ca="1" si="78"/>
        <v/>
      </c>
      <c r="I203" s="278" t="str">
        <f t="shared" ca="1" si="78"/>
        <v/>
      </c>
      <c r="J203" s="279" t="str">
        <f t="shared" ca="1" si="78"/>
        <v/>
      </c>
      <c r="K203" s="277" t="str">
        <f t="shared" ca="1" si="78"/>
        <v/>
      </c>
      <c r="L203" s="278" t="str">
        <f t="shared" ca="1" si="78"/>
        <v/>
      </c>
      <c r="M203" s="279" t="str">
        <f t="shared" ca="1" si="78"/>
        <v/>
      </c>
      <c r="N203" s="277" t="str">
        <f t="shared" ca="1" si="78"/>
        <v/>
      </c>
      <c r="O203" s="278" t="str">
        <f t="shared" ca="1" si="78"/>
        <v/>
      </c>
      <c r="P203" s="279" t="str">
        <f t="shared" ca="1" si="78"/>
        <v/>
      </c>
      <c r="Q203" s="280" t="str">
        <f t="shared" ca="1" si="78"/>
        <v/>
      </c>
      <c r="R203" s="281" t="str">
        <f t="shared" ca="1" si="79"/>
        <v/>
      </c>
      <c r="S203" s="277" t="str">
        <f t="shared" ca="1" si="79"/>
        <v/>
      </c>
      <c r="T203" s="282" t="str">
        <f t="shared" ca="1" si="79"/>
        <v/>
      </c>
      <c r="U203" s="281" t="str">
        <f t="shared" ca="1" si="79"/>
        <v/>
      </c>
      <c r="V203" s="277" t="str">
        <f t="shared" ca="1" si="79"/>
        <v/>
      </c>
      <c r="W203" s="278" t="str">
        <f t="shared" ca="1" si="79"/>
        <v/>
      </c>
      <c r="X203" s="279" t="str">
        <f t="shared" ca="1" si="79"/>
        <v/>
      </c>
      <c r="Y203" s="277" t="str">
        <f t="shared" ca="1" si="79"/>
        <v/>
      </c>
      <c r="Z203" s="278" t="str">
        <f t="shared" ca="1" si="79"/>
        <v/>
      </c>
      <c r="AA203" s="279" t="str">
        <f t="shared" ca="1" si="79"/>
        <v/>
      </c>
      <c r="AB203" s="280" t="str">
        <f t="shared" ca="1" si="79"/>
        <v/>
      </c>
      <c r="AC203" s="283"/>
      <c r="AD203" s="212"/>
    </row>
    <row r="204" spans="1:30" s="22" customFormat="1" ht="22.5" customHeight="1">
      <c r="A204" s="284" t="s">
        <v>644</v>
      </c>
      <c r="B204" s="284"/>
      <c r="C204" s="284"/>
      <c r="D204" s="284" t="s">
        <v>645</v>
      </c>
      <c r="E204" s="284"/>
      <c r="F204" s="284"/>
      <c r="G204" s="284"/>
      <c r="H204" s="285"/>
      <c r="I204" s="284"/>
      <c r="J204" s="285"/>
      <c r="K204" s="285"/>
      <c r="L204" s="284"/>
      <c r="M204" s="285"/>
      <c r="N204" s="285"/>
      <c r="O204" s="285"/>
      <c r="P204" s="284"/>
      <c r="Q204" s="284" t="s">
        <v>646</v>
      </c>
      <c r="R204" s="284"/>
      <c r="S204" s="284"/>
      <c r="T204" s="284"/>
      <c r="U204" s="285"/>
      <c r="V204" s="284"/>
      <c r="W204" s="285"/>
      <c r="X204" s="284"/>
      <c r="Y204" s="284"/>
      <c r="Z204" s="285"/>
      <c r="AA204" s="285"/>
      <c r="AB204" s="285"/>
      <c r="AC204" s="286"/>
      <c r="AD204" s="212"/>
    </row>
    <row r="205" spans="1:30" ht="39.75" customHeight="1" thickBot="1">
      <c r="A205" s="226"/>
      <c r="B205" s="226"/>
      <c r="C205" s="227" t="s">
        <v>647</v>
      </c>
      <c r="D205" s="228"/>
      <c r="E205" s="226"/>
      <c r="F205" s="226"/>
      <c r="G205" s="228"/>
      <c r="H205" s="228"/>
      <c r="I205" s="228"/>
      <c r="J205" s="228"/>
      <c r="K205" s="228"/>
      <c r="L205" s="228"/>
      <c r="M205" s="228"/>
      <c r="N205" s="228"/>
      <c r="O205" s="228"/>
      <c r="P205" s="228"/>
      <c r="Q205" s="228"/>
      <c r="R205" s="229" t="s">
        <v>648</v>
      </c>
      <c r="S205" s="230"/>
      <c r="T205" s="230"/>
      <c r="U205" s="231" t="e">
        <f ca="1">DATE(AD$1,AF$1,INDEX(凭证录入!B:B,AD209))</f>
        <v>#VALUE!</v>
      </c>
      <c r="V205" s="232"/>
      <c r="W205" s="232"/>
      <c r="X205" s="232"/>
      <c r="Y205" s="232"/>
      <c r="Z205" s="232"/>
      <c r="AA205" s="232"/>
      <c r="AB205" s="232"/>
      <c r="AD205" s="212"/>
    </row>
    <row r="206" spans="1:30" s="45" customFormat="1" ht="23.25" customHeight="1" thickTop="1">
      <c r="A206" s="235" t="s">
        <v>649</v>
      </c>
      <c r="B206" s="235"/>
      <c r="C206" s="236" t="str">
        <f t="shared" si="72"/>
        <v>远大开发有限公司</v>
      </c>
      <c r="D206" s="236"/>
      <c r="E206" s="236"/>
      <c r="F206" s="236"/>
      <c r="G206" s="236"/>
      <c r="H206" s="236"/>
      <c r="I206" s="236"/>
      <c r="J206" s="236"/>
      <c r="K206" s="236"/>
      <c r="L206" s="236"/>
      <c r="M206" s="236"/>
      <c r="N206" s="236"/>
      <c r="O206" s="236"/>
      <c r="P206" s="236"/>
      <c r="Q206" s="236"/>
      <c r="R206" s="229" t="s">
        <v>650</v>
      </c>
      <c r="S206" s="229"/>
      <c r="T206" s="229"/>
      <c r="U206" s="237" t="str">
        <f t="shared" ref="U206" si="82">"第 "&amp;TEXT($AF$1,"00")&amp;TEXT($AC206,"0000 号")</f>
        <v>第 010018 号</v>
      </c>
      <c r="V206" s="237"/>
      <c r="W206" s="238"/>
      <c r="X206" s="238"/>
      <c r="Y206" s="238"/>
      <c r="Z206" s="238"/>
      <c r="AA206" s="238"/>
      <c r="AB206" s="238"/>
      <c r="AC206" s="239">
        <f t="shared" si="74"/>
        <v>18</v>
      </c>
      <c r="AD206" s="212"/>
    </row>
    <row r="207" spans="1:30" s="45" customFormat="1" ht="22.5" customHeight="1">
      <c r="A207" s="241" t="s">
        <v>651</v>
      </c>
      <c r="B207" s="542" t="s">
        <v>652</v>
      </c>
      <c r="C207" s="242" t="s">
        <v>653</v>
      </c>
      <c r="D207" s="243" t="s">
        <v>654</v>
      </c>
      <c r="E207" s="539" t="s">
        <v>655</v>
      </c>
      <c r="F207" s="539" t="s">
        <v>656</v>
      </c>
      <c r="G207" s="244" t="s">
        <v>657</v>
      </c>
      <c r="H207" s="245"/>
      <c r="I207" s="245"/>
      <c r="J207" s="245"/>
      <c r="K207" s="245"/>
      <c r="L207" s="245"/>
      <c r="M207" s="245"/>
      <c r="N207" s="245"/>
      <c r="O207" s="245"/>
      <c r="P207" s="245"/>
      <c r="Q207" s="246"/>
      <c r="R207" s="247" t="s">
        <v>658</v>
      </c>
      <c r="S207" s="245"/>
      <c r="T207" s="245"/>
      <c r="U207" s="245"/>
      <c r="V207" s="245"/>
      <c r="W207" s="245"/>
      <c r="X207" s="245"/>
      <c r="Y207" s="245"/>
      <c r="Z207" s="245"/>
      <c r="AA207" s="245"/>
      <c r="AB207" s="246"/>
      <c r="AC207" s="541" t="str">
        <f ca="1">"附单据数︵"&amp;INDEX(凭证录入!$D:$D,$AD$17)&amp;"︶张"</f>
        <v>附单据数︵4︶张</v>
      </c>
      <c r="AD207" s="235"/>
    </row>
    <row r="208" spans="1:30" s="45" customFormat="1" ht="22.5" customHeight="1">
      <c r="A208" s="248" t="s">
        <v>659</v>
      </c>
      <c r="B208" s="543"/>
      <c r="C208" s="249" t="s">
        <v>660</v>
      </c>
      <c r="D208" s="250" t="s">
        <v>660</v>
      </c>
      <c r="E208" s="540"/>
      <c r="F208" s="540"/>
      <c r="G208" s="251" t="s">
        <v>661</v>
      </c>
      <c r="H208" s="252" t="s">
        <v>662</v>
      </c>
      <c r="I208" s="253" t="s">
        <v>663</v>
      </c>
      <c r="J208" s="254" t="s">
        <v>664</v>
      </c>
      <c r="K208" s="252" t="s">
        <v>665</v>
      </c>
      <c r="L208" s="253" t="s">
        <v>662</v>
      </c>
      <c r="M208" s="254" t="s">
        <v>663</v>
      </c>
      <c r="N208" s="252" t="s">
        <v>664</v>
      </c>
      <c r="O208" s="253" t="s">
        <v>666</v>
      </c>
      <c r="P208" s="254" t="s">
        <v>667</v>
      </c>
      <c r="Q208" s="255" t="s">
        <v>668</v>
      </c>
      <c r="R208" s="256" t="s">
        <v>661</v>
      </c>
      <c r="S208" s="252" t="s">
        <v>662</v>
      </c>
      <c r="T208" s="257" t="s">
        <v>663</v>
      </c>
      <c r="U208" s="256" t="s">
        <v>664</v>
      </c>
      <c r="V208" s="252" t="s">
        <v>665</v>
      </c>
      <c r="W208" s="253" t="s">
        <v>662</v>
      </c>
      <c r="X208" s="254" t="s">
        <v>663</v>
      </c>
      <c r="Y208" s="252" t="s">
        <v>664</v>
      </c>
      <c r="Z208" s="253" t="s">
        <v>666</v>
      </c>
      <c r="AA208" s="254" t="s">
        <v>667</v>
      </c>
      <c r="AB208" s="255" t="s">
        <v>668</v>
      </c>
      <c r="AC208" s="541"/>
    </row>
    <row r="209" spans="1:30" s="45" customFormat="1" ht="22.5" customHeight="1">
      <c r="A209" s="258" t="str">
        <f ca="1">IFERROR(INDEX(凭证录入!H:H,$AD209),"")</f>
        <v/>
      </c>
      <c r="B209" s="259" t="str">
        <f ca="1">IFERROR(INDEX(凭证录入!I:I,$AD209),"")</f>
        <v/>
      </c>
      <c r="C209" s="260" t="str">
        <f ca="1">IFERROR(VLOOKUP($B209,会计科目表!$A:$C,2,),"")</f>
        <v/>
      </c>
      <c r="D209" s="261" t="str">
        <f ca="1">IFERROR(VLOOKUP($B209,会计科目表!$A:$C,3,),"")</f>
        <v/>
      </c>
      <c r="E209" s="262">
        <f ca="1">IFERROR(INDEX(凭证录入!K:K,$AD209),0)</f>
        <v>0</v>
      </c>
      <c r="F209" s="262">
        <f ca="1">IFERROR(INDEX(凭证录入!L:L,$AD209),0)</f>
        <v>0</v>
      </c>
      <c r="G209" s="263" t="str">
        <f t="shared" ca="1" si="78"/>
        <v/>
      </c>
      <c r="H209" s="264" t="str">
        <f t="shared" ca="1" si="78"/>
        <v/>
      </c>
      <c r="I209" s="265" t="str">
        <f t="shared" ca="1" si="78"/>
        <v/>
      </c>
      <c r="J209" s="266" t="str">
        <f t="shared" ca="1" si="78"/>
        <v/>
      </c>
      <c r="K209" s="264" t="str">
        <f t="shared" ca="1" si="78"/>
        <v/>
      </c>
      <c r="L209" s="265" t="str">
        <f t="shared" ca="1" si="78"/>
        <v/>
      </c>
      <c r="M209" s="266" t="str">
        <f t="shared" ca="1" si="78"/>
        <v/>
      </c>
      <c r="N209" s="264" t="str">
        <f t="shared" ca="1" si="78"/>
        <v/>
      </c>
      <c r="O209" s="265" t="str">
        <f t="shared" ca="1" si="78"/>
        <v/>
      </c>
      <c r="P209" s="266" t="str">
        <f t="shared" ca="1" si="78"/>
        <v/>
      </c>
      <c r="Q209" s="267" t="str">
        <f t="shared" ca="1" si="78"/>
        <v/>
      </c>
      <c r="R209" s="268" t="str">
        <f t="shared" ca="1" si="79"/>
        <v/>
      </c>
      <c r="S209" s="264" t="str">
        <f t="shared" ca="1" si="79"/>
        <v/>
      </c>
      <c r="T209" s="269" t="str">
        <f t="shared" ca="1" si="79"/>
        <v/>
      </c>
      <c r="U209" s="268" t="str">
        <f t="shared" ca="1" si="79"/>
        <v/>
      </c>
      <c r="V209" s="264" t="str">
        <f t="shared" ca="1" si="79"/>
        <v/>
      </c>
      <c r="W209" s="265" t="str">
        <f t="shared" ca="1" si="79"/>
        <v/>
      </c>
      <c r="X209" s="266" t="str">
        <f t="shared" ca="1" si="79"/>
        <v/>
      </c>
      <c r="Y209" s="264" t="str">
        <f t="shared" ca="1" si="79"/>
        <v/>
      </c>
      <c r="Z209" s="265" t="str">
        <f t="shared" ca="1" si="79"/>
        <v/>
      </c>
      <c r="AA209" s="266" t="str">
        <f t="shared" ca="1" si="79"/>
        <v/>
      </c>
      <c r="AB209" s="267" t="str">
        <f t="shared" ca="1" si="79"/>
        <v/>
      </c>
      <c r="AC209" s="541"/>
      <c r="AD209" s="212" t="str">
        <f t="shared" ca="1" si="66"/>
        <v/>
      </c>
    </row>
    <row r="210" spans="1:30" s="45" customFormat="1" ht="22.5" customHeight="1">
      <c r="A210" s="258" t="str">
        <f ca="1">IFERROR(INDEX(凭证录入!H:H,$AD210),"")</f>
        <v/>
      </c>
      <c r="B210" s="259" t="str">
        <f ca="1">IFERROR(INDEX(凭证录入!I:I,$AD210),"")</f>
        <v/>
      </c>
      <c r="C210" s="260" t="str">
        <f ca="1">IFERROR(VLOOKUP($B210,会计科目表!$A:$C,2,),"")</f>
        <v/>
      </c>
      <c r="D210" s="261" t="str">
        <f ca="1">IFERROR(VLOOKUP($B210,会计科目表!$A:$C,3,),"")</f>
        <v/>
      </c>
      <c r="E210" s="262">
        <f ca="1">IFERROR(INDEX(凭证录入!K:K,$AD210),0)</f>
        <v>0</v>
      </c>
      <c r="F210" s="262">
        <f ca="1">IFERROR(INDEX(凭证录入!L:L,$AD210),0)</f>
        <v>0</v>
      </c>
      <c r="G210" s="263" t="str">
        <f t="shared" ca="1" si="78"/>
        <v/>
      </c>
      <c r="H210" s="264" t="str">
        <f t="shared" ca="1" si="78"/>
        <v/>
      </c>
      <c r="I210" s="265" t="str">
        <f t="shared" ca="1" si="78"/>
        <v/>
      </c>
      <c r="J210" s="266" t="str">
        <f t="shared" ca="1" si="78"/>
        <v/>
      </c>
      <c r="K210" s="264" t="str">
        <f t="shared" ca="1" si="78"/>
        <v/>
      </c>
      <c r="L210" s="265" t="str">
        <f t="shared" ca="1" si="78"/>
        <v/>
      </c>
      <c r="M210" s="266" t="str">
        <f t="shared" ca="1" si="78"/>
        <v/>
      </c>
      <c r="N210" s="264" t="str">
        <f t="shared" ca="1" si="78"/>
        <v/>
      </c>
      <c r="O210" s="265" t="str">
        <f t="shared" ca="1" si="78"/>
        <v/>
      </c>
      <c r="P210" s="266" t="str">
        <f t="shared" ca="1" si="78"/>
        <v/>
      </c>
      <c r="Q210" s="267" t="str">
        <f t="shared" ca="1" si="78"/>
        <v/>
      </c>
      <c r="R210" s="268" t="str">
        <f t="shared" ca="1" si="79"/>
        <v/>
      </c>
      <c r="S210" s="264" t="str">
        <f t="shared" ca="1" si="79"/>
        <v/>
      </c>
      <c r="T210" s="269" t="str">
        <f t="shared" ca="1" si="79"/>
        <v/>
      </c>
      <c r="U210" s="268" t="str">
        <f t="shared" ca="1" si="79"/>
        <v/>
      </c>
      <c r="V210" s="264" t="str">
        <f t="shared" ca="1" si="79"/>
        <v/>
      </c>
      <c r="W210" s="265" t="str">
        <f t="shared" ca="1" si="79"/>
        <v/>
      </c>
      <c r="X210" s="266" t="str">
        <f t="shared" ca="1" si="79"/>
        <v/>
      </c>
      <c r="Y210" s="264" t="str">
        <f t="shared" ca="1" si="79"/>
        <v/>
      </c>
      <c r="Z210" s="265" t="str">
        <f t="shared" ca="1" si="79"/>
        <v/>
      </c>
      <c r="AA210" s="266" t="str">
        <f t="shared" ca="1" si="79"/>
        <v/>
      </c>
      <c r="AB210" s="267" t="str">
        <f t="shared" ca="1" si="79"/>
        <v/>
      </c>
      <c r="AC210" s="541"/>
      <c r="AD210" s="212" t="str">
        <f t="shared" ca="1" si="66"/>
        <v/>
      </c>
    </row>
    <row r="211" spans="1:30" s="45" customFormat="1" ht="22.5" customHeight="1">
      <c r="A211" s="258" t="str">
        <f ca="1">IFERROR(INDEX(凭证录入!H:H,$AD211),"")</f>
        <v/>
      </c>
      <c r="B211" s="259" t="str">
        <f ca="1">IFERROR(INDEX(凭证录入!I:I,$AD211),"")</f>
        <v/>
      </c>
      <c r="C211" s="260" t="str">
        <f ca="1">IFERROR(VLOOKUP($B211,会计科目表!$A:$C,2,),"")</f>
        <v/>
      </c>
      <c r="D211" s="261" t="str">
        <f ca="1">IFERROR(VLOOKUP($B211,会计科目表!$A:$C,3,),"")</f>
        <v/>
      </c>
      <c r="E211" s="262">
        <f ca="1">IFERROR(INDEX(凭证录入!K:K,$AD211),0)</f>
        <v>0</v>
      </c>
      <c r="F211" s="262">
        <f ca="1">IFERROR(INDEX(凭证录入!L:L,$AD211),0)</f>
        <v>0</v>
      </c>
      <c r="G211" s="263" t="str">
        <f t="shared" ca="1" si="78"/>
        <v/>
      </c>
      <c r="H211" s="264" t="str">
        <f t="shared" ca="1" si="78"/>
        <v/>
      </c>
      <c r="I211" s="265" t="str">
        <f t="shared" ca="1" si="78"/>
        <v/>
      </c>
      <c r="J211" s="266" t="str">
        <f t="shared" ca="1" si="78"/>
        <v/>
      </c>
      <c r="K211" s="264" t="str">
        <f t="shared" ca="1" si="78"/>
        <v/>
      </c>
      <c r="L211" s="265" t="str">
        <f t="shared" ca="1" si="78"/>
        <v/>
      </c>
      <c r="M211" s="266" t="str">
        <f t="shared" ca="1" si="78"/>
        <v/>
      </c>
      <c r="N211" s="264" t="str">
        <f t="shared" ca="1" si="78"/>
        <v/>
      </c>
      <c r="O211" s="265" t="str">
        <f t="shared" ca="1" si="78"/>
        <v/>
      </c>
      <c r="P211" s="266" t="str">
        <f t="shared" ca="1" si="78"/>
        <v/>
      </c>
      <c r="Q211" s="267" t="str">
        <f t="shared" ca="1" si="78"/>
        <v/>
      </c>
      <c r="R211" s="268" t="str">
        <f t="shared" ca="1" si="79"/>
        <v/>
      </c>
      <c r="S211" s="264" t="str">
        <f t="shared" ca="1" si="79"/>
        <v/>
      </c>
      <c r="T211" s="269" t="str">
        <f t="shared" ca="1" si="79"/>
        <v/>
      </c>
      <c r="U211" s="268" t="str">
        <f t="shared" ca="1" si="79"/>
        <v/>
      </c>
      <c r="V211" s="264" t="str">
        <f t="shared" ca="1" si="79"/>
        <v/>
      </c>
      <c r="W211" s="265" t="str">
        <f t="shared" ca="1" si="79"/>
        <v/>
      </c>
      <c r="X211" s="266" t="str">
        <f t="shared" ca="1" si="79"/>
        <v/>
      </c>
      <c r="Y211" s="264" t="str">
        <f t="shared" ca="1" si="79"/>
        <v/>
      </c>
      <c r="Z211" s="265" t="str">
        <f t="shared" ca="1" si="79"/>
        <v/>
      </c>
      <c r="AA211" s="266" t="str">
        <f t="shared" ca="1" si="79"/>
        <v/>
      </c>
      <c r="AB211" s="267" t="str">
        <f t="shared" ca="1" si="79"/>
        <v/>
      </c>
      <c r="AC211" s="536" t="s">
        <v>669</v>
      </c>
      <c r="AD211" s="212" t="str">
        <f t="shared" ca="1" si="66"/>
        <v/>
      </c>
    </row>
    <row r="212" spans="1:30" s="45" customFormat="1" ht="22.5" customHeight="1">
      <c r="A212" s="258" t="str">
        <f ca="1">IFERROR(INDEX(凭证录入!H:H,$AD212),"")</f>
        <v/>
      </c>
      <c r="B212" s="259" t="str">
        <f ca="1">IFERROR(INDEX(凭证录入!I:I,$AD212),"")</f>
        <v/>
      </c>
      <c r="C212" s="260" t="str">
        <f ca="1">IFERROR(VLOOKUP($B212,会计科目表!$A:$C,2,),"")</f>
        <v/>
      </c>
      <c r="D212" s="261" t="str">
        <f ca="1">IFERROR(VLOOKUP($B212,会计科目表!$A:$C,3,),"")</f>
        <v/>
      </c>
      <c r="E212" s="262">
        <f ca="1">IFERROR(INDEX(凭证录入!K:K,$AD212),0)</f>
        <v>0</v>
      </c>
      <c r="F212" s="262">
        <f ca="1">IFERROR(INDEX(凭证录入!L:L,$AD212),0)</f>
        <v>0</v>
      </c>
      <c r="G212" s="263" t="str">
        <f t="shared" ca="1" si="78"/>
        <v/>
      </c>
      <c r="H212" s="264" t="str">
        <f t="shared" ca="1" si="78"/>
        <v/>
      </c>
      <c r="I212" s="265" t="str">
        <f t="shared" ca="1" si="78"/>
        <v/>
      </c>
      <c r="J212" s="266" t="str">
        <f t="shared" ca="1" si="78"/>
        <v/>
      </c>
      <c r="K212" s="264" t="str">
        <f t="shared" ca="1" si="78"/>
        <v/>
      </c>
      <c r="L212" s="265" t="str">
        <f t="shared" ca="1" si="78"/>
        <v/>
      </c>
      <c r="M212" s="266" t="str">
        <f t="shared" ca="1" si="78"/>
        <v/>
      </c>
      <c r="N212" s="264" t="str">
        <f t="shared" ca="1" si="78"/>
        <v/>
      </c>
      <c r="O212" s="265" t="str">
        <f t="shared" ca="1" si="78"/>
        <v/>
      </c>
      <c r="P212" s="266" t="str">
        <f t="shared" ca="1" si="78"/>
        <v/>
      </c>
      <c r="Q212" s="267" t="str">
        <f t="shared" ca="1" si="78"/>
        <v/>
      </c>
      <c r="R212" s="268" t="str">
        <f t="shared" ca="1" si="79"/>
        <v/>
      </c>
      <c r="S212" s="264" t="str">
        <f t="shared" ca="1" si="79"/>
        <v/>
      </c>
      <c r="T212" s="269" t="str">
        <f t="shared" ca="1" si="79"/>
        <v/>
      </c>
      <c r="U212" s="268" t="str">
        <f t="shared" ca="1" si="79"/>
        <v/>
      </c>
      <c r="V212" s="264" t="str">
        <f t="shared" ca="1" si="79"/>
        <v/>
      </c>
      <c r="W212" s="265" t="str">
        <f t="shared" ca="1" si="79"/>
        <v/>
      </c>
      <c r="X212" s="266" t="str">
        <f t="shared" ca="1" si="79"/>
        <v/>
      </c>
      <c r="Y212" s="264" t="str">
        <f t="shared" ca="1" si="79"/>
        <v/>
      </c>
      <c r="Z212" s="265" t="str">
        <f t="shared" ca="1" si="79"/>
        <v/>
      </c>
      <c r="AA212" s="266" t="str">
        <f t="shared" ca="1" si="79"/>
        <v/>
      </c>
      <c r="AB212" s="267" t="str">
        <f t="shared" ca="1" si="79"/>
        <v/>
      </c>
      <c r="AC212" s="537"/>
      <c r="AD212" s="212" t="str">
        <f t="shared" ca="1" si="66"/>
        <v/>
      </c>
    </row>
    <row r="213" spans="1:30" s="45" customFormat="1" ht="22.5" customHeight="1">
      <c r="A213" s="258" t="str">
        <f ca="1">IFERROR(INDEX(凭证录入!H:H,$AD213),"")</f>
        <v/>
      </c>
      <c r="B213" s="259" t="str">
        <f ca="1">IFERROR(INDEX(凭证录入!I:I,$AD213),"")</f>
        <v/>
      </c>
      <c r="C213" s="260" t="str">
        <f ca="1">IFERROR(VLOOKUP($B213,会计科目表!$A:$C,2,),"")</f>
        <v/>
      </c>
      <c r="D213" s="261" t="str">
        <f ca="1">IFERROR(VLOOKUP($B213,会计科目表!$A:$C,3,),"")</f>
        <v/>
      </c>
      <c r="E213" s="262">
        <f ca="1">IFERROR(INDEX(凭证录入!K:K,$AD213),0)</f>
        <v>0</v>
      </c>
      <c r="F213" s="262">
        <f ca="1">IFERROR(INDEX(凭证录入!L:L,$AD213),0)</f>
        <v>0</v>
      </c>
      <c r="G213" s="263" t="str">
        <f t="shared" ca="1" si="78"/>
        <v/>
      </c>
      <c r="H213" s="264" t="str">
        <f t="shared" ca="1" si="78"/>
        <v/>
      </c>
      <c r="I213" s="265" t="str">
        <f t="shared" ca="1" si="78"/>
        <v/>
      </c>
      <c r="J213" s="266" t="str">
        <f t="shared" ca="1" si="78"/>
        <v/>
      </c>
      <c r="K213" s="264" t="str">
        <f t="shared" ca="1" si="78"/>
        <v/>
      </c>
      <c r="L213" s="265" t="str">
        <f t="shared" ca="1" si="78"/>
        <v/>
      </c>
      <c r="M213" s="266" t="str">
        <f t="shared" ca="1" si="78"/>
        <v/>
      </c>
      <c r="N213" s="264" t="str">
        <f t="shared" ca="1" si="78"/>
        <v/>
      </c>
      <c r="O213" s="265" t="str">
        <f t="shared" ca="1" si="78"/>
        <v/>
      </c>
      <c r="P213" s="266" t="str">
        <f t="shared" ca="1" si="78"/>
        <v/>
      </c>
      <c r="Q213" s="267" t="str">
        <f t="shared" ca="1" si="78"/>
        <v/>
      </c>
      <c r="R213" s="268" t="str">
        <f t="shared" ca="1" si="79"/>
        <v/>
      </c>
      <c r="S213" s="264" t="str">
        <f t="shared" ca="1" si="79"/>
        <v/>
      </c>
      <c r="T213" s="269" t="str">
        <f t="shared" ca="1" si="79"/>
        <v/>
      </c>
      <c r="U213" s="268" t="str">
        <f t="shared" ca="1" si="79"/>
        <v/>
      </c>
      <c r="V213" s="264" t="str">
        <f t="shared" ca="1" si="79"/>
        <v/>
      </c>
      <c r="W213" s="265" t="str">
        <f t="shared" ca="1" si="79"/>
        <v/>
      </c>
      <c r="X213" s="266" t="str">
        <f t="shared" ca="1" si="79"/>
        <v/>
      </c>
      <c r="Y213" s="264" t="str">
        <f t="shared" ca="1" si="79"/>
        <v/>
      </c>
      <c r="Z213" s="265" t="str">
        <f t="shared" ca="1" si="79"/>
        <v/>
      </c>
      <c r="AA213" s="266" t="str">
        <f t="shared" ca="1" si="79"/>
        <v/>
      </c>
      <c r="AB213" s="267" t="str">
        <f t="shared" ca="1" si="79"/>
        <v/>
      </c>
      <c r="AC213" s="538"/>
      <c r="AD213" s="212" t="str">
        <f t="shared" ca="1" si="66"/>
        <v/>
      </c>
    </row>
    <row r="214" spans="1:30" s="45" customFormat="1" ht="22.5" customHeight="1">
      <c r="A214" s="258" t="str">
        <f ca="1">IFERROR(INDEX(凭证录入!H:H,$AD214),"")</f>
        <v/>
      </c>
      <c r="B214" s="259" t="str">
        <f ca="1">IFERROR(INDEX(凭证录入!I:I,$AD214),"")</f>
        <v/>
      </c>
      <c r="C214" s="260" t="str">
        <f ca="1">IFERROR(VLOOKUP($B214,会计科目表!$A:$C,2,),"")</f>
        <v/>
      </c>
      <c r="D214" s="261" t="str">
        <f ca="1">IFERROR(VLOOKUP($B214,会计科目表!$A:$C,3,),"")</f>
        <v/>
      </c>
      <c r="E214" s="262">
        <f ca="1">IFERROR(INDEX(凭证录入!K:K,$AD214),0)</f>
        <v>0</v>
      </c>
      <c r="F214" s="262">
        <f ca="1">IFERROR(INDEX(凭证录入!L:L,$AD214),0)</f>
        <v>0</v>
      </c>
      <c r="G214" s="263" t="str">
        <f t="shared" ca="1" si="78"/>
        <v/>
      </c>
      <c r="H214" s="264" t="str">
        <f t="shared" ca="1" si="78"/>
        <v/>
      </c>
      <c r="I214" s="265" t="str">
        <f t="shared" ca="1" si="78"/>
        <v/>
      </c>
      <c r="J214" s="266" t="str">
        <f t="shared" ca="1" si="78"/>
        <v/>
      </c>
      <c r="K214" s="264" t="str">
        <f t="shared" ca="1" si="78"/>
        <v/>
      </c>
      <c r="L214" s="265" t="str">
        <f t="shared" ca="1" si="78"/>
        <v/>
      </c>
      <c r="M214" s="266" t="str">
        <f t="shared" ca="1" si="78"/>
        <v/>
      </c>
      <c r="N214" s="264" t="str">
        <f t="shared" ca="1" si="78"/>
        <v/>
      </c>
      <c r="O214" s="265" t="str">
        <f t="shared" ca="1" si="78"/>
        <v/>
      </c>
      <c r="P214" s="266" t="str">
        <f t="shared" ca="1" si="78"/>
        <v/>
      </c>
      <c r="Q214" s="267" t="str">
        <f t="shared" ca="1" si="78"/>
        <v/>
      </c>
      <c r="R214" s="268" t="str">
        <f t="shared" ca="1" si="79"/>
        <v/>
      </c>
      <c r="S214" s="264" t="str">
        <f t="shared" ca="1" si="79"/>
        <v/>
      </c>
      <c r="T214" s="269" t="str">
        <f t="shared" ca="1" si="79"/>
        <v/>
      </c>
      <c r="U214" s="268" t="str">
        <f t="shared" ca="1" si="79"/>
        <v/>
      </c>
      <c r="V214" s="264" t="str">
        <f t="shared" ca="1" si="79"/>
        <v/>
      </c>
      <c r="W214" s="265" t="str">
        <f t="shared" ca="1" si="79"/>
        <v/>
      </c>
      <c r="X214" s="266" t="str">
        <f t="shared" ca="1" si="79"/>
        <v/>
      </c>
      <c r="Y214" s="264" t="str">
        <f t="shared" ca="1" si="79"/>
        <v/>
      </c>
      <c r="Z214" s="265" t="str">
        <f t="shared" ca="1" si="79"/>
        <v/>
      </c>
      <c r="AA214" s="266" t="str">
        <f t="shared" ca="1" si="79"/>
        <v/>
      </c>
      <c r="AB214" s="267" t="str">
        <f t="shared" ca="1" si="79"/>
        <v/>
      </c>
      <c r="AC214" s="538"/>
      <c r="AD214" s="212" t="str">
        <f t="shared" ca="1" si="66"/>
        <v/>
      </c>
    </row>
    <row r="215" spans="1:30" s="45" customFormat="1" ht="22.5" customHeight="1">
      <c r="A215" s="270" t="s">
        <v>670</v>
      </c>
      <c r="B215" s="271"/>
      <c r="C215" s="272" t="str">
        <f t="shared" ref="C215" ca="1" si="83">SUBSTITUTE(SUBSTITUTE(IF(-DOLLAR(E215),IF(E215&gt;0,,"负")&amp;TEXT(INT(ABS(E215)+0.5%),"[dbnum2]G/通用格式元;;")&amp;TEXT(RIGHT(DOLLAR(E215,2),2),"[dbnum2]0角0分;;整"),),"零角",IF(E215^2&lt;1,,"零")),"零分","整")</f>
        <v/>
      </c>
      <c r="D215" s="273"/>
      <c r="E215" s="274">
        <f t="shared" ref="E215:F215" ca="1" si="84">SUM(E209:E214)</f>
        <v>0</v>
      </c>
      <c r="F215" s="275">
        <f t="shared" ca="1" si="84"/>
        <v>0</v>
      </c>
      <c r="G215" s="276" t="str">
        <f t="shared" ca="1" si="78"/>
        <v/>
      </c>
      <c r="H215" s="277" t="str">
        <f t="shared" ca="1" si="78"/>
        <v/>
      </c>
      <c r="I215" s="278" t="str">
        <f t="shared" ca="1" si="78"/>
        <v/>
      </c>
      <c r="J215" s="279" t="str">
        <f t="shared" ca="1" si="78"/>
        <v/>
      </c>
      <c r="K215" s="277" t="str">
        <f t="shared" ca="1" si="78"/>
        <v/>
      </c>
      <c r="L215" s="278" t="str">
        <f t="shared" ca="1" si="78"/>
        <v/>
      </c>
      <c r="M215" s="279" t="str">
        <f t="shared" ca="1" si="78"/>
        <v/>
      </c>
      <c r="N215" s="277" t="str">
        <f t="shared" ca="1" si="78"/>
        <v/>
      </c>
      <c r="O215" s="278" t="str">
        <f t="shared" ca="1" si="78"/>
        <v/>
      </c>
      <c r="P215" s="279" t="str">
        <f t="shared" ca="1" si="78"/>
        <v/>
      </c>
      <c r="Q215" s="280" t="str">
        <f t="shared" ca="1" si="78"/>
        <v/>
      </c>
      <c r="R215" s="281" t="str">
        <f t="shared" ca="1" si="79"/>
        <v/>
      </c>
      <c r="S215" s="277" t="str">
        <f t="shared" ca="1" si="79"/>
        <v/>
      </c>
      <c r="T215" s="282" t="str">
        <f t="shared" ca="1" si="79"/>
        <v/>
      </c>
      <c r="U215" s="281" t="str">
        <f t="shared" ca="1" si="79"/>
        <v/>
      </c>
      <c r="V215" s="277" t="str">
        <f t="shared" ca="1" si="79"/>
        <v/>
      </c>
      <c r="W215" s="278" t="str">
        <f t="shared" ca="1" si="79"/>
        <v/>
      </c>
      <c r="X215" s="279" t="str">
        <f t="shared" ca="1" si="79"/>
        <v/>
      </c>
      <c r="Y215" s="277" t="str">
        <f t="shared" ca="1" si="79"/>
        <v/>
      </c>
      <c r="Z215" s="278" t="str">
        <f t="shared" ca="1" si="79"/>
        <v/>
      </c>
      <c r="AA215" s="279" t="str">
        <f t="shared" ca="1" si="79"/>
        <v/>
      </c>
      <c r="AB215" s="280" t="str">
        <f t="shared" ca="1" si="79"/>
        <v/>
      </c>
      <c r="AC215" s="283"/>
      <c r="AD215" s="212"/>
    </row>
    <row r="216" spans="1:30" s="22" customFormat="1" ht="22.5" customHeight="1">
      <c r="A216" s="284" t="s">
        <v>644</v>
      </c>
      <c r="B216" s="284"/>
      <c r="C216" s="284"/>
      <c r="D216" s="284" t="s">
        <v>645</v>
      </c>
      <c r="E216" s="284"/>
      <c r="F216" s="284"/>
      <c r="G216" s="284"/>
      <c r="H216" s="285"/>
      <c r="I216" s="284"/>
      <c r="J216" s="285"/>
      <c r="K216" s="285"/>
      <c r="L216" s="284"/>
      <c r="M216" s="285"/>
      <c r="N216" s="285"/>
      <c r="O216" s="285"/>
      <c r="P216" s="284"/>
      <c r="Q216" s="284" t="s">
        <v>646</v>
      </c>
      <c r="R216" s="284"/>
      <c r="S216" s="284"/>
      <c r="T216" s="284"/>
      <c r="U216" s="285"/>
      <c r="V216" s="284"/>
      <c r="W216" s="285"/>
      <c r="X216" s="284"/>
      <c r="Y216" s="284"/>
      <c r="Z216" s="285"/>
      <c r="AA216" s="285"/>
      <c r="AB216" s="285"/>
      <c r="AC216" s="286"/>
      <c r="AD216" s="212"/>
    </row>
    <row r="217" spans="1:30" ht="39.75" customHeight="1" thickBot="1">
      <c r="A217" s="226"/>
      <c r="B217" s="226"/>
      <c r="C217" s="227" t="s">
        <v>647</v>
      </c>
      <c r="D217" s="228"/>
      <c r="E217" s="226"/>
      <c r="F217" s="226"/>
      <c r="G217" s="228"/>
      <c r="H217" s="228"/>
      <c r="I217" s="228"/>
      <c r="J217" s="228"/>
      <c r="K217" s="228"/>
      <c r="L217" s="228"/>
      <c r="M217" s="228"/>
      <c r="N217" s="228"/>
      <c r="O217" s="228"/>
      <c r="P217" s="228"/>
      <c r="Q217" s="228"/>
      <c r="R217" s="229" t="s">
        <v>648</v>
      </c>
      <c r="S217" s="230"/>
      <c r="T217" s="230"/>
      <c r="U217" s="231" t="e">
        <f ca="1">DATE(AD$1,AF$1,INDEX(凭证录入!B:B,AD221))</f>
        <v>#VALUE!</v>
      </c>
      <c r="V217" s="232"/>
      <c r="W217" s="232"/>
      <c r="X217" s="232"/>
      <c r="Y217" s="232"/>
      <c r="Z217" s="232"/>
      <c r="AA217" s="232"/>
      <c r="AB217" s="232"/>
      <c r="AD217" s="212"/>
    </row>
    <row r="218" spans="1:30" s="45" customFormat="1" ht="23.25" customHeight="1" thickTop="1">
      <c r="A218" s="235" t="s">
        <v>649</v>
      </c>
      <c r="B218" s="235"/>
      <c r="C218" s="236" t="str">
        <f t="shared" si="72"/>
        <v>远大开发有限公司</v>
      </c>
      <c r="D218" s="236"/>
      <c r="E218" s="236"/>
      <c r="F218" s="236"/>
      <c r="G218" s="236"/>
      <c r="H218" s="236"/>
      <c r="I218" s="236"/>
      <c r="J218" s="236"/>
      <c r="K218" s="236"/>
      <c r="L218" s="236"/>
      <c r="M218" s="236"/>
      <c r="N218" s="236"/>
      <c r="O218" s="236"/>
      <c r="P218" s="236"/>
      <c r="Q218" s="236"/>
      <c r="R218" s="229" t="s">
        <v>650</v>
      </c>
      <c r="S218" s="229"/>
      <c r="T218" s="229"/>
      <c r="U218" s="237" t="str">
        <f t="shared" ref="U218" si="85">"第 "&amp;TEXT($AF$1,"00")&amp;TEXT($AC218,"0000 号")</f>
        <v>第 010019 号</v>
      </c>
      <c r="V218" s="237"/>
      <c r="W218" s="238"/>
      <c r="X218" s="238"/>
      <c r="Y218" s="238"/>
      <c r="Z218" s="238"/>
      <c r="AA218" s="238"/>
      <c r="AB218" s="238"/>
      <c r="AC218" s="239">
        <f t="shared" si="74"/>
        <v>19</v>
      </c>
      <c r="AD218" s="212"/>
    </row>
    <row r="219" spans="1:30" s="45" customFormat="1" ht="22.5" customHeight="1">
      <c r="A219" s="241" t="s">
        <v>651</v>
      </c>
      <c r="B219" s="542" t="s">
        <v>652</v>
      </c>
      <c r="C219" s="242" t="s">
        <v>653</v>
      </c>
      <c r="D219" s="243" t="s">
        <v>654</v>
      </c>
      <c r="E219" s="539" t="s">
        <v>655</v>
      </c>
      <c r="F219" s="539" t="s">
        <v>656</v>
      </c>
      <c r="G219" s="244" t="s">
        <v>657</v>
      </c>
      <c r="H219" s="245"/>
      <c r="I219" s="245"/>
      <c r="J219" s="245"/>
      <c r="K219" s="245"/>
      <c r="L219" s="245"/>
      <c r="M219" s="245"/>
      <c r="N219" s="245"/>
      <c r="O219" s="245"/>
      <c r="P219" s="245"/>
      <c r="Q219" s="246"/>
      <c r="R219" s="247" t="s">
        <v>658</v>
      </c>
      <c r="S219" s="245"/>
      <c r="T219" s="245"/>
      <c r="U219" s="245"/>
      <c r="V219" s="245"/>
      <c r="W219" s="245"/>
      <c r="X219" s="245"/>
      <c r="Y219" s="245"/>
      <c r="Z219" s="245"/>
      <c r="AA219" s="245"/>
      <c r="AB219" s="246"/>
      <c r="AC219" s="541" t="str">
        <f ca="1">"附单据数︵"&amp;INDEX(凭证录入!$D:$D,$AD$17)&amp;"︶张"</f>
        <v>附单据数︵4︶张</v>
      </c>
      <c r="AD219" s="235"/>
    </row>
    <row r="220" spans="1:30" s="45" customFormat="1" ht="22.5" customHeight="1">
      <c r="A220" s="248" t="s">
        <v>659</v>
      </c>
      <c r="B220" s="543"/>
      <c r="C220" s="249" t="s">
        <v>660</v>
      </c>
      <c r="D220" s="250" t="s">
        <v>660</v>
      </c>
      <c r="E220" s="540"/>
      <c r="F220" s="540"/>
      <c r="G220" s="251" t="s">
        <v>661</v>
      </c>
      <c r="H220" s="252" t="s">
        <v>662</v>
      </c>
      <c r="I220" s="253" t="s">
        <v>663</v>
      </c>
      <c r="J220" s="254" t="s">
        <v>664</v>
      </c>
      <c r="K220" s="252" t="s">
        <v>665</v>
      </c>
      <c r="L220" s="253" t="s">
        <v>662</v>
      </c>
      <c r="M220" s="254" t="s">
        <v>663</v>
      </c>
      <c r="N220" s="252" t="s">
        <v>664</v>
      </c>
      <c r="O220" s="253" t="s">
        <v>666</v>
      </c>
      <c r="P220" s="254" t="s">
        <v>667</v>
      </c>
      <c r="Q220" s="255" t="s">
        <v>668</v>
      </c>
      <c r="R220" s="256" t="s">
        <v>661</v>
      </c>
      <c r="S220" s="252" t="s">
        <v>662</v>
      </c>
      <c r="T220" s="257" t="s">
        <v>663</v>
      </c>
      <c r="U220" s="256" t="s">
        <v>664</v>
      </c>
      <c r="V220" s="252" t="s">
        <v>665</v>
      </c>
      <c r="W220" s="253" t="s">
        <v>662</v>
      </c>
      <c r="X220" s="254" t="s">
        <v>663</v>
      </c>
      <c r="Y220" s="252" t="s">
        <v>664</v>
      </c>
      <c r="Z220" s="253" t="s">
        <v>666</v>
      </c>
      <c r="AA220" s="254" t="s">
        <v>667</v>
      </c>
      <c r="AB220" s="255" t="s">
        <v>668</v>
      </c>
      <c r="AC220" s="541"/>
    </row>
    <row r="221" spans="1:30" s="45" customFormat="1" ht="22.5" customHeight="1">
      <c r="A221" s="258" t="str">
        <f ca="1">IFERROR(INDEX(凭证录入!H:H,$AD221),"")</f>
        <v/>
      </c>
      <c r="B221" s="259" t="str">
        <f ca="1">IFERROR(INDEX(凭证录入!I:I,$AD221),"")</f>
        <v/>
      </c>
      <c r="C221" s="260" t="str">
        <f ca="1">IFERROR(VLOOKUP($B221,会计科目表!$A:$C,2,),"")</f>
        <v/>
      </c>
      <c r="D221" s="261" t="str">
        <f ca="1">IFERROR(VLOOKUP($B221,会计科目表!$A:$C,3,),"")</f>
        <v/>
      </c>
      <c r="E221" s="262">
        <f ca="1">IFERROR(INDEX(凭证录入!K:K,$AD221),0)</f>
        <v>0</v>
      </c>
      <c r="F221" s="262">
        <f ca="1">IFERROR(INDEX(凭证录入!L:L,$AD221),0)</f>
        <v>0</v>
      </c>
      <c r="G221" s="263" t="str">
        <f t="shared" ca="1" si="78"/>
        <v/>
      </c>
      <c r="H221" s="264" t="str">
        <f t="shared" ca="1" si="78"/>
        <v/>
      </c>
      <c r="I221" s="265" t="str">
        <f t="shared" ca="1" si="78"/>
        <v/>
      </c>
      <c r="J221" s="266" t="str">
        <f t="shared" ca="1" si="78"/>
        <v/>
      </c>
      <c r="K221" s="264" t="str">
        <f t="shared" ca="1" si="78"/>
        <v/>
      </c>
      <c r="L221" s="265" t="str">
        <f t="shared" ca="1" si="78"/>
        <v/>
      </c>
      <c r="M221" s="266" t="str">
        <f t="shared" ca="1" si="78"/>
        <v/>
      </c>
      <c r="N221" s="264" t="str">
        <f t="shared" ca="1" si="78"/>
        <v/>
      </c>
      <c r="O221" s="265" t="str">
        <f t="shared" ca="1" si="78"/>
        <v/>
      </c>
      <c r="P221" s="266" t="str">
        <f t="shared" ca="1" si="78"/>
        <v/>
      </c>
      <c r="Q221" s="267" t="str">
        <f t="shared" ca="1" si="78"/>
        <v/>
      </c>
      <c r="R221" s="268" t="str">
        <f t="shared" ca="1" si="79"/>
        <v/>
      </c>
      <c r="S221" s="264" t="str">
        <f t="shared" ca="1" si="79"/>
        <v/>
      </c>
      <c r="T221" s="269" t="str">
        <f t="shared" ca="1" si="79"/>
        <v/>
      </c>
      <c r="U221" s="268" t="str">
        <f t="shared" ca="1" si="79"/>
        <v/>
      </c>
      <c r="V221" s="264" t="str">
        <f t="shared" ca="1" si="79"/>
        <v/>
      </c>
      <c r="W221" s="265" t="str">
        <f t="shared" ca="1" si="79"/>
        <v/>
      </c>
      <c r="X221" s="266" t="str">
        <f t="shared" ca="1" si="79"/>
        <v/>
      </c>
      <c r="Y221" s="264" t="str">
        <f t="shared" ca="1" si="79"/>
        <v/>
      </c>
      <c r="Z221" s="265" t="str">
        <f t="shared" ca="1" si="79"/>
        <v/>
      </c>
      <c r="AA221" s="266" t="str">
        <f t="shared" ca="1" si="79"/>
        <v/>
      </c>
      <c r="AB221" s="267" t="str">
        <f t="shared" ca="1" si="79"/>
        <v/>
      </c>
      <c r="AC221" s="541"/>
      <c r="AD221" s="212" t="str">
        <f t="shared" ca="1" si="66"/>
        <v/>
      </c>
    </row>
    <row r="222" spans="1:30" s="45" customFormat="1" ht="22.5" customHeight="1">
      <c r="A222" s="258" t="str">
        <f ca="1">IFERROR(INDEX(凭证录入!H:H,$AD222),"")</f>
        <v/>
      </c>
      <c r="B222" s="259" t="str">
        <f ca="1">IFERROR(INDEX(凭证录入!I:I,$AD222),"")</f>
        <v/>
      </c>
      <c r="C222" s="260" t="str">
        <f ca="1">IFERROR(VLOOKUP($B222,会计科目表!$A:$C,2,),"")</f>
        <v/>
      </c>
      <c r="D222" s="261" t="str">
        <f ca="1">IFERROR(VLOOKUP($B222,会计科目表!$A:$C,3,),"")</f>
        <v/>
      </c>
      <c r="E222" s="262">
        <f ca="1">IFERROR(INDEX(凭证录入!K:K,$AD222),0)</f>
        <v>0</v>
      </c>
      <c r="F222" s="262">
        <f ca="1">IFERROR(INDEX(凭证录入!L:L,$AD222),0)</f>
        <v>0</v>
      </c>
      <c r="G222" s="263" t="str">
        <f t="shared" ca="1" si="78"/>
        <v/>
      </c>
      <c r="H222" s="264" t="str">
        <f t="shared" ca="1" si="78"/>
        <v/>
      </c>
      <c r="I222" s="265" t="str">
        <f t="shared" ca="1" si="78"/>
        <v/>
      </c>
      <c r="J222" s="266" t="str">
        <f t="shared" ca="1" si="78"/>
        <v/>
      </c>
      <c r="K222" s="264" t="str">
        <f t="shared" ca="1" si="78"/>
        <v/>
      </c>
      <c r="L222" s="265" t="str">
        <f t="shared" ca="1" si="78"/>
        <v/>
      </c>
      <c r="M222" s="266" t="str">
        <f t="shared" ca="1" si="78"/>
        <v/>
      </c>
      <c r="N222" s="264" t="str">
        <f t="shared" ca="1" si="78"/>
        <v/>
      </c>
      <c r="O222" s="265" t="str">
        <f t="shared" ca="1" si="78"/>
        <v/>
      </c>
      <c r="P222" s="266" t="str">
        <f t="shared" ca="1" si="78"/>
        <v/>
      </c>
      <c r="Q222" s="267" t="str">
        <f t="shared" ca="1" si="78"/>
        <v/>
      </c>
      <c r="R222" s="268" t="str">
        <f t="shared" ca="1" si="79"/>
        <v/>
      </c>
      <c r="S222" s="264" t="str">
        <f t="shared" ca="1" si="79"/>
        <v/>
      </c>
      <c r="T222" s="269" t="str">
        <f t="shared" ca="1" si="79"/>
        <v/>
      </c>
      <c r="U222" s="268" t="str">
        <f t="shared" ca="1" si="79"/>
        <v/>
      </c>
      <c r="V222" s="264" t="str">
        <f t="shared" ca="1" si="79"/>
        <v/>
      </c>
      <c r="W222" s="265" t="str">
        <f t="shared" ca="1" si="79"/>
        <v/>
      </c>
      <c r="X222" s="266" t="str">
        <f t="shared" ca="1" si="79"/>
        <v/>
      </c>
      <c r="Y222" s="264" t="str">
        <f t="shared" ca="1" si="79"/>
        <v/>
      </c>
      <c r="Z222" s="265" t="str">
        <f t="shared" ca="1" si="79"/>
        <v/>
      </c>
      <c r="AA222" s="266" t="str">
        <f t="shared" ca="1" si="79"/>
        <v/>
      </c>
      <c r="AB222" s="267" t="str">
        <f t="shared" ca="1" si="79"/>
        <v/>
      </c>
      <c r="AC222" s="541"/>
      <c r="AD222" s="212" t="str">
        <f t="shared" ca="1" si="66"/>
        <v/>
      </c>
    </row>
    <row r="223" spans="1:30" s="45" customFormat="1" ht="22.5" customHeight="1">
      <c r="A223" s="258" t="str">
        <f ca="1">IFERROR(INDEX(凭证录入!H:H,$AD223),"")</f>
        <v/>
      </c>
      <c r="B223" s="259" t="str">
        <f ca="1">IFERROR(INDEX(凭证录入!I:I,$AD223),"")</f>
        <v/>
      </c>
      <c r="C223" s="260" t="str">
        <f ca="1">IFERROR(VLOOKUP($B223,会计科目表!$A:$C,2,),"")</f>
        <v/>
      </c>
      <c r="D223" s="261" t="str">
        <f ca="1">IFERROR(VLOOKUP($B223,会计科目表!$A:$C,3,),"")</f>
        <v/>
      </c>
      <c r="E223" s="262">
        <f ca="1">IFERROR(INDEX(凭证录入!K:K,$AD223),0)</f>
        <v>0</v>
      </c>
      <c r="F223" s="262">
        <f ca="1">IFERROR(INDEX(凭证录入!L:L,$AD223),0)</f>
        <v>0</v>
      </c>
      <c r="G223" s="263" t="str">
        <f t="shared" ca="1" si="78"/>
        <v/>
      </c>
      <c r="H223" s="264" t="str">
        <f t="shared" ca="1" si="78"/>
        <v/>
      </c>
      <c r="I223" s="265" t="str">
        <f t="shared" ca="1" si="78"/>
        <v/>
      </c>
      <c r="J223" s="266" t="str">
        <f t="shared" ca="1" si="78"/>
        <v/>
      </c>
      <c r="K223" s="264" t="str">
        <f t="shared" ca="1" si="78"/>
        <v/>
      </c>
      <c r="L223" s="265" t="str">
        <f t="shared" ca="1" si="78"/>
        <v/>
      </c>
      <c r="M223" s="266" t="str">
        <f t="shared" ca="1" si="78"/>
        <v/>
      </c>
      <c r="N223" s="264" t="str">
        <f t="shared" ca="1" si="78"/>
        <v/>
      </c>
      <c r="O223" s="265" t="str">
        <f t="shared" ca="1" si="78"/>
        <v/>
      </c>
      <c r="P223" s="266" t="str">
        <f t="shared" ca="1" si="78"/>
        <v/>
      </c>
      <c r="Q223" s="267" t="str">
        <f t="shared" ca="1" si="78"/>
        <v/>
      </c>
      <c r="R223" s="268" t="str">
        <f t="shared" ca="1" si="79"/>
        <v/>
      </c>
      <c r="S223" s="264" t="str">
        <f t="shared" ca="1" si="79"/>
        <v/>
      </c>
      <c r="T223" s="269" t="str">
        <f t="shared" ca="1" si="79"/>
        <v/>
      </c>
      <c r="U223" s="268" t="str">
        <f t="shared" ca="1" si="79"/>
        <v/>
      </c>
      <c r="V223" s="264" t="str">
        <f t="shared" ca="1" si="79"/>
        <v/>
      </c>
      <c r="W223" s="265" t="str">
        <f t="shared" ca="1" si="79"/>
        <v/>
      </c>
      <c r="X223" s="266" t="str">
        <f t="shared" ca="1" si="79"/>
        <v/>
      </c>
      <c r="Y223" s="264" t="str">
        <f t="shared" ca="1" si="79"/>
        <v/>
      </c>
      <c r="Z223" s="265" t="str">
        <f t="shared" ca="1" si="79"/>
        <v/>
      </c>
      <c r="AA223" s="266" t="str">
        <f t="shared" ca="1" si="79"/>
        <v/>
      </c>
      <c r="AB223" s="267" t="str">
        <f t="shared" ca="1" si="79"/>
        <v/>
      </c>
      <c r="AC223" s="536" t="s">
        <v>669</v>
      </c>
      <c r="AD223" s="212" t="str">
        <f t="shared" ca="1" si="66"/>
        <v/>
      </c>
    </row>
    <row r="224" spans="1:30" s="45" customFormat="1" ht="22.5" customHeight="1">
      <c r="A224" s="258" t="str">
        <f ca="1">IFERROR(INDEX(凭证录入!H:H,$AD224),"")</f>
        <v/>
      </c>
      <c r="B224" s="259" t="str">
        <f ca="1">IFERROR(INDEX(凭证录入!I:I,$AD224),"")</f>
        <v/>
      </c>
      <c r="C224" s="260" t="str">
        <f ca="1">IFERROR(VLOOKUP($B224,会计科目表!$A:$C,2,),"")</f>
        <v/>
      </c>
      <c r="D224" s="261" t="str">
        <f ca="1">IFERROR(VLOOKUP($B224,会计科目表!$A:$C,3,),"")</f>
        <v/>
      </c>
      <c r="E224" s="262">
        <f ca="1">IFERROR(INDEX(凭证录入!K:K,$AD224),0)</f>
        <v>0</v>
      </c>
      <c r="F224" s="262">
        <f ca="1">IFERROR(INDEX(凭证录入!L:L,$AD224),0)</f>
        <v>0</v>
      </c>
      <c r="G224" s="263" t="str">
        <f t="shared" ca="1" si="78"/>
        <v/>
      </c>
      <c r="H224" s="264" t="str">
        <f t="shared" ca="1" si="78"/>
        <v/>
      </c>
      <c r="I224" s="265" t="str">
        <f t="shared" ca="1" si="78"/>
        <v/>
      </c>
      <c r="J224" s="266" t="str">
        <f t="shared" ca="1" si="78"/>
        <v/>
      </c>
      <c r="K224" s="264" t="str">
        <f t="shared" ca="1" si="78"/>
        <v/>
      </c>
      <c r="L224" s="265" t="str">
        <f t="shared" ca="1" si="78"/>
        <v/>
      </c>
      <c r="M224" s="266" t="str">
        <f t="shared" ca="1" si="78"/>
        <v/>
      </c>
      <c r="N224" s="264" t="str">
        <f t="shared" ca="1" si="78"/>
        <v/>
      </c>
      <c r="O224" s="265" t="str">
        <f t="shared" ca="1" si="78"/>
        <v/>
      </c>
      <c r="P224" s="266" t="str">
        <f t="shared" ca="1" si="78"/>
        <v/>
      </c>
      <c r="Q224" s="267" t="str">
        <f t="shared" ca="1" si="78"/>
        <v/>
      </c>
      <c r="R224" s="268" t="str">
        <f t="shared" ca="1" si="79"/>
        <v/>
      </c>
      <c r="S224" s="264" t="str">
        <f t="shared" ca="1" si="79"/>
        <v/>
      </c>
      <c r="T224" s="269" t="str">
        <f t="shared" ca="1" si="79"/>
        <v/>
      </c>
      <c r="U224" s="268" t="str">
        <f t="shared" ca="1" si="79"/>
        <v/>
      </c>
      <c r="V224" s="264" t="str">
        <f t="shared" ca="1" si="79"/>
        <v/>
      </c>
      <c r="W224" s="265" t="str">
        <f t="shared" ca="1" si="79"/>
        <v/>
      </c>
      <c r="X224" s="266" t="str">
        <f t="shared" ca="1" si="79"/>
        <v/>
      </c>
      <c r="Y224" s="264" t="str">
        <f t="shared" ca="1" si="79"/>
        <v/>
      </c>
      <c r="Z224" s="265" t="str">
        <f t="shared" ca="1" si="79"/>
        <v/>
      </c>
      <c r="AA224" s="266" t="str">
        <f t="shared" ca="1" si="79"/>
        <v/>
      </c>
      <c r="AB224" s="267" t="str">
        <f t="shared" ca="1" si="79"/>
        <v/>
      </c>
      <c r="AC224" s="537"/>
      <c r="AD224" s="212" t="str">
        <f t="shared" ca="1" si="66"/>
        <v/>
      </c>
    </row>
    <row r="225" spans="1:30" s="45" customFormat="1" ht="22.5" customHeight="1">
      <c r="A225" s="258" t="str">
        <f ca="1">IFERROR(INDEX(凭证录入!H:H,$AD225),"")</f>
        <v/>
      </c>
      <c r="B225" s="259" t="str">
        <f ca="1">IFERROR(INDEX(凭证录入!I:I,$AD225),"")</f>
        <v/>
      </c>
      <c r="C225" s="260" t="str">
        <f ca="1">IFERROR(VLOOKUP($B225,会计科目表!$A:$C,2,),"")</f>
        <v/>
      </c>
      <c r="D225" s="261" t="str">
        <f ca="1">IFERROR(VLOOKUP($B225,会计科目表!$A:$C,3,),"")</f>
        <v/>
      </c>
      <c r="E225" s="262">
        <f ca="1">IFERROR(INDEX(凭证录入!K:K,$AD225),0)</f>
        <v>0</v>
      </c>
      <c r="F225" s="262">
        <f ca="1">IFERROR(INDEX(凭证录入!L:L,$AD225),0)</f>
        <v>0</v>
      </c>
      <c r="G225" s="263" t="str">
        <f t="shared" ca="1" si="78"/>
        <v/>
      </c>
      <c r="H225" s="264" t="str">
        <f t="shared" ca="1" si="78"/>
        <v/>
      </c>
      <c r="I225" s="265" t="str">
        <f t="shared" ca="1" si="78"/>
        <v/>
      </c>
      <c r="J225" s="266" t="str">
        <f t="shared" ca="1" si="78"/>
        <v/>
      </c>
      <c r="K225" s="264" t="str">
        <f t="shared" ca="1" si="78"/>
        <v/>
      </c>
      <c r="L225" s="265" t="str">
        <f t="shared" ca="1" si="78"/>
        <v/>
      </c>
      <c r="M225" s="266" t="str">
        <f t="shared" ca="1" si="78"/>
        <v/>
      </c>
      <c r="N225" s="264" t="str">
        <f t="shared" ca="1" si="78"/>
        <v/>
      </c>
      <c r="O225" s="265" t="str">
        <f t="shared" ca="1" si="78"/>
        <v/>
      </c>
      <c r="P225" s="266" t="str">
        <f t="shared" ca="1" si="78"/>
        <v/>
      </c>
      <c r="Q225" s="267" t="str">
        <f t="shared" ca="1" si="78"/>
        <v/>
      </c>
      <c r="R225" s="268" t="str">
        <f t="shared" ca="1" si="79"/>
        <v/>
      </c>
      <c r="S225" s="264" t="str">
        <f t="shared" ca="1" si="79"/>
        <v/>
      </c>
      <c r="T225" s="269" t="str">
        <f t="shared" ca="1" si="79"/>
        <v/>
      </c>
      <c r="U225" s="268" t="str">
        <f t="shared" ca="1" si="79"/>
        <v/>
      </c>
      <c r="V225" s="264" t="str">
        <f t="shared" ca="1" si="79"/>
        <v/>
      </c>
      <c r="W225" s="265" t="str">
        <f t="shared" ca="1" si="79"/>
        <v/>
      </c>
      <c r="X225" s="266" t="str">
        <f t="shared" ca="1" si="79"/>
        <v/>
      </c>
      <c r="Y225" s="264" t="str">
        <f t="shared" ca="1" si="79"/>
        <v/>
      </c>
      <c r="Z225" s="265" t="str">
        <f t="shared" ca="1" si="79"/>
        <v/>
      </c>
      <c r="AA225" s="266" t="str">
        <f t="shared" ca="1" si="79"/>
        <v/>
      </c>
      <c r="AB225" s="267" t="str">
        <f t="shared" ca="1" si="79"/>
        <v/>
      </c>
      <c r="AC225" s="538"/>
      <c r="AD225" s="212" t="str">
        <f t="shared" ref="AD225:AD286" ca="1" si="86">IFERROR(INDEX(记账行号,MOD(ROW()-4,12)),"")</f>
        <v/>
      </c>
    </row>
    <row r="226" spans="1:30" s="45" customFormat="1" ht="22.5" customHeight="1">
      <c r="A226" s="258" t="str">
        <f ca="1">IFERROR(INDEX(凭证录入!H:H,$AD226),"")</f>
        <v/>
      </c>
      <c r="B226" s="259" t="str">
        <f ca="1">IFERROR(INDEX(凭证录入!I:I,$AD226),"")</f>
        <v/>
      </c>
      <c r="C226" s="260" t="str">
        <f ca="1">IFERROR(VLOOKUP($B226,会计科目表!$A:$C,2,),"")</f>
        <v/>
      </c>
      <c r="D226" s="261" t="str">
        <f ca="1">IFERROR(VLOOKUP($B226,会计科目表!$A:$C,3,),"")</f>
        <v/>
      </c>
      <c r="E226" s="262">
        <f ca="1">IFERROR(INDEX(凭证录入!K:K,$AD226),0)</f>
        <v>0</v>
      </c>
      <c r="F226" s="262">
        <f ca="1">IFERROR(INDEX(凭证录入!L:L,$AD226),0)</f>
        <v>0</v>
      </c>
      <c r="G226" s="263" t="str">
        <f t="shared" ca="1" si="78"/>
        <v/>
      </c>
      <c r="H226" s="264" t="str">
        <f t="shared" ca="1" si="78"/>
        <v/>
      </c>
      <c r="I226" s="265" t="str">
        <f t="shared" ca="1" si="78"/>
        <v/>
      </c>
      <c r="J226" s="266" t="str">
        <f t="shared" ca="1" si="78"/>
        <v/>
      </c>
      <c r="K226" s="264" t="str">
        <f t="shared" ca="1" si="78"/>
        <v/>
      </c>
      <c r="L226" s="265" t="str">
        <f t="shared" ca="1" si="78"/>
        <v/>
      </c>
      <c r="M226" s="266" t="str">
        <f t="shared" ca="1" si="78"/>
        <v/>
      </c>
      <c r="N226" s="264" t="str">
        <f t="shared" ca="1" si="78"/>
        <v/>
      </c>
      <c r="O226" s="265" t="str">
        <f t="shared" ca="1" si="78"/>
        <v/>
      </c>
      <c r="P226" s="266" t="str">
        <f t="shared" ca="1" si="78"/>
        <v/>
      </c>
      <c r="Q226" s="267" t="str">
        <f t="shared" ca="1" si="78"/>
        <v/>
      </c>
      <c r="R226" s="268" t="str">
        <f t="shared" ca="1" si="79"/>
        <v/>
      </c>
      <c r="S226" s="264" t="str">
        <f t="shared" ca="1" si="79"/>
        <v/>
      </c>
      <c r="T226" s="269" t="str">
        <f t="shared" ca="1" si="79"/>
        <v/>
      </c>
      <c r="U226" s="268" t="str">
        <f t="shared" ca="1" si="79"/>
        <v/>
      </c>
      <c r="V226" s="264" t="str">
        <f t="shared" ca="1" si="79"/>
        <v/>
      </c>
      <c r="W226" s="265" t="str">
        <f t="shared" ca="1" si="79"/>
        <v/>
      </c>
      <c r="X226" s="266" t="str">
        <f t="shared" ca="1" si="79"/>
        <v/>
      </c>
      <c r="Y226" s="264" t="str">
        <f t="shared" ca="1" si="79"/>
        <v/>
      </c>
      <c r="Z226" s="265" t="str">
        <f t="shared" ca="1" si="79"/>
        <v/>
      </c>
      <c r="AA226" s="266" t="str">
        <f t="shared" ca="1" si="79"/>
        <v/>
      </c>
      <c r="AB226" s="267" t="str">
        <f t="shared" ca="1" si="79"/>
        <v/>
      </c>
      <c r="AC226" s="538"/>
      <c r="AD226" s="212" t="str">
        <f t="shared" ca="1" si="86"/>
        <v/>
      </c>
    </row>
    <row r="227" spans="1:30" s="45" customFormat="1" ht="22.5" customHeight="1">
      <c r="A227" s="270" t="s">
        <v>670</v>
      </c>
      <c r="B227" s="271"/>
      <c r="C227" s="272" t="str">
        <f t="shared" ref="C227" ca="1" si="87">SUBSTITUTE(SUBSTITUTE(IF(-DOLLAR(E227),IF(E227&gt;0,,"负")&amp;TEXT(INT(ABS(E227)+0.5%),"[dbnum2]G/通用格式元;;")&amp;TEXT(RIGHT(DOLLAR(E227,2),2),"[dbnum2]0角0分;;整"),),"零角",IF(E227^2&lt;1,,"零")),"零分","整")</f>
        <v/>
      </c>
      <c r="D227" s="273"/>
      <c r="E227" s="274">
        <f t="shared" ref="E227:F227" ca="1" si="88">SUM(E221:E226)</f>
        <v>0</v>
      </c>
      <c r="F227" s="275">
        <f t="shared" ca="1" si="88"/>
        <v>0</v>
      </c>
      <c r="G227" s="276" t="str">
        <f t="shared" ca="1" si="78"/>
        <v/>
      </c>
      <c r="H227" s="277" t="str">
        <f t="shared" ca="1" si="78"/>
        <v/>
      </c>
      <c r="I227" s="278" t="str">
        <f t="shared" ca="1" si="78"/>
        <v/>
      </c>
      <c r="J227" s="279" t="str">
        <f t="shared" ca="1" si="78"/>
        <v/>
      </c>
      <c r="K227" s="277" t="str">
        <f t="shared" ca="1" si="78"/>
        <v/>
      </c>
      <c r="L227" s="278" t="str">
        <f t="shared" ca="1" si="78"/>
        <v/>
      </c>
      <c r="M227" s="279" t="str">
        <f t="shared" ca="1" si="78"/>
        <v/>
      </c>
      <c r="N227" s="277" t="str">
        <f t="shared" ca="1" si="78"/>
        <v/>
      </c>
      <c r="O227" s="278" t="str">
        <f t="shared" ca="1" si="78"/>
        <v/>
      </c>
      <c r="P227" s="279" t="str">
        <f t="shared" ca="1" si="78"/>
        <v/>
      </c>
      <c r="Q227" s="280" t="str">
        <f t="shared" ca="1" si="78"/>
        <v/>
      </c>
      <c r="R227" s="281" t="str">
        <f t="shared" ca="1" si="79"/>
        <v/>
      </c>
      <c r="S227" s="277" t="str">
        <f t="shared" ca="1" si="79"/>
        <v/>
      </c>
      <c r="T227" s="282" t="str">
        <f t="shared" ca="1" si="79"/>
        <v/>
      </c>
      <c r="U227" s="281" t="str">
        <f t="shared" ca="1" si="79"/>
        <v/>
      </c>
      <c r="V227" s="277" t="str">
        <f t="shared" ca="1" si="79"/>
        <v/>
      </c>
      <c r="W227" s="278" t="str">
        <f t="shared" ca="1" si="79"/>
        <v/>
      </c>
      <c r="X227" s="279" t="str">
        <f t="shared" ca="1" si="79"/>
        <v/>
      </c>
      <c r="Y227" s="277" t="str">
        <f t="shared" ca="1" si="79"/>
        <v/>
      </c>
      <c r="Z227" s="278" t="str">
        <f t="shared" ca="1" si="79"/>
        <v/>
      </c>
      <c r="AA227" s="279" t="str">
        <f t="shared" ca="1" si="79"/>
        <v/>
      </c>
      <c r="AB227" s="280" t="str">
        <f t="shared" ca="1" si="79"/>
        <v/>
      </c>
      <c r="AC227" s="283"/>
      <c r="AD227" s="212"/>
    </row>
    <row r="228" spans="1:30" s="22" customFormat="1" ht="22.5" customHeight="1">
      <c r="A228" s="284" t="s">
        <v>644</v>
      </c>
      <c r="B228" s="284"/>
      <c r="C228" s="284"/>
      <c r="D228" s="284" t="s">
        <v>645</v>
      </c>
      <c r="E228" s="284"/>
      <c r="F228" s="284"/>
      <c r="G228" s="284"/>
      <c r="H228" s="285"/>
      <c r="I228" s="284"/>
      <c r="J228" s="285"/>
      <c r="K228" s="285"/>
      <c r="L228" s="284"/>
      <c r="M228" s="285"/>
      <c r="N228" s="285"/>
      <c r="O228" s="285"/>
      <c r="P228" s="284"/>
      <c r="Q228" s="284" t="s">
        <v>646</v>
      </c>
      <c r="R228" s="284"/>
      <c r="S228" s="284"/>
      <c r="T228" s="284"/>
      <c r="U228" s="285"/>
      <c r="V228" s="284"/>
      <c r="W228" s="285"/>
      <c r="X228" s="284"/>
      <c r="Y228" s="284"/>
      <c r="Z228" s="285"/>
      <c r="AA228" s="285"/>
      <c r="AB228" s="285"/>
      <c r="AC228" s="286"/>
      <c r="AD228" s="212"/>
    </row>
    <row r="229" spans="1:30" ht="39.75" customHeight="1" thickBot="1">
      <c r="A229" s="226"/>
      <c r="B229" s="226"/>
      <c r="C229" s="227" t="s">
        <v>647</v>
      </c>
      <c r="D229" s="228"/>
      <c r="E229" s="226"/>
      <c r="F229" s="226"/>
      <c r="G229" s="228"/>
      <c r="H229" s="228"/>
      <c r="I229" s="228"/>
      <c r="J229" s="228"/>
      <c r="K229" s="228"/>
      <c r="L229" s="228"/>
      <c r="M229" s="228"/>
      <c r="N229" s="228"/>
      <c r="O229" s="228"/>
      <c r="P229" s="228"/>
      <c r="Q229" s="228"/>
      <c r="R229" s="229" t="s">
        <v>648</v>
      </c>
      <c r="S229" s="230"/>
      <c r="T229" s="230"/>
      <c r="U229" s="231" t="e">
        <f ca="1">DATE(AD$1,AF$1,INDEX(凭证录入!B:B,AD233))</f>
        <v>#VALUE!</v>
      </c>
      <c r="V229" s="232"/>
      <c r="W229" s="232"/>
      <c r="X229" s="232"/>
      <c r="Y229" s="232"/>
      <c r="Z229" s="232"/>
      <c r="AA229" s="232"/>
      <c r="AB229" s="232"/>
      <c r="AD229" s="212"/>
    </row>
    <row r="230" spans="1:30" s="45" customFormat="1" ht="23.25" customHeight="1" thickTop="1">
      <c r="A230" s="235" t="s">
        <v>649</v>
      </c>
      <c r="B230" s="235"/>
      <c r="C230" s="236" t="str">
        <f t="shared" si="72"/>
        <v>远大开发有限公司</v>
      </c>
      <c r="D230" s="236"/>
      <c r="E230" s="236"/>
      <c r="F230" s="236"/>
      <c r="G230" s="236"/>
      <c r="H230" s="236"/>
      <c r="I230" s="236"/>
      <c r="J230" s="236"/>
      <c r="K230" s="236"/>
      <c r="L230" s="236"/>
      <c r="M230" s="236"/>
      <c r="N230" s="236"/>
      <c r="O230" s="236"/>
      <c r="P230" s="236"/>
      <c r="Q230" s="236"/>
      <c r="R230" s="229" t="s">
        <v>650</v>
      </c>
      <c r="S230" s="229"/>
      <c r="T230" s="229"/>
      <c r="U230" s="237" t="str">
        <f t="shared" ref="U230" si="89">"第 "&amp;TEXT($AF$1,"00")&amp;TEXT($AC230,"0000 号")</f>
        <v>第 010020 号</v>
      </c>
      <c r="V230" s="237"/>
      <c r="W230" s="238"/>
      <c r="X230" s="238"/>
      <c r="Y230" s="238"/>
      <c r="Z230" s="238"/>
      <c r="AA230" s="238"/>
      <c r="AB230" s="238"/>
      <c r="AC230" s="239">
        <f t="shared" si="74"/>
        <v>20</v>
      </c>
      <c r="AD230" s="212"/>
    </row>
    <row r="231" spans="1:30" s="45" customFormat="1" ht="22.5" customHeight="1">
      <c r="A231" s="241" t="s">
        <v>651</v>
      </c>
      <c r="B231" s="542" t="s">
        <v>652</v>
      </c>
      <c r="C231" s="242" t="s">
        <v>653</v>
      </c>
      <c r="D231" s="243" t="s">
        <v>654</v>
      </c>
      <c r="E231" s="539" t="s">
        <v>655</v>
      </c>
      <c r="F231" s="539" t="s">
        <v>656</v>
      </c>
      <c r="G231" s="244" t="s">
        <v>657</v>
      </c>
      <c r="H231" s="245"/>
      <c r="I231" s="245"/>
      <c r="J231" s="245"/>
      <c r="K231" s="245"/>
      <c r="L231" s="245"/>
      <c r="M231" s="245"/>
      <c r="N231" s="245"/>
      <c r="O231" s="245"/>
      <c r="P231" s="245"/>
      <c r="Q231" s="246"/>
      <c r="R231" s="247" t="s">
        <v>658</v>
      </c>
      <c r="S231" s="245"/>
      <c r="T231" s="245"/>
      <c r="U231" s="245"/>
      <c r="V231" s="245"/>
      <c r="W231" s="245"/>
      <c r="X231" s="245"/>
      <c r="Y231" s="245"/>
      <c r="Z231" s="245"/>
      <c r="AA231" s="245"/>
      <c r="AB231" s="246"/>
      <c r="AC231" s="541" t="str">
        <f ca="1">"附单据数︵"&amp;INDEX(凭证录入!$D:$D,$AD$17)&amp;"︶张"</f>
        <v>附单据数︵4︶张</v>
      </c>
      <c r="AD231" s="235"/>
    </row>
    <row r="232" spans="1:30" s="45" customFormat="1" ht="22.5" customHeight="1">
      <c r="A232" s="248" t="s">
        <v>659</v>
      </c>
      <c r="B232" s="543"/>
      <c r="C232" s="249" t="s">
        <v>660</v>
      </c>
      <c r="D232" s="250" t="s">
        <v>660</v>
      </c>
      <c r="E232" s="540"/>
      <c r="F232" s="540"/>
      <c r="G232" s="251" t="s">
        <v>661</v>
      </c>
      <c r="H232" s="252" t="s">
        <v>662</v>
      </c>
      <c r="I232" s="253" t="s">
        <v>663</v>
      </c>
      <c r="J232" s="254" t="s">
        <v>664</v>
      </c>
      <c r="K232" s="252" t="s">
        <v>665</v>
      </c>
      <c r="L232" s="253" t="s">
        <v>662</v>
      </c>
      <c r="M232" s="254" t="s">
        <v>663</v>
      </c>
      <c r="N232" s="252" t="s">
        <v>664</v>
      </c>
      <c r="O232" s="253" t="s">
        <v>666</v>
      </c>
      <c r="P232" s="254" t="s">
        <v>667</v>
      </c>
      <c r="Q232" s="255" t="s">
        <v>668</v>
      </c>
      <c r="R232" s="256" t="s">
        <v>661</v>
      </c>
      <c r="S232" s="252" t="s">
        <v>662</v>
      </c>
      <c r="T232" s="257" t="s">
        <v>663</v>
      </c>
      <c r="U232" s="256" t="s">
        <v>664</v>
      </c>
      <c r="V232" s="252" t="s">
        <v>665</v>
      </c>
      <c r="W232" s="253" t="s">
        <v>662</v>
      </c>
      <c r="X232" s="254" t="s">
        <v>663</v>
      </c>
      <c r="Y232" s="252" t="s">
        <v>664</v>
      </c>
      <c r="Z232" s="253" t="s">
        <v>666</v>
      </c>
      <c r="AA232" s="254" t="s">
        <v>667</v>
      </c>
      <c r="AB232" s="255" t="s">
        <v>668</v>
      </c>
      <c r="AC232" s="541"/>
    </row>
    <row r="233" spans="1:30" s="45" customFormat="1" ht="22.5" customHeight="1">
      <c r="A233" s="258" t="str">
        <f ca="1">IFERROR(INDEX(凭证录入!H:H,$AD233),"")</f>
        <v/>
      </c>
      <c r="B233" s="259" t="str">
        <f ca="1">IFERROR(INDEX(凭证录入!I:I,$AD233),"")</f>
        <v/>
      </c>
      <c r="C233" s="260" t="str">
        <f ca="1">IFERROR(VLOOKUP($B233,会计科目表!$A:$C,2,),"")</f>
        <v/>
      </c>
      <c r="D233" s="261" t="str">
        <f ca="1">IFERROR(VLOOKUP($B233,会计科目表!$A:$C,3,),"")</f>
        <v/>
      </c>
      <c r="E233" s="262">
        <f ca="1">IFERROR(INDEX(凭证录入!K:K,$AD233),0)</f>
        <v>0</v>
      </c>
      <c r="F233" s="262">
        <f ca="1">IFERROR(INDEX(凭证录入!L:L,$AD233),0)</f>
        <v>0</v>
      </c>
      <c r="G233" s="263" t="str">
        <f t="shared" ca="1" si="78"/>
        <v/>
      </c>
      <c r="H233" s="264" t="str">
        <f t="shared" ca="1" si="78"/>
        <v/>
      </c>
      <c r="I233" s="265" t="str">
        <f t="shared" ca="1" si="78"/>
        <v/>
      </c>
      <c r="J233" s="266" t="str">
        <f t="shared" ca="1" si="78"/>
        <v/>
      </c>
      <c r="K233" s="264" t="str">
        <f t="shared" ca="1" si="78"/>
        <v/>
      </c>
      <c r="L233" s="265" t="str">
        <f t="shared" ca="1" si="78"/>
        <v/>
      </c>
      <c r="M233" s="266" t="str">
        <f t="shared" ca="1" si="78"/>
        <v/>
      </c>
      <c r="N233" s="264" t="str">
        <f t="shared" ca="1" si="78"/>
        <v/>
      </c>
      <c r="O233" s="265" t="str">
        <f t="shared" ca="1" si="78"/>
        <v/>
      </c>
      <c r="P233" s="266" t="str">
        <f t="shared" ca="1" si="78"/>
        <v/>
      </c>
      <c r="Q233" s="267" t="str">
        <f t="shared" ca="1" si="78"/>
        <v/>
      </c>
      <c r="R233" s="268" t="str">
        <f t="shared" ca="1" si="79"/>
        <v/>
      </c>
      <c r="S233" s="264" t="str">
        <f t="shared" ca="1" si="79"/>
        <v/>
      </c>
      <c r="T233" s="269" t="str">
        <f t="shared" ca="1" si="79"/>
        <v/>
      </c>
      <c r="U233" s="268" t="str">
        <f t="shared" ca="1" si="79"/>
        <v/>
      </c>
      <c r="V233" s="264" t="str">
        <f t="shared" ca="1" si="79"/>
        <v/>
      </c>
      <c r="W233" s="265" t="str">
        <f t="shared" ca="1" si="79"/>
        <v/>
      </c>
      <c r="X233" s="266" t="str">
        <f t="shared" ca="1" si="79"/>
        <v/>
      </c>
      <c r="Y233" s="264" t="str">
        <f t="shared" ca="1" si="79"/>
        <v/>
      </c>
      <c r="Z233" s="265" t="str">
        <f t="shared" ca="1" si="79"/>
        <v/>
      </c>
      <c r="AA233" s="266" t="str">
        <f t="shared" ca="1" si="79"/>
        <v/>
      </c>
      <c r="AB233" s="267" t="str">
        <f t="shared" ca="1" si="79"/>
        <v/>
      </c>
      <c r="AC233" s="541"/>
      <c r="AD233" s="212" t="str">
        <f t="shared" ca="1" si="86"/>
        <v/>
      </c>
    </row>
    <row r="234" spans="1:30" s="45" customFormat="1" ht="22.5" customHeight="1">
      <c r="A234" s="258" t="str">
        <f ca="1">IFERROR(INDEX(凭证录入!H:H,$AD234),"")</f>
        <v/>
      </c>
      <c r="B234" s="259" t="str">
        <f ca="1">IFERROR(INDEX(凭证录入!I:I,$AD234),"")</f>
        <v/>
      </c>
      <c r="C234" s="260" t="str">
        <f ca="1">IFERROR(VLOOKUP($B234,会计科目表!$A:$C,2,),"")</f>
        <v/>
      </c>
      <c r="D234" s="261" t="str">
        <f ca="1">IFERROR(VLOOKUP($B234,会计科目表!$A:$C,3,),"")</f>
        <v/>
      </c>
      <c r="E234" s="262">
        <f ca="1">IFERROR(INDEX(凭证录入!K:K,$AD234),0)</f>
        <v>0</v>
      </c>
      <c r="F234" s="262">
        <f ca="1">IFERROR(INDEX(凭证录入!L:L,$AD234),0)</f>
        <v>0</v>
      </c>
      <c r="G234" s="263" t="str">
        <f t="shared" ca="1" si="78"/>
        <v/>
      </c>
      <c r="H234" s="264" t="str">
        <f t="shared" ca="1" si="78"/>
        <v/>
      </c>
      <c r="I234" s="265" t="str">
        <f t="shared" ca="1" si="78"/>
        <v/>
      </c>
      <c r="J234" s="266" t="str">
        <f t="shared" ca="1" si="78"/>
        <v/>
      </c>
      <c r="K234" s="264" t="str">
        <f t="shared" ca="1" si="78"/>
        <v/>
      </c>
      <c r="L234" s="265" t="str">
        <f t="shared" ca="1" si="78"/>
        <v/>
      </c>
      <c r="M234" s="266" t="str">
        <f t="shared" ca="1" si="78"/>
        <v/>
      </c>
      <c r="N234" s="264" t="str">
        <f t="shared" ca="1" si="78"/>
        <v/>
      </c>
      <c r="O234" s="265" t="str">
        <f t="shared" ca="1" si="78"/>
        <v/>
      </c>
      <c r="P234" s="266" t="str">
        <f t="shared" ca="1" si="78"/>
        <v/>
      </c>
      <c r="Q234" s="267" t="str">
        <f t="shared" ca="1" si="78"/>
        <v/>
      </c>
      <c r="R234" s="268" t="str">
        <f t="shared" ca="1" si="79"/>
        <v/>
      </c>
      <c r="S234" s="264" t="str">
        <f t="shared" ca="1" si="79"/>
        <v/>
      </c>
      <c r="T234" s="269" t="str">
        <f t="shared" ca="1" si="79"/>
        <v/>
      </c>
      <c r="U234" s="268" t="str">
        <f t="shared" ca="1" si="79"/>
        <v/>
      </c>
      <c r="V234" s="264" t="str">
        <f t="shared" ca="1" si="79"/>
        <v/>
      </c>
      <c r="W234" s="265" t="str">
        <f t="shared" ca="1" si="79"/>
        <v/>
      </c>
      <c r="X234" s="266" t="str">
        <f t="shared" ca="1" si="79"/>
        <v/>
      </c>
      <c r="Y234" s="264" t="str">
        <f t="shared" ca="1" si="79"/>
        <v/>
      </c>
      <c r="Z234" s="265" t="str">
        <f t="shared" ca="1" si="79"/>
        <v/>
      </c>
      <c r="AA234" s="266" t="str">
        <f t="shared" ca="1" si="79"/>
        <v/>
      </c>
      <c r="AB234" s="267" t="str">
        <f t="shared" ca="1" si="79"/>
        <v/>
      </c>
      <c r="AC234" s="541"/>
      <c r="AD234" s="212" t="str">
        <f t="shared" ca="1" si="86"/>
        <v/>
      </c>
    </row>
    <row r="235" spans="1:30" s="45" customFormat="1" ht="22.5" customHeight="1">
      <c r="A235" s="258" t="str">
        <f ca="1">IFERROR(INDEX(凭证录入!H:H,$AD235),"")</f>
        <v/>
      </c>
      <c r="B235" s="259" t="str">
        <f ca="1">IFERROR(INDEX(凭证录入!I:I,$AD235),"")</f>
        <v/>
      </c>
      <c r="C235" s="260" t="str">
        <f ca="1">IFERROR(VLOOKUP($B235,会计科目表!$A:$C,2,),"")</f>
        <v/>
      </c>
      <c r="D235" s="261" t="str">
        <f ca="1">IFERROR(VLOOKUP($B235,会计科目表!$A:$C,3,),"")</f>
        <v/>
      </c>
      <c r="E235" s="262">
        <f ca="1">IFERROR(INDEX(凭证录入!K:K,$AD235),0)</f>
        <v>0</v>
      </c>
      <c r="F235" s="262">
        <f ca="1">IFERROR(INDEX(凭证录入!L:L,$AD235),0)</f>
        <v>0</v>
      </c>
      <c r="G235" s="263" t="str">
        <f t="shared" ca="1" si="78"/>
        <v/>
      </c>
      <c r="H235" s="264" t="str">
        <f t="shared" ca="1" si="78"/>
        <v/>
      </c>
      <c r="I235" s="265" t="str">
        <f t="shared" ca="1" si="78"/>
        <v/>
      </c>
      <c r="J235" s="266" t="str">
        <f t="shared" ca="1" si="78"/>
        <v/>
      </c>
      <c r="K235" s="264" t="str">
        <f t="shared" ca="1" si="78"/>
        <v/>
      </c>
      <c r="L235" s="265" t="str">
        <f t="shared" ca="1" si="78"/>
        <v/>
      </c>
      <c r="M235" s="266" t="str">
        <f t="shared" ca="1" si="78"/>
        <v/>
      </c>
      <c r="N235" s="264" t="str">
        <f t="shared" ca="1" si="78"/>
        <v/>
      </c>
      <c r="O235" s="265" t="str">
        <f t="shared" ca="1" si="78"/>
        <v/>
      </c>
      <c r="P235" s="266" t="str">
        <f t="shared" ca="1" si="78"/>
        <v/>
      </c>
      <c r="Q235" s="267" t="str">
        <f t="shared" ca="1" si="78"/>
        <v/>
      </c>
      <c r="R235" s="268" t="str">
        <f t="shared" ca="1" si="79"/>
        <v/>
      </c>
      <c r="S235" s="264" t="str">
        <f t="shared" ca="1" si="79"/>
        <v/>
      </c>
      <c r="T235" s="269" t="str">
        <f t="shared" ca="1" si="79"/>
        <v/>
      </c>
      <c r="U235" s="268" t="str">
        <f t="shared" ca="1" si="79"/>
        <v/>
      </c>
      <c r="V235" s="264" t="str">
        <f t="shared" ca="1" si="79"/>
        <v/>
      </c>
      <c r="W235" s="265" t="str">
        <f t="shared" ca="1" si="79"/>
        <v/>
      </c>
      <c r="X235" s="266" t="str">
        <f t="shared" ca="1" si="79"/>
        <v/>
      </c>
      <c r="Y235" s="264" t="str">
        <f t="shared" ca="1" si="79"/>
        <v/>
      </c>
      <c r="Z235" s="265" t="str">
        <f t="shared" ca="1" si="79"/>
        <v/>
      </c>
      <c r="AA235" s="266" t="str">
        <f t="shared" ca="1" si="79"/>
        <v/>
      </c>
      <c r="AB235" s="267" t="str">
        <f t="shared" ca="1" si="79"/>
        <v/>
      </c>
      <c r="AC235" s="536" t="s">
        <v>669</v>
      </c>
      <c r="AD235" s="212" t="str">
        <f t="shared" ca="1" si="86"/>
        <v/>
      </c>
    </row>
    <row r="236" spans="1:30" s="45" customFormat="1" ht="22.5" customHeight="1">
      <c r="A236" s="258" t="str">
        <f ca="1">IFERROR(INDEX(凭证录入!H:H,$AD236),"")</f>
        <v/>
      </c>
      <c r="B236" s="259" t="str">
        <f ca="1">IFERROR(INDEX(凭证录入!I:I,$AD236),"")</f>
        <v/>
      </c>
      <c r="C236" s="260" t="str">
        <f ca="1">IFERROR(VLOOKUP($B236,会计科目表!$A:$C,2,),"")</f>
        <v/>
      </c>
      <c r="D236" s="261" t="str">
        <f ca="1">IFERROR(VLOOKUP($B236,会计科目表!$A:$C,3,),"")</f>
        <v/>
      </c>
      <c r="E236" s="262">
        <f ca="1">IFERROR(INDEX(凭证录入!K:K,$AD236),0)</f>
        <v>0</v>
      </c>
      <c r="F236" s="262">
        <f ca="1">IFERROR(INDEX(凭证录入!L:L,$AD236),0)</f>
        <v>0</v>
      </c>
      <c r="G236" s="263" t="str">
        <f t="shared" ca="1" si="78"/>
        <v/>
      </c>
      <c r="H236" s="264" t="str">
        <f t="shared" ca="1" si="78"/>
        <v/>
      </c>
      <c r="I236" s="265" t="str">
        <f t="shared" ca="1" si="78"/>
        <v/>
      </c>
      <c r="J236" s="266" t="str">
        <f t="shared" ca="1" si="78"/>
        <v/>
      </c>
      <c r="K236" s="264" t="str">
        <f t="shared" ca="1" si="78"/>
        <v/>
      </c>
      <c r="L236" s="265" t="str">
        <f t="shared" ca="1" si="78"/>
        <v/>
      </c>
      <c r="M236" s="266" t="str">
        <f t="shared" ca="1" si="78"/>
        <v/>
      </c>
      <c r="N236" s="264" t="str">
        <f t="shared" ca="1" si="78"/>
        <v/>
      </c>
      <c r="O236" s="265" t="str">
        <f t="shared" ca="1" si="78"/>
        <v/>
      </c>
      <c r="P236" s="266" t="str">
        <f t="shared" ca="1" si="78"/>
        <v/>
      </c>
      <c r="Q236" s="267" t="str">
        <f t="shared" ca="1" si="78"/>
        <v/>
      </c>
      <c r="R236" s="268" t="str">
        <f t="shared" ca="1" si="79"/>
        <v/>
      </c>
      <c r="S236" s="264" t="str">
        <f t="shared" ca="1" si="79"/>
        <v/>
      </c>
      <c r="T236" s="269" t="str">
        <f t="shared" ca="1" si="79"/>
        <v/>
      </c>
      <c r="U236" s="268" t="str">
        <f t="shared" ca="1" si="79"/>
        <v/>
      </c>
      <c r="V236" s="264" t="str">
        <f t="shared" ca="1" si="79"/>
        <v/>
      </c>
      <c r="W236" s="265" t="str">
        <f t="shared" ca="1" si="79"/>
        <v/>
      </c>
      <c r="X236" s="266" t="str">
        <f t="shared" ca="1" si="79"/>
        <v/>
      </c>
      <c r="Y236" s="264" t="str">
        <f t="shared" ca="1" si="79"/>
        <v/>
      </c>
      <c r="Z236" s="265" t="str">
        <f t="shared" ca="1" si="79"/>
        <v/>
      </c>
      <c r="AA236" s="266" t="str">
        <f t="shared" ca="1" si="79"/>
        <v/>
      </c>
      <c r="AB236" s="267" t="str">
        <f t="shared" ca="1" si="79"/>
        <v/>
      </c>
      <c r="AC236" s="537"/>
      <c r="AD236" s="212" t="str">
        <f t="shared" ca="1" si="86"/>
        <v/>
      </c>
    </row>
    <row r="237" spans="1:30" s="45" customFormat="1" ht="22.5" customHeight="1">
      <c r="A237" s="258" t="str">
        <f ca="1">IFERROR(INDEX(凭证录入!H:H,$AD237),"")</f>
        <v/>
      </c>
      <c r="B237" s="259" t="str">
        <f ca="1">IFERROR(INDEX(凭证录入!I:I,$AD237),"")</f>
        <v/>
      </c>
      <c r="C237" s="260" t="str">
        <f ca="1">IFERROR(VLOOKUP($B237,会计科目表!$A:$C,2,),"")</f>
        <v/>
      </c>
      <c r="D237" s="261" t="str">
        <f ca="1">IFERROR(VLOOKUP($B237,会计科目表!$A:$C,3,),"")</f>
        <v/>
      </c>
      <c r="E237" s="262">
        <f ca="1">IFERROR(INDEX(凭证录入!K:K,$AD237),0)</f>
        <v>0</v>
      </c>
      <c r="F237" s="262">
        <f ca="1">IFERROR(INDEX(凭证录入!L:L,$AD237),0)</f>
        <v>0</v>
      </c>
      <c r="G237" s="263" t="str">
        <f t="shared" ca="1" si="78"/>
        <v/>
      </c>
      <c r="H237" s="264" t="str">
        <f t="shared" ca="1" si="78"/>
        <v/>
      </c>
      <c r="I237" s="265" t="str">
        <f t="shared" ca="1" si="78"/>
        <v/>
      </c>
      <c r="J237" s="266" t="str">
        <f t="shared" ca="1" si="78"/>
        <v/>
      </c>
      <c r="K237" s="264" t="str">
        <f t="shared" ref="G237:Q275" ca="1" si="90">LEFT(RIGHT(TEXT($E237/1%," ￥0; ￥-0;"),18-COLUMN()))</f>
        <v/>
      </c>
      <c r="L237" s="265" t="str">
        <f t="shared" ca="1" si="90"/>
        <v/>
      </c>
      <c r="M237" s="266" t="str">
        <f t="shared" ca="1" si="90"/>
        <v/>
      </c>
      <c r="N237" s="264" t="str">
        <f t="shared" ca="1" si="90"/>
        <v/>
      </c>
      <c r="O237" s="265" t="str">
        <f t="shared" ca="1" si="90"/>
        <v/>
      </c>
      <c r="P237" s="266" t="str">
        <f t="shared" ca="1" si="90"/>
        <v/>
      </c>
      <c r="Q237" s="267" t="str">
        <f t="shared" ca="1" si="90"/>
        <v/>
      </c>
      <c r="R237" s="268" t="str">
        <f t="shared" ca="1" si="79"/>
        <v/>
      </c>
      <c r="S237" s="264" t="str">
        <f t="shared" ca="1" si="79"/>
        <v/>
      </c>
      <c r="T237" s="269" t="str">
        <f t="shared" ca="1" si="79"/>
        <v/>
      </c>
      <c r="U237" s="268" t="str">
        <f t="shared" ca="1" si="79"/>
        <v/>
      </c>
      <c r="V237" s="264" t="str">
        <f t="shared" ref="R237:AB275" ca="1" si="91">LEFT(RIGHT(TEXT($F237/1%," ￥0; ￥-0;"),29-COLUMN()))</f>
        <v/>
      </c>
      <c r="W237" s="265" t="str">
        <f t="shared" ca="1" si="91"/>
        <v/>
      </c>
      <c r="X237" s="266" t="str">
        <f t="shared" ca="1" si="91"/>
        <v/>
      </c>
      <c r="Y237" s="264" t="str">
        <f t="shared" ca="1" si="91"/>
        <v/>
      </c>
      <c r="Z237" s="265" t="str">
        <f t="shared" ca="1" si="91"/>
        <v/>
      </c>
      <c r="AA237" s="266" t="str">
        <f t="shared" ca="1" si="91"/>
        <v/>
      </c>
      <c r="AB237" s="267" t="str">
        <f t="shared" ca="1" si="91"/>
        <v/>
      </c>
      <c r="AC237" s="538"/>
      <c r="AD237" s="212" t="str">
        <f t="shared" ca="1" si="86"/>
        <v/>
      </c>
    </row>
    <row r="238" spans="1:30" s="45" customFormat="1" ht="22.5" customHeight="1">
      <c r="A238" s="258" t="str">
        <f ca="1">IFERROR(INDEX(凭证录入!H:H,$AD238),"")</f>
        <v/>
      </c>
      <c r="B238" s="259" t="str">
        <f ca="1">IFERROR(INDEX(凭证录入!I:I,$AD238),"")</f>
        <v/>
      </c>
      <c r="C238" s="260" t="str">
        <f ca="1">IFERROR(VLOOKUP($B238,会计科目表!$A:$C,2,),"")</f>
        <v/>
      </c>
      <c r="D238" s="261" t="str">
        <f ca="1">IFERROR(VLOOKUP($B238,会计科目表!$A:$C,3,),"")</f>
        <v/>
      </c>
      <c r="E238" s="262">
        <f ca="1">IFERROR(INDEX(凭证录入!K:K,$AD238),0)</f>
        <v>0</v>
      </c>
      <c r="F238" s="262">
        <f ca="1">IFERROR(INDEX(凭证录入!L:L,$AD238),0)</f>
        <v>0</v>
      </c>
      <c r="G238" s="263" t="str">
        <f t="shared" ca="1" si="90"/>
        <v/>
      </c>
      <c r="H238" s="264" t="str">
        <f t="shared" ca="1" si="90"/>
        <v/>
      </c>
      <c r="I238" s="265" t="str">
        <f t="shared" ca="1" si="90"/>
        <v/>
      </c>
      <c r="J238" s="266" t="str">
        <f t="shared" ca="1" si="90"/>
        <v/>
      </c>
      <c r="K238" s="264" t="str">
        <f t="shared" ca="1" si="90"/>
        <v/>
      </c>
      <c r="L238" s="265" t="str">
        <f t="shared" ca="1" si="90"/>
        <v/>
      </c>
      <c r="M238" s="266" t="str">
        <f t="shared" ca="1" si="90"/>
        <v/>
      </c>
      <c r="N238" s="264" t="str">
        <f t="shared" ca="1" si="90"/>
        <v/>
      </c>
      <c r="O238" s="265" t="str">
        <f t="shared" ca="1" si="90"/>
        <v/>
      </c>
      <c r="P238" s="266" t="str">
        <f t="shared" ca="1" si="90"/>
        <v/>
      </c>
      <c r="Q238" s="267" t="str">
        <f t="shared" ca="1" si="90"/>
        <v/>
      </c>
      <c r="R238" s="268" t="str">
        <f t="shared" ca="1" si="91"/>
        <v/>
      </c>
      <c r="S238" s="264" t="str">
        <f t="shared" ca="1" si="91"/>
        <v/>
      </c>
      <c r="T238" s="269" t="str">
        <f t="shared" ca="1" si="91"/>
        <v/>
      </c>
      <c r="U238" s="268" t="str">
        <f t="shared" ca="1" si="91"/>
        <v/>
      </c>
      <c r="V238" s="264" t="str">
        <f t="shared" ca="1" si="91"/>
        <v/>
      </c>
      <c r="W238" s="265" t="str">
        <f t="shared" ca="1" si="91"/>
        <v/>
      </c>
      <c r="X238" s="266" t="str">
        <f t="shared" ca="1" si="91"/>
        <v/>
      </c>
      <c r="Y238" s="264" t="str">
        <f t="shared" ca="1" si="91"/>
        <v/>
      </c>
      <c r="Z238" s="265" t="str">
        <f t="shared" ca="1" si="91"/>
        <v/>
      </c>
      <c r="AA238" s="266" t="str">
        <f t="shared" ca="1" si="91"/>
        <v/>
      </c>
      <c r="AB238" s="267" t="str">
        <f t="shared" ca="1" si="91"/>
        <v/>
      </c>
      <c r="AC238" s="538"/>
      <c r="AD238" s="212" t="str">
        <f t="shared" ca="1" si="86"/>
        <v/>
      </c>
    </row>
    <row r="239" spans="1:30" s="45" customFormat="1" ht="22.5" customHeight="1">
      <c r="A239" s="270" t="s">
        <v>670</v>
      </c>
      <c r="B239" s="271"/>
      <c r="C239" s="272" t="str">
        <f t="shared" ref="C239" ca="1" si="92">SUBSTITUTE(SUBSTITUTE(IF(-DOLLAR(E239),IF(E239&gt;0,,"负")&amp;TEXT(INT(ABS(E239)+0.5%),"[dbnum2]G/通用格式元;;")&amp;TEXT(RIGHT(DOLLAR(E239,2),2),"[dbnum2]0角0分;;整"),),"零角",IF(E239^2&lt;1,,"零")),"零分","整")</f>
        <v/>
      </c>
      <c r="D239" s="273"/>
      <c r="E239" s="274">
        <f t="shared" ref="E239:F239" ca="1" si="93">SUM(E233:E238)</f>
        <v>0</v>
      </c>
      <c r="F239" s="275">
        <f t="shared" ca="1" si="93"/>
        <v>0</v>
      </c>
      <c r="G239" s="276" t="str">
        <f t="shared" ca="1" si="90"/>
        <v/>
      </c>
      <c r="H239" s="277" t="str">
        <f t="shared" ca="1" si="90"/>
        <v/>
      </c>
      <c r="I239" s="278" t="str">
        <f t="shared" ca="1" si="90"/>
        <v/>
      </c>
      <c r="J239" s="279" t="str">
        <f t="shared" ca="1" si="90"/>
        <v/>
      </c>
      <c r="K239" s="277" t="str">
        <f t="shared" ca="1" si="90"/>
        <v/>
      </c>
      <c r="L239" s="278" t="str">
        <f t="shared" ca="1" si="90"/>
        <v/>
      </c>
      <c r="M239" s="279" t="str">
        <f t="shared" ca="1" si="90"/>
        <v/>
      </c>
      <c r="N239" s="277" t="str">
        <f t="shared" ca="1" si="90"/>
        <v/>
      </c>
      <c r="O239" s="278" t="str">
        <f t="shared" ca="1" si="90"/>
        <v/>
      </c>
      <c r="P239" s="279" t="str">
        <f t="shared" ca="1" si="90"/>
        <v/>
      </c>
      <c r="Q239" s="280" t="str">
        <f t="shared" ca="1" si="90"/>
        <v/>
      </c>
      <c r="R239" s="281" t="str">
        <f t="shared" ca="1" si="91"/>
        <v/>
      </c>
      <c r="S239" s="277" t="str">
        <f t="shared" ca="1" si="91"/>
        <v/>
      </c>
      <c r="T239" s="282" t="str">
        <f t="shared" ca="1" si="91"/>
        <v/>
      </c>
      <c r="U239" s="281" t="str">
        <f t="shared" ca="1" si="91"/>
        <v/>
      </c>
      <c r="V239" s="277" t="str">
        <f t="shared" ca="1" si="91"/>
        <v/>
      </c>
      <c r="W239" s="278" t="str">
        <f t="shared" ca="1" si="91"/>
        <v/>
      </c>
      <c r="X239" s="279" t="str">
        <f t="shared" ca="1" si="91"/>
        <v/>
      </c>
      <c r="Y239" s="277" t="str">
        <f t="shared" ca="1" si="91"/>
        <v/>
      </c>
      <c r="Z239" s="278" t="str">
        <f t="shared" ca="1" si="91"/>
        <v/>
      </c>
      <c r="AA239" s="279" t="str">
        <f t="shared" ca="1" si="91"/>
        <v/>
      </c>
      <c r="AB239" s="280" t="str">
        <f t="shared" ca="1" si="91"/>
        <v/>
      </c>
      <c r="AC239" s="283"/>
      <c r="AD239" s="212"/>
    </row>
    <row r="240" spans="1:30" s="22" customFormat="1" ht="22.5" customHeight="1">
      <c r="A240" s="284" t="s">
        <v>644</v>
      </c>
      <c r="B240" s="284"/>
      <c r="C240" s="284"/>
      <c r="D240" s="284" t="s">
        <v>645</v>
      </c>
      <c r="E240" s="284"/>
      <c r="F240" s="284"/>
      <c r="G240" s="284"/>
      <c r="H240" s="285"/>
      <c r="I240" s="284"/>
      <c r="J240" s="285"/>
      <c r="K240" s="285"/>
      <c r="L240" s="284"/>
      <c r="M240" s="285"/>
      <c r="N240" s="285"/>
      <c r="O240" s="285"/>
      <c r="P240" s="284"/>
      <c r="Q240" s="284" t="s">
        <v>646</v>
      </c>
      <c r="R240" s="284"/>
      <c r="S240" s="284"/>
      <c r="T240" s="284"/>
      <c r="U240" s="285"/>
      <c r="V240" s="284"/>
      <c r="W240" s="285"/>
      <c r="X240" s="284"/>
      <c r="Y240" s="284"/>
      <c r="Z240" s="285"/>
      <c r="AA240" s="285"/>
      <c r="AB240" s="285"/>
      <c r="AC240" s="286"/>
      <c r="AD240" s="212"/>
    </row>
    <row r="241" spans="1:30" ht="39.75" customHeight="1" thickBot="1">
      <c r="A241" s="226"/>
      <c r="B241" s="226"/>
      <c r="C241" s="227" t="s">
        <v>647</v>
      </c>
      <c r="D241" s="228"/>
      <c r="E241" s="226"/>
      <c r="F241" s="226"/>
      <c r="G241" s="228"/>
      <c r="H241" s="228"/>
      <c r="I241" s="228"/>
      <c r="J241" s="228"/>
      <c r="K241" s="228"/>
      <c r="L241" s="228"/>
      <c r="M241" s="228"/>
      <c r="N241" s="228"/>
      <c r="O241" s="228"/>
      <c r="P241" s="228"/>
      <c r="Q241" s="228"/>
      <c r="R241" s="229" t="s">
        <v>648</v>
      </c>
      <c r="S241" s="230"/>
      <c r="T241" s="230"/>
      <c r="U241" s="231" t="e">
        <f ca="1">DATE(AD$1,AF$1,INDEX(凭证录入!B:B,AD245))</f>
        <v>#VALUE!</v>
      </c>
      <c r="V241" s="232"/>
      <c r="W241" s="232"/>
      <c r="X241" s="232"/>
      <c r="Y241" s="232"/>
      <c r="Z241" s="232"/>
      <c r="AA241" s="232"/>
      <c r="AB241" s="232"/>
      <c r="AD241" s="212"/>
    </row>
    <row r="242" spans="1:30" s="45" customFormat="1" ht="23.25" customHeight="1" thickTop="1">
      <c r="A242" s="235" t="s">
        <v>649</v>
      </c>
      <c r="B242" s="235"/>
      <c r="C242" s="236" t="str">
        <f t="shared" si="72"/>
        <v>远大开发有限公司</v>
      </c>
      <c r="D242" s="236"/>
      <c r="E242" s="236"/>
      <c r="F242" s="236"/>
      <c r="G242" s="236"/>
      <c r="H242" s="236"/>
      <c r="I242" s="236"/>
      <c r="J242" s="236"/>
      <c r="K242" s="236"/>
      <c r="L242" s="236"/>
      <c r="M242" s="236"/>
      <c r="N242" s="236"/>
      <c r="O242" s="236"/>
      <c r="P242" s="236"/>
      <c r="Q242" s="236"/>
      <c r="R242" s="229" t="s">
        <v>650</v>
      </c>
      <c r="S242" s="229"/>
      <c r="T242" s="229"/>
      <c r="U242" s="237" t="str">
        <f t="shared" ref="U242" si="94">"第 "&amp;TEXT($AF$1,"00")&amp;TEXT($AC242,"0000 号")</f>
        <v>第 010021 号</v>
      </c>
      <c r="V242" s="237"/>
      <c r="W242" s="238"/>
      <c r="X242" s="238"/>
      <c r="Y242" s="238"/>
      <c r="Z242" s="238"/>
      <c r="AA242" s="238"/>
      <c r="AB242" s="238"/>
      <c r="AC242" s="239">
        <f t="shared" si="74"/>
        <v>21</v>
      </c>
      <c r="AD242" s="212"/>
    </row>
    <row r="243" spans="1:30" s="45" customFormat="1" ht="22.5" customHeight="1">
      <c r="A243" s="241" t="s">
        <v>651</v>
      </c>
      <c r="B243" s="542" t="s">
        <v>652</v>
      </c>
      <c r="C243" s="242" t="s">
        <v>653</v>
      </c>
      <c r="D243" s="243" t="s">
        <v>654</v>
      </c>
      <c r="E243" s="539" t="s">
        <v>655</v>
      </c>
      <c r="F243" s="539" t="s">
        <v>656</v>
      </c>
      <c r="G243" s="244" t="s">
        <v>657</v>
      </c>
      <c r="H243" s="245"/>
      <c r="I243" s="245"/>
      <c r="J243" s="245"/>
      <c r="K243" s="245"/>
      <c r="L243" s="245"/>
      <c r="M243" s="245"/>
      <c r="N243" s="245"/>
      <c r="O243" s="245"/>
      <c r="P243" s="245"/>
      <c r="Q243" s="246"/>
      <c r="R243" s="247" t="s">
        <v>658</v>
      </c>
      <c r="S243" s="245"/>
      <c r="T243" s="245"/>
      <c r="U243" s="245"/>
      <c r="V243" s="245"/>
      <c r="W243" s="245"/>
      <c r="X243" s="245"/>
      <c r="Y243" s="245"/>
      <c r="Z243" s="245"/>
      <c r="AA243" s="245"/>
      <c r="AB243" s="246"/>
      <c r="AC243" s="541" t="str">
        <f ca="1">"附单据数︵"&amp;INDEX(凭证录入!$D:$D,$AD$17)&amp;"︶张"</f>
        <v>附单据数︵4︶张</v>
      </c>
      <c r="AD243" s="235"/>
    </row>
    <row r="244" spans="1:30" s="45" customFormat="1" ht="22.5" customHeight="1">
      <c r="A244" s="248" t="s">
        <v>659</v>
      </c>
      <c r="B244" s="543"/>
      <c r="C244" s="249" t="s">
        <v>660</v>
      </c>
      <c r="D244" s="250" t="s">
        <v>660</v>
      </c>
      <c r="E244" s="540"/>
      <c r="F244" s="540"/>
      <c r="G244" s="251" t="s">
        <v>661</v>
      </c>
      <c r="H244" s="252" t="s">
        <v>662</v>
      </c>
      <c r="I244" s="253" t="s">
        <v>663</v>
      </c>
      <c r="J244" s="254" t="s">
        <v>664</v>
      </c>
      <c r="K244" s="252" t="s">
        <v>665</v>
      </c>
      <c r="L244" s="253" t="s">
        <v>662</v>
      </c>
      <c r="M244" s="254" t="s">
        <v>663</v>
      </c>
      <c r="N244" s="252" t="s">
        <v>664</v>
      </c>
      <c r="O244" s="253" t="s">
        <v>666</v>
      </c>
      <c r="P244" s="254" t="s">
        <v>667</v>
      </c>
      <c r="Q244" s="255" t="s">
        <v>668</v>
      </c>
      <c r="R244" s="256" t="s">
        <v>661</v>
      </c>
      <c r="S244" s="252" t="s">
        <v>662</v>
      </c>
      <c r="T244" s="257" t="s">
        <v>663</v>
      </c>
      <c r="U244" s="256" t="s">
        <v>664</v>
      </c>
      <c r="V244" s="252" t="s">
        <v>665</v>
      </c>
      <c r="W244" s="253" t="s">
        <v>662</v>
      </c>
      <c r="X244" s="254" t="s">
        <v>663</v>
      </c>
      <c r="Y244" s="252" t="s">
        <v>664</v>
      </c>
      <c r="Z244" s="253" t="s">
        <v>666</v>
      </c>
      <c r="AA244" s="254" t="s">
        <v>667</v>
      </c>
      <c r="AB244" s="255" t="s">
        <v>668</v>
      </c>
      <c r="AC244" s="541"/>
    </row>
    <row r="245" spans="1:30" s="45" customFormat="1" ht="22.5" customHeight="1">
      <c r="A245" s="258" t="str">
        <f ca="1">IFERROR(INDEX(凭证录入!H:H,$AD245),"")</f>
        <v/>
      </c>
      <c r="B245" s="259" t="str">
        <f ca="1">IFERROR(INDEX(凭证录入!I:I,$AD245),"")</f>
        <v/>
      </c>
      <c r="C245" s="260" t="str">
        <f ca="1">IFERROR(VLOOKUP($B245,会计科目表!$A:$C,2,),"")</f>
        <v/>
      </c>
      <c r="D245" s="261" t="str">
        <f ca="1">IFERROR(VLOOKUP($B245,会计科目表!$A:$C,3,),"")</f>
        <v/>
      </c>
      <c r="E245" s="262">
        <f ca="1">IFERROR(INDEX(凭证录入!K:K,$AD245),0)</f>
        <v>0</v>
      </c>
      <c r="F245" s="262">
        <f ca="1">IFERROR(INDEX(凭证录入!L:L,$AD245),0)</f>
        <v>0</v>
      </c>
      <c r="G245" s="263" t="str">
        <f t="shared" ca="1" si="90"/>
        <v/>
      </c>
      <c r="H245" s="264" t="str">
        <f t="shared" ca="1" si="90"/>
        <v/>
      </c>
      <c r="I245" s="265" t="str">
        <f t="shared" ca="1" si="90"/>
        <v/>
      </c>
      <c r="J245" s="266" t="str">
        <f t="shared" ca="1" si="90"/>
        <v/>
      </c>
      <c r="K245" s="264" t="str">
        <f t="shared" ca="1" si="90"/>
        <v/>
      </c>
      <c r="L245" s="265" t="str">
        <f t="shared" ca="1" si="90"/>
        <v/>
      </c>
      <c r="M245" s="266" t="str">
        <f t="shared" ca="1" si="90"/>
        <v/>
      </c>
      <c r="N245" s="264" t="str">
        <f t="shared" ca="1" si="90"/>
        <v/>
      </c>
      <c r="O245" s="265" t="str">
        <f t="shared" ca="1" si="90"/>
        <v/>
      </c>
      <c r="P245" s="266" t="str">
        <f t="shared" ca="1" si="90"/>
        <v/>
      </c>
      <c r="Q245" s="267" t="str">
        <f t="shared" ca="1" si="90"/>
        <v/>
      </c>
      <c r="R245" s="268" t="str">
        <f t="shared" ca="1" si="91"/>
        <v/>
      </c>
      <c r="S245" s="264" t="str">
        <f t="shared" ca="1" si="91"/>
        <v/>
      </c>
      <c r="T245" s="269" t="str">
        <f t="shared" ca="1" si="91"/>
        <v/>
      </c>
      <c r="U245" s="268" t="str">
        <f t="shared" ca="1" si="91"/>
        <v/>
      </c>
      <c r="V245" s="264" t="str">
        <f t="shared" ca="1" si="91"/>
        <v/>
      </c>
      <c r="W245" s="265" t="str">
        <f t="shared" ca="1" si="91"/>
        <v/>
      </c>
      <c r="X245" s="266" t="str">
        <f t="shared" ca="1" si="91"/>
        <v/>
      </c>
      <c r="Y245" s="264" t="str">
        <f t="shared" ca="1" si="91"/>
        <v/>
      </c>
      <c r="Z245" s="265" t="str">
        <f t="shared" ca="1" si="91"/>
        <v/>
      </c>
      <c r="AA245" s="266" t="str">
        <f t="shared" ca="1" si="91"/>
        <v/>
      </c>
      <c r="AB245" s="267" t="str">
        <f t="shared" ca="1" si="91"/>
        <v/>
      </c>
      <c r="AC245" s="541"/>
      <c r="AD245" s="212" t="str">
        <f t="shared" ca="1" si="86"/>
        <v/>
      </c>
    </row>
    <row r="246" spans="1:30" s="45" customFormat="1" ht="22.5" customHeight="1">
      <c r="A246" s="258" t="str">
        <f ca="1">IFERROR(INDEX(凭证录入!H:H,$AD246),"")</f>
        <v/>
      </c>
      <c r="B246" s="259" t="str">
        <f ca="1">IFERROR(INDEX(凭证录入!I:I,$AD246),"")</f>
        <v/>
      </c>
      <c r="C246" s="260" t="str">
        <f ca="1">IFERROR(VLOOKUP($B246,会计科目表!$A:$C,2,),"")</f>
        <v/>
      </c>
      <c r="D246" s="261" t="str">
        <f ca="1">IFERROR(VLOOKUP($B246,会计科目表!$A:$C,3,),"")</f>
        <v/>
      </c>
      <c r="E246" s="262">
        <f ca="1">IFERROR(INDEX(凭证录入!K:K,$AD246),0)</f>
        <v>0</v>
      </c>
      <c r="F246" s="262">
        <f ca="1">IFERROR(INDEX(凭证录入!L:L,$AD246),0)</f>
        <v>0</v>
      </c>
      <c r="G246" s="263" t="str">
        <f t="shared" ca="1" si="90"/>
        <v/>
      </c>
      <c r="H246" s="264" t="str">
        <f t="shared" ca="1" si="90"/>
        <v/>
      </c>
      <c r="I246" s="265" t="str">
        <f t="shared" ca="1" si="90"/>
        <v/>
      </c>
      <c r="J246" s="266" t="str">
        <f t="shared" ca="1" si="90"/>
        <v/>
      </c>
      <c r="K246" s="264" t="str">
        <f t="shared" ca="1" si="90"/>
        <v/>
      </c>
      <c r="L246" s="265" t="str">
        <f t="shared" ca="1" si="90"/>
        <v/>
      </c>
      <c r="M246" s="266" t="str">
        <f t="shared" ca="1" si="90"/>
        <v/>
      </c>
      <c r="N246" s="264" t="str">
        <f t="shared" ca="1" si="90"/>
        <v/>
      </c>
      <c r="O246" s="265" t="str">
        <f t="shared" ca="1" si="90"/>
        <v/>
      </c>
      <c r="P246" s="266" t="str">
        <f t="shared" ca="1" si="90"/>
        <v/>
      </c>
      <c r="Q246" s="267" t="str">
        <f t="shared" ca="1" si="90"/>
        <v/>
      </c>
      <c r="R246" s="268" t="str">
        <f t="shared" ca="1" si="91"/>
        <v/>
      </c>
      <c r="S246" s="264" t="str">
        <f t="shared" ca="1" si="91"/>
        <v/>
      </c>
      <c r="T246" s="269" t="str">
        <f t="shared" ca="1" si="91"/>
        <v/>
      </c>
      <c r="U246" s="268" t="str">
        <f t="shared" ca="1" si="91"/>
        <v/>
      </c>
      <c r="V246" s="264" t="str">
        <f t="shared" ca="1" si="91"/>
        <v/>
      </c>
      <c r="W246" s="265" t="str">
        <f t="shared" ca="1" si="91"/>
        <v/>
      </c>
      <c r="X246" s="266" t="str">
        <f t="shared" ca="1" si="91"/>
        <v/>
      </c>
      <c r="Y246" s="264" t="str">
        <f t="shared" ca="1" si="91"/>
        <v/>
      </c>
      <c r="Z246" s="265" t="str">
        <f t="shared" ca="1" si="91"/>
        <v/>
      </c>
      <c r="AA246" s="266" t="str">
        <f t="shared" ca="1" si="91"/>
        <v/>
      </c>
      <c r="AB246" s="267" t="str">
        <f t="shared" ca="1" si="91"/>
        <v/>
      </c>
      <c r="AC246" s="541"/>
      <c r="AD246" s="212" t="str">
        <f t="shared" ca="1" si="86"/>
        <v/>
      </c>
    </row>
    <row r="247" spans="1:30" s="45" customFormat="1" ht="22.5" customHeight="1">
      <c r="A247" s="258" t="str">
        <f ca="1">IFERROR(INDEX(凭证录入!H:H,$AD247),"")</f>
        <v/>
      </c>
      <c r="B247" s="259" t="str">
        <f ca="1">IFERROR(INDEX(凭证录入!I:I,$AD247),"")</f>
        <v/>
      </c>
      <c r="C247" s="260" t="str">
        <f ca="1">IFERROR(VLOOKUP($B247,会计科目表!$A:$C,2,),"")</f>
        <v/>
      </c>
      <c r="D247" s="261" t="str">
        <f ca="1">IFERROR(VLOOKUP($B247,会计科目表!$A:$C,3,),"")</f>
        <v/>
      </c>
      <c r="E247" s="262">
        <f ca="1">IFERROR(INDEX(凭证录入!K:K,$AD247),0)</f>
        <v>0</v>
      </c>
      <c r="F247" s="262">
        <f ca="1">IFERROR(INDEX(凭证录入!L:L,$AD247),0)</f>
        <v>0</v>
      </c>
      <c r="G247" s="263" t="str">
        <f t="shared" ca="1" si="90"/>
        <v/>
      </c>
      <c r="H247" s="264" t="str">
        <f t="shared" ca="1" si="90"/>
        <v/>
      </c>
      <c r="I247" s="265" t="str">
        <f t="shared" ca="1" si="90"/>
        <v/>
      </c>
      <c r="J247" s="266" t="str">
        <f t="shared" ca="1" si="90"/>
        <v/>
      </c>
      <c r="K247" s="264" t="str">
        <f t="shared" ca="1" si="90"/>
        <v/>
      </c>
      <c r="L247" s="265" t="str">
        <f t="shared" ca="1" si="90"/>
        <v/>
      </c>
      <c r="M247" s="266" t="str">
        <f t="shared" ca="1" si="90"/>
        <v/>
      </c>
      <c r="N247" s="264" t="str">
        <f t="shared" ca="1" si="90"/>
        <v/>
      </c>
      <c r="O247" s="265" t="str">
        <f t="shared" ca="1" si="90"/>
        <v/>
      </c>
      <c r="P247" s="266" t="str">
        <f t="shared" ca="1" si="90"/>
        <v/>
      </c>
      <c r="Q247" s="267" t="str">
        <f t="shared" ca="1" si="90"/>
        <v/>
      </c>
      <c r="R247" s="268" t="str">
        <f t="shared" ca="1" si="91"/>
        <v/>
      </c>
      <c r="S247" s="264" t="str">
        <f t="shared" ca="1" si="91"/>
        <v/>
      </c>
      <c r="T247" s="269" t="str">
        <f t="shared" ca="1" si="91"/>
        <v/>
      </c>
      <c r="U247" s="268" t="str">
        <f t="shared" ca="1" si="91"/>
        <v/>
      </c>
      <c r="V247" s="264" t="str">
        <f t="shared" ca="1" si="91"/>
        <v/>
      </c>
      <c r="W247" s="265" t="str">
        <f t="shared" ca="1" si="91"/>
        <v/>
      </c>
      <c r="X247" s="266" t="str">
        <f t="shared" ca="1" si="91"/>
        <v/>
      </c>
      <c r="Y247" s="264" t="str">
        <f t="shared" ca="1" si="91"/>
        <v/>
      </c>
      <c r="Z247" s="265" t="str">
        <f t="shared" ca="1" si="91"/>
        <v/>
      </c>
      <c r="AA247" s="266" t="str">
        <f t="shared" ca="1" si="91"/>
        <v/>
      </c>
      <c r="AB247" s="267" t="str">
        <f t="shared" ca="1" si="91"/>
        <v/>
      </c>
      <c r="AC247" s="536" t="s">
        <v>669</v>
      </c>
      <c r="AD247" s="212" t="str">
        <f t="shared" ca="1" si="86"/>
        <v/>
      </c>
    </row>
    <row r="248" spans="1:30" s="45" customFormat="1" ht="22.5" customHeight="1">
      <c r="A248" s="258" t="str">
        <f ca="1">IFERROR(INDEX(凭证录入!H:H,$AD248),"")</f>
        <v/>
      </c>
      <c r="B248" s="259" t="str">
        <f ca="1">IFERROR(INDEX(凭证录入!I:I,$AD248),"")</f>
        <v/>
      </c>
      <c r="C248" s="260" t="str">
        <f ca="1">IFERROR(VLOOKUP($B248,会计科目表!$A:$C,2,),"")</f>
        <v/>
      </c>
      <c r="D248" s="261" t="str">
        <f ca="1">IFERROR(VLOOKUP($B248,会计科目表!$A:$C,3,),"")</f>
        <v/>
      </c>
      <c r="E248" s="262">
        <f ca="1">IFERROR(INDEX(凭证录入!K:K,$AD248),0)</f>
        <v>0</v>
      </c>
      <c r="F248" s="262">
        <f ca="1">IFERROR(INDEX(凭证录入!L:L,$AD248),0)</f>
        <v>0</v>
      </c>
      <c r="G248" s="263" t="str">
        <f t="shared" ca="1" si="90"/>
        <v/>
      </c>
      <c r="H248" s="264" t="str">
        <f t="shared" ca="1" si="90"/>
        <v/>
      </c>
      <c r="I248" s="265" t="str">
        <f t="shared" ca="1" si="90"/>
        <v/>
      </c>
      <c r="J248" s="266" t="str">
        <f t="shared" ca="1" si="90"/>
        <v/>
      </c>
      <c r="K248" s="264" t="str">
        <f t="shared" ca="1" si="90"/>
        <v/>
      </c>
      <c r="L248" s="265" t="str">
        <f t="shared" ca="1" si="90"/>
        <v/>
      </c>
      <c r="M248" s="266" t="str">
        <f t="shared" ca="1" si="90"/>
        <v/>
      </c>
      <c r="N248" s="264" t="str">
        <f t="shared" ca="1" si="90"/>
        <v/>
      </c>
      <c r="O248" s="265" t="str">
        <f t="shared" ca="1" si="90"/>
        <v/>
      </c>
      <c r="P248" s="266" t="str">
        <f t="shared" ca="1" si="90"/>
        <v/>
      </c>
      <c r="Q248" s="267" t="str">
        <f t="shared" ca="1" si="90"/>
        <v/>
      </c>
      <c r="R248" s="268" t="str">
        <f t="shared" ca="1" si="91"/>
        <v/>
      </c>
      <c r="S248" s="264" t="str">
        <f t="shared" ca="1" si="91"/>
        <v/>
      </c>
      <c r="T248" s="269" t="str">
        <f t="shared" ca="1" si="91"/>
        <v/>
      </c>
      <c r="U248" s="268" t="str">
        <f t="shared" ca="1" si="91"/>
        <v/>
      </c>
      <c r="V248" s="264" t="str">
        <f t="shared" ca="1" si="91"/>
        <v/>
      </c>
      <c r="W248" s="265" t="str">
        <f t="shared" ca="1" si="91"/>
        <v/>
      </c>
      <c r="X248" s="266" t="str">
        <f t="shared" ca="1" si="91"/>
        <v/>
      </c>
      <c r="Y248" s="264" t="str">
        <f t="shared" ca="1" si="91"/>
        <v/>
      </c>
      <c r="Z248" s="265" t="str">
        <f t="shared" ca="1" si="91"/>
        <v/>
      </c>
      <c r="AA248" s="266" t="str">
        <f t="shared" ca="1" si="91"/>
        <v/>
      </c>
      <c r="AB248" s="267" t="str">
        <f t="shared" ca="1" si="91"/>
        <v/>
      </c>
      <c r="AC248" s="537"/>
      <c r="AD248" s="212" t="str">
        <f t="shared" ca="1" si="86"/>
        <v/>
      </c>
    </row>
    <row r="249" spans="1:30" s="45" customFormat="1" ht="22.5" customHeight="1">
      <c r="A249" s="258" t="str">
        <f ca="1">IFERROR(INDEX(凭证录入!H:H,$AD249),"")</f>
        <v/>
      </c>
      <c r="B249" s="259" t="str">
        <f ca="1">IFERROR(INDEX(凭证录入!I:I,$AD249),"")</f>
        <v/>
      </c>
      <c r="C249" s="260" t="str">
        <f ca="1">IFERROR(VLOOKUP($B249,会计科目表!$A:$C,2,),"")</f>
        <v/>
      </c>
      <c r="D249" s="261" t="str">
        <f ca="1">IFERROR(VLOOKUP($B249,会计科目表!$A:$C,3,),"")</f>
        <v/>
      </c>
      <c r="E249" s="262">
        <f ca="1">IFERROR(INDEX(凭证录入!K:K,$AD249),0)</f>
        <v>0</v>
      </c>
      <c r="F249" s="262">
        <f ca="1">IFERROR(INDEX(凭证录入!L:L,$AD249),0)</f>
        <v>0</v>
      </c>
      <c r="G249" s="263" t="str">
        <f t="shared" ca="1" si="90"/>
        <v/>
      </c>
      <c r="H249" s="264" t="str">
        <f t="shared" ca="1" si="90"/>
        <v/>
      </c>
      <c r="I249" s="265" t="str">
        <f t="shared" ca="1" si="90"/>
        <v/>
      </c>
      <c r="J249" s="266" t="str">
        <f t="shared" ca="1" si="90"/>
        <v/>
      </c>
      <c r="K249" s="264" t="str">
        <f t="shared" ca="1" si="90"/>
        <v/>
      </c>
      <c r="L249" s="265" t="str">
        <f t="shared" ca="1" si="90"/>
        <v/>
      </c>
      <c r="M249" s="266" t="str">
        <f t="shared" ca="1" si="90"/>
        <v/>
      </c>
      <c r="N249" s="264" t="str">
        <f t="shared" ca="1" si="90"/>
        <v/>
      </c>
      <c r="O249" s="265" t="str">
        <f t="shared" ca="1" si="90"/>
        <v/>
      </c>
      <c r="P249" s="266" t="str">
        <f t="shared" ca="1" si="90"/>
        <v/>
      </c>
      <c r="Q249" s="267" t="str">
        <f t="shared" ca="1" si="90"/>
        <v/>
      </c>
      <c r="R249" s="268" t="str">
        <f t="shared" ca="1" si="91"/>
        <v/>
      </c>
      <c r="S249" s="264" t="str">
        <f t="shared" ca="1" si="91"/>
        <v/>
      </c>
      <c r="T249" s="269" t="str">
        <f t="shared" ca="1" si="91"/>
        <v/>
      </c>
      <c r="U249" s="268" t="str">
        <f t="shared" ca="1" si="91"/>
        <v/>
      </c>
      <c r="V249" s="264" t="str">
        <f t="shared" ca="1" si="91"/>
        <v/>
      </c>
      <c r="W249" s="265" t="str">
        <f t="shared" ca="1" si="91"/>
        <v/>
      </c>
      <c r="X249" s="266" t="str">
        <f t="shared" ca="1" si="91"/>
        <v/>
      </c>
      <c r="Y249" s="264" t="str">
        <f t="shared" ca="1" si="91"/>
        <v/>
      </c>
      <c r="Z249" s="265" t="str">
        <f t="shared" ca="1" si="91"/>
        <v/>
      </c>
      <c r="AA249" s="266" t="str">
        <f t="shared" ca="1" si="91"/>
        <v/>
      </c>
      <c r="AB249" s="267" t="str">
        <f t="shared" ca="1" si="91"/>
        <v/>
      </c>
      <c r="AC249" s="538"/>
      <c r="AD249" s="212" t="str">
        <f t="shared" ca="1" si="86"/>
        <v/>
      </c>
    </row>
    <row r="250" spans="1:30" s="45" customFormat="1" ht="22.5" customHeight="1">
      <c r="A250" s="258" t="str">
        <f ca="1">IFERROR(INDEX(凭证录入!H:H,$AD250),"")</f>
        <v/>
      </c>
      <c r="B250" s="259" t="str">
        <f ca="1">IFERROR(INDEX(凭证录入!I:I,$AD250),"")</f>
        <v/>
      </c>
      <c r="C250" s="260" t="str">
        <f ca="1">IFERROR(VLOOKUP($B250,会计科目表!$A:$C,2,),"")</f>
        <v/>
      </c>
      <c r="D250" s="261" t="str">
        <f ca="1">IFERROR(VLOOKUP($B250,会计科目表!$A:$C,3,),"")</f>
        <v/>
      </c>
      <c r="E250" s="262">
        <f ca="1">IFERROR(INDEX(凭证录入!K:K,$AD250),0)</f>
        <v>0</v>
      </c>
      <c r="F250" s="262">
        <f ca="1">IFERROR(INDEX(凭证录入!L:L,$AD250),0)</f>
        <v>0</v>
      </c>
      <c r="G250" s="263" t="str">
        <f t="shared" ca="1" si="90"/>
        <v/>
      </c>
      <c r="H250" s="264" t="str">
        <f t="shared" ca="1" si="90"/>
        <v/>
      </c>
      <c r="I250" s="265" t="str">
        <f t="shared" ca="1" si="90"/>
        <v/>
      </c>
      <c r="J250" s="266" t="str">
        <f t="shared" ca="1" si="90"/>
        <v/>
      </c>
      <c r="K250" s="264" t="str">
        <f t="shared" ca="1" si="90"/>
        <v/>
      </c>
      <c r="L250" s="265" t="str">
        <f t="shared" ca="1" si="90"/>
        <v/>
      </c>
      <c r="M250" s="266" t="str">
        <f t="shared" ca="1" si="90"/>
        <v/>
      </c>
      <c r="N250" s="264" t="str">
        <f t="shared" ca="1" si="90"/>
        <v/>
      </c>
      <c r="O250" s="265" t="str">
        <f t="shared" ca="1" si="90"/>
        <v/>
      </c>
      <c r="P250" s="266" t="str">
        <f t="shared" ca="1" si="90"/>
        <v/>
      </c>
      <c r="Q250" s="267" t="str">
        <f t="shared" ca="1" si="90"/>
        <v/>
      </c>
      <c r="R250" s="268" t="str">
        <f t="shared" ca="1" si="91"/>
        <v/>
      </c>
      <c r="S250" s="264" t="str">
        <f t="shared" ca="1" si="91"/>
        <v/>
      </c>
      <c r="T250" s="269" t="str">
        <f t="shared" ca="1" si="91"/>
        <v/>
      </c>
      <c r="U250" s="268" t="str">
        <f t="shared" ca="1" si="91"/>
        <v/>
      </c>
      <c r="V250" s="264" t="str">
        <f t="shared" ca="1" si="91"/>
        <v/>
      </c>
      <c r="W250" s="265" t="str">
        <f t="shared" ca="1" si="91"/>
        <v/>
      </c>
      <c r="X250" s="266" t="str">
        <f t="shared" ca="1" si="91"/>
        <v/>
      </c>
      <c r="Y250" s="264" t="str">
        <f t="shared" ca="1" si="91"/>
        <v/>
      </c>
      <c r="Z250" s="265" t="str">
        <f t="shared" ca="1" si="91"/>
        <v/>
      </c>
      <c r="AA250" s="266" t="str">
        <f t="shared" ca="1" si="91"/>
        <v/>
      </c>
      <c r="AB250" s="267" t="str">
        <f t="shared" ca="1" si="91"/>
        <v/>
      </c>
      <c r="AC250" s="538"/>
      <c r="AD250" s="212" t="str">
        <f t="shared" ca="1" si="86"/>
        <v/>
      </c>
    </row>
    <row r="251" spans="1:30" s="45" customFormat="1" ht="22.5" customHeight="1">
      <c r="A251" s="270" t="s">
        <v>670</v>
      </c>
      <c r="B251" s="271"/>
      <c r="C251" s="272" t="str">
        <f t="shared" ref="C251" ca="1" si="95">SUBSTITUTE(SUBSTITUTE(IF(-DOLLAR(E251),IF(E251&gt;0,,"负")&amp;TEXT(INT(ABS(E251)+0.5%),"[dbnum2]G/通用格式元;;")&amp;TEXT(RIGHT(DOLLAR(E251,2),2),"[dbnum2]0角0分;;整"),),"零角",IF(E251^2&lt;1,,"零")),"零分","整")</f>
        <v/>
      </c>
      <c r="D251" s="273"/>
      <c r="E251" s="274">
        <f t="shared" ref="E251:F251" ca="1" si="96">SUM(E245:E250)</f>
        <v>0</v>
      </c>
      <c r="F251" s="275">
        <f t="shared" ca="1" si="96"/>
        <v>0</v>
      </c>
      <c r="G251" s="276" t="str">
        <f t="shared" ca="1" si="90"/>
        <v/>
      </c>
      <c r="H251" s="277" t="str">
        <f t="shared" ca="1" si="90"/>
        <v/>
      </c>
      <c r="I251" s="278" t="str">
        <f t="shared" ca="1" si="90"/>
        <v/>
      </c>
      <c r="J251" s="279" t="str">
        <f t="shared" ca="1" si="90"/>
        <v/>
      </c>
      <c r="K251" s="277" t="str">
        <f t="shared" ca="1" si="90"/>
        <v/>
      </c>
      <c r="L251" s="278" t="str">
        <f t="shared" ca="1" si="90"/>
        <v/>
      </c>
      <c r="M251" s="279" t="str">
        <f t="shared" ca="1" si="90"/>
        <v/>
      </c>
      <c r="N251" s="277" t="str">
        <f t="shared" ca="1" si="90"/>
        <v/>
      </c>
      <c r="O251" s="278" t="str">
        <f t="shared" ca="1" si="90"/>
        <v/>
      </c>
      <c r="P251" s="279" t="str">
        <f t="shared" ca="1" si="90"/>
        <v/>
      </c>
      <c r="Q251" s="280" t="str">
        <f t="shared" ca="1" si="90"/>
        <v/>
      </c>
      <c r="R251" s="281" t="str">
        <f t="shared" ca="1" si="91"/>
        <v/>
      </c>
      <c r="S251" s="277" t="str">
        <f t="shared" ca="1" si="91"/>
        <v/>
      </c>
      <c r="T251" s="282" t="str">
        <f t="shared" ca="1" si="91"/>
        <v/>
      </c>
      <c r="U251" s="281" t="str">
        <f t="shared" ca="1" si="91"/>
        <v/>
      </c>
      <c r="V251" s="277" t="str">
        <f t="shared" ca="1" si="91"/>
        <v/>
      </c>
      <c r="W251" s="278" t="str">
        <f t="shared" ca="1" si="91"/>
        <v/>
      </c>
      <c r="X251" s="279" t="str">
        <f t="shared" ca="1" si="91"/>
        <v/>
      </c>
      <c r="Y251" s="277" t="str">
        <f t="shared" ca="1" si="91"/>
        <v/>
      </c>
      <c r="Z251" s="278" t="str">
        <f t="shared" ca="1" si="91"/>
        <v/>
      </c>
      <c r="AA251" s="279" t="str">
        <f t="shared" ca="1" si="91"/>
        <v/>
      </c>
      <c r="AB251" s="280" t="str">
        <f t="shared" ca="1" si="91"/>
        <v/>
      </c>
      <c r="AC251" s="283"/>
      <c r="AD251" s="212"/>
    </row>
    <row r="252" spans="1:30" s="22" customFormat="1" ht="22.5" customHeight="1">
      <c r="A252" s="284" t="s">
        <v>644</v>
      </c>
      <c r="B252" s="284"/>
      <c r="C252" s="284"/>
      <c r="D252" s="284" t="s">
        <v>645</v>
      </c>
      <c r="E252" s="284"/>
      <c r="F252" s="284"/>
      <c r="G252" s="284"/>
      <c r="H252" s="285"/>
      <c r="I252" s="284"/>
      <c r="J252" s="285"/>
      <c r="K252" s="285"/>
      <c r="L252" s="284"/>
      <c r="M252" s="285"/>
      <c r="N252" s="285"/>
      <c r="O252" s="285"/>
      <c r="P252" s="284"/>
      <c r="Q252" s="284" t="s">
        <v>646</v>
      </c>
      <c r="R252" s="284"/>
      <c r="S252" s="284"/>
      <c r="T252" s="284"/>
      <c r="U252" s="285"/>
      <c r="V252" s="284"/>
      <c r="W252" s="285"/>
      <c r="X252" s="284"/>
      <c r="Y252" s="284"/>
      <c r="Z252" s="285"/>
      <c r="AA252" s="285"/>
      <c r="AB252" s="285"/>
      <c r="AC252" s="286"/>
      <c r="AD252" s="212"/>
    </row>
    <row r="253" spans="1:30" ht="39.75" customHeight="1" thickBot="1">
      <c r="A253" s="226"/>
      <c r="B253" s="226"/>
      <c r="C253" s="227" t="s">
        <v>647</v>
      </c>
      <c r="D253" s="228"/>
      <c r="E253" s="226"/>
      <c r="F253" s="226"/>
      <c r="G253" s="228"/>
      <c r="H253" s="228"/>
      <c r="I253" s="228"/>
      <c r="J253" s="228"/>
      <c r="K253" s="228"/>
      <c r="L253" s="228"/>
      <c r="M253" s="228"/>
      <c r="N253" s="228"/>
      <c r="O253" s="228"/>
      <c r="P253" s="228"/>
      <c r="Q253" s="228"/>
      <c r="R253" s="229" t="s">
        <v>648</v>
      </c>
      <c r="S253" s="230"/>
      <c r="T253" s="230"/>
      <c r="U253" s="231" t="e">
        <f ca="1">DATE(AD$1,AF$1,INDEX(凭证录入!B:B,AD257))</f>
        <v>#VALUE!</v>
      </c>
      <c r="V253" s="232"/>
      <c r="W253" s="232"/>
      <c r="X253" s="232"/>
      <c r="Y253" s="232"/>
      <c r="Z253" s="232"/>
      <c r="AA253" s="232"/>
      <c r="AB253" s="232"/>
      <c r="AD253" s="212"/>
    </row>
    <row r="254" spans="1:30" s="45" customFormat="1" ht="23.25" customHeight="1" thickTop="1">
      <c r="A254" s="235" t="s">
        <v>649</v>
      </c>
      <c r="B254" s="235"/>
      <c r="C254" s="236" t="str">
        <f t="shared" ref="C254:C314" si="97">Co</f>
        <v>远大开发有限公司</v>
      </c>
      <c r="D254" s="236"/>
      <c r="E254" s="236"/>
      <c r="F254" s="236"/>
      <c r="G254" s="236"/>
      <c r="H254" s="236"/>
      <c r="I254" s="236"/>
      <c r="J254" s="236"/>
      <c r="K254" s="236"/>
      <c r="L254" s="236"/>
      <c r="M254" s="236"/>
      <c r="N254" s="236"/>
      <c r="O254" s="236"/>
      <c r="P254" s="236"/>
      <c r="Q254" s="236"/>
      <c r="R254" s="229" t="s">
        <v>650</v>
      </c>
      <c r="S254" s="229"/>
      <c r="T254" s="229"/>
      <c r="U254" s="237" t="str">
        <f t="shared" ref="U254" si="98">"第 "&amp;TEXT($AF$1,"00")&amp;TEXT($AC254,"0000 号")</f>
        <v>第 010022 号</v>
      </c>
      <c r="V254" s="237"/>
      <c r="W254" s="238"/>
      <c r="X254" s="238"/>
      <c r="Y254" s="238"/>
      <c r="Z254" s="238"/>
      <c r="AA254" s="238"/>
      <c r="AB254" s="238"/>
      <c r="AC254" s="239">
        <f t="shared" ref="AC254:AC314" si="99">N(LEFT((AC242),3)+1)</f>
        <v>22</v>
      </c>
      <c r="AD254" s="212"/>
    </row>
    <row r="255" spans="1:30" s="45" customFormat="1" ht="22.5" customHeight="1">
      <c r="A255" s="241" t="s">
        <v>651</v>
      </c>
      <c r="B255" s="542" t="s">
        <v>652</v>
      </c>
      <c r="C255" s="242" t="s">
        <v>653</v>
      </c>
      <c r="D255" s="243" t="s">
        <v>654</v>
      </c>
      <c r="E255" s="539" t="s">
        <v>655</v>
      </c>
      <c r="F255" s="539" t="s">
        <v>656</v>
      </c>
      <c r="G255" s="244" t="s">
        <v>657</v>
      </c>
      <c r="H255" s="245"/>
      <c r="I255" s="245"/>
      <c r="J255" s="245"/>
      <c r="K255" s="245"/>
      <c r="L255" s="245"/>
      <c r="M255" s="245"/>
      <c r="N255" s="245"/>
      <c r="O255" s="245"/>
      <c r="P255" s="245"/>
      <c r="Q255" s="246"/>
      <c r="R255" s="247" t="s">
        <v>658</v>
      </c>
      <c r="S255" s="245"/>
      <c r="T255" s="245"/>
      <c r="U255" s="245"/>
      <c r="V255" s="245"/>
      <c r="W255" s="245"/>
      <c r="X255" s="245"/>
      <c r="Y255" s="245"/>
      <c r="Z255" s="245"/>
      <c r="AA255" s="245"/>
      <c r="AB255" s="246"/>
      <c r="AC255" s="541" t="str">
        <f ca="1">"附单据数︵"&amp;INDEX(凭证录入!$D:$D,$AD$17)&amp;"︶张"</f>
        <v>附单据数︵4︶张</v>
      </c>
      <c r="AD255" s="235"/>
    </row>
    <row r="256" spans="1:30" s="45" customFormat="1" ht="22.5" customHeight="1">
      <c r="A256" s="248" t="s">
        <v>659</v>
      </c>
      <c r="B256" s="543"/>
      <c r="C256" s="249" t="s">
        <v>660</v>
      </c>
      <c r="D256" s="250" t="s">
        <v>660</v>
      </c>
      <c r="E256" s="540"/>
      <c r="F256" s="540"/>
      <c r="G256" s="251" t="s">
        <v>661</v>
      </c>
      <c r="H256" s="252" t="s">
        <v>662</v>
      </c>
      <c r="I256" s="253" t="s">
        <v>663</v>
      </c>
      <c r="J256" s="254" t="s">
        <v>664</v>
      </c>
      <c r="K256" s="252" t="s">
        <v>665</v>
      </c>
      <c r="L256" s="253" t="s">
        <v>662</v>
      </c>
      <c r="M256" s="254" t="s">
        <v>663</v>
      </c>
      <c r="N256" s="252" t="s">
        <v>664</v>
      </c>
      <c r="O256" s="253" t="s">
        <v>666</v>
      </c>
      <c r="P256" s="254" t="s">
        <v>667</v>
      </c>
      <c r="Q256" s="255" t="s">
        <v>668</v>
      </c>
      <c r="R256" s="256" t="s">
        <v>661</v>
      </c>
      <c r="S256" s="252" t="s">
        <v>662</v>
      </c>
      <c r="T256" s="257" t="s">
        <v>663</v>
      </c>
      <c r="U256" s="256" t="s">
        <v>664</v>
      </c>
      <c r="V256" s="252" t="s">
        <v>665</v>
      </c>
      <c r="W256" s="253" t="s">
        <v>662</v>
      </c>
      <c r="X256" s="254" t="s">
        <v>663</v>
      </c>
      <c r="Y256" s="252" t="s">
        <v>664</v>
      </c>
      <c r="Z256" s="253" t="s">
        <v>666</v>
      </c>
      <c r="AA256" s="254" t="s">
        <v>667</v>
      </c>
      <c r="AB256" s="255" t="s">
        <v>668</v>
      </c>
      <c r="AC256" s="541"/>
    </row>
    <row r="257" spans="1:30" s="45" customFormat="1" ht="22.5" customHeight="1">
      <c r="A257" s="258" t="str">
        <f ca="1">IFERROR(INDEX(凭证录入!H:H,$AD257),"")</f>
        <v/>
      </c>
      <c r="B257" s="259" t="str">
        <f ca="1">IFERROR(INDEX(凭证录入!I:I,$AD257),"")</f>
        <v/>
      </c>
      <c r="C257" s="260" t="str">
        <f ca="1">IFERROR(VLOOKUP($B257,会计科目表!$A:$C,2,),"")</f>
        <v/>
      </c>
      <c r="D257" s="261" t="str">
        <f ca="1">IFERROR(VLOOKUP($B257,会计科目表!$A:$C,3,),"")</f>
        <v/>
      </c>
      <c r="E257" s="262">
        <f ca="1">IFERROR(INDEX(凭证录入!K:K,$AD257),0)</f>
        <v>0</v>
      </c>
      <c r="F257" s="262">
        <f ca="1">IFERROR(INDEX(凭证录入!L:L,$AD257),0)</f>
        <v>0</v>
      </c>
      <c r="G257" s="263" t="str">
        <f t="shared" ca="1" si="90"/>
        <v/>
      </c>
      <c r="H257" s="264" t="str">
        <f t="shared" ca="1" si="90"/>
        <v/>
      </c>
      <c r="I257" s="265" t="str">
        <f t="shared" ca="1" si="90"/>
        <v/>
      </c>
      <c r="J257" s="266" t="str">
        <f t="shared" ca="1" si="90"/>
        <v/>
      </c>
      <c r="K257" s="264" t="str">
        <f t="shared" ca="1" si="90"/>
        <v/>
      </c>
      <c r="L257" s="265" t="str">
        <f t="shared" ca="1" si="90"/>
        <v/>
      </c>
      <c r="M257" s="266" t="str">
        <f t="shared" ca="1" si="90"/>
        <v/>
      </c>
      <c r="N257" s="264" t="str">
        <f t="shared" ca="1" si="90"/>
        <v/>
      </c>
      <c r="O257" s="265" t="str">
        <f t="shared" ca="1" si="90"/>
        <v/>
      </c>
      <c r="P257" s="266" t="str">
        <f t="shared" ca="1" si="90"/>
        <v/>
      </c>
      <c r="Q257" s="267" t="str">
        <f t="shared" ca="1" si="90"/>
        <v/>
      </c>
      <c r="R257" s="268" t="str">
        <f t="shared" ca="1" si="91"/>
        <v/>
      </c>
      <c r="S257" s="264" t="str">
        <f t="shared" ca="1" si="91"/>
        <v/>
      </c>
      <c r="T257" s="269" t="str">
        <f t="shared" ca="1" si="91"/>
        <v/>
      </c>
      <c r="U257" s="268" t="str">
        <f t="shared" ca="1" si="91"/>
        <v/>
      </c>
      <c r="V257" s="264" t="str">
        <f t="shared" ca="1" si="91"/>
        <v/>
      </c>
      <c r="W257" s="265" t="str">
        <f t="shared" ca="1" si="91"/>
        <v/>
      </c>
      <c r="X257" s="266" t="str">
        <f t="shared" ca="1" si="91"/>
        <v/>
      </c>
      <c r="Y257" s="264" t="str">
        <f t="shared" ca="1" si="91"/>
        <v/>
      </c>
      <c r="Z257" s="265" t="str">
        <f t="shared" ca="1" si="91"/>
        <v/>
      </c>
      <c r="AA257" s="266" t="str">
        <f t="shared" ca="1" si="91"/>
        <v/>
      </c>
      <c r="AB257" s="267" t="str">
        <f t="shared" ca="1" si="91"/>
        <v/>
      </c>
      <c r="AC257" s="541"/>
      <c r="AD257" s="212" t="str">
        <f t="shared" ca="1" si="86"/>
        <v/>
      </c>
    </row>
    <row r="258" spans="1:30" s="45" customFormat="1" ht="22.5" customHeight="1">
      <c r="A258" s="258" t="str">
        <f ca="1">IFERROR(INDEX(凭证录入!H:H,$AD258),"")</f>
        <v/>
      </c>
      <c r="B258" s="259" t="str">
        <f ca="1">IFERROR(INDEX(凭证录入!I:I,$AD258),"")</f>
        <v/>
      </c>
      <c r="C258" s="260" t="str">
        <f ca="1">IFERROR(VLOOKUP($B258,会计科目表!$A:$C,2,),"")</f>
        <v/>
      </c>
      <c r="D258" s="261" t="str">
        <f ca="1">IFERROR(VLOOKUP($B258,会计科目表!$A:$C,3,),"")</f>
        <v/>
      </c>
      <c r="E258" s="262">
        <f ca="1">IFERROR(INDEX(凭证录入!K:K,$AD258),0)</f>
        <v>0</v>
      </c>
      <c r="F258" s="262">
        <f ca="1">IFERROR(INDEX(凭证录入!L:L,$AD258),0)</f>
        <v>0</v>
      </c>
      <c r="G258" s="263" t="str">
        <f t="shared" ca="1" si="90"/>
        <v/>
      </c>
      <c r="H258" s="264" t="str">
        <f t="shared" ca="1" si="90"/>
        <v/>
      </c>
      <c r="I258" s="265" t="str">
        <f t="shared" ca="1" si="90"/>
        <v/>
      </c>
      <c r="J258" s="266" t="str">
        <f t="shared" ca="1" si="90"/>
        <v/>
      </c>
      <c r="K258" s="264" t="str">
        <f t="shared" ca="1" si="90"/>
        <v/>
      </c>
      <c r="L258" s="265" t="str">
        <f t="shared" ca="1" si="90"/>
        <v/>
      </c>
      <c r="M258" s="266" t="str">
        <f t="shared" ca="1" si="90"/>
        <v/>
      </c>
      <c r="N258" s="264" t="str">
        <f t="shared" ca="1" si="90"/>
        <v/>
      </c>
      <c r="O258" s="265" t="str">
        <f t="shared" ca="1" si="90"/>
        <v/>
      </c>
      <c r="P258" s="266" t="str">
        <f t="shared" ca="1" si="90"/>
        <v/>
      </c>
      <c r="Q258" s="267" t="str">
        <f t="shared" ca="1" si="90"/>
        <v/>
      </c>
      <c r="R258" s="268" t="str">
        <f t="shared" ca="1" si="91"/>
        <v/>
      </c>
      <c r="S258" s="264" t="str">
        <f t="shared" ca="1" si="91"/>
        <v/>
      </c>
      <c r="T258" s="269" t="str">
        <f t="shared" ca="1" si="91"/>
        <v/>
      </c>
      <c r="U258" s="268" t="str">
        <f t="shared" ca="1" si="91"/>
        <v/>
      </c>
      <c r="V258" s="264" t="str">
        <f t="shared" ca="1" si="91"/>
        <v/>
      </c>
      <c r="W258" s="265" t="str">
        <f t="shared" ca="1" si="91"/>
        <v/>
      </c>
      <c r="X258" s="266" t="str">
        <f t="shared" ca="1" si="91"/>
        <v/>
      </c>
      <c r="Y258" s="264" t="str">
        <f t="shared" ca="1" si="91"/>
        <v/>
      </c>
      <c r="Z258" s="265" t="str">
        <f t="shared" ca="1" si="91"/>
        <v/>
      </c>
      <c r="AA258" s="266" t="str">
        <f t="shared" ca="1" si="91"/>
        <v/>
      </c>
      <c r="AB258" s="267" t="str">
        <f t="shared" ca="1" si="91"/>
        <v/>
      </c>
      <c r="AC258" s="541"/>
      <c r="AD258" s="212" t="str">
        <f t="shared" ca="1" si="86"/>
        <v/>
      </c>
    </row>
    <row r="259" spans="1:30" s="45" customFormat="1" ht="22.5" customHeight="1">
      <c r="A259" s="258" t="str">
        <f ca="1">IFERROR(INDEX(凭证录入!H:H,$AD259),"")</f>
        <v/>
      </c>
      <c r="B259" s="259" t="str">
        <f ca="1">IFERROR(INDEX(凭证录入!I:I,$AD259),"")</f>
        <v/>
      </c>
      <c r="C259" s="260" t="str">
        <f ca="1">IFERROR(VLOOKUP($B259,会计科目表!$A:$C,2,),"")</f>
        <v/>
      </c>
      <c r="D259" s="261" t="str">
        <f ca="1">IFERROR(VLOOKUP($B259,会计科目表!$A:$C,3,),"")</f>
        <v/>
      </c>
      <c r="E259" s="262">
        <f ca="1">IFERROR(INDEX(凭证录入!K:K,$AD259),0)</f>
        <v>0</v>
      </c>
      <c r="F259" s="262">
        <f ca="1">IFERROR(INDEX(凭证录入!L:L,$AD259),0)</f>
        <v>0</v>
      </c>
      <c r="G259" s="263" t="str">
        <f t="shared" ca="1" si="90"/>
        <v/>
      </c>
      <c r="H259" s="264" t="str">
        <f t="shared" ca="1" si="90"/>
        <v/>
      </c>
      <c r="I259" s="265" t="str">
        <f t="shared" ca="1" si="90"/>
        <v/>
      </c>
      <c r="J259" s="266" t="str">
        <f t="shared" ca="1" si="90"/>
        <v/>
      </c>
      <c r="K259" s="264" t="str">
        <f t="shared" ca="1" si="90"/>
        <v/>
      </c>
      <c r="L259" s="265" t="str">
        <f t="shared" ca="1" si="90"/>
        <v/>
      </c>
      <c r="M259" s="266" t="str">
        <f t="shared" ca="1" si="90"/>
        <v/>
      </c>
      <c r="N259" s="264" t="str">
        <f t="shared" ca="1" si="90"/>
        <v/>
      </c>
      <c r="O259" s="265" t="str">
        <f t="shared" ca="1" si="90"/>
        <v/>
      </c>
      <c r="P259" s="266" t="str">
        <f t="shared" ca="1" si="90"/>
        <v/>
      </c>
      <c r="Q259" s="267" t="str">
        <f t="shared" ca="1" si="90"/>
        <v/>
      </c>
      <c r="R259" s="268" t="str">
        <f t="shared" ca="1" si="91"/>
        <v/>
      </c>
      <c r="S259" s="264" t="str">
        <f t="shared" ca="1" si="91"/>
        <v/>
      </c>
      <c r="T259" s="269" t="str">
        <f t="shared" ca="1" si="91"/>
        <v/>
      </c>
      <c r="U259" s="268" t="str">
        <f t="shared" ca="1" si="91"/>
        <v/>
      </c>
      <c r="V259" s="264" t="str">
        <f t="shared" ca="1" si="91"/>
        <v/>
      </c>
      <c r="W259" s="265" t="str">
        <f t="shared" ca="1" si="91"/>
        <v/>
      </c>
      <c r="X259" s="266" t="str">
        <f t="shared" ca="1" si="91"/>
        <v/>
      </c>
      <c r="Y259" s="264" t="str">
        <f t="shared" ca="1" si="91"/>
        <v/>
      </c>
      <c r="Z259" s="265" t="str">
        <f t="shared" ca="1" si="91"/>
        <v/>
      </c>
      <c r="AA259" s="266" t="str">
        <f t="shared" ca="1" si="91"/>
        <v/>
      </c>
      <c r="AB259" s="267" t="str">
        <f t="shared" ca="1" si="91"/>
        <v/>
      </c>
      <c r="AC259" s="536" t="s">
        <v>669</v>
      </c>
      <c r="AD259" s="212" t="str">
        <f t="shared" ca="1" si="86"/>
        <v/>
      </c>
    </row>
    <row r="260" spans="1:30" s="45" customFormat="1" ht="22.5" customHeight="1">
      <c r="A260" s="258" t="str">
        <f ca="1">IFERROR(INDEX(凭证录入!H:H,$AD260),"")</f>
        <v/>
      </c>
      <c r="B260" s="259" t="str">
        <f ca="1">IFERROR(INDEX(凭证录入!I:I,$AD260),"")</f>
        <v/>
      </c>
      <c r="C260" s="260" t="str">
        <f ca="1">IFERROR(VLOOKUP($B260,会计科目表!$A:$C,2,),"")</f>
        <v/>
      </c>
      <c r="D260" s="261" t="str">
        <f ca="1">IFERROR(VLOOKUP($B260,会计科目表!$A:$C,3,),"")</f>
        <v/>
      </c>
      <c r="E260" s="262">
        <f ca="1">IFERROR(INDEX(凭证录入!K:K,$AD260),0)</f>
        <v>0</v>
      </c>
      <c r="F260" s="262">
        <f ca="1">IFERROR(INDEX(凭证录入!L:L,$AD260),0)</f>
        <v>0</v>
      </c>
      <c r="G260" s="263" t="str">
        <f t="shared" ca="1" si="90"/>
        <v/>
      </c>
      <c r="H260" s="264" t="str">
        <f t="shared" ca="1" si="90"/>
        <v/>
      </c>
      <c r="I260" s="265" t="str">
        <f t="shared" ca="1" si="90"/>
        <v/>
      </c>
      <c r="J260" s="266" t="str">
        <f t="shared" ca="1" si="90"/>
        <v/>
      </c>
      <c r="K260" s="264" t="str">
        <f t="shared" ca="1" si="90"/>
        <v/>
      </c>
      <c r="L260" s="265" t="str">
        <f t="shared" ca="1" si="90"/>
        <v/>
      </c>
      <c r="M260" s="266" t="str">
        <f t="shared" ca="1" si="90"/>
        <v/>
      </c>
      <c r="N260" s="264" t="str">
        <f t="shared" ca="1" si="90"/>
        <v/>
      </c>
      <c r="O260" s="265" t="str">
        <f t="shared" ca="1" si="90"/>
        <v/>
      </c>
      <c r="P260" s="266" t="str">
        <f t="shared" ca="1" si="90"/>
        <v/>
      </c>
      <c r="Q260" s="267" t="str">
        <f t="shared" ca="1" si="90"/>
        <v/>
      </c>
      <c r="R260" s="268" t="str">
        <f t="shared" ca="1" si="91"/>
        <v/>
      </c>
      <c r="S260" s="264" t="str">
        <f t="shared" ca="1" si="91"/>
        <v/>
      </c>
      <c r="T260" s="269" t="str">
        <f t="shared" ca="1" si="91"/>
        <v/>
      </c>
      <c r="U260" s="268" t="str">
        <f t="shared" ca="1" si="91"/>
        <v/>
      </c>
      <c r="V260" s="264" t="str">
        <f t="shared" ca="1" si="91"/>
        <v/>
      </c>
      <c r="W260" s="265" t="str">
        <f t="shared" ca="1" si="91"/>
        <v/>
      </c>
      <c r="X260" s="266" t="str">
        <f t="shared" ca="1" si="91"/>
        <v/>
      </c>
      <c r="Y260" s="264" t="str">
        <f t="shared" ca="1" si="91"/>
        <v/>
      </c>
      <c r="Z260" s="265" t="str">
        <f t="shared" ca="1" si="91"/>
        <v/>
      </c>
      <c r="AA260" s="266" t="str">
        <f t="shared" ca="1" si="91"/>
        <v/>
      </c>
      <c r="AB260" s="267" t="str">
        <f t="shared" ca="1" si="91"/>
        <v/>
      </c>
      <c r="AC260" s="537"/>
      <c r="AD260" s="212" t="str">
        <f t="shared" ca="1" si="86"/>
        <v/>
      </c>
    </row>
    <row r="261" spans="1:30" s="45" customFormat="1" ht="22.5" customHeight="1">
      <c r="A261" s="258" t="str">
        <f ca="1">IFERROR(INDEX(凭证录入!H:H,$AD261),"")</f>
        <v/>
      </c>
      <c r="B261" s="259" t="str">
        <f ca="1">IFERROR(INDEX(凭证录入!I:I,$AD261),"")</f>
        <v/>
      </c>
      <c r="C261" s="260" t="str">
        <f ca="1">IFERROR(VLOOKUP($B261,会计科目表!$A:$C,2,),"")</f>
        <v/>
      </c>
      <c r="D261" s="261" t="str">
        <f ca="1">IFERROR(VLOOKUP($B261,会计科目表!$A:$C,3,),"")</f>
        <v/>
      </c>
      <c r="E261" s="262">
        <f ca="1">IFERROR(INDEX(凭证录入!K:K,$AD261),0)</f>
        <v>0</v>
      </c>
      <c r="F261" s="262">
        <f ca="1">IFERROR(INDEX(凭证录入!L:L,$AD261),0)</f>
        <v>0</v>
      </c>
      <c r="G261" s="263" t="str">
        <f t="shared" ca="1" si="90"/>
        <v/>
      </c>
      <c r="H261" s="264" t="str">
        <f t="shared" ca="1" si="90"/>
        <v/>
      </c>
      <c r="I261" s="265" t="str">
        <f t="shared" ca="1" si="90"/>
        <v/>
      </c>
      <c r="J261" s="266" t="str">
        <f t="shared" ca="1" si="90"/>
        <v/>
      </c>
      <c r="K261" s="264" t="str">
        <f t="shared" ca="1" si="90"/>
        <v/>
      </c>
      <c r="L261" s="265" t="str">
        <f t="shared" ca="1" si="90"/>
        <v/>
      </c>
      <c r="M261" s="266" t="str">
        <f t="shared" ca="1" si="90"/>
        <v/>
      </c>
      <c r="N261" s="264" t="str">
        <f t="shared" ca="1" si="90"/>
        <v/>
      </c>
      <c r="O261" s="265" t="str">
        <f t="shared" ca="1" si="90"/>
        <v/>
      </c>
      <c r="P261" s="266" t="str">
        <f t="shared" ca="1" si="90"/>
        <v/>
      </c>
      <c r="Q261" s="267" t="str">
        <f t="shared" ca="1" si="90"/>
        <v/>
      </c>
      <c r="R261" s="268" t="str">
        <f t="shared" ca="1" si="91"/>
        <v/>
      </c>
      <c r="S261" s="264" t="str">
        <f t="shared" ca="1" si="91"/>
        <v/>
      </c>
      <c r="T261" s="269" t="str">
        <f t="shared" ca="1" si="91"/>
        <v/>
      </c>
      <c r="U261" s="268" t="str">
        <f t="shared" ca="1" si="91"/>
        <v/>
      </c>
      <c r="V261" s="264" t="str">
        <f t="shared" ca="1" si="91"/>
        <v/>
      </c>
      <c r="W261" s="265" t="str">
        <f t="shared" ca="1" si="91"/>
        <v/>
      </c>
      <c r="X261" s="266" t="str">
        <f t="shared" ca="1" si="91"/>
        <v/>
      </c>
      <c r="Y261" s="264" t="str">
        <f t="shared" ca="1" si="91"/>
        <v/>
      </c>
      <c r="Z261" s="265" t="str">
        <f t="shared" ca="1" si="91"/>
        <v/>
      </c>
      <c r="AA261" s="266" t="str">
        <f t="shared" ca="1" si="91"/>
        <v/>
      </c>
      <c r="AB261" s="267" t="str">
        <f t="shared" ca="1" si="91"/>
        <v/>
      </c>
      <c r="AC261" s="538"/>
      <c r="AD261" s="212" t="str">
        <f t="shared" ca="1" si="86"/>
        <v/>
      </c>
    </row>
    <row r="262" spans="1:30" s="45" customFormat="1" ht="22.5" customHeight="1">
      <c r="A262" s="258" t="str">
        <f ca="1">IFERROR(INDEX(凭证录入!H:H,$AD262),"")</f>
        <v/>
      </c>
      <c r="B262" s="259" t="str">
        <f ca="1">IFERROR(INDEX(凭证录入!I:I,$AD262),"")</f>
        <v/>
      </c>
      <c r="C262" s="260" t="str">
        <f ca="1">IFERROR(VLOOKUP($B262,会计科目表!$A:$C,2,),"")</f>
        <v/>
      </c>
      <c r="D262" s="261" t="str">
        <f ca="1">IFERROR(VLOOKUP($B262,会计科目表!$A:$C,3,),"")</f>
        <v/>
      </c>
      <c r="E262" s="262">
        <f ca="1">IFERROR(INDEX(凭证录入!K:K,$AD262),0)</f>
        <v>0</v>
      </c>
      <c r="F262" s="262">
        <f ca="1">IFERROR(INDEX(凭证录入!L:L,$AD262),0)</f>
        <v>0</v>
      </c>
      <c r="G262" s="263" t="str">
        <f t="shared" ca="1" si="90"/>
        <v/>
      </c>
      <c r="H262" s="264" t="str">
        <f t="shared" ca="1" si="90"/>
        <v/>
      </c>
      <c r="I262" s="265" t="str">
        <f t="shared" ca="1" si="90"/>
        <v/>
      </c>
      <c r="J262" s="266" t="str">
        <f t="shared" ca="1" si="90"/>
        <v/>
      </c>
      <c r="K262" s="264" t="str">
        <f t="shared" ca="1" si="90"/>
        <v/>
      </c>
      <c r="L262" s="265" t="str">
        <f t="shared" ca="1" si="90"/>
        <v/>
      </c>
      <c r="M262" s="266" t="str">
        <f t="shared" ca="1" si="90"/>
        <v/>
      </c>
      <c r="N262" s="264" t="str">
        <f t="shared" ca="1" si="90"/>
        <v/>
      </c>
      <c r="O262" s="265" t="str">
        <f t="shared" ca="1" si="90"/>
        <v/>
      </c>
      <c r="P262" s="266" t="str">
        <f t="shared" ca="1" si="90"/>
        <v/>
      </c>
      <c r="Q262" s="267" t="str">
        <f t="shared" ca="1" si="90"/>
        <v/>
      </c>
      <c r="R262" s="268" t="str">
        <f t="shared" ca="1" si="91"/>
        <v/>
      </c>
      <c r="S262" s="264" t="str">
        <f t="shared" ca="1" si="91"/>
        <v/>
      </c>
      <c r="T262" s="269" t="str">
        <f t="shared" ca="1" si="91"/>
        <v/>
      </c>
      <c r="U262" s="268" t="str">
        <f t="shared" ca="1" si="91"/>
        <v/>
      </c>
      <c r="V262" s="264" t="str">
        <f t="shared" ca="1" si="91"/>
        <v/>
      </c>
      <c r="W262" s="265" t="str">
        <f t="shared" ca="1" si="91"/>
        <v/>
      </c>
      <c r="X262" s="266" t="str">
        <f t="shared" ca="1" si="91"/>
        <v/>
      </c>
      <c r="Y262" s="264" t="str">
        <f t="shared" ca="1" si="91"/>
        <v/>
      </c>
      <c r="Z262" s="265" t="str">
        <f t="shared" ca="1" si="91"/>
        <v/>
      </c>
      <c r="AA262" s="266" t="str">
        <f t="shared" ca="1" si="91"/>
        <v/>
      </c>
      <c r="AB262" s="267" t="str">
        <f t="shared" ca="1" si="91"/>
        <v/>
      </c>
      <c r="AC262" s="538"/>
      <c r="AD262" s="212" t="str">
        <f t="shared" ca="1" si="86"/>
        <v/>
      </c>
    </row>
    <row r="263" spans="1:30" s="45" customFormat="1" ht="22.5" customHeight="1">
      <c r="A263" s="270" t="s">
        <v>624</v>
      </c>
      <c r="B263" s="271"/>
      <c r="C263" s="272" t="str">
        <f t="shared" ref="C263" ca="1" si="100">SUBSTITUTE(SUBSTITUTE(IF(-DOLLAR(E263),IF(E263&gt;0,,"负")&amp;TEXT(INT(ABS(E263)+0.5%),"[dbnum2]G/通用格式元;;")&amp;TEXT(RIGHT(DOLLAR(E263,2),2),"[dbnum2]0角0分;;整"),),"零角",IF(E263^2&lt;1,,"零")),"零分","整")</f>
        <v/>
      </c>
      <c r="D263" s="273"/>
      <c r="E263" s="274">
        <f t="shared" ref="E263:F263" ca="1" si="101">SUM(E257:E262)</f>
        <v>0</v>
      </c>
      <c r="F263" s="275">
        <f t="shared" ca="1" si="101"/>
        <v>0</v>
      </c>
      <c r="G263" s="276" t="str">
        <f t="shared" ca="1" si="90"/>
        <v/>
      </c>
      <c r="H263" s="277" t="str">
        <f t="shared" ca="1" si="90"/>
        <v/>
      </c>
      <c r="I263" s="278" t="str">
        <f t="shared" ca="1" si="90"/>
        <v/>
      </c>
      <c r="J263" s="279" t="str">
        <f t="shared" ca="1" si="90"/>
        <v/>
      </c>
      <c r="K263" s="277" t="str">
        <f t="shared" ca="1" si="90"/>
        <v/>
      </c>
      <c r="L263" s="278" t="str">
        <f t="shared" ca="1" si="90"/>
        <v/>
      </c>
      <c r="M263" s="279" t="str">
        <f t="shared" ca="1" si="90"/>
        <v/>
      </c>
      <c r="N263" s="277" t="str">
        <f t="shared" ca="1" si="90"/>
        <v/>
      </c>
      <c r="O263" s="278" t="str">
        <f t="shared" ca="1" si="90"/>
        <v/>
      </c>
      <c r="P263" s="279" t="str">
        <f t="shared" ca="1" si="90"/>
        <v/>
      </c>
      <c r="Q263" s="280" t="str">
        <f t="shared" ca="1" si="90"/>
        <v/>
      </c>
      <c r="R263" s="281" t="str">
        <f t="shared" ca="1" si="91"/>
        <v/>
      </c>
      <c r="S263" s="277" t="str">
        <f t="shared" ca="1" si="91"/>
        <v/>
      </c>
      <c r="T263" s="282" t="str">
        <f t="shared" ca="1" si="91"/>
        <v/>
      </c>
      <c r="U263" s="281" t="str">
        <f t="shared" ca="1" si="91"/>
        <v/>
      </c>
      <c r="V263" s="277" t="str">
        <f t="shared" ca="1" si="91"/>
        <v/>
      </c>
      <c r="W263" s="278" t="str">
        <f t="shared" ca="1" si="91"/>
        <v/>
      </c>
      <c r="X263" s="279" t="str">
        <f t="shared" ca="1" si="91"/>
        <v/>
      </c>
      <c r="Y263" s="277" t="str">
        <f t="shared" ca="1" si="91"/>
        <v/>
      </c>
      <c r="Z263" s="278" t="str">
        <f t="shared" ca="1" si="91"/>
        <v/>
      </c>
      <c r="AA263" s="279" t="str">
        <f t="shared" ca="1" si="91"/>
        <v/>
      </c>
      <c r="AB263" s="280" t="str">
        <f t="shared" ca="1" si="91"/>
        <v/>
      </c>
      <c r="AC263" s="283"/>
      <c r="AD263" s="212"/>
    </row>
    <row r="264" spans="1:30" s="22" customFormat="1" ht="22.5" customHeight="1">
      <c r="A264" s="284" t="s">
        <v>626</v>
      </c>
      <c r="B264" s="284"/>
      <c r="C264" s="284"/>
      <c r="D264" s="284" t="s">
        <v>628</v>
      </c>
      <c r="E264" s="284"/>
      <c r="F264" s="284"/>
      <c r="G264" s="284"/>
      <c r="H264" s="285"/>
      <c r="I264" s="284"/>
      <c r="J264" s="285"/>
      <c r="K264" s="285"/>
      <c r="L264" s="284"/>
      <c r="M264" s="285"/>
      <c r="N264" s="285"/>
      <c r="O264" s="285"/>
      <c r="P264" s="284"/>
      <c r="Q264" s="284" t="s">
        <v>630</v>
      </c>
      <c r="R264" s="284"/>
      <c r="S264" s="284"/>
      <c r="T264" s="284"/>
      <c r="U264" s="285"/>
      <c r="V264" s="284"/>
      <c r="W264" s="285"/>
      <c r="X264" s="284"/>
      <c r="Y264" s="284"/>
      <c r="Z264" s="285"/>
      <c r="AA264" s="285"/>
      <c r="AB264" s="285"/>
      <c r="AC264" s="286"/>
      <c r="AD264" s="212"/>
    </row>
    <row r="265" spans="1:30" ht="39.75" customHeight="1" thickBot="1">
      <c r="A265" s="226"/>
      <c r="B265" s="226"/>
      <c r="C265" s="227" t="s">
        <v>576</v>
      </c>
      <c r="D265" s="228"/>
      <c r="E265" s="226"/>
      <c r="F265" s="226"/>
      <c r="G265" s="228"/>
      <c r="H265" s="228"/>
      <c r="I265" s="228"/>
      <c r="J265" s="228"/>
      <c r="K265" s="228"/>
      <c r="L265" s="228"/>
      <c r="M265" s="228"/>
      <c r="N265" s="228"/>
      <c r="O265" s="228"/>
      <c r="P265" s="228"/>
      <c r="Q265" s="228"/>
      <c r="R265" s="229" t="s">
        <v>578</v>
      </c>
      <c r="S265" s="230"/>
      <c r="T265" s="230"/>
      <c r="U265" s="231" t="e">
        <f ca="1">DATE(AD$1,AF$1,INDEX(凭证录入!B:B,AD269))</f>
        <v>#VALUE!</v>
      </c>
      <c r="V265" s="232"/>
      <c r="W265" s="232"/>
      <c r="X265" s="232"/>
      <c r="Y265" s="232"/>
      <c r="Z265" s="232"/>
      <c r="AA265" s="232"/>
      <c r="AB265" s="232"/>
      <c r="AD265" s="212"/>
    </row>
    <row r="266" spans="1:30" s="45" customFormat="1" ht="23.25" customHeight="1" thickTop="1">
      <c r="A266" s="235" t="s">
        <v>582</v>
      </c>
      <c r="B266" s="235"/>
      <c r="C266" s="236" t="str">
        <f t="shared" si="97"/>
        <v>远大开发有限公司</v>
      </c>
      <c r="D266" s="236"/>
      <c r="E266" s="236"/>
      <c r="F266" s="236"/>
      <c r="G266" s="236"/>
      <c r="H266" s="236"/>
      <c r="I266" s="236"/>
      <c r="J266" s="236"/>
      <c r="K266" s="236"/>
      <c r="L266" s="236"/>
      <c r="M266" s="236"/>
      <c r="N266" s="236"/>
      <c r="O266" s="236"/>
      <c r="P266" s="236"/>
      <c r="Q266" s="236"/>
      <c r="R266" s="229" t="s">
        <v>584</v>
      </c>
      <c r="S266" s="229"/>
      <c r="T266" s="229"/>
      <c r="U266" s="237" t="str">
        <f t="shared" ref="U266" si="102">"第 "&amp;TEXT($AF$1,"00")&amp;TEXT($AC266,"0000 号")</f>
        <v>第 010023 号</v>
      </c>
      <c r="V266" s="237"/>
      <c r="W266" s="238"/>
      <c r="X266" s="238"/>
      <c r="Y266" s="238"/>
      <c r="Z266" s="238"/>
      <c r="AA266" s="238"/>
      <c r="AB266" s="238"/>
      <c r="AC266" s="239">
        <f t="shared" si="99"/>
        <v>23</v>
      </c>
      <c r="AD266" s="212"/>
    </row>
    <row r="267" spans="1:30" s="45" customFormat="1" ht="22.5" customHeight="1">
      <c r="A267" s="241" t="s">
        <v>585</v>
      </c>
      <c r="B267" s="542" t="s">
        <v>63</v>
      </c>
      <c r="C267" s="242" t="s">
        <v>588</v>
      </c>
      <c r="D267" s="243" t="s">
        <v>590</v>
      </c>
      <c r="E267" s="539" t="s">
        <v>592</v>
      </c>
      <c r="F267" s="539" t="s">
        <v>594</v>
      </c>
      <c r="G267" s="244" t="s">
        <v>596</v>
      </c>
      <c r="H267" s="245"/>
      <c r="I267" s="245"/>
      <c r="J267" s="245"/>
      <c r="K267" s="245"/>
      <c r="L267" s="245"/>
      <c r="M267" s="245"/>
      <c r="N267" s="245"/>
      <c r="O267" s="245"/>
      <c r="P267" s="245"/>
      <c r="Q267" s="246"/>
      <c r="R267" s="247" t="s">
        <v>598</v>
      </c>
      <c r="S267" s="245"/>
      <c r="T267" s="245"/>
      <c r="U267" s="245"/>
      <c r="V267" s="245"/>
      <c r="W267" s="245"/>
      <c r="X267" s="245"/>
      <c r="Y267" s="245"/>
      <c r="Z267" s="245"/>
      <c r="AA267" s="245"/>
      <c r="AB267" s="246"/>
      <c r="AC267" s="541" t="str">
        <f ca="1">"附单据数︵"&amp;INDEX(凭证录入!$D:$D,$AD$17)&amp;"︶张"</f>
        <v>附单据数︵4︶张</v>
      </c>
      <c r="AD267" s="235"/>
    </row>
    <row r="268" spans="1:30" s="45" customFormat="1" ht="22.5" customHeight="1">
      <c r="A268" s="248" t="s">
        <v>600</v>
      </c>
      <c r="B268" s="543"/>
      <c r="C268" s="249" t="s">
        <v>602</v>
      </c>
      <c r="D268" s="250" t="s">
        <v>602</v>
      </c>
      <c r="E268" s="540"/>
      <c r="F268" s="540"/>
      <c r="G268" s="251" t="s">
        <v>604</v>
      </c>
      <c r="H268" s="252" t="s">
        <v>606</v>
      </c>
      <c r="I268" s="253" t="s">
        <v>608</v>
      </c>
      <c r="J268" s="254" t="s">
        <v>610</v>
      </c>
      <c r="K268" s="252" t="s">
        <v>612</v>
      </c>
      <c r="L268" s="253" t="s">
        <v>606</v>
      </c>
      <c r="M268" s="254" t="s">
        <v>608</v>
      </c>
      <c r="N268" s="252" t="s">
        <v>610</v>
      </c>
      <c r="O268" s="253" t="s">
        <v>616</v>
      </c>
      <c r="P268" s="254" t="s">
        <v>618</v>
      </c>
      <c r="Q268" s="255" t="s">
        <v>620</v>
      </c>
      <c r="R268" s="256" t="s">
        <v>604</v>
      </c>
      <c r="S268" s="252" t="s">
        <v>606</v>
      </c>
      <c r="T268" s="257" t="s">
        <v>608</v>
      </c>
      <c r="U268" s="256" t="s">
        <v>610</v>
      </c>
      <c r="V268" s="252" t="s">
        <v>612</v>
      </c>
      <c r="W268" s="253" t="s">
        <v>606</v>
      </c>
      <c r="X268" s="254" t="s">
        <v>608</v>
      </c>
      <c r="Y268" s="252" t="s">
        <v>610</v>
      </c>
      <c r="Z268" s="253" t="s">
        <v>616</v>
      </c>
      <c r="AA268" s="254" t="s">
        <v>618</v>
      </c>
      <c r="AB268" s="255" t="s">
        <v>620</v>
      </c>
      <c r="AC268" s="541"/>
    </row>
    <row r="269" spans="1:30" s="45" customFormat="1" ht="22.5" customHeight="1">
      <c r="A269" s="258" t="str">
        <f ca="1">IFERROR(INDEX(凭证录入!H:H,$AD269),"")</f>
        <v/>
      </c>
      <c r="B269" s="259" t="str">
        <f ca="1">IFERROR(INDEX(凭证录入!I:I,$AD269),"")</f>
        <v/>
      </c>
      <c r="C269" s="260" t="str">
        <f ca="1">IFERROR(VLOOKUP($B269,会计科目表!$A:$C,2,),"")</f>
        <v/>
      </c>
      <c r="D269" s="261" t="str">
        <f ca="1">IFERROR(VLOOKUP($B269,会计科目表!$A:$C,3,),"")</f>
        <v/>
      </c>
      <c r="E269" s="262">
        <f ca="1">IFERROR(INDEX(凭证录入!K:K,$AD269),0)</f>
        <v>0</v>
      </c>
      <c r="F269" s="262">
        <f ca="1">IFERROR(INDEX(凭证录入!L:L,$AD269),0)</f>
        <v>0</v>
      </c>
      <c r="G269" s="263" t="str">
        <f t="shared" ca="1" si="90"/>
        <v/>
      </c>
      <c r="H269" s="264" t="str">
        <f t="shared" ca="1" si="90"/>
        <v/>
      </c>
      <c r="I269" s="265" t="str">
        <f t="shared" ca="1" si="90"/>
        <v/>
      </c>
      <c r="J269" s="266" t="str">
        <f t="shared" ca="1" si="90"/>
        <v/>
      </c>
      <c r="K269" s="264" t="str">
        <f t="shared" ca="1" si="90"/>
        <v/>
      </c>
      <c r="L269" s="265" t="str">
        <f t="shared" ca="1" si="90"/>
        <v/>
      </c>
      <c r="M269" s="266" t="str">
        <f t="shared" ca="1" si="90"/>
        <v/>
      </c>
      <c r="N269" s="264" t="str">
        <f t="shared" ca="1" si="90"/>
        <v/>
      </c>
      <c r="O269" s="265" t="str">
        <f t="shared" ca="1" si="90"/>
        <v/>
      </c>
      <c r="P269" s="266" t="str">
        <f t="shared" ca="1" si="90"/>
        <v/>
      </c>
      <c r="Q269" s="267" t="str">
        <f t="shared" ca="1" si="90"/>
        <v/>
      </c>
      <c r="R269" s="268" t="str">
        <f t="shared" ca="1" si="91"/>
        <v/>
      </c>
      <c r="S269" s="264" t="str">
        <f t="shared" ca="1" si="91"/>
        <v/>
      </c>
      <c r="T269" s="269" t="str">
        <f t="shared" ca="1" si="91"/>
        <v/>
      </c>
      <c r="U269" s="268" t="str">
        <f t="shared" ca="1" si="91"/>
        <v/>
      </c>
      <c r="V269" s="264" t="str">
        <f t="shared" ca="1" si="91"/>
        <v/>
      </c>
      <c r="W269" s="265" t="str">
        <f t="shared" ca="1" si="91"/>
        <v/>
      </c>
      <c r="X269" s="266" t="str">
        <f t="shared" ca="1" si="91"/>
        <v/>
      </c>
      <c r="Y269" s="264" t="str">
        <f t="shared" ca="1" si="91"/>
        <v/>
      </c>
      <c r="Z269" s="265" t="str">
        <f t="shared" ca="1" si="91"/>
        <v/>
      </c>
      <c r="AA269" s="266" t="str">
        <f t="shared" ca="1" si="91"/>
        <v/>
      </c>
      <c r="AB269" s="267" t="str">
        <f t="shared" ca="1" si="91"/>
        <v/>
      </c>
      <c r="AC269" s="541"/>
      <c r="AD269" s="212" t="str">
        <f t="shared" ca="1" si="86"/>
        <v/>
      </c>
    </row>
    <row r="270" spans="1:30" s="45" customFormat="1" ht="22.5" customHeight="1">
      <c r="A270" s="258" t="str">
        <f ca="1">IFERROR(INDEX(凭证录入!H:H,$AD270),"")</f>
        <v/>
      </c>
      <c r="B270" s="259" t="str">
        <f ca="1">IFERROR(INDEX(凭证录入!I:I,$AD270),"")</f>
        <v/>
      </c>
      <c r="C270" s="260" t="str">
        <f ca="1">IFERROR(VLOOKUP($B270,会计科目表!$A:$C,2,),"")</f>
        <v/>
      </c>
      <c r="D270" s="261" t="str">
        <f ca="1">IFERROR(VLOOKUP($B270,会计科目表!$A:$C,3,),"")</f>
        <v/>
      </c>
      <c r="E270" s="262">
        <f ca="1">IFERROR(INDEX(凭证录入!K:K,$AD270),0)</f>
        <v>0</v>
      </c>
      <c r="F270" s="262">
        <f ca="1">IFERROR(INDEX(凭证录入!L:L,$AD270),0)</f>
        <v>0</v>
      </c>
      <c r="G270" s="263" t="str">
        <f t="shared" ca="1" si="90"/>
        <v/>
      </c>
      <c r="H270" s="264" t="str">
        <f t="shared" ca="1" si="90"/>
        <v/>
      </c>
      <c r="I270" s="265" t="str">
        <f t="shared" ca="1" si="90"/>
        <v/>
      </c>
      <c r="J270" s="266" t="str">
        <f t="shared" ca="1" si="90"/>
        <v/>
      </c>
      <c r="K270" s="264" t="str">
        <f t="shared" ca="1" si="90"/>
        <v/>
      </c>
      <c r="L270" s="265" t="str">
        <f t="shared" ca="1" si="90"/>
        <v/>
      </c>
      <c r="M270" s="266" t="str">
        <f t="shared" ca="1" si="90"/>
        <v/>
      </c>
      <c r="N270" s="264" t="str">
        <f t="shared" ca="1" si="90"/>
        <v/>
      </c>
      <c r="O270" s="265" t="str">
        <f t="shared" ca="1" si="90"/>
        <v/>
      </c>
      <c r="P270" s="266" t="str">
        <f t="shared" ca="1" si="90"/>
        <v/>
      </c>
      <c r="Q270" s="267" t="str">
        <f t="shared" ca="1" si="90"/>
        <v/>
      </c>
      <c r="R270" s="268" t="str">
        <f t="shared" ca="1" si="91"/>
        <v/>
      </c>
      <c r="S270" s="264" t="str">
        <f t="shared" ca="1" si="91"/>
        <v/>
      </c>
      <c r="T270" s="269" t="str">
        <f t="shared" ca="1" si="91"/>
        <v/>
      </c>
      <c r="U270" s="268" t="str">
        <f t="shared" ca="1" si="91"/>
        <v/>
      </c>
      <c r="V270" s="264" t="str">
        <f t="shared" ca="1" si="91"/>
        <v/>
      </c>
      <c r="W270" s="265" t="str">
        <f t="shared" ca="1" si="91"/>
        <v/>
      </c>
      <c r="X270" s="266" t="str">
        <f t="shared" ca="1" si="91"/>
        <v/>
      </c>
      <c r="Y270" s="264" t="str">
        <f t="shared" ca="1" si="91"/>
        <v/>
      </c>
      <c r="Z270" s="265" t="str">
        <f t="shared" ca="1" si="91"/>
        <v/>
      </c>
      <c r="AA270" s="266" t="str">
        <f t="shared" ca="1" si="91"/>
        <v/>
      </c>
      <c r="AB270" s="267" t="str">
        <f t="shared" ca="1" si="91"/>
        <v/>
      </c>
      <c r="AC270" s="541"/>
      <c r="AD270" s="212" t="str">
        <f t="shared" ca="1" si="86"/>
        <v/>
      </c>
    </row>
    <row r="271" spans="1:30" s="45" customFormat="1" ht="22.5" customHeight="1">
      <c r="A271" s="258" t="str">
        <f ca="1">IFERROR(INDEX(凭证录入!H:H,$AD271),"")</f>
        <v/>
      </c>
      <c r="B271" s="259" t="str">
        <f ca="1">IFERROR(INDEX(凭证录入!I:I,$AD271),"")</f>
        <v/>
      </c>
      <c r="C271" s="260" t="str">
        <f ca="1">IFERROR(VLOOKUP($B271,会计科目表!$A:$C,2,),"")</f>
        <v/>
      </c>
      <c r="D271" s="261" t="str">
        <f ca="1">IFERROR(VLOOKUP($B271,会计科目表!$A:$C,3,),"")</f>
        <v/>
      </c>
      <c r="E271" s="262">
        <f ca="1">IFERROR(INDEX(凭证录入!K:K,$AD271),0)</f>
        <v>0</v>
      </c>
      <c r="F271" s="262">
        <f ca="1">IFERROR(INDEX(凭证录入!L:L,$AD271),0)</f>
        <v>0</v>
      </c>
      <c r="G271" s="263" t="str">
        <f t="shared" ca="1" si="90"/>
        <v/>
      </c>
      <c r="H271" s="264" t="str">
        <f t="shared" ca="1" si="90"/>
        <v/>
      </c>
      <c r="I271" s="265" t="str">
        <f t="shared" ca="1" si="90"/>
        <v/>
      </c>
      <c r="J271" s="266" t="str">
        <f t="shared" ca="1" si="90"/>
        <v/>
      </c>
      <c r="K271" s="264" t="str">
        <f t="shared" ca="1" si="90"/>
        <v/>
      </c>
      <c r="L271" s="265" t="str">
        <f t="shared" ca="1" si="90"/>
        <v/>
      </c>
      <c r="M271" s="266" t="str">
        <f t="shared" ca="1" si="90"/>
        <v/>
      </c>
      <c r="N271" s="264" t="str">
        <f t="shared" ca="1" si="90"/>
        <v/>
      </c>
      <c r="O271" s="265" t="str">
        <f t="shared" ca="1" si="90"/>
        <v/>
      </c>
      <c r="P271" s="266" t="str">
        <f t="shared" ca="1" si="90"/>
        <v/>
      </c>
      <c r="Q271" s="267" t="str">
        <f t="shared" ca="1" si="90"/>
        <v/>
      </c>
      <c r="R271" s="268" t="str">
        <f t="shared" ca="1" si="91"/>
        <v/>
      </c>
      <c r="S271" s="264" t="str">
        <f t="shared" ca="1" si="91"/>
        <v/>
      </c>
      <c r="T271" s="269" t="str">
        <f t="shared" ca="1" si="91"/>
        <v/>
      </c>
      <c r="U271" s="268" t="str">
        <f t="shared" ca="1" si="91"/>
        <v/>
      </c>
      <c r="V271" s="264" t="str">
        <f t="shared" ca="1" si="91"/>
        <v/>
      </c>
      <c r="W271" s="265" t="str">
        <f t="shared" ca="1" si="91"/>
        <v/>
      </c>
      <c r="X271" s="266" t="str">
        <f t="shared" ca="1" si="91"/>
        <v/>
      </c>
      <c r="Y271" s="264" t="str">
        <f t="shared" ca="1" si="91"/>
        <v/>
      </c>
      <c r="Z271" s="265" t="str">
        <f t="shared" ca="1" si="91"/>
        <v/>
      </c>
      <c r="AA271" s="266" t="str">
        <f t="shared" ca="1" si="91"/>
        <v/>
      </c>
      <c r="AB271" s="267" t="str">
        <f t="shared" ca="1" si="91"/>
        <v/>
      </c>
      <c r="AC271" s="536" t="s">
        <v>669</v>
      </c>
      <c r="AD271" s="212" t="str">
        <f t="shared" ca="1" si="86"/>
        <v/>
      </c>
    </row>
    <row r="272" spans="1:30" s="45" customFormat="1" ht="22.5" customHeight="1">
      <c r="A272" s="258" t="str">
        <f ca="1">IFERROR(INDEX(凭证录入!H:H,$AD272),"")</f>
        <v/>
      </c>
      <c r="B272" s="259" t="str">
        <f ca="1">IFERROR(INDEX(凭证录入!I:I,$AD272),"")</f>
        <v/>
      </c>
      <c r="C272" s="260" t="str">
        <f ca="1">IFERROR(VLOOKUP($B272,会计科目表!$A:$C,2,),"")</f>
        <v/>
      </c>
      <c r="D272" s="261" t="str">
        <f ca="1">IFERROR(VLOOKUP($B272,会计科目表!$A:$C,3,),"")</f>
        <v/>
      </c>
      <c r="E272" s="262">
        <f ca="1">IFERROR(INDEX(凭证录入!K:K,$AD272),0)</f>
        <v>0</v>
      </c>
      <c r="F272" s="262">
        <f ca="1">IFERROR(INDEX(凭证录入!L:L,$AD272),0)</f>
        <v>0</v>
      </c>
      <c r="G272" s="263" t="str">
        <f t="shared" ca="1" si="90"/>
        <v/>
      </c>
      <c r="H272" s="264" t="str">
        <f t="shared" ca="1" si="90"/>
        <v/>
      </c>
      <c r="I272" s="265" t="str">
        <f t="shared" ca="1" si="90"/>
        <v/>
      </c>
      <c r="J272" s="266" t="str">
        <f t="shared" ca="1" si="90"/>
        <v/>
      </c>
      <c r="K272" s="264" t="str">
        <f t="shared" ca="1" si="90"/>
        <v/>
      </c>
      <c r="L272" s="265" t="str">
        <f t="shared" ca="1" si="90"/>
        <v/>
      </c>
      <c r="M272" s="266" t="str">
        <f t="shared" ca="1" si="90"/>
        <v/>
      </c>
      <c r="N272" s="264" t="str">
        <f t="shared" ca="1" si="90"/>
        <v/>
      </c>
      <c r="O272" s="265" t="str">
        <f t="shared" ca="1" si="90"/>
        <v/>
      </c>
      <c r="P272" s="266" t="str">
        <f t="shared" ca="1" si="90"/>
        <v/>
      </c>
      <c r="Q272" s="267" t="str">
        <f t="shared" ca="1" si="90"/>
        <v/>
      </c>
      <c r="R272" s="268" t="str">
        <f t="shared" ca="1" si="91"/>
        <v/>
      </c>
      <c r="S272" s="264" t="str">
        <f t="shared" ca="1" si="91"/>
        <v/>
      </c>
      <c r="T272" s="269" t="str">
        <f t="shared" ca="1" si="91"/>
        <v/>
      </c>
      <c r="U272" s="268" t="str">
        <f t="shared" ca="1" si="91"/>
        <v/>
      </c>
      <c r="V272" s="264" t="str">
        <f t="shared" ca="1" si="91"/>
        <v/>
      </c>
      <c r="W272" s="265" t="str">
        <f t="shared" ca="1" si="91"/>
        <v/>
      </c>
      <c r="X272" s="266" t="str">
        <f t="shared" ca="1" si="91"/>
        <v/>
      </c>
      <c r="Y272" s="264" t="str">
        <f t="shared" ca="1" si="91"/>
        <v/>
      </c>
      <c r="Z272" s="265" t="str">
        <f t="shared" ca="1" si="91"/>
        <v/>
      </c>
      <c r="AA272" s="266" t="str">
        <f t="shared" ca="1" si="91"/>
        <v/>
      </c>
      <c r="AB272" s="267" t="str">
        <f t="shared" ca="1" si="91"/>
        <v/>
      </c>
      <c r="AC272" s="537"/>
      <c r="AD272" s="212" t="str">
        <f t="shared" ca="1" si="86"/>
        <v/>
      </c>
    </row>
    <row r="273" spans="1:30" s="45" customFormat="1" ht="22.5" customHeight="1">
      <c r="A273" s="258" t="str">
        <f ca="1">IFERROR(INDEX(凭证录入!H:H,$AD273),"")</f>
        <v/>
      </c>
      <c r="B273" s="259" t="str">
        <f ca="1">IFERROR(INDEX(凭证录入!I:I,$AD273),"")</f>
        <v/>
      </c>
      <c r="C273" s="260" t="str">
        <f ca="1">IFERROR(VLOOKUP($B273,会计科目表!$A:$C,2,),"")</f>
        <v/>
      </c>
      <c r="D273" s="261" t="str">
        <f ca="1">IFERROR(VLOOKUP($B273,会计科目表!$A:$C,3,),"")</f>
        <v/>
      </c>
      <c r="E273" s="262">
        <f ca="1">IFERROR(INDEX(凭证录入!K:K,$AD273),0)</f>
        <v>0</v>
      </c>
      <c r="F273" s="262">
        <f ca="1">IFERROR(INDEX(凭证录入!L:L,$AD273),0)</f>
        <v>0</v>
      </c>
      <c r="G273" s="263" t="str">
        <f t="shared" ca="1" si="90"/>
        <v/>
      </c>
      <c r="H273" s="264" t="str">
        <f t="shared" ca="1" si="90"/>
        <v/>
      </c>
      <c r="I273" s="265" t="str">
        <f t="shared" ca="1" si="90"/>
        <v/>
      </c>
      <c r="J273" s="266" t="str">
        <f t="shared" ca="1" si="90"/>
        <v/>
      </c>
      <c r="K273" s="264" t="str">
        <f t="shared" ca="1" si="90"/>
        <v/>
      </c>
      <c r="L273" s="265" t="str">
        <f t="shared" ca="1" si="90"/>
        <v/>
      </c>
      <c r="M273" s="266" t="str">
        <f t="shared" ca="1" si="90"/>
        <v/>
      </c>
      <c r="N273" s="264" t="str">
        <f t="shared" ca="1" si="90"/>
        <v/>
      </c>
      <c r="O273" s="265" t="str">
        <f t="shared" ca="1" si="90"/>
        <v/>
      </c>
      <c r="P273" s="266" t="str">
        <f t="shared" ca="1" si="90"/>
        <v/>
      </c>
      <c r="Q273" s="267" t="str">
        <f t="shared" ca="1" si="90"/>
        <v/>
      </c>
      <c r="R273" s="268" t="str">
        <f t="shared" ca="1" si="91"/>
        <v/>
      </c>
      <c r="S273" s="264" t="str">
        <f t="shared" ca="1" si="91"/>
        <v/>
      </c>
      <c r="T273" s="269" t="str">
        <f t="shared" ca="1" si="91"/>
        <v/>
      </c>
      <c r="U273" s="268" t="str">
        <f t="shared" ca="1" si="91"/>
        <v/>
      </c>
      <c r="V273" s="264" t="str">
        <f t="shared" ca="1" si="91"/>
        <v/>
      </c>
      <c r="W273" s="265" t="str">
        <f t="shared" ca="1" si="91"/>
        <v/>
      </c>
      <c r="X273" s="266" t="str">
        <f t="shared" ca="1" si="91"/>
        <v/>
      </c>
      <c r="Y273" s="264" t="str">
        <f t="shared" ca="1" si="91"/>
        <v/>
      </c>
      <c r="Z273" s="265" t="str">
        <f t="shared" ca="1" si="91"/>
        <v/>
      </c>
      <c r="AA273" s="266" t="str">
        <f t="shared" ca="1" si="91"/>
        <v/>
      </c>
      <c r="AB273" s="267" t="str">
        <f t="shared" ca="1" si="91"/>
        <v/>
      </c>
      <c r="AC273" s="538"/>
      <c r="AD273" s="212" t="str">
        <f t="shared" ca="1" si="86"/>
        <v/>
      </c>
    </row>
    <row r="274" spans="1:30" s="45" customFormat="1" ht="22.5" customHeight="1">
      <c r="A274" s="258" t="str">
        <f ca="1">IFERROR(INDEX(凭证录入!H:H,$AD274),"")</f>
        <v/>
      </c>
      <c r="B274" s="259" t="str">
        <f ca="1">IFERROR(INDEX(凭证录入!I:I,$AD274),"")</f>
        <v/>
      </c>
      <c r="C274" s="260" t="str">
        <f ca="1">IFERROR(VLOOKUP($B274,会计科目表!$A:$C,2,),"")</f>
        <v/>
      </c>
      <c r="D274" s="261" t="str">
        <f ca="1">IFERROR(VLOOKUP($B274,会计科目表!$A:$C,3,),"")</f>
        <v/>
      </c>
      <c r="E274" s="262">
        <f ca="1">IFERROR(INDEX(凭证录入!K:K,$AD274),0)</f>
        <v>0</v>
      </c>
      <c r="F274" s="262">
        <f ca="1">IFERROR(INDEX(凭证录入!L:L,$AD274),0)</f>
        <v>0</v>
      </c>
      <c r="G274" s="263" t="str">
        <f t="shared" ca="1" si="90"/>
        <v/>
      </c>
      <c r="H274" s="264" t="str">
        <f t="shared" ca="1" si="90"/>
        <v/>
      </c>
      <c r="I274" s="265" t="str">
        <f t="shared" ca="1" si="90"/>
        <v/>
      </c>
      <c r="J274" s="266" t="str">
        <f t="shared" ca="1" si="90"/>
        <v/>
      </c>
      <c r="K274" s="264" t="str">
        <f t="shared" ca="1" si="90"/>
        <v/>
      </c>
      <c r="L274" s="265" t="str">
        <f t="shared" ca="1" si="90"/>
        <v/>
      </c>
      <c r="M274" s="266" t="str">
        <f t="shared" ca="1" si="90"/>
        <v/>
      </c>
      <c r="N274" s="264" t="str">
        <f t="shared" ca="1" si="90"/>
        <v/>
      </c>
      <c r="O274" s="265" t="str">
        <f t="shared" ca="1" si="90"/>
        <v/>
      </c>
      <c r="P274" s="266" t="str">
        <f t="shared" ca="1" si="90"/>
        <v/>
      </c>
      <c r="Q274" s="267" t="str">
        <f t="shared" ca="1" si="90"/>
        <v/>
      </c>
      <c r="R274" s="268" t="str">
        <f t="shared" ca="1" si="91"/>
        <v/>
      </c>
      <c r="S274" s="264" t="str">
        <f t="shared" ca="1" si="91"/>
        <v/>
      </c>
      <c r="T274" s="269" t="str">
        <f t="shared" ca="1" si="91"/>
        <v/>
      </c>
      <c r="U274" s="268" t="str">
        <f t="shared" ca="1" si="91"/>
        <v/>
      </c>
      <c r="V274" s="264" t="str">
        <f t="shared" ca="1" si="91"/>
        <v/>
      </c>
      <c r="W274" s="265" t="str">
        <f t="shared" ca="1" si="91"/>
        <v/>
      </c>
      <c r="X274" s="266" t="str">
        <f t="shared" ca="1" si="91"/>
        <v/>
      </c>
      <c r="Y274" s="264" t="str">
        <f t="shared" ca="1" si="91"/>
        <v/>
      </c>
      <c r="Z274" s="265" t="str">
        <f t="shared" ca="1" si="91"/>
        <v/>
      </c>
      <c r="AA274" s="266" t="str">
        <f t="shared" ca="1" si="91"/>
        <v/>
      </c>
      <c r="AB274" s="267" t="str">
        <f t="shared" ca="1" si="91"/>
        <v/>
      </c>
      <c r="AC274" s="538"/>
      <c r="AD274" s="212" t="str">
        <f t="shared" ca="1" si="86"/>
        <v/>
      </c>
    </row>
    <row r="275" spans="1:30" s="45" customFormat="1" ht="22.5" customHeight="1">
      <c r="A275" s="270" t="s">
        <v>670</v>
      </c>
      <c r="B275" s="271"/>
      <c r="C275" s="272" t="str">
        <f t="shared" ref="C275" ca="1" si="103">SUBSTITUTE(SUBSTITUTE(IF(-DOLLAR(E275),IF(E275&gt;0,,"负")&amp;TEXT(INT(ABS(E275)+0.5%),"[dbnum2]G/通用格式元;;")&amp;TEXT(RIGHT(DOLLAR(E275,2),2),"[dbnum2]0角0分;;整"),),"零角",IF(E275^2&lt;1,,"零")),"零分","整")</f>
        <v/>
      </c>
      <c r="D275" s="273"/>
      <c r="E275" s="274">
        <f t="shared" ref="E275:F275" ca="1" si="104">SUM(E269:E274)</f>
        <v>0</v>
      </c>
      <c r="F275" s="275">
        <f t="shared" ca="1" si="104"/>
        <v>0</v>
      </c>
      <c r="G275" s="276" t="str">
        <f t="shared" ca="1" si="90"/>
        <v/>
      </c>
      <c r="H275" s="277" t="str">
        <f t="shared" ca="1" si="90"/>
        <v/>
      </c>
      <c r="I275" s="278" t="str">
        <f t="shared" ca="1" si="90"/>
        <v/>
      </c>
      <c r="J275" s="279" t="str">
        <f t="shared" ca="1" si="90"/>
        <v/>
      </c>
      <c r="K275" s="277" t="str">
        <f t="shared" ca="1" si="90"/>
        <v/>
      </c>
      <c r="L275" s="278" t="str">
        <f t="shared" ca="1" si="90"/>
        <v/>
      </c>
      <c r="M275" s="279" t="str">
        <f t="shared" ref="M275:Q275" ca="1" si="105">LEFT(RIGHT(TEXT($E275/1%," ￥0; ￥-0;"),18-COLUMN()))</f>
        <v/>
      </c>
      <c r="N275" s="277" t="str">
        <f t="shared" ca="1" si="105"/>
        <v/>
      </c>
      <c r="O275" s="278" t="str">
        <f t="shared" ca="1" si="105"/>
        <v/>
      </c>
      <c r="P275" s="279" t="str">
        <f t="shared" ca="1" si="105"/>
        <v/>
      </c>
      <c r="Q275" s="280" t="str">
        <f t="shared" ca="1" si="105"/>
        <v/>
      </c>
      <c r="R275" s="281" t="str">
        <f t="shared" ca="1" si="91"/>
        <v/>
      </c>
      <c r="S275" s="277" t="str">
        <f t="shared" ca="1" si="91"/>
        <v/>
      </c>
      <c r="T275" s="282" t="str">
        <f t="shared" ca="1" si="91"/>
        <v/>
      </c>
      <c r="U275" s="281" t="str">
        <f t="shared" ca="1" si="91"/>
        <v/>
      </c>
      <c r="V275" s="277" t="str">
        <f t="shared" ca="1" si="91"/>
        <v/>
      </c>
      <c r="W275" s="278" t="str">
        <f t="shared" ca="1" si="91"/>
        <v/>
      </c>
      <c r="X275" s="279" t="str">
        <f t="shared" ref="X275:AB275" ca="1" si="106">LEFT(RIGHT(TEXT($F275/1%," ￥0; ￥-0;"),29-COLUMN()))</f>
        <v/>
      </c>
      <c r="Y275" s="277" t="str">
        <f t="shared" ca="1" si="106"/>
        <v/>
      </c>
      <c r="Z275" s="278" t="str">
        <f t="shared" ca="1" si="106"/>
        <v/>
      </c>
      <c r="AA275" s="279" t="str">
        <f t="shared" ca="1" si="106"/>
        <v/>
      </c>
      <c r="AB275" s="280" t="str">
        <f t="shared" ca="1" si="106"/>
        <v/>
      </c>
      <c r="AC275" s="283"/>
      <c r="AD275" s="212"/>
    </row>
    <row r="276" spans="1:30" s="22" customFormat="1" ht="22.5" customHeight="1">
      <c r="A276" s="284" t="s">
        <v>644</v>
      </c>
      <c r="B276" s="284"/>
      <c r="C276" s="284"/>
      <c r="D276" s="284" t="s">
        <v>645</v>
      </c>
      <c r="E276" s="284"/>
      <c r="F276" s="284"/>
      <c r="G276" s="284"/>
      <c r="H276" s="285"/>
      <c r="I276" s="284"/>
      <c r="J276" s="285"/>
      <c r="K276" s="285"/>
      <c r="L276" s="284"/>
      <c r="M276" s="285"/>
      <c r="N276" s="285"/>
      <c r="O276" s="285"/>
      <c r="P276" s="284"/>
      <c r="Q276" s="284" t="s">
        <v>646</v>
      </c>
      <c r="R276" s="284"/>
      <c r="S276" s="284"/>
      <c r="T276" s="284"/>
      <c r="U276" s="285"/>
      <c r="V276" s="284"/>
      <c r="W276" s="285"/>
      <c r="X276" s="284"/>
      <c r="Y276" s="284"/>
      <c r="Z276" s="285"/>
      <c r="AA276" s="285"/>
      <c r="AB276" s="285"/>
      <c r="AC276" s="286"/>
      <c r="AD276" s="212"/>
    </row>
    <row r="277" spans="1:30" ht="39.75" customHeight="1" thickBot="1">
      <c r="A277" s="226"/>
      <c r="B277" s="226"/>
      <c r="C277" s="227" t="s">
        <v>647</v>
      </c>
      <c r="D277" s="228"/>
      <c r="E277" s="226"/>
      <c r="F277" s="226"/>
      <c r="G277" s="228"/>
      <c r="H277" s="228"/>
      <c r="I277" s="228"/>
      <c r="J277" s="228"/>
      <c r="K277" s="228"/>
      <c r="L277" s="228"/>
      <c r="M277" s="228"/>
      <c r="N277" s="228"/>
      <c r="O277" s="228"/>
      <c r="P277" s="228"/>
      <c r="Q277" s="228"/>
      <c r="R277" s="229" t="s">
        <v>648</v>
      </c>
      <c r="S277" s="230"/>
      <c r="T277" s="230"/>
      <c r="U277" s="231" t="e">
        <f ca="1">DATE(AD$1,AF$1,INDEX(凭证录入!B:B,AD281))</f>
        <v>#VALUE!</v>
      </c>
      <c r="V277" s="232"/>
      <c r="W277" s="232"/>
      <c r="X277" s="232"/>
      <c r="Y277" s="232"/>
      <c r="Z277" s="232"/>
      <c r="AA277" s="232"/>
      <c r="AB277" s="232"/>
      <c r="AD277" s="212"/>
    </row>
    <row r="278" spans="1:30" s="45" customFormat="1" ht="23.25" customHeight="1" thickTop="1">
      <c r="A278" s="235" t="s">
        <v>649</v>
      </c>
      <c r="B278" s="235"/>
      <c r="C278" s="236" t="str">
        <f t="shared" si="97"/>
        <v>远大开发有限公司</v>
      </c>
      <c r="D278" s="236"/>
      <c r="E278" s="236"/>
      <c r="F278" s="236"/>
      <c r="G278" s="236"/>
      <c r="H278" s="236"/>
      <c r="I278" s="236"/>
      <c r="J278" s="236"/>
      <c r="K278" s="236"/>
      <c r="L278" s="236"/>
      <c r="M278" s="236"/>
      <c r="N278" s="236"/>
      <c r="O278" s="236"/>
      <c r="P278" s="236"/>
      <c r="Q278" s="236"/>
      <c r="R278" s="229" t="s">
        <v>650</v>
      </c>
      <c r="S278" s="229"/>
      <c r="T278" s="229"/>
      <c r="U278" s="237" t="str">
        <f t="shared" ref="U278" si="107">"第 "&amp;TEXT($AF$1,"00")&amp;TEXT($AC278,"0000 号")</f>
        <v>第 010024 号</v>
      </c>
      <c r="V278" s="237"/>
      <c r="W278" s="238"/>
      <c r="X278" s="238"/>
      <c r="Y278" s="238"/>
      <c r="Z278" s="238"/>
      <c r="AA278" s="238"/>
      <c r="AB278" s="238"/>
      <c r="AC278" s="239">
        <f t="shared" si="99"/>
        <v>24</v>
      </c>
      <c r="AD278" s="212"/>
    </row>
    <row r="279" spans="1:30" s="45" customFormat="1" ht="22.5" customHeight="1">
      <c r="A279" s="241" t="s">
        <v>651</v>
      </c>
      <c r="B279" s="542" t="s">
        <v>652</v>
      </c>
      <c r="C279" s="242" t="s">
        <v>653</v>
      </c>
      <c r="D279" s="243" t="s">
        <v>654</v>
      </c>
      <c r="E279" s="539" t="s">
        <v>655</v>
      </c>
      <c r="F279" s="539" t="s">
        <v>656</v>
      </c>
      <c r="G279" s="244" t="s">
        <v>657</v>
      </c>
      <c r="H279" s="245"/>
      <c r="I279" s="245"/>
      <c r="J279" s="245"/>
      <c r="K279" s="245"/>
      <c r="L279" s="245"/>
      <c r="M279" s="245"/>
      <c r="N279" s="245"/>
      <c r="O279" s="245"/>
      <c r="P279" s="245"/>
      <c r="Q279" s="246"/>
      <c r="R279" s="247" t="s">
        <v>658</v>
      </c>
      <c r="S279" s="245"/>
      <c r="T279" s="245"/>
      <c r="U279" s="245"/>
      <c r="V279" s="245"/>
      <c r="W279" s="245"/>
      <c r="X279" s="245"/>
      <c r="Y279" s="245"/>
      <c r="Z279" s="245"/>
      <c r="AA279" s="245"/>
      <c r="AB279" s="246"/>
      <c r="AC279" s="541" t="str">
        <f ca="1">"附单据数︵"&amp;INDEX(凭证录入!$D:$D,$AD$17)&amp;"︶张"</f>
        <v>附单据数︵4︶张</v>
      </c>
      <c r="AD279" s="235"/>
    </row>
    <row r="280" spans="1:30" s="45" customFormat="1" ht="22.5" customHeight="1">
      <c r="A280" s="248" t="s">
        <v>659</v>
      </c>
      <c r="B280" s="543"/>
      <c r="C280" s="249" t="s">
        <v>660</v>
      </c>
      <c r="D280" s="250" t="s">
        <v>660</v>
      </c>
      <c r="E280" s="540"/>
      <c r="F280" s="540"/>
      <c r="G280" s="251" t="s">
        <v>661</v>
      </c>
      <c r="H280" s="252" t="s">
        <v>662</v>
      </c>
      <c r="I280" s="253" t="s">
        <v>663</v>
      </c>
      <c r="J280" s="254" t="s">
        <v>664</v>
      </c>
      <c r="K280" s="252" t="s">
        <v>665</v>
      </c>
      <c r="L280" s="253" t="s">
        <v>662</v>
      </c>
      <c r="M280" s="254" t="s">
        <v>663</v>
      </c>
      <c r="N280" s="252" t="s">
        <v>664</v>
      </c>
      <c r="O280" s="253" t="s">
        <v>666</v>
      </c>
      <c r="P280" s="254" t="s">
        <v>667</v>
      </c>
      <c r="Q280" s="255" t="s">
        <v>668</v>
      </c>
      <c r="R280" s="256" t="s">
        <v>661</v>
      </c>
      <c r="S280" s="252" t="s">
        <v>662</v>
      </c>
      <c r="T280" s="257" t="s">
        <v>663</v>
      </c>
      <c r="U280" s="256" t="s">
        <v>664</v>
      </c>
      <c r="V280" s="252" t="s">
        <v>665</v>
      </c>
      <c r="W280" s="253" t="s">
        <v>662</v>
      </c>
      <c r="X280" s="254" t="s">
        <v>663</v>
      </c>
      <c r="Y280" s="252" t="s">
        <v>664</v>
      </c>
      <c r="Z280" s="253" t="s">
        <v>666</v>
      </c>
      <c r="AA280" s="254" t="s">
        <v>667</v>
      </c>
      <c r="AB280" s="255" t="s">
        <v>668</v>
      </c>
      <c r="AC280" s="541"/>
    </row>
    <row r="281" spans="1:30" s="45" customFormat="1" ht="22.5" customHeight="1">
      <c r="A281" s="258" t="str">
        <f ca="1">IFERROR(INDEX(凭证录入!H:H,$AD281),"")</f>
        <v/>
      </c>
      <c r="B281" s="259" t="str">
        <f ca="1">IFERROR(INDEX(凭证录入!I:I,$AD281),"")</f>
        <v/>
      </c>
      <c r="C281" s="260" t="str">
        <f ca="1">IFERROR(VLOOKUP($B281,会计科目表!$A:$C,2,),"")</f>
        <v/>
      </c>
      <c r="D281" s="261" t="str">
        <f ca="1">IFERROR(VLOOKUP($B281,会计科目表!$A:$C,3,),"")</f>
        <v/>
      </c>
      <c r="E281" s="262">
        <f ca="1">IFERROR(INDEX(凭证录入!K:K,$AD281),0)</f>
        <v>0</v>
      </c>
      <c r="F281" s="262">
        <f ca="1">IFERROR(INDEX(凭证录入!L:L,$AD281),0)</f>
        <v>0</v>
      </c>
      <c r="G281" s="263" t="str">
        <f t="shared" ref="G281:Q319" ca="1" si="108">LEFT(RIGHT(TEXT($E281/1%," ￥0; ￥-0;"),18-COLUMN()))</f>
        <v/>
      </c>
      <c r="H281" s="264" t="str">
        <f t="shared" ca="1" si="108"/>
        <v/>
      </c>
      <c r="I281" s="265" t="str">
        <f t="shared" ca="1" si="108"/>
        <v/>
      </c>
      <c r="J281" s="266" t="str">
        <f t="shared" ca="1" si="108"/>
        <v/>
      </c>
      <c r="K281" s="264" t="str">
        <f t="shared" ca="1" si="108"/>
        <v/>
      </c>
      <c r="L281" s="265" t="str">
        <f t="shared" ca="1" si="108"/>
        <v/>
      </c>
      <c r="M281" s="266" t="str">
        <f t="shared" ca="1" si="108"/>
        <v/>
      </c>
      <c r="N281" s="264" t="str">
        <f t="shared" ca="1" si="108"/>
        <v/>
      </c>
      <c r="O281" s="265" t="str">
        <f t="shared" ca="1" si="108"/>
        <v/>
      </c>
      <c r="P281" s="266" t="str">
        <f t="shared" ca="1" si="108"/>
        <v/>
      </c>
      <c r="Q281" s="267" t="str">
        <f t="shared" ca="1" si="108"/>
        <v/>
      </c>
      <c r="R281" s="268" t="str">
        <f t="shared" ref="R281:AB319" ca="1" si="109">LEFT(RIGHT(TEXT($F281/1%," ￥0; ￥-0;"),29-COLUMN()))</f>
        <v/>
      </c>
      <c r="S281" s="264" t="str">
        <f t="shared" ca="1" si="109"/>
        <v/>
      </c>
      <c r="T281" s="269" t="str">
        <f t="shared" ca="1" si="109"/>
        <v/>
      </c>
      <c r="U281" s="268" t="str">
        <f t="shared" ca="1" si="109"/>
        <v/>
      </c>
      <c r="V281" s="264" t="str">
        <f t="shared" ca="1" si="109"/>
        <v/>
      </c>
      <c r="W281" s="265" t="str">
        <f t="shared" ca="1" si="109"/>
        <v/>
      </c>
      <c r="X281" s="266" t="str">
        <f t="shared" ca="1" si="109"/>
        <v/>
      </c>
      <c r="Y281" s="264" t="str">
        <f t="shared" ca="1" si="109"/>
        <v/>
      </c>
      <c r="Z281" s="265" t="str">
        <f t="shared" ca="1" si="109"/>
        <v/>
      </c>
      <c r="AA281" s="266" t="str">
        <f t="shared" ca="1" si="109"/>
        <v/>
      </c>
      <c r="AB281" s="267" t="str">
        <f t="shared" ca="1" si="109"/>
        <v/>
      </c>
      <c r="AC281" s="541"/>
      <c r="AD281" s="212" t="str">
        <f t="shared" ca="1" si="86"/>
        <v/>
      </c>
    </row>
    <row r="282" spans="1:30" s="45" customFormat="1" ht="22.5" customHeight="1">
      <c r="A282" s="258" t="str">
        <f ca="1">IFERROR(INDEX(凭证录入!H:H,$AD282),"")</f>
        <v/>
      </c>
      <c r="B282" s="259" t="str">
        <f ca="1">IFERROR(INDEX(凭证录入!I:I,$AD282),"")</f>
        <v/>
      </c>
      <c r="C282" s="260" t="str">
        <f ca="1">IFERROR(VLOOKUP($B282,会计科目表!$A:$C,2,),"")</f>
        <v/>
      </c>
      <c r="D282" s="261" t="str">
        <f ca="1">IFERROR(VLOOKUP($B282,会计科目表!$A:$C,3,),"")</f>
        <v/>
      </c>
      <c r="E282" s="262">
        <f ca="1">IFERROR(INDEX(凭证录入!K:K,$AD282),0)</f>
        <v>0</v>
      </c>
      <c r="F282" s="262">
        <f ca="1">IFERROR(INDEX(凭证录入!L:L,$AD282),0)</f>
        <v>0</v>
      </c>
      <c r="G282" s="263" t="str">
        <f t="shared" ca="1" si="108"/>
        <v/>
      </c>
      <c r="H282" s="264" t="str">
        <f t="shared" ca="1" si="108"/>
        <v/>
      </c>
      <c r="I282" s="265" t="str">
        <f t="shared" ca="1" si="108"/>
        <v/>
      </c>
      <c r="J282" s="266" t="str">
        <f t="shared" ca="1" si="108"/>
        <v/>
      </c>
      <c r="K282" s="264" t="str">
        <f t="shared" ca="1" si="108"/>
        <v/>
      </c>
      <c r="L282" s="265" t="str">
        <f t="shared" ca="1" si="108"/>
        <v/>
      </c>
      <c r="M282" s="266" t="str">
        <f t="shared" ca="1" si="108"/>
        <v/>
      </c>
      <c r="N282" s="264" t="str">
        <f t="shared" ca="1" si="108"/>
        <v/>
      </c>
      <c r="O282" s="265" t="str">
        <f t="shared" ca="1" si="108"/>
        <v/>
      </c>
      <c r="P282" s="266" t="str">
        <f t="shared" ca="1" si="108"/>
        <v/>
      </c>
      <c r="Q282" s="267" t="str">
        <f t="shared" ca="1" si="108"/>
        <v/>
      </c>
      <c r="R282" s="268" t="str">
        <f t="shared" ca="1" si="109"/>
        <v/>
      </c>
      <c r="S282" s="264" t="str">
        <f t="shared" ca="1" si="109"/>
        <v/>
      </c>
      <c r="T282" s="269" t="str">
        <f t="shared" ca="1" si="109"/>
        <v/>
      </c>
      <c r="U282" s="268" t="str">
        <f t="shared" ca="1" si="109"/>
        <v/>
      </c>
      <c r="V282" s="264" t="str">
        <f t="shared" ca="1" si="109"/>
        <v/>
      </c>
      <c r="W282" s="265" t="str">
        <f t="shared" ca="1" si="109"/>
        <v/>
      </c>
      <c r="X282" s="266" t="str">
        <f t="shared" ca="1" si="109"/>
        <v/>
      </c>
      <c r="Y282" s="264" t="str">
        <f t="shared" ca="1" si="109"/>
        <v/>
      </c>
      <c r="Z282" s="265" t="str">
        <f t="shared" ca="1" si="109"/>
        <v/>
      </c>
      <c r="AA282" s="266" t="str">
        <f t="shared" ca="1" si="109"/>
        <v/>
      </c>
      <c r="AB282" s="267" t="str">
        <f t="shared" ca="1" si="109"/>
        <v/>
      </c>
      <c r="AC282" s="541"/>
      <c r="AD282" s="212" t="str">
        <f t="shared" ca="1" si="86"/>
        <v/>
      </c>
    </row>
    <row r="283" spans="1:30" s="45" customFormat="1" ht="22.5" customHeight="1">
      <c r="A283" s="258" t="str">
        <f ca="1">IFERROR(INDEX(凭证录入!H:H,$AD283),"")</f>
        <v/>
      </c>
      <c r="B283" s="259" t="str">
        <f ca="1">IFERROR(INDEX(凭证录入!I:I,$AD283),"")</f>
        <v/>
      </c>
      <c r="C283" s="260" t="str">
        <f ca="1">IFERROR(VLOOKUP($B283,会计科目表!$A:$C,2,),"")</f>
        <v/>
      </c>
      <c r="D283" s="261" t="str">
        <f ca="1">IFERROR(VLOOKUP($B283,会计科目表!$A:$C,3,),"")</f>
        <v/>
      </c>
      <c r="E283" s="262">
        <f ca="1">IFERROR(INDEX(凭证录入!K:K,$AD283),0)</f>
        <v>0</v>
      </c>
      <c r="F283" s="262">
        <f ca="1">IFERROR(INDEX(凭证录入!L:L,$AD283),0)</f>
        <v>0</v>
      </c>
      <c r="G283" s="263" t="str">
        <f t="shared" ca="1" si="108"/>
        <v/>
      </c>
      <c r="H283" s="264" t="str">
        <f t="shared" ca="1" si="108"/>
        <v/>
      </c>
      <c r="I283" s="265" t="str">
        <f t="shared" ca="1" si="108"/>
        <v/>
      </c>
      <c r="J283" s="266" t="str">
        <f t="shared" ca="1" si="108"/>
        <v/>
      </c>
      <c r="K283" s="264" t="str">
        <f t="shared" ca="1" si="108"/>
        <v/>
      </c>
      <c r="L283" s="265" t="str">
        <f t="shared" ca="1" si="108"/>
        <v/>
      </c>
      <c r="M283" s="266" t="str">
        <f t="shared" ca="1" si="108"/>
        <v/>
      </c>
      <c r="N283" s="264" t="str">
        <f t="shared" ca="1" si="108"/>
        <v/>
      </c>
      <c r="O283" s="265" t="str">
        <f t="shared" ca="1" si="108"/>
        <v/>
      </c>
      <c r="P283" s="266" t="str">
        <f t="shared" ca="1" si="108"/>
        <v/>
      </c>
      <c r="Q283" s="267" t="str">
        <f t="shared" ca="1" si="108"/>
        <v/>
      </c>
      <c r="R283" s="268" t="str">
        <f t="shared" ca="1" si="109"/>
        <v/>
      </c>
      <c r="S283" s="264" t="str">
        <f t="shared" ca="1" si="109"/>
        <v/>
      </c>
      <c r="T283" s="269" t="str">
        <f t="shared" ca="1" si="109"/>
        <v/>
      </c>
      <c r="U283" s="268" t="str">
        <f t="shared" ca="1" si="109"/>
        <v/>
      </c>
      <c r="V283" s="264" t="str">
        <f t="shared" ca="1" si="109"/>
        <v/>
      </c>
      <c r="W283" s="265" t="str">
        <f t="shared" ca="1" si="109"/>
        <v/>
      </c>
      <c r="X283" s="266" t="str">
        <f t="shared" ca="1" si="109"/>
        <v/>
      </c>
      <c r="Y283" s="264" t="str">
        <f t="shared" ca="1" si="109"/>
        <v/>
      </c>
      <c r="Z283" s="265" t="str">
        <f t="shared" ca="1" si="109"/>
        <v/>
      </c>
      <c r="AA283" s="266" t="str">
        <f t="shared" ca="1" si="109"/>
        <v/>
      </c>
      <c r="AB283" s="267" t="str">
        <f t="shared" ca="1" si="109"/>
        <v/>
      </c>
      <c r="AC283" s="536" t="s">
        <v>724</v>
      </c>
      <c r="AD283" s="212" t="str">
        <f t="shared" ca="1" si="86"/>
        <v/>
      </c>
    </row>
    <row r="284" spans="1:30" s="45" customFormat="1" ht="22.5" customHeight="1">
      <c r="A284" s="258" t="str">
        <f ca="1">IFERROR(INDEX(凭证录入!H:H,$AD284),"")</f>
        <v/>
      </c>
      <c r="B284" s="259" t="str">
        <f ca="1">IFERROR(INDEX(凭证录入!I:I,$AD284),"")</f>
        <v/>
      </c>
      <c r="C284" s="260" t="str">
        <f ca="1">IFERROR(VLOOKUP($B284,会计科目表!$A:$C,2,),"")</f>
        <v/>
      </c>
      <c r="D284" s="261" t="str">
        <f ca="1">IFERROR(VLOOKUP($B284,会计科目表!$A:$C,3,),"")</f>
        <v/>
      </c>
      <c r="E284" s="262">
        <f ca="1">IFERROR(INDEX(凭证录入!K:K,$AD284),0)</f>
        <v>0</v>
      </c>
      <c r="F284" s="262">
        <f ca="1">IFERROR(INDEX(凭证录入!L:L,$AD284),0)</f>
        <v>0</v>
      </c>
      <c r="G284" s="263" t="str">
        <f t="shared" ca="1" si="108"/>
        <v/>
      </c>
      <c r="H284" s="264" t="str">
        <f t="shared" ca="1" si="108"/>
        <v/>
      </c>
      <c r="I284" s="265" t="str">
        <f t="shared" ca="1" si="108"/>
        <v/>
      </c>
      <c r="J284" s="266" t="str">
        <f t="shared" ca="1" si="108"/>
        <v/>
      </c>
      <c r="K284" s="264" t="str">
        <f t="shared" ca="1" si="108"/>
        <v/>
      </c>
      <c r="L284" s="265" t="str">
        <f t="shared" ca="1" si="108"/>
        <v/>
      </c>
      <c r="M284" s="266" t="str">
        <f t="shared" ca="1" si="108"/>
        <v/>
      </c>
      <c r="N284" s="264" t="str">
        <f t="shared" ca="1" si="108"/>
        <v/>
      </c>
      <c r="O284" s="265" t="str">
        <f t="shared" ca="1" si="108"/>
        <v/>
      </c>
      <c r="P284" s="266" t="str">
        <f t="shared" ca="1" si="108"/>
        <v/>
      </c>
      <c r="Q284" s="267" t="str">
        <f t="shared" ca="1" si="108"/>
        <v/>
      </c>
      <c r="R284" s="268" t="str">
        <f t="shared" ca="1" si="109"/>
        <v/>
      </c>
      <c r="S284" s="264" t="str">
        <f t="shared" ca="1" si="109"/>
        <v/>
      </c>
      <c r="T284" s="269" t="str">
        <f t="shared" ca="1" si="109"/>
        <v/>
      </c>
      <c r="U284" s="268" t="str">
        <f t="shared" ca="1" si="109"/>
        <v/>
      </c>
      <c r="V284" s="264" t="str">
        <f t="shared" ca="1" si="109"/>
        <v/>
      </c>
      <c r="W284" s="265" t="str">
        <f t="shared" ca="1" si="109"/>
        <v/>
      </c>
      <c r="X284" s="266" t="str">
        <f t="shared" ca="1" si="109"/>
        <v/>
      </c>
      <c r="Y284" s="264" t="str">
        <f t="shared" ca="1" si="109"/>
        <v/>
      </c>
      <c r="Z284" s="265" t="str">
        <f t="shared" ca="1" si="109"/>
        <v/>
      </c>
      <c r="AA284" s="266" t="str">
        <f t="shared" ca="1" si="109"/>
        <v/>
      </c>
      <c r="AB284" s="267" t="str">
        <f t="shared" ca="1" si="109"/>
        <v/>
      </c>
      <c r="AC284" s="537"/>
      <c r="AD284" s="212" t="str">
        <f t="shared" ca="1" si="86"/>
        <v/>
      </c>
    </row>
    <row r="285" spans="1:30" s="45" customFormat="1" ht="22.5" customHeight="1">
      <c r="A285" s="258" t="str">
        <f ca="1">IFERROR(INDEX(凭证录入!H:H,$AD285),"")</f>
        <v/>
      </c>
      <c r="B285" s="259" t="str">
        <f ca="1">IFERROR(INDEX(凭证录入!I:I,$AD285),"")</f>
        <v/>
      </c>
      <c r="C285" s="260" t="str">
        <f ca="1">IFERROR(VLOOKUP($B285,会计科目表!$A:$C,2,),"")</f>
        <v/>
      </c>
      <c r="D285" s="261" t="str">
        <f ca="1">IFERROR(VLOOKUP($B285,会计科目表!$A:$C,3,),"")</f>
        <v/>
      </c>
      <c r="E285" s="262">
        <f ca="1">IFERROR(INDEX(凭证录入!K:K,$AD285),0)</f>
        <v>0</v>
      </c>
      <c r="F285" s="262">
        <f ca="1">IFERROR(INDEX(凭证录入!L:L,$AD285),0)</f>
        <v>0</v>
      </c>
      <c r="G285" s="263" t="str">
        <f t="shared" ca="1" si="108"/>
        <v/>
      </c>
      <c r="H285" s="264" t="str">
        <f t="shared" ca="1" si="108"/>
        <v/>
      </c>
      <c r="I285" s="265" t="str">
        <f t="shared" ca="1" si="108"/>
        <v/>
      </c>
      <c r="J285" s="266" t="str">
        <f t="shared" ca="1" si="108"/>
        <v/>
      </c>
      <c r="K285" s="264" t="str">
        <f t="shared" ca="1" si="108"/>
        <v/>
      </c>
      <c r="L285" s="265" t="str">
        <f t="shared" ca="1" si="108"/>
        <v/>
      </c>
      <c r="M285" s="266" t="str">
        <f t="shared" ca="1" si="108"/>
        <v/>
      </c>
      <c r="N285" s="264" t="str">
        <f t="shared" ca="1" si="108"/>
        <v/>
      </c>
      <c r="O285" s="265" t="str">
        <f t="shared" ca="1" si="108"/>
        <v/>
      </c>
      <c r="P285" s="266" t="str">
        <f t="shared" ca="1" si="108"/>
        <v/>
      </c>
      <c r="Q285" s="267" t="str">
        <f t="shared" ca="1" si="108"/>
        <v/>
      </c>
      <c r="R285" s="268" t="str">
        <f t="shared" ca="1" si="109"/>
        <v/>
      </c>
      <c r="S285" s="264" t="str">
        <f t="shared" ca="1" si="109"/>
        <v/>
      </c>
      <c r="T285" s="269" t="str">
        <f t="shared" ca="1" si="109"/>
        <v/>
      </c>
      <c r="U285" s="268" t="str">
        <f t="shared" ca="1" si="109"/>
        <v/>
      </c>
      <c r="V285" s="264" t="str">
        <f t="shared" ca="1" si="109"/>
        <v/>
      </c>
      <c r="W285" s="265" t="str">
        <f t="shared" ca="1" si="109"/>
        <v/>
      </c>
      <c r="X285" s="266" t="str">
        <f t="shared" ca="1" si="109"/>
        <v/>
      </c>
      <c r="Y285" s="264" t="str">
        <f t="shared" ca="1" si="109"/>
        <v/>
      </c>
      <c r="Z285" s="265" t="str">
        <f t="shared" ca="1" si="109"/>
        <v/>
      </c>
      <c r="AA285" s="266" t="str">
        <f t="shared" ca="1" si="109"/>
        <v/>
      </c>
      <c r="AB285" s="267" t="str">
        <f t="shared" ca="1" si="109"/>
        <v/>
      </c>
      <c r="AC285" s="538"/>
      <c r="AD285" s="212" t="str">
        <f t="shared" ca="1" si="86"/>
        <v/>
      </c>
    </row>
    <row r="286" spans="1:30" s="45" customFormat="1" ht="22.5" customHeight="1">
      <c r="A286" s="258" t="str">
        <f ca="1">IFERROR(INDEX(凭证录入!H:H,$AD286),"")</f>
        <v/>
      </c>
      <c r="B286" s="259" t="str">
        <f ca="1">IFERROR(INDEX(凭证录入!I:I,$AD286),"")</f>
        <v/>
      </c>
      <c r="C286" s="260" t="str">
        <f ca="1">IFERROR(VLOOKUP($B286,会计科目表!$A:$C,2,),"")</f>
        <v/>
      </c>
      <c r="D286" s="261" t="str">
        <f ca="1">IFERROR(VLOOKUP($B286,会计科目表!$A:$C,3,),"")</f>
        <v/>
      </c>
      <c r="E286" s="262">
        <f ca="1">IFERROR(INDEX(凭证录入!K:K,$AD286),0)</f>
        <v>0</v>
      </c>
      <c r="F286" s="262">
        <f ca="1">IFERROR(INDEX(凭证录入!L:L,$AD286),0)</f>
        <v>0</v>
      </c>
      <c r="G286" s="263" t="str">
        <f t="shared" ca="1" si="108"/>
        <v/>
      </c>
      <c r="H286" s="264" t="str">
        <f t="shared" ca="1" si="108"/>
        <v/>
      </c>
      <c r="I286" s="265" t="str">
        <f t="shared" ca="1" si="108"/>
        <v/>
      </c>
      <c r="J286" s="266" t="str">
        <f t="shared" ca="1" si="108"/>
        <v/>
      </c>
      <c r="K286" s="264" t="str">
        <f t="shared" ca="1" si="108"/>
        <v/>
      </c>
      <c r="L286" s="265" t="str">
        <f t="shared" ca="1" si="108"/>
        <v/>
      </c>
      <c r="M286" s="266" t="str">
        <f t="shared" ca="1" si="108"/>
        <v/>
      </c>
      <c r="N286" s="264" t="str">
        <f t="shared" ca="1" si="108"/>
        <v/>
      </c>
      <c r="O286" s="265" t="str">
        <f t="shared" ca="1" si="108"/>
        <v/>
      </c>
      <c r="P286" s="266" t="str">
        <f t="shared" ca="1" si="108"/>
        <v/>
      </c>
      <c r="Q286" s="267" t="str">
        <f t="shared" ca="1" si="108"/>
        <v/>
      </c>
      <c r="R286" s="268" t="str">
        <f t="shared" ca="1" si="109"/>
        <v/>
      </c>
      <c r="S286" s="264" t="str">
        <f t="shared" ca="1" si="109"/>
        <v/>
      </c>
      <c r="T286" s="269" t="str">
        <f t="shared" ca="1" si="109"/>
        <v/>
      </c>
      <c r="U286" s="268" t="str">
        <f t="shared" ca="1" si="109"/>
        <v/>
      </c>
      <c r="V286" s="264" t="str">
        <f t="shared" ca="1" si="109"/>
        <v/>
      </c>
      <c r="W286" s="265" t="str">
        <f t="shared" ca="1" si="109"/>
        <v/>
      </c>
      <c r="X286" s="266" t="str">
        <f t="shared" ca="1" si="109"/>
        <v/>
      </c>
      <c r="Y286" s="264" t="str">
        <f t="shared" ca="1" si="109"/>
        <v/>
      </c>
      <c r="Z286" s="265" t="str">
        <f t="shared" ca="1" si="109"/>
        <v/>
      </c>
      <c r="AA286" s="266" t="str">
        <f t="shared" ca="1" si="109"/>
        <v/>
      </c>
      <c r="AB286" s="267" t="str">
        <f t="shared" ca="1" si="109"/>
        <v/>
      </c>
      <c r="AC286" s="538"/>
      <c r="AD286" s="212" t="str">
        <f t="shared" ca="1" si="86"/>
        <v/>
      </c>
    </row>
    <row r="287" spans="1:30" s="45" customFormat="1" ht="22.5" customHeight="1">
      <c r="A287" s="270" t="s">
        <v>725</v>
      </c>
      <c r="B287" s="271"/>
      <c r="C287" s="272" t="str">
        <f t="shared" ref="C287" ca="1" si="110">SUBSTITUTE(SUBSTITUTE(IF(-DOLLAR(E287),IF(E287&gt;0,,"负")&amp;TEXT(INT(ABS(E287)+0.5%),"[dbnum2]G/通用格式元;;")&amp;TEXT(RIGHT(DOLLAR(E287,2),2),"[dbnum2]0角0分;;整"),),"零角",IF(E287^2&lt;1,,"零")),"零分","整")</f>
        <v/>
      </c>
      <c r="D287" s="273"/>
      <c r="E287" s="274">
        <f t="shared" ref="E287:F287" ca="1" si="111">SUM(E281:E286)</f>
        <v>0</v>
      </c>
      <c r="F287" s="275">
        <f t="shared" ca="1" si="111"/>
        <v>0</v>
      </c>
      <c r="G287" s="276" t="str">
        <f t="shared" ca="1" si="108"/>
        <v/>
      </c>
      <c r="H287" s="277" t="str">
        <f t="shared" ca="1" si="108"/>
        <v/>
      </c>
      <c r="I287" s="278" t="str">
        <f t="shared" ca="1" si="108"/>
        <v/>
      </c>
      <c r="J287" s="279" t="str">
        <f t="shared" ca="1" si="108"/>
        <v/>
      </c>
      <c r="K287" s="277" t="str">
        <f t="shared" ca="1" si="108"/>
        <v/>
      </c>
      <c r="L287" s="278" t="str">
        <f t="shared" ca="1" si="108"/>
        <v/>
      </c>
      <c r="M287" s="279" t="str">
        <f t="shared" ca="1" si="108"/>
        <v/>
      </c>
      <c r="N287" s="277" t="str">
        <f t="shared" ca="1" si="108"/>
        <v/>
      </c>
      <c r="O287" s="278" t="str">
        <f t="shared" ca="1" si="108"/>
        <v/>
      </c>
      <c r="P287" s="279" t="str">
        <f t="shared" ca="1" si="108"/>
        <v/>
      </c>
      <c r="Q287" s="280" t="str">
        <f t="shared" ca="1" si="108"/>
        <v/>
      </c>
      <c r="R287" s="281" t="str">
        <f t="shared" ca="1" si="109"/>
        <v/>
      </c>
      <c r="S287" s="277" t="str">
        <f t="shared" ca="1" si="109"/>
        <v/>
      </c>
      <c r="T287" s="282" t="str">
        <f t="shared" ca="1" si="109"/>
        <v/>
      </c>
      <c r="U287" s="281" t="str">
        <f t="shared" ca="1" si="109"/>
        <v/>
      </c>
      <c r="V287" s="277" t="str">
        <f t="shared" ca="1" si="109"/>
        <v/>
      </c>
      <c r="W287" s="278" t="str">
        <f t="shared" ca="1" si="109"/>
        <v/>
      </c>
      <c r="X287" s="279" t="str">
        <f t="shared" ca="1" si="109"/>
        <v/>
      </c>
      <c r="Y287" s="277" t="str">
        <f t="shared" ca="1" si="109"/>
        <v/>
      </c>
      <c r="Z287" s="278" t="str">
        <f t="shared" ca="1" si="109"/>
        <v/>
      </c>
      <c r="AA287" s="279" t="str">
        <f t="shared" ca="1" si="109"/>
        <v/>
      </c>
      <c r="AB287" s="280" t="str">
        <f t="shared" ca="1" si="109"/>
        <v/>
      </c>
      <c r="AC287" s="283"/>
      <c r="AD287" s="212"/>
    </row>
    <row r="288" spans="1:30" s="22" customFormat="1" ht="22.5" customHeight="1">
      <c r="A288" s="284" t="s">
        <v>726</v>
      </c>
      <c r="B288" s="284"/>
      <c r="C288" s="284"/>
      <c r="D288" s="284" t="s">
        <v>727</v>
      </c>
      <c r="E288" s="284"/>
      <c r="F288" s="284"/>
      <c r="G288" s="284"/>
      <c r="H288" s="285"/>
      <c r="I288" s="284"/>
      <c r="J288" s="285"/>
      <c r="K288" s="285"/>
      <c r="L288" s="284"/>
      <c r="M288" s="285"/>
      <c r="N288" s="285"/>
      <c r="O288" s="285"/>
      <c r="P288" s="284"/>
      <c r="Q288" s="284" t="s">
        <v>728</v>
      </c>
      <c r="R288" s="284"/>
      <c r="S288" s="284"/>
      <c r="T288" s="284"/>
      <c r="U288" s="285"/>
      <c r="V288" s="284"/>
      <c r="W288" s="285"/>
      <c r="X288" s="284"/>
      <c r="Y288" s="284"/>
      <c r="Z288" s="285"/>
      <c r="AA288" s="285"/>
      <c r="AB288" s="285"/>
      <c r="AC288" s="286"/>
      <c r="AD288" s="212"/>
    </row>
    <row r="289" spans="1:30" ht="39.75" customHeight="1" thickBot="1">
      <c r="A289" s="226"/>
      <c r="B289" s="226"/>
      <c r="C289" s="227" t="s">
        <v>729</v>
      </c>
      <c r="D289" s="228"/>
      <c r="E289" s="226"/>
      <c r="F289" s="226"/>
      <c r="G289" s="228"/>
      <c r="H289" s="228"/>
      <c r="I289" s="228"/>
      <c r="J289" s="228"/>
      <c r="K289" s="228"/>
      <c r="L289" s="228"/>
      <c r="M289" s="228"/>
      <c r="N289" s="228"/>
      <c r="O289" s="228"/>
      <c r="P289" s="228"/>
      <c r="Q289" s="228"/>
      <c r="R289" s="229" t="s">
        <v>730</v>
      </c>
      <c r="S289" s="230"/>
      <c r="T289" s="230"/>
      <c r="U289" s="231" t="e">
        <f ca="1">DATE(AD$1,AF$1,INDEX(凭证录入!B:B,AD293))</f>
        <v>#VALUE!</v>
      </c>
      <c r="V289" s="232"/>
      <c r="W289" s="232"/>
      <c r="X289" s="232"/>
      <c r="Y289" s="232"/>
      <c r="Z289" s="232"/>
      <c r="AA289" s="232"/>
      <c r="AB289" s="232"/>
      <c r="AD289" s="212"/>
    </row>
    <row r="290" spans="1:30" s="45" customFormat="1" ht="23.25" customHeight="1" thickTop="1">
      <c r="A290" s="235" t="s">
        <v>731</v>
      </c>
      <c r="B290" s="235"/>
      <c r="C290" s="236" t="str">
        <f t="shared" si="97"/>
        <v>远大开发有限公司</v>
      </c>
      <c r="D290" s="236"/>
      <c r="E290" s="236"/>
      <c r="F290" s="236"/>
      <c r="G290" s="236"/>
      <c r="H290" s="236"/>
      <c r="I290" s="236"/>
      <c r="J290" s="236"/>
      <c r="K290" s="236"/>
      <c r="L290" s="236"/>
      <c r="M290" s="236"/>
      <c r="N290" s="236"/>
      <c r="O290" s="236"/>
      <c r="P290" s="236"/>
      <c r="Q290" s="236"/>
      <c r="R290" s="229" t="s">
        <v>732</v>
      </c>
      <c r="S290" s="229"/>
      <c r="T290" s="229"/>
      <c r="U290" s="237" t="str">
        <f t="shared" ref="U290" si="112">"第 "&amp;TEXT($AF$1,"00")&amp;TEXT($AC290,"0000 号")</f>
        <v>第 010025 号</v>
      </c>
      <c r="V290" s="237"/>
      <c r="W290" s="238"/>
      <c r="X290" s="238"/>
      <c r="Y290" s="238"/>
      <c r="Z290" s="238"/>
      <c r="AA290" s="238"/>
      <c r="AB290" s="238"/>
      <c r="AC290" s="239">
        <f t="shared" si="99"/>
        <v>25</v>
      </c>
      <c r="AD290" s="212"/>
    </row>
    <row r="291" spans="1:30" s="45" customFormat="1" ht="22.5" customHeight="1">
      <c r="A291" s="241" t="s">
        <v>733</v>
      </c>
      <c r="B291" s="542" t="s">
        <v>734</v>
      </c>
      <c r="C291" s="242" t="s">
        <v>735</v>
      </c>
      <c r="D291" s="243" t="s">
        <v>736</v>
      </c>
      <c r="E291" s="539" t="s">
        <v>737</v>
      </c>
      <c r="F291" s="539" t="s">
        <v>738</v>
      </c>
      <c r="G291" s="244" t="s">
        <v>739</v>
      </c>
      <c r="H291" s="245"/>
      <c r="I291" s="245"/>
      <c r="J291" s="245"/>
      <c r="K291" s="245"/>
      <c r="L291" s="245"/>
      <c r="M291" s="245"/>
      <c r="N291" s="245"/>
      <c r="O291" s="245"/>
      <c r="P291" s="245"/>
      <c r="Q291" s="246"/>
      <c r="R291" s="247" t="s">
        <v>740</v>
      </c>
      <c r="S291" s="245"/>
      <c r="T291" s="245"/>
      <c r="U291" s="245"/>
      <c r="V291" s="245"/>
      <c r="W291" s="245"/>
      <c r="X291" s="245"/>
      <c r="Y291" s="245"/>
      <c r="Z291" s="245"/>
      <c r="AA291" s="245"/>
      <c r="AB291" s="246"/>
      <c r="AC291" s="541" t="str">
        <f ca="1">"附单据数︵"&amp;INDEX(凭证录入!$D:$D,$AD$17)&amp;"︶张"</f>
        <v>附单据数︵4︶张</v>
      </c>
      <c r="AD291" s="235"/>
    </row>
    <row r="292" spans="1:30" s="45" customFormat="1" ht="22.5" customHeight="1">
      <c r="A292" s="248" t="s">
        <v>741</v>
      </c>
      <c r="B292" s="543"/>
      <c r="C292" s="249" t="s">
        <v>742</v>
      </c>
      <c r="D292" s="250" t="s">
        <v>742</v>
      </c>
      <c r="E292" s="540"/>
      <c r="F292" s="540"/>
      <c r="G292" s="251" t="s">
        <v>743</v>
      </c>
      <c r="H292" s="252" t="s">
        <v>744</v>
      </c>
      <c r="I292" s="253" t="s">
        <v>745</v>
      </c>
      <c r="J292" s="254" t="s">
        <v>746</v>
      </c>
      <c r="K292" s="252" t="s">
        <v>747</v>
      </c>
      <c r="L292" s="253" t="s">
        <v>744</v>
      </c>
      <c r="M292" s="254" t="s">
        <v>745</v>
      </c>
      <c r="N292" s="252" t="s">
        <v>746</v>
      </c>
      <c r="O292" s="253" t="s">
        <v>748</v>
      </c>
      <c r="P292" s="254" t="s">
        <v>749</v>
      </c>
      <c r="Q292" s="255" t="s">
        <v>750</v>
      </c>
      <c r="R292" s="256" t="s">
        <v>743</v>
      </c>
      <c r="S292" s="252" t="s">
        <v>744</v>
      </c>
      <c r="T292" s="257" t="s">
        <v>745</v>
      </c>
      <c r="U292" s="256" t="s">
        <v>746</v>
      </c>
      <c r="V292" s="252" t="s">
        <v>747</v>
      </c>
      <c r="W292" s="253" t="s">
        <v>744</v>
      </c>
      <c r="X292" s="254" t="s">
        <v>745</v>
      </c>
      <c r="Y292" s="252" t="s">
        <v>746</v>
      </c>
      <c r="Z292" s="253" t="s">
        <v>748</v>
      </c>
      <c r="AA292" s="254" t="s">
        <v>749</v>
      </c>
      <c r="AB292" s="255" t="s">
        <v>750</v>
      </c>
      <c r="AC292" s="541"/>
    </row>
    <row r="293" spans="1:30" s="45" customFormat="1" ht="22.5" customHeight="1">
      <c r="A293" s="258" t="str">
        <f ca="1">IFERROR(INDEX(凭证录入!H:H,$AD293),"")</f>
        <v/>
      </c>
      <c r="B293" s="259" t="str">
        <f ca="1">IFERROR(INDEX(凭证录入!I:I,$AD293),"")</f>
        <v/>
      </c>
      <c r="C293" s="260" t="str">
        <f ca="1">IFERROR(VLOOKUP($B293,会计科目表!$A:$C,2,),"")</f>
        <v/>
      </c>
      <c r="D293" s="261" t="str">
        <f ca="1">IFERROR(VLOOKUP($B293,会计科目表!$A:$C,3,),"")</f>
        <v/>
      </c>
      <c r="E293" s="262">
        <f ca="1">IFERROR(INDEX(凭证录入!K:K,$AD293),0)</f>
        <v>0</v>
      </c>
      <c r="F293" s="262">
        <f ca="1">IFERROR(INDEX(凭证录入!L:L,$AD293),0)</f>
        <v>0</v>
      </c>
      <c r="G293" s="263" t="str">
        <f t="shared" ca="1" si="108"/>
        <v/>
      </c>
      <c r="H293" s="264" t="str">
        <f t="shared" ca="1" si="108"/>
        <v/>
      </c>
      <c r="I293" s="265" t="str">
        <f t="shared" ca="1" si="108"/>
        <v/>
      </c>
      <c r="J293" s="266" t="str">
        <f t="shared" ca="1" si="108"/>
        <v/>
      </c>
      <c r="K293" s="264" t="str">
        <f t="shared" ca="1" si="108"/>
        <v/>
      </c>
      <c r="L293" s="265" t="str">
        <f t="shared" ca="1" si="108"/>
        <v/>
      </c>
      <c r="M293" s="266" t="str">
        <f t="shared" ca="1" si="108"/>
        <v/>
      </c>
      <c r="N293" s="264" t="str">
        <f t="shared" ca="1" si="108"/>
        <v/>
      </c>
      <c r="O293" s="265" t="str">
        <f t="shared" ca="1" si="108"/>
        <v/>
      </c>
      <c r="P293" s="266" t="str">
        <f t="shared" ca="1" si="108"/>
        <v/>
      </c>
      <c r="Q293" s="267" t="str">
        <f t="shared" ca="1" si="108"/>
        <v/>
      </c>
      <c r="R293" s="268" t="str">
        <f t="shared" ca="1" si="109"/>
        <v/>
      </c>
      <c r="S293" s="264" t="str">
        <f t="shared" ca="1" si="109"/>
        <v/>
      </c>
      <c r="T293" s="269" t="str">
        <f t="shared" ca="1" si="109"/>
        <v/>
      </c>
      <c r="U293" s="268" t="str">
        <f t="shared" ca="1" si="109"/>
        <v/>
      </c>
      <c r="V293" s="264" t="str">
        <f t="shared" ca="1" si="109"/>
        <v/>
      </c>
      <c r="W293" s="265" t="str">
        <f t="shared" ca="1" si="109"/>
        <v/>
      </c>
      <c r="X293" s="266" t="str">
        <f t="shared" ca="1" si="109"/>
        <v/>
      </c>
      <c r="Y293" s="264" t="str">
        <f t="shared" ca="1" si="109"/>
        <v/>
      </c>
      <c r="Z293" s="265" t="str">
        <f t="shared" ca="1" si="109"/>
        <v/>
      </c>
      <c r="AA293" s="266" t="str">
        <f t="shared" ca="1" si="109"/>
        <v/>
      </c>
      <c r="AB293" s="267" t="str">
        <f t="shared" ca="1" si="109"/>
        <v/>
      </c>
      <c r="AC293" s="541"/>
      <c r="AD293" s="212" t="str">
        <f t="shared" ref="AD293:AD356" ca="1" si="113">IFERROR(INDEX(记账行号,MOD(ROW()-4,12)),"")</f>
        <v/>
      </c>
    </row>
    <row r="294" spans="1:30" s="45" customFormat="1" ht="22.5" customHeight="1">
      <c r="A294" s="258" t="str">
        <f ca="1">IFERROR(INDEX(凭证录入!H:H,$AD294),"")</f>
        <v/>
      </c>
      <c r="B294" s="259" t="str">
        <f ca="1">IFERROR(INDEX(凭证录入!I:I,$AD294),"")</f>
        <v/>
      </c>
      <c r="C294" s="260" t="str">
        <f ca="1">IFERROR(VLOOKUP($B294,会计科目表!$A:$C,2,),"")</f>
        <v/>
      </c>
      <c r="D294" s="261" t="str">
        <f ca="1">IFERROR(VLOOKUP($B294,会计科目表!$A:$C,3,),"")</f>
        <v/>
      </c>
      <c r="E294" s="262">
        <f ca="1">IFERROR(INDEX(凭证录入!K:K,$AD294),0)</f>
        <v>0</v>
      </c>
      <c r="F294" s="262">
        <f ca="1">IFERROR(INDEX(凭证录入!L:L,$AD294),0)</f>
        <v>0</v>
      </c>
      <c r="G294" s="263" t="str">
        <f t="shared" ca="1" si="108"/>
        <v/>
      </c>
      <c r="H294" s="264" t="str">
        <f t="shared" ca="1" si="108"/>
        <v/>
      </c>
      <c r="I294" s="265" t="str">
        <f t="shared" ca="1" si="108"/>
        <v/>
      </c>
      <c r="J294" s="266" t="str">
        <f t="shared" ca="1" si="108"/>
        <v/>
      </c>
      <c r="K294" s="264" t="str">
        <f t="shared" ca="1" si="108"/>
        <v/>
      </c>
      <c r="L294" s="265" t="str">
        <f t="shared" ca="1" si="108"/>
        <v/>
      </c>
      <c r="M294" s="266" t="str">
        <f t="shared" ca="1" si="108"/>
        <v/>
      </c>
      <c r="N294" s="264" t="str">
        <f t="shared" ca="1" si="108"/>
        <v/>
      </c>
      <c r="O294" s="265" t="str">
        <f t="shared" ca="1" si="108"/>
        <v/>
      </c>
      <c r="P294" s="266" t="str">
        <f t="shared" ca="1" si="108"/>
        <v/>
      </c>
      <c r="Q294" s="267" t="str">
        <f t="shared" ca="1" si="108"/>
        <v/>
      </c>
      <c r="R294" s="268" t="str">
        <f t="shared" ca="1" si="109"/>
        <v/>
      </c>
      <c r="S294" s="264" t="str">
        <f t="shared" ca="1" si="109"/>
        <v/>
      </c>
      <c r="T294" s="269" t="str">
        <f t="shared" ca="1" si="109"/>
        <v/>
      </c>
      <c r="U294" s="268" t="str">
        <f t="shared" ca="1" si="109"/>
        <v/>
      </c>
      <c r="V294" s="264" t="str">
        <f t="shared" ca="1" si="109"/>
        <v/>
      </c>
      <c r="W294" s="265" t="str">
        <f t="shared" ca="1" si="109"/>
        <v/>
      </c>
      <c r="X294" s="266" t="str">
        <f t="shared" ca="1" si="109"/>
        <v/>
      </c>
      <c r="Y294" s="264" t="str">
        <f t="shared" ca="1" si="109"/>
        <v/>
      </c>
      <c r="Z294" s="265" t="str">
        <f t="shared" ca="1" si="109"/>
        <v/>
      </c>
      <c r="AA294" s="266" t="str">
        <f t="shared" ca="1" si="109"/>
        <v/>
      </c>
      <c r="AB294" s="267" t="str">
        <f t="shared" ca="1" si="109"/>
        <v/>
      </c>
      <c r="AC294" s="541"/>
      <c r="AD294" s="212" t="str">
        <f t="shared" ca="1" si="113"/>
        <v/>
      </c>
    </row>
    <row r="295" spans="1:30" s="45" customFormat="1" ht="22.5" customHeight="1">
      <c r="A295" s="258" t="str">
        <f ca="1">IFERROR(INDEX(凭证录入!H:H,$AD295),"")</f>
        <v/>
      </c>
      <c r="B295" s="259" t="str">
        <f ca="1">IFERROR(INDEX(凭证录入!I:I,$AD295),"")</f>
        <v/>
      </c>
      <c r="C295" s="260" t="str">
        <f ca="1">IFERROR(VLOOKUP($B295,会计科目表!$A:$C,2,),"")</f>
        <v/>
      </c>
      <c r="D295" s="261" t="str">
        <f ca="1">IFERROR(VLOOKUP($B295,会计科目表!$A:$C,3,),"")</f>
        <v/>
      </c>
      <c r="E295" s="262">
        <f ca="1">IFERROR(INDEX(凭证录入!K:K,$AD295),0)</f>
        <v>0</v>
      </c>
      <c r="F295" s="262">
        <f ca="1">IFERROR(INDEX(凭证录入!L:L,$AD295),0)</f>
        <v>0</v>
      </c>
      <c r="G295" s="263" t="str">
        <f t="shared" ca="1" si="108"/>
        <v/>
      </c>
      <c r="H295" s="264" t="str">
        <f t="shared" ca="1" si="108"/>
        <v/>
      </c>
      <c r="I295" s="265" t="str">
        <f t="shared" ca="1" si="108"/>
        <v/>
      </c>
      <c r="J295" s="266" t="str">
        <f t="shared" ca="1" si="108"/>
        <v/>
      </c>
      <c r="K295" s="264" t="str">
        <f t="shared" ca="1" si="108"/>
        <v/>
      </c>
      <c r="L295" s="265" t="str">
        <f t="shared" ca="1" si="108"/>
        <v/>
      </c>
      <c r="M295" s="266" t="str">
        <f t="shared" ca="1" si="108"/>
        <v/>
      </c>
      <c r="N295" s="264" t="str">
        <f t="shared" ca="1" si="108"/>
        <v/>
      </c>
      <c r="O295" s="265" t="str">
        <f t="shared" ca="1" si="108"/>
        <v/>
      </c>
      <c r="P295" s="266" t="str">
        <f t="shared" ca="1" si="108"/>
        <v/>
      </c>
      <c r="Q295" s="267" t="str">
        <f t="shared" ca="1" si="108"/>
        <v/>
      </c>
      <c r="R295" s="268" t="str">
        <f t="shared" ca="1" si="109"/>
        <v/>
      </c>
      <c r="S295" s="264" t="str">
        <f t="shared" ca="1" si="109"/>
        <v/>
      </c>
      <c r="T295" s="269" t="str">
        <f t="shared" ca="1" si="109"/>
        <v/>
      </c>
      <c r="U295" s="268" t="str">
        <f t="shared" ca="1" si="109"/>
        <v/>
      </c>
      <c r="V295" s="264" t="str">
        <f t="shared" ca="1" si="109"/>
        <v/>
      </c>
      <c r="W295" s="265" t="str">
        <f t="shared" ca="1" si="109"/>
        <v/>
      </c>
      <c r="X295" s="266" t="str">
        <f t="shared" ca="1" si="109"/>
        <v/>
      </c>
      <c r="Y295" s="264" t="str">
        <f t="shared" ca="1" si="109"/>
        <v/>
      </c>
      <c r="Z295" s="265" t="str">
        <f t="shared" ca="1" si="109"/>
        <v/>
      </c>
      <c r="AA295" s="266" t="str">
        <f t="shared" ca="1" si="109"/>
        <v/>
      </c>
      <c r="AB295" s="267" t="str">
        <f t="shared" ca="1" si="109"/>
        <v/>
      </c>
      <c r="AC295" s="536" t="s">
        <v>724</v>
      </c>
      <c r="AD295" s="212" t="str">
        <f t="shared" ca="1" si="113"/>
        <v/>
      </c>
    </row>
    <row r="296" spans="1:30" s="45" customFormat="1" ht="22.5" customHeight="1">
      <c r="A296" s="258" t="str">
        <f ca="1">IFERROR(INDEX(凭证录入!H:H,$AD296),"")</f>
        <v/>
      </c>
      <c r="B296" s="259" t="str">
        <f ca="1">IFERROR(INDEX(凭证录入!I:I,$AD296),"")</f>
        <v/>
      </c>
      <c r="C296" s="260" t="str">
        <f ca="1">IFERROR(VLOOKUP($B296,会计科目表!$A:$C,2,),"")</f>
        <v/>
      </c>
      <c r="D296" s="261" t="str">
        <f ca="1">IFERROR(VLOOKUP($B296,会计科目表!$A:$C,3,),"")</f>
        <v/>
      </c>
      <c r="E296" s="262">
        <f ca="1">IFERROR(INDEX(凭证录入!K:K,$AD296),0)</f>
        <v>0</v>
      </c>
      <c r="F296" s="262">
        <f ca="1">IFERROR(INDEX(凭证录入!L:L,$AD296),0)</f>
        <v>0</v>
      </c>
      <c r="G296" s="263" t="str">
        <f t="shared" ca="1" si="108"/>
        <v/>
      </c>
      <c r="H296" s="264" t="str">
        <f t="shared" ca="1" si="108"/>
        <v/>
      </c>
      <c r="I296" s="265" t="str">
        <f t="shared" ca="1" si="108"/>
        <v/>
      </c>
      <c r="J296" s="266" t="str">
        <f t="shared" ca="1" si="108"/>
        <v/>
      </c>
      <c r="K296" s="264" t="str">
        <f t="shared" ca="1" si="108"/>
        <v/>
      </c>
      <c r="L296" s="265" t="str">
        <f t="shared" ca="1" si="108"/>
        <v/>
      </c>
      <c r="M296" s="266" t="str">
        <f t="shared" ca="1" si="108"/>
        <v/>
      </c>
      <c r="N296" s="264" t="str">
        <f t="shared" ca="1" si="108"/>
        <v/>
      </c>
      <c r="O296" s="265" t="str">
        <f t="shared" ca="1" si="108"/>
        <v/>
      </c>
      <c r="P296" s="266" t="str">
        <f t="shared" ca="1" si="108"/>
        <v/>
      </c>
      <c r="Q296" s="267" t="str">
        <f t="shared" ca="1" si="108"/>
        <v/>
      </c>
      <c r="R296" s="268" t="str">
        <f t="shared" ca="1" si="109"/>
        <v/>
      </c>
      <c r="S296" s="264" t="str">
        <f t="shared" ca="1" si="109"/>
        <v/>
      </c>
      <c r="T296" s="269" t="str">
        <f t="shared" ca="1" si="109"/>
        <v/>
      </c>
      <c r="U296" s="268" t="str">
        <f t="shared" ca="1" si="109"/>
        <v/>
      </c>
      <c r="V296" s="264" t="str">
        <f t="shared" ca="1" si="109"/>
        <v/>
      </c>
      <c r="W296" s="265" t="str">
        <f t="shared" ca="1" si="109"/>
        <v/>
      </c>
      <c r="X296" s="266" t="str">
        <f t="shared" ca="1" si="109"/>
        <v/>
      </c>
      <c r="Y296" s="264" t="str">
        <f t="shared" ca="1" si="109"/>
        <v/>
      </c>
      <c r="Z296" s="265" t="str">
        <f t="shared" ca="1" si="109"/>
        <v/>
      </c>
      <c r="AA296" s="266" t="str">
        <f t="shared" ca="1" si="109"/>
        <v/>
      </c>
      <c r="AB296" s="267" t="str">
        <f t="shared" ca="1" si="109"/>
        <v/>
      </c>
      <c r="AC296" s="537"/>
      <c r="AD296" s="212" t="str">
        <f t="shared" ca="1" si="113"/>
        <v/>
      </c>
    </row>
    <row r="297" spans="1:30" s="45" customFormat="1" ht="22.5" customHeight="1">
      <c r="A297" s="258" t="str">
        <f ca="1">IFERROR(INDEX(凭证录入!H:H,$AD297),"")</f>
        <v/>
      </c>
      <c r="B297" s="259" t="str">
        <f ca="1">IFERROR(INDEX(凭证录入!I:I,$AD297),"")</f>
        <v/>
      </c>
      <c r="C297" s="260" t="str">
        <f ca="1">IFERROR(VLOOKUP($B297,会计科目表!$A:$C,2,),"")</f>
        <v/>
      </c>
      <c r="D297" s="261" t="str">
        <f ca="1">IFERROR(VLOOKUP($B297,会计科目表!$A:$C,3,),"")</f>
        <v/>
      </c>
      <c r="E297" s="262">
        <f ca="1">IFERROR(INDEX(凭证录入!K:K,$AD297),0)</f>
        <v>0</v>
      </c>
      <c r="F297" s="262">
        <f ca="1">IFERROR(INDEX(凭证录入!L:L,$AD297),0)</f>
        <v>0</v>
      </c>
      <c r="G297" s="263" t="str">
        <f t="shared" ca="1" si="108"/>
        <v/>
      </c>
      <c r="H297" s="264" t="str">
        <f t="shared" ca="1" si="108"/>
        <v/>
      </c>
      <c r="I297" s="265" t="str">
        <f t="shared" ca="1" si="108"/>
        <v/>
      </c>
      <c r="J297" s="266" t="str">
        <f t="shared" ca="1" si="108"/>
        <v/>
      </c>
      <c r="K297" s="264" t="str">
        <f t="shared" ca="1" si="108"/>
        <v/>
      </c>
      <c r="L297" s="265" t="str">
        <f t="shared" ca="1" si="108"/>
        <v/>
      </c>
      <c r="M297" s="266" t="str">
        <f t="shared" ca="1" si="108"/>
        <v/>
      </c>
      <c r="N297" s="264" t="str">
        <f t="shared" ca="1" si="108"/>
        <v/>
      </c>
      <c r="O297" s="265" t="str">
        <f t="shared" ca="1" si="108"/>
        <v/>
      </c>
      <c r="P297" s="266" t="str">
        <f t="shared" ca="1" si="108"/>
        <v/>
      </c>
      <c r="Q297" s="267" t="str">
        <f t="shared" ca="1" si="108"/>
        <v/>
      </c>
      <c r="R297" s="268" t="str">
        <f t="shared" ca="1" si="109"/>
        <v/>
      </c>
      <c r="S297" s="264" t="str">
        <f t="shared" ca="1" si="109"/>
        <v/>
      </c>
      <c r="T297" s="269" t="str">
        <f t="shared" ca="1" si="109"/>
        <v/>
      </c>
      <c r="U297" s="268" t="str">
        <f t="shared" ca="1" si="109"/>
        <v/>
      </c>
      <c r="V297" s="264" t="str">
        <f t="shared" ca="1" si="109"/>
        <v/>
      </c>
      <c r="W297" s="265" t="str">
        <f t="shared" ca="1" si="109"/>
        <v/>
      </c>
      <c r="X297" s="266" t="str">
        <f t="shared" ca="1" si="109"/>
        <v/>
      </c>
      <c r="Y297" s="264" t="str">
        <f t="shared" ca="1" si="109"/>
        <v/>
      </c>
      <c r="Z297" s="265" t="str">
        <f t="shared" ca="1" si="109"/>
        <v/>
      </c>
      <c r="AA297" s="266" t="str">
        <f t="shared" ca="1" si="109"/>
        <v/>
      </c>
      <c r="AB297" s="267" t="str">
        <f t="shared" ca="1" si="109"/>
        <v/>
      </c>
      <c r="AC297" s="538"/>
      <c r="AD297" s="212" t="str">
        <f t="shared" ca="1" si="113"/>
        <v/>
      </c>
    </row>
    <row r="298" spans="1:30" s="45" customFormat="1" ht="22.5" customHeight="1">
      <c r="A298" s="258" t="str">
        <f ca="1">IFERROR(INDEX(凭证录入!H:H,$AD298),"")</f>
        <v/>
      </c>
      <c r="B298" s="259" t="str">
        <f ca="1">IFERROR(INDEX(凭证录入!I:I,$AD298),"")</f>
        <v/>
      </c>
      <c r="C298" s="260" t="str">
        <f ca="1">IFERROR(VLOOKUP($B298,会计科目表!$A:$C,2,),"")</f>
        <v/>
      </c>
      <c r="D298" s="261" t="str">
        <f ca="1">IFERROR(VLOOKUP($B298,会计科目表!$A:$C,3,),"")</f>
        <v/>
      </c>
      <c r="E298" s="262">
        <f ca="1">IFERROR(INDEX(凭证录入!K:K,$AD298),0)</f>
        <v>0</v>
      </c>
      <c r="F298" s="262">
        <f ca="1">IFERROR(INDEX(凭证录入!L:L,$AD298),0)</f>
        <v>0</v>
      </c>
      <c r="G298" s="263" t="str">
        <f t="shared" ca="1" si="108"/>
        <v/>
      </c>
      <c r="H298" s="264" t="str">
        <f t="shared" ca="1" si="108"/>
        <v/>
      </c>
      <c r="I298" s="265" t="str">
        <f t="shared" ca="1" si="108"/>
        <v/>
      </c>
      <c r="J298" s="266" t="str">
        <f t="shared" ca="1" si="108"/>
        <v/>
      </c>
      <c r="K298" s="264" t="str">
        <f t="shared" ca="1" si="108"/>
        <v/>
      </c>
      <c r="L298" s="265" t="str">
        <f t="shared" ca="1" si="108"/>
        <v/>
      </c>
      <c r="M298" s="266" t="str">
        <f t="shared" ca="1" si="108"/>
        <v/>
      </c>
      <c r="N298" s="264" t="str">
        <f t="shared" ca="1" si="108"/>
        <v/>
      </c>
      <c r="O298" s="265" t="str">
        <f t="shared" ca="1" si="108"/>
        <v/>
      </c>
      <c r="P298" s="266" t="str">
        <f t="shared" ca="1" si="108"/>
        <v/>
      </c>
      <c r="Q298" s="267" t="str">
        <f t="shared" ca="1" si="108"/>
        <v/>
      </c>
      <c r="R298" s="268" t="str">
        <f t="shared" ca="1" si="109"/>
        <v/>
      </c>
      <c r="S298" s="264" t="str">
        <f t="shared" ca="1" si="109"/>
        <v/>
      </c>
      <c r="T298" s="269" t="str">
        <f t="shared" ca="1" si="109"/>
        <v/>
      </c>
      <c r="U298" s="268" t="str">
        <f t="shared" ca="1" si="109"/>
        <v/>
      </c>
      <c r="V298" s="264" t="str">
        <f t="shared" ca="1" si="109"/>
        <v/>
      </c>
      <c r="W298" s="265" t="str">
        <f t="shared" ca="1" si="109"/>
        <v/>
      </c>
      <c r="X298" s="266" t="str">
        <f t="shared" ca="1" si="109"/>
        <v/>
      </c>
      <c r="Y298" s="264" t="str">
        <f t="shared" ca="1" si="109"/>
        <v/>
      </c>
      <c r="Z298" s="265" t="str">
        <f t="shared" ca="1" si="109"/>
        <v/>
      </c>
      <c r="AA298" s="266" t="str">
        <f t="shared" ca="1" si="109"/>
        <v/>
      </c>
      <c r="AB298" s="267" t="str">
        <f t="shared" ca="1" si="109"/>
        <v/>
      </c>
      <c r="AC298" s="538"/>
      <c r="AD298" s="212" t="str">
        <f t="shared" ca="1" si="113"/>
        <v/>
      </c>
    </row>
    <row r="299" spans="1:30" s="45" customFormat="1" ht="22.5" customHeight="1">
      <c r="A299" s="270" t="s">
        <v>751</v>
      </c>
      <c r="B299" s="271"/>
      <c r="C299" s="272" t="str">
        <f t="shared" ref="C299" ca="1" si="114">SUBSTITUTE(SUBSTITUTE(IF(-DOLLAR(E299),IF(E299&gt;0,,"负")&amp;TEXT(INT(ABS(E299)+0.5%),"[dbnum2]G/通用格式元;;")&amp;TEXT(RIGHT(DOLLAR(E299,2),2),"[dbnum2]0角0分;;整"),),"零角",IF(E299^2&lt;1,,"零")),"零分","整")</f>
        <v/>
      </c>
      <c r="D299" s="273"/>
      <c r="E299" s="274">
        <f t="shared" ref="E299:F299" ca="1" si="115">SUM(E293:E298)</f>
        <v>0</v>
      </c>
      <c r="F299" s="275">
        <f t="shared" ca="1" si="115"/>
        <v>0</v>
      </c>
      <c r="G299" s="276" t="str">
        <f t="shared" ca="1" si="108"/>
        <v/>
      </c>
      <c r="H299" s="277" t="str">
        <f t="shared" ca="1" si="108"/>
        <v/>
      </c>
      <c r="I299" s="278" t="str">
        <f t="shared" ca="1" si="108"/>
        <v/>
      </c>
      <c r="J299" s="279" t="str">
        <f t="shared" ca="1" si="108"/>
        <v/>
      </c>
      <c r="K299" s="277" t="str">
        <f t="shared" ca="1" si="108"/>
        <v/>
      </c>
      <c r="L299" s="278" t="str">
        <f t="shared" ca="1" si="108"/>
        <v/>
      </c>
      <c r="M299" s="279" t="str">
        <f t="shared" ca="1" si="108"/>
        <v/>
      </c>
      <c r="N299" s="277" t="str">
        <f t="shared" ca="1" si="108"/>
        <v/>
      </c>
      <c r="O299" s="278" t="str">
        <f t="shared" ca="1" si="108"/>
        <v/>
      </c>
      <c r="P299" s="279" t="str">
        <f t="shared" ca="1" si="108"/>
        <v/>
      </c>
      <c r="Q299" s="280" t="str">
        <f t="shared" ca="1" si="108"/>
        <v/>
      </c>
      <c r="R299" s="281" t="str">
        <f t="shared" ca="1" si="109"/>
        <v/>
      </c>
      <c r="S299" s="277" t="str">
        <f t="shared" ca="1" si="109"/>
        <v/>
      </c>
      <c r="T299" s="282" t="str">
        <f t="shared" ca="1" si="109"/>
        <v/>
      </c>
      <c r="U299" s="281" t="str">
        <f t="shared" ca="1" si="109"/>
        <v/>
      </c>
      <c r="V299" s="277" t="str">
        <f t="shared" ca="1" si="109"/>
        <v/>
      </c>
      <c r="W299" s="278" t="str">
        <f t="shared" ca="1" si="109"/>
        <v/>
      </c>
      <c r="X299" s="279" t="str">
        <f t="shared" ca="1" si="109"/>
        <v/>
      </c>
      <c r="Y299" s="277" t="str">
        <f t="shared" ca="1" si="109"/>
        <v/>
      </c>
      <c r="Z299" s="278" t="str">
        <f t="shared" ca="1" si="109"/>
        <v/>
      </c>
      <c r="AA299" s="279" t="str">
        <f t="shared" ca="1" si="109"/>
        <v/>
      </c>
      <c r="AB299" s="280" t="str">
        <f t="shared" ca="1" si="109"/>
        <v/>
      </c>
      <c r="AC299" s="283"/>
      <c r="AD299" s="212"/>
    </row>
    <row r="300" spans="1:30" s="22" customFormat="1" ht="22.5" customHeight="1">
      <c r="A300" s="284" t="s">
        <v>752</v>
      </c>
      <c r="B300" s="284"/>
      <c r="C300" s="284"/>
      <c r="D300" s="284" t="s">
        <v>753</v>
      </c>
      <c r="E300" s="284"/>
      <c r="F300" s="284"/>
      <c r="G300" s="284"/>
      <c r="H300" s="285"/>
      <c r="I300" s="284"/>
      <c r="J300" s="285"/>
      <c r="K300" s="285"/>
      <c r="L300" s="284"/>
      <c r="M300" s="285"/>
      <c r="N300" s="285"/>
      <c r="O300" s="285"/>
      <c r="P300" s="284"/>
      <c r="Q300" s="284" t="s">
        <v>754</v>
      </c>
      <c r="R300" s="284"/>
      <c r="S300" s="284"/>
      <c r="T300" s="284"/>
      <c r="U300" s="285"/>
      <c r="V300" s="284"/>
      <c r="W300" s="285"/>
      <c r="X300" s="284"/>
      <c r="Y300" s="284"/>
      <c r="Z300" s="285"/>
      <c r="AA300" s="285"/>
      <c r="AB300" s="285"/>
      <c r="AC300" s="286"/>
      <c r="AD300" s="212"/>
    </row>
    <row r="301" spans="1:30" ht="39.75" customHeight="1" thickBot="1">
      <c r="A301" s="226"/>
      <c r="B301" s="226"/>
      <c r="C301" s="227" t="s">
        <v>755</v>
      </c>
      <c r="D301" s="228"/>
      <c r="E301" s="226"/>
      <c r="F301" s="226"/>
      <c r="G301" s="228"/>
      <c r="H301" s="228"/>
      <c r="I301" s="228"/>
      <c r="J301" s="228"/>
      <c r="K301" s="228"/>
      <c r="L301" s="228"/>
      <c r="M301" s="228"/>
      <c r="N301" s="228"/>
      <c r="O301" s="228"/>
      <c r="P301" s="228"/>
      <c r="Q301" s="228"/>
      <c r="R301" s="229" t="s">
        <v>756</v>
      </c>
      <c r="S301" s="230"/>
      <c r="T301" s="230"/>
      <c r="U301" s="231" t="e">
        <f ca="1">DATE(AD$1,AF$1,INDEX(凭证录入!B:B,AD305))</f>
        <v>#VALUE!</v>
      </c>
      <c r="V301" s="232"/>
      <c r="W301" s="232"/>
      <c r="X301" s="232"/>
      <c r="Y301" s="232"/>
      <c r="Z301" s="232"/>
      <c r="AA301" s="232"/>
      <c r="AB301" s="232"/>
      <c r="AD301" s="212"/>
    </row>
    <row r="302" spans="1:30" s="45" customFormat="1" ht="23.25" customHeight="1" thickTop="1">
      <c r="A302" s="235" t="s">
        <v>757</v>
      </c>
      <c r="B302" s="235"/>
      <c r="C302" s="236" t="str">
        <f t="shared" si="97"/>
        <v>远大开发有限公司</v>
      </c>
      <c r="D302" s="236"/>
      <c r="E302" s="236"/>
      <c r="F302" s="236"/>
      <c r="G302" s="236"/>
      <c r="H302" s="236"/>
      <c r="I302" s="236"/>
      <c r="J302" s="236"/>
      <c r="K302" s="236"/>
      <c r="L302" s="236"/>
      <c r="M302" s="236"/>
      <c r="N302" s="236"/>
      <c r="O302" s="236"/>
      <c r="P302" s="236"/>
      <c r="Q302" s="236"/>
      <c r="R302" s="229" t="s">
        <v>758</v>
      </c>
      <c r="S302" s="229"/>
      <c r="T302" s="229"/>
      <c r="U302" s="237" t="str">
        <f t="shared" ref="U302" si="116">"第 "&amp;TEXT($AF$1,"00")&amp;TEXT($AC302,"0000 号")</f>
        <v>第 010026 号</v>
      </c>
      <c r="V302" s="237"/>
      <c r="W302" s="238"/>
      <c r="X302" s="238"/>
      <c r="Y302" s="238"/>
      <c r="Z302" s="238"/>
      <c r="AA302" s="238"/>
      <c r="AB302" s="238"/>
      <c r="AC302" s="239">
        <f t="shared" si="99"/>
        <v>26</v>
      </c>
      <c r="AD302" s="212"/>
    </row>
    <row r="303" spans="1:30" s="45" customFormat="1" ht="22.5" customHeight="1">
      <c r="A303" s="241" t="s">
        <v>759</v>
      </c>
      <c r="B303" s="542" t="s">
        <v>760</v>
      </c>
      <c r="C303" s="242" t="s">
        <v>761</v>
      </c>
      <c r="D303" s="243" t="s">
        <v>762</v>
      </c>
      <c r="E303" s="539" t="s">
        <v>763</v>
      </c>
      <c r="F303" s="539" t="s">
        <v>764</v>
      </c>
      <c r="G303" s="244" t="s">
        <v>765</v>
      </c>
      <c r="H303" s="245"/>
      <c r="I303" s="245"/>
      <c r="J303" s="245"/>
      <c r="K303" s="245"/>
      <c r="L303" s="245"/>
      <c r="M303" s="245"/>
      <c r="N303" s="245"/>
      <c r="O303" s="245"/>
      <c r="P303" s="245"/>
      <c r="Q303" s="246"/>
      <c r="R303" s="247" t="s">
        <v>766</v>
      </c>
      <c r="S303" s="245"/>
      <c r="T303" s="245"/>
      <c r="U303" s="245"/>
      <c r="V303" s="245"/>
      <c r="W303" s="245"/>
      <c r="X303" s="245"/>
      <c r="Y303" s="245"/>
      <c r="Z303" s="245"/>
      <c r="AA303" s="245"/>
      <c r="AB303" s="246"/>
      <c r="AC303" s="541" t="str">
        <f ca="1">"附单据数︵"&amp;INDEX(凭证录入!$D:$D,$AD$17)&amp;"︶张"</f>
        <v>附单据数︵4︶张</v>
      </c>
      <c r="AD303" s="235"/>
    </row>
    <row r="304" spans="1:30" s="45" customFormat="1" ht="22.5" customHeight="1">
      <c r="A304" s="248" t="s">
        <v>767</v>
      </c>
      <c r="B304" s="543"/>
      <c r="C304" s="249" t="s">
        <v>768</v>
      </c>
      <c r="D304" s="250" t="s">
        <v>768</v>
      </c>
      <c r="E304" s="540"/>
      <c r="F304" s="540"/>
      <c r="G304" s="251" t="s">
        <v>769</v>
      </c>
      <c r="H304" s="252" t="s">
        <v>770</v>
      </c>
      <c r="I304" s="253" t="s">
        <v>771</v>
      </c>
      <c r="J304" s="254" t="s">
        <v>772</v>
      </c>
      <c r="K304" s="252" t="s">
        <v>773</v>
      </c>
      <c r="L304" s="253" t="s">
        <v>770</v>
      </c>
      <c r="M304" s="254" t="s">
        <v>771</v>
      </c>
      <c r="N304" s="252" t="s">
        <v>772</v>
      </c>
      <c r="O304" s="253" t="s">
        <v>774</v>
      </c>
      <c r="P304" s="254" t="s">
        <v>775</v>
      </c>
      <c r="Q304" s="255" t="s">
        <v>776</v>
      </c>
      <c r="R304" s="256" t="s">
        <v>769</v>
      </c>
      <c r="S304" s="252" t="s">
        <v>770</v>
      </c>
      <c r="T304" s="257" t="s">
        <v>771</v>
      </c>
      <c r="U304" s="256" t="s">
        <v>772</v>
      </c>
      <c r="V304" s="252" t="s">
        <v>773</v>
      </c>
      <c r="W304" s="253" t="s">
        <v>770</v>
      </c>
      <c r="X304" s="254" t="s">
        <v>771</v>
      </c>
      <c r="Y304" s="252" t="s">
        <v>772</v>
      </c>
      <c r="Z304" s="253" t="s">
        <v>774</v>
      </c>
      <c r="AA304" s="254" t="s">
        <v>775</v>
      </c>
      <c r="AB304" s="255" t="s">
        <v>776</v>
      </c>
      <c r="AC304" s="541"/>
    </row>
    <row r="305" spans="1:30" s="45" customFormat="1" ht="22.5" customHeight="1">
      <c r="A305" s="258" t="str">
        <f ca="1">IFERROR(INDEX(凭证录入!H:H,$AD305),"")</f>
        <v/>
      </c>
      <c r="B305" s="259" t="str">
        <f ca="1">IFERROR(INDEX(凭证录入!I:I,$AD305),"")</f>
        <v/>
      </c>
      <c r="C305" s="260" t="str">
        <f ca="1">IFERROR(VLOOKUP($B305,会计科目表!$A:$C,2,),"")</f>
        <v/>
      </c>
      <c r="D305" s="261" t="str">
        <f ca="1">IFERROR(VLOOKUP($B305,会计科目表!$A:$C,3,),"")</f>
        <v/>
      </c>
      <c r="E305" s="262">
        <f ca="1">IFERROR(INDEX(凭证录入!K:K,$AD305),0)</f>
        <v>0</v>
      </c>
      <c r="F305" s="262">
        <f ca="1">IFERROR(INDEX(凭证录入!L:L,$AD305),0)</f>
        <v>0</v>
      </c>
      <c r="G305" s="263" t="str">
        <f t="shared" ca="1" si="108"/>
        <v/>
      </c>
      <c r="H305" s="264" t="str">
        <f t="shared" ca="1" si="108"/>
        <v/>
      </c>
      <c r="I305" s="265" t="str">
        <f t="shared" ca="1" si="108"/>
        <v/>
      </c>
      <c r="J305" s="266" t="str">
        <f t="shared" ca="1" si="108"/>
        <v/>
      </c>
      <c r="K305" s="264" t="str">
        <f t="shared" ca="1" si="108"/>
        <v/>
      </c>
      <c r="L305" s="265" t="str">
        <f t="shared" ca="1" si="108"/>
        <v/>
      </c>
      <c r="M305" s="266" t="str">
        <f t="shared" ca="1" si="108"/>
        <v/>
      </c>
      <c r="N305" s="264" t="str">
        <f t="shared" ca="1" si="108"/>
        <v/>
      </c>
      <c r="O305" s="265" t="str">
        <f t="shared" ca="1" si="108"/>
        <v/>
      </c>
      <c r="P305" s="266" t="str">
        <f t="shared" ca="1" si="108"/>
        <v/>
      </c>
      <c r="Q305" s="267" t="str">
        <f t="shared" ca="1" si="108"/>
        <v/>
      </c>
      <c r="R305" s="268" t="str">
        <f t="shared" ca="1" si="109"/>
        <v/>
      </c>
      <c r="S305" s="264" t="str">
        <f t="shared" ca="1" si="109"/>
        <v/>
      </c>
      <c r="T305" s="269" t="str">
        <f t="shared" ca="1" si="109"/>
        <v/>
      </c>
      <c r="U305" s="268" t="str">
        <f t="shared" ca="1" si="109"/>
        <v/>
      </c>
      <c r="V305" s="264" t="str">
        <f t="shared" ca="1" si="109"/>
        <v/>
      </c>
      <c r="W305" s="265" t="str">
        <f t="shared" ca="1" si="109"/>
        <v/>
      </c>
      <c r="X305" s="266" t="str">
        <f t="shared" ca="1" si="109"/>
        <v/>
      </c>
      <c r="Y305" s="264" t="str">
        <f t="shared" ca="1" si="109"/>
        <v/>
      </c>
      <c r="Z305" s="265" t="str">
        <f t="shared" ca="1" si="109"/>
        <v/>
      </c>
      <c r="AA305" s="266" t="str">
        <f t="shared" ca="1" si="109"/>
        <v/>
      </c>
      <c r="AB305" s="267" t="str">
        <f t="shared" ca="1" si="109"/>
        <v/>
      </c>
      <c r="AC305" s="541"/>
      <c r="AD305" s="212" t="str">
        <f t="shared" ca="1" si="113"/>
        <v/>
      </c>
    </row>
    <row r="306" spans="1:30" s="45" customFormat="1" ht="22.5" customHeight="1">
      <c r="A306" s="258" t="str">
        <f ca="1">IFERROR(INDEX(凭证录入!H:H,$AD306),"")</f>
        <v/>
      </c>
      <c r="B306" s="259" t="str">
        <f ca="1">IFERROR(INDEX(凭证录入!I:I,$AD306),"")</f>
        <v/>
      </c>
      <c r="C306" s="260" t="str">
        <f ca="1">IFERROR(VLOOKUP($B306,会计科目表!$A:$C,2,),"")</f>
        <v/>
      </c>
      <c r="D306" s="261" t="str">
        <f ca="1">IFERROR(VLOOKUP($B306,会计科目表!$A:$C,3,),"")</f>
        <v/>
      </c>
      <c r="E306" s="262">
        <f ca="1">IFERROR(INDEX(凭证录入!K:K,$AD306),0)</f>
        <v>0</v>
      </c>
      <c r="F306" s="262">
        <f ca="1">IFERROR(INDEX(凭证录入!L:L,$AD306),0)</f>
        <v>0</v>
      </c>
      <c r="G306" s="263" t="str">
        <f t="shared" ca="1" si="108"/>
        <v/>
      </c>
      <c r="H306" s="264" t="str">
        <f t="shared" ca="1" si="108"/>
        <v/>
      </c>
      <c r="I306" s="265" t="str">
        <f t="shared" ca="1" si="108"/>
        <v/>
      </c>
      <c r="J306" s="266" t="str">
        <f t="shared" ca="1" si="108"/>
        <v/>
      </c>
      <c r="K306" s="264" t="str">
        <f t="shared" ca="1" si="108"/>
        <v/>
      </c>
      <c r="L306" s="265" t="str">
        <f t="shared" ca="1" si="108"/>
        <v/>
      </c>
      <c r="M306" s="266" t="str">
        <f t="shared" ca="1" si="108"/>
        <v/>
      </c>
      <c r="N306" s="264" t="str">
        <f t="shared" ca="1" si="108"/>
        <v/>
      </c>
      <c r="O306" s="265" t="str">
        <f t="shared" ca="1" si="108"/>
        <v/>
      </c>
      <c r="P306" s="266" t="str">
        <f t="shared" ca="1" si="108"/>
        <v/>
      </c>
      <c r="Q306" s="267" t="str">
        <f t="shared" ca="1" si="108"/>
        <v/>
      </c>
      <c r="R306" s="268" t="str">
        <f t="shared" ca="1" si="109"/>
        <v/>
      </c>
      <c r="S306" s="264" t="str">
        <f t="shared" ca="1" si="109"/>
        <v/>
      </c>
      <c r="T306" s="269" t="str">
        <f t="shared" ca="1" si="109"/>
        <v/>
      </c>
      <c r="U306" s="268" t="str">
        <f t="shared" ca="1" si="109"/>
        <v/>
      </c>
      <c r="V306" s="264" t="str">
        <f t="shared" ca="1" si="109"/>
        <v/>
      </c>
      <c r="W306" s="265" t="str">
        <f t="shared" ca="1" si="109"/>
        <v/>
      </c>
      <c r="X306" s="266" t="str">
        <f t="shared" ca="1" si="109"/>
        <v/>
      </c>
      <c r="Y306" s="264" t="str">
        <f t="shared" ca="1" si="109"/>
        <v/>
      </c>
      <c r="Z306" s="265" t="str">
        <f t="shared" ca="1" si="109"/>
        <v/>
      </c>
      <c r="AA306" s="266" t="str">
        <f t="shared" ca="1" si="109"/>
        <v/>
      </c>
      <c r="AB306" s="267" t="str">
        <f t="shared" ca="1" si="109"/>
        <v/>
      </c>
      <c r="AC306" s="541"/>
      <c r="AD306" s="212" t="str">
        <f t="shared" ca="1" si="113"/>
        <v/>
      </c>
    </row>
    <row r="307" spans="1:30" s="45" customFormat="1" ht="22.5" customHeight="1">
      <c r="A307" s="258" t="str">
        <f ca="1">IFERROR(INDEX(凭证录入!H:H,$AD307),"")</f>
        <v/>
      </c>
      <c r="B307" s="259" t="str">
        <f ca="1">IFERROR(INDEX(凭证录入!I:I,$AD307),"")</f>
        <v/>
      </c>
      <c r="C307" s="260" t="str">
        <f ca="1">IFERROR(VLOOKUP($B307,会计科目表!$A:$C,2,),"")</f>
        <v/>
      </c>
      <c r="D307" s="261" t="str">
        <f ca="1">IFERROR(VLOOKUP($B307,会计科目表!$A:$C,3,),"")</f>
        <v/>
      </c>
      <c r="E307" s="262">
        <f ca="1">IFERROR(INDEX(凭证录入!K:K,$AD307),0)</f>
        <v>0</v>
      </c>
      <c r="F307" s="262">
        <f ca="1">IFERROR(INDEX(凭证录入!L:L,$AD307),0)</f>
        <v>0</v>
      </c>
      <c r="G307" s="263" t="str">
        <f t="shared" ca="1" si="108"/>
        <v/>
      </c>
      <c r="H307" s="264" t="str">
        <f t="shared" ca="1" si="108"/>
        <v/>
      </c>
      <c r="I307" s="265" t="str">
        <f t="shared" ca="1" si="108"/>
        <v/>
      </c>
      <c r="J307" s="266" t="str">
        <f t="shared" ca="1" si="108"/>
        <v/>
      </c>
      <c r="K307" s="264" t="str">
        <f t="shared" ca="1" si="108"/>
        <v/>
      </c>
      <c r="L307" s="265" t="str">
        <f t="shared" ca="1" si="108"/>
        <v/>
      </c>
      <c r="M307" s="266" t="str">
        <f t="shared" ca="1" si="108"/>
        <v/>
      </c>
      <c r="N307" s="264" t="str">
        <f t="shared" ca="1" si="108"/>
        <v/>
      </c>
      <c r="O307" s="265" t="str">
        <f t="shared" ca="1" si="108"/>
        <v/>
      </c>
      <c r="P307" s="266" t="str">
        <f t="shared" ca="1" si="108"/>
        <v/>
      </c>
      <c r="Q307" s="267" t="str">
        <f t="shared" ca="1" si="108"/>
        <v/>
      </c>
      <c r="R307" s="268" t="str">
        <f t="shared" ca="1" si="109"/>
        <v/>
      </c>
      <c r="S307" s="264" t="str">
        <f t="shared" ca="1" si="109"/>
        <v/>
      </c>
      <c r="T307" s="269" t="str">
        <f t="shared" ca="1" si="109"/>
        <v/>
      </c>
      <c r="U307" s="268" t="str">
        <f t="shared" ca="1" si="109"/>
        <v/>
      </c>
      <c r="V307" s="264" t="str">
        <f t="shared" ca="1" si="109"/>
        <v/>
      </c>
      <c r="W307" s="265" t="str">
        <f t="shared" ca="1" si="109"/>
        <v/>
      </c>
      <c r="X307" s="266" t="str">
        <f t="shared" ca="1" si="109"/>
        <v/>
      </c>
      <c r="Y307" s="264" t="str">
        <f t="shared" ca="1" si="109"/>
        <v/>
      </c>
      <c r="Z307" s="265" t="str">
        <f t="shared" ca="1" si="109"/>
        <v/>
      </c>
      <c r="AA307" s="266" t="str">
        <f t="shared" ca="1" si="109"/>
        <v/>
      </c>
      <c r="AB307" s="267" t="str">
        <f t="shared" ca="1" si="109"/>
        <v/>
      </c>
      <c r="AC307" s="536" t="s">
        <v>724</v>
      </c>
      <c r="AD307" s="212" t="str">
        <f t="shared" ca="1" si="113"/>
        <v/>
      </c>
    </row>
    <row r="308" spans="1:30" s="45" customFormat="1" ht="22.5" customHeight="1">
      <c r="A308" s="258" t="str">
        <f ca="1">IFERROR(INDEX(凭证录入!H:H,$AD308),"")</f>
        <v/>
      </c>
      <c r="B308" s="259" t="str">
        <f ca="1">IFERROR(INDEX(凭证录入!I:I,$AD308),"")</f>
        <v/>
      </c>
      <c r="C308" s="260" t="str">
        <f ca="1">IFERROR(VLOOKUP($B308,会计科目表!$A:$C,2,),"")</f>
        <v/>
      </c>
      <c r="D308" s="261" t="str">
        <f ca="1">IFERROR(VLOOKUP($B308,会计科目表!$A:$C,3,),"")</f>
        <v/>
      </c>
      <c r="E308" s="262">
        <f ca="1">IFERROR(INDEX(凭证录入!K:K,$AD308),0)</f>
        <v>0</v>
      </c>
      <c r="F308" s="262">
        <f ca="1">IFERROR(INDEX(凭证录入!L:L,$AD308),0)</f>
        <v>0</v>
      </c>
      <c r="G308" s="263" t="str">
        <f t="shared" ca="1" si="108"/>
        <v/>
      </c>
      <c r="H308" s="264" t="str">
        <f t="shared" ca="1" si="108"/>
        <v/>
      </c>
      <c r="I308" s="265" t="str">
        <f t="shared" ca="1" si="108"/>
        <v/>
      </c>
      <c r="J308" s="266" t="str">
        <f t="shared" ca="1" si="108"/>
        <v/>
      </c>
      <c r="K308" s="264" t="str">
        <f t="shared" ca="1" si="108"/>
        <v/>
      </c>
      <c r="L308" s="265" t="str">
        <f t="shared" ca="1" si="108"/>
        <v/>
      </c>
      <c r="M308" s="266" t="str">
        <f t="shared" ca="1" si="108"/>
        <v/>
      </c>
      <c r="N308" s="264" t="str">
        <f t="shared" ca="1" si="108"/>
        <v/>
      </c>
      <c r="O308" s="265" t="str">
        <f t="shared" ca="1" si="108"/>
        <v/>
      </c>
      <c r="P308" s="266" t="str">
        <f t="shared" ca="1" si="108"/>
        <v/>
      </c>
      <c r="Q308" s="267" t="str">
        <f t="shared" ca="1" si="108"/>
        <v/>
      </c>
      <c r="R308" s="268" t="str">
        <f t="shared" ca="1" si="109"/>
        <v/>
      </c>
      <c r="S308" s="264" t="str">
        <f t="shared" ca="1" si="109"/>
        <v/>
      </c>
      <c r="T308" s="269" t="str">
        <f t="shared" ca="1" si="109"/>
        <v/>
      </c>
      <c r="U308" s="268" t="str">
        <f t="shared" ca="1" si="109"/>
        <v/>
      </c>
      <c r="V308" s="264" t="str">
        <f t="shared" ca="1" si="109"/>
        <v/>
      </c>
      <c r="W308" s="265" t="str">
        <f t="shared" ca="1" si="109"/>
        <v/>
      </c>
      <c r="X308" s="266" t="str">
        <f t="shared" ca="1" si="109"/>
        <v/>
      </c>
      <c r="Y308" s="264" t="str">
        <f t="shared" ca="1" si="109"/>
        <v/>
      </c>
      <c r="Z308" s="265" t="str">
        <f t="shared" ca="1" si="109"/>
        <v/>
      </c>
      <c r="AA308" s="266" t="str">
        <f t="shared" ca="1" si="109"/>
        <v/>
      </c>
      <c r="AB308" s="267" t="str">
        <f t="shared" ca="1" si="109"/>
        <v/>
      </c>
      <c r="AC308" s="537"/>
      <c r="AD308" s="212" t="str">
        <f t="shared" ca="1" si="113"/>
        <v/>
      </c>
    </row>
    <row r="309" spans="1:30" s="45" customFormat="1" ht="22.5" customHeight="1">
      <c r="A309" s="258" t="str">
        <f ca="1">IFERROR(INDEX(凭证录入!H:H,$AD309),"")</f>
        <v/>
      </c>
      <c r="B309" s="259" t="str">
        <f ca="1">IFERROR(INDEX(凭证录入!I:I,$AD309),"")</f>
        <v/>
      </c>
      <c r="C309" s="260" t="str">
        <f ca="1">IFERROR(VLOOKUP($B309,会计科目表!$A:$C,2,),"")</f>
        <v/>
      </c>
      <c r="D309" s="261" t="str">
        <f ca="1">IFERROR(VLOOKUP($B309,会计科目表!$A:$C,3,),"")</f>
        <v/>
      </c>
      <c r="E309" s="262">
        <f ca="1">IFERROR(INDEX(凭证录入!K:K,$AD309),0)</f>
        <v>0</v>
      </c>
      <c r="F309" s="262">
        <f ca="1">IFERROR(INDEX(凭证录入!L:L,$AD309),0)</f>
        <v>0</v>
      </c>
      <c r="G309" s="263" t="str">
        <f t="shared" ca="1" si="108"/>
        <v/>
      </c>
      <c r="H309" s="264" t="str">
        <f t="shared" ca="1" si="108"/>
        <v/>
      </c>
      <c r="I309" s="265" t="str">
        <f t="shared" ca="1" si="108"/>
        <v/>
      </c>
      <c r="J309" s="266" t="str">
        <f t="shared" ca="1" si="108"/>
        <v/>
      </c>
      <c r="K309" s="264" t="str">
        <f t="shared" ca="1" si="108"/>
        <v/>
      </c>
      <c r="L309" s="265" t="str">
        <f t="shared" ca="1" si="108"/>
        <v/>
      </c>
      <c r="M309" s="266" t="str">
        <f t="shared" ca="1" si="108"/>
        <v/>
      </c>
      <c r="N309" s="264" t="str">
        <f t="shared" ca="1" si="108"/>
        <v/>
      </c>
      <c r="O309" s="265" t="str">
        <f t="shared" ca="1" si="108"/>
        <v/>
      </c>
      <c r="P309" s="266" t="str">
        <f t="shared" ca="1" si="108"/>
        <v/>
      </c>
      <c r="Q309" s="267" t="str">
        <f t="shared" ca="1" si="108"/>
        <v/>
      </c>
      <c r="R309" s="268" t="str">
        <f t="shared" ca="1" si="109"/>
        <v/>
      </c>
      <c r="S309" s="264" t="str">
        <f t="shared" ca="1" si="109"/>
        <v/>
      </c>
      <c r="T309" s="269" t="str">
        <f t="shared" ca="1" si="109"/>
        <v/>
      </c>
      <c r="U309" s="268" t="str">
        <f t="shared" ca="1" si="109"/>
        <v/>
      </c>
      <c r="V309" s="264" t="str">
        <f t="shared" ca="1" si="109"/>
        <v/>
      </c>
      <c r="W309" s="265" t="str">
        <f t="shared" ca="1" si="109"/>
        <v/>
      </c>
      <c r="X309" s="266" t="str">
        <f t="shared" ca="1" si="109"/>
        <v/>
      </c>
      <c r="Y309" s="264" t="str">
        <f t="shared" ca="1" si="109"/>
        <v/>
      </c>
      <c r="Z309" s="265" t="str">
        <f t="shared" ca="1" si="109"/>
        <v/>
      </c>
      <c r="AA309" s="266" t="str">
        <f t="shared" ca="1" si="109"/>
        <v/>
      </c>
      <c r="AB309" s="267" t="str">
        <f t="shared" ca="1" si="109"/>
        <v/>
      </c>
      <c r="AC309" s="538"/>
      <c r="AD309" s="212" t="str">
        <f t="shared" ca="1" si="113"/>
        <v/>
      </c>
    </row>
    <row r="310" spans="1:30" s="45" customFormat="1" ht="22.5" customHeight="1">
      <c r="A310" s="258" t="str">
        <f ca="1">IFERROR(INDEX(凭证录入!H:H,$AD310),"")</f>
        <v/>
      </c>
      <c r="B310" s="259" t="str">
        <f ca="1">IFERROR(INDEX(凭证录入!I:I,$AD310),"")</f>
        <v/>
      </c>
      <c r="C310" s="260" t="str">
        <f ca="1">IFERROR(VLOOKUP($B310,会计科目表!$A:$C,2,),"")</f>
        <v/>
      </c>
      <c r="D310" s="261" t="str">
        <f ca="1">IFERROR(VLOOKUP($B310,会计科目表!$A:$C,3,),"")</f>
        <v/>
      </c>
      <c r="E310" s="262">
        <f ca="1">IFERROR(INDEX(凭证录入!K:K,$AD310),0)</f>
        <v>0</v>
      </c>
      <c r="F310" s="262">
        <f ca="1">IFERROR(INDEX(凭证录入!L:L,$AD310),0)</f>
        <v>0</v>
      </c>
      <c r="G310" s="263" t="str">
        <f t="shared" ca="1" si="108"/>
        <v/>
      </c>
      <c r="H310" s="264" t="str">
        <f t="shared" ca="1" si="108"/>
        <v/>
      </c>
      <c r="I310" s="265" t="str">
        <f t="shared" ca="1" si="108"/>
        <v/>
      </c>
      <c r="J310" s="266" t="str">
        <f t="shared" ca="1" si="108"/>
        <v/>
      </c>
      <c r="K310" s="264" t="str">
        <f t="shared" ca="1" si="108"/>
        <v/>
      </c>
      <c r="L310" s="265" t="str">
        <f t="shared" ca="1" si="108"/>
        <v/>
      </c>
      <c r="M310" s="266" t="str">
        <f t="shared" ca="1" si="108"/>
        <v/>
      </c>
      <c r="N310" s="264" t="str">
        <f t="shared" ca="1" si="108"/>
        <v/>
      </c>
      <c r="O310" s="265" t="str">
        <f t="shared" ca="1" si="108"/>
        <v/>
      </c>
      <c r="P310" s="266" t="str">
        <f t="shared" ca="1" si="108"/>
        <v/>
      </c>
      <c r="Q310" s="267" t="str">
        <f t="shared" ca="1" si="108"/>
        <v/>
      </c>
      <c r="R310" s="268" t="str">
        <f t="shared" ca="1" si="109"/>
        <v/>
      </c>
      <c r="S310" s="264" t="str">
        <f t="shared" ca="1" si="109"/>
        <v/>
      </c>
      <c r="T310" s="269" t="str">
        <f t="shared" ca="1" si="109"/>
        <v/>
      </c>
      <c r="U310" s="268" t="str">
        <f t="shared" ca="1" si="109"/>
        <v/>
      </c>
      <c r="V310" s="264" t="str">
        <f t="shared" ca="1" si="109"/>
        <v/>
      </c>
      <c r="W310" s="265" t="str">
        <f t="shared" ca="1" si="109"/>
        <v/>
      </c>
      <c r="X310" s="266" t="str">
        <f t="shared" ca="1" si="109"/>
        <v/>
      </c>
      <c r="Y310" s="264" t="str">
        <f t="shared" ca="1" si="109"/>
        <v/>
      </c>
      <c r="Z310" s="265" t="str">
        <f t="shared" ca="1" si="109"/>
        <v/>
      </c>
      <c r="AA310" s="266" t="str">
        <f t="shared" ca="1" si="109"/>
        <v/>
      </c>
      <c r="AB310" s="267" t="str">
        <f t="shared" ca="1" si="109"/>
        <v/>
      </c>
      <c r="AC310" s="538"/>
      <c r="AD310" s="212" t="str">
        <f t="shared" ca="1" si="113"/>
        <v/>
      </c>
    </row>
    <row r="311" spans="1:30" s="45" customFormat="1" ht="22.5" customHeight="1">
      <c r="A311" s="270" t="s">
        <v>751</v>
      </c>
      <c r="B311" s="271"/>
      <c r="C311" s="272" t="str">
        <f t="shared" ref="C311" ca="1" si="117">SUBSTITUTE(SUBSTITUTE(IF(-DOLLAR(E311),IF(E311&gt;0,,"负")&amp;TEXT(INT(ABS(E311)+0.5%),"[dbnum2]G/通用格式元;;")&amp;TEXT(RIGHT(DOLLAR(E311,2),2),"[dbnum2]0角0分;;整"),),"零角",IF(E311^2&lt;1,,"零")),"零分","整")</f>
        <v/>
      </c>
      <c r="D311" s="273"/>
      <c r="E311" s="274">
        <f t="shared" ref="E311:F311" ca="1" si="118">SUM(E305:E310)</f>
        <v>0</v>
      </c>
      <c r="F311" s="275">
        <f t="shared" ca="1" si="118"/>
        <v>0</v>
      </c>
      <c r="G311" s="276" t="str">
        <f t="shared" ca="1" si="108"/>
        <v/>
      </c>
      <c r="H311" s="277" t="str">
        <f t="shared" ca="1" si="108"/>
        <v/>
      </c>
      <c r="I311" s="278" t="str">
        <f t="shared" ca="1" si="108"/>
        <v/>
      </c>
      <c r="J311" s="279" t="str">
        <f t="shared" ca="1" si="108"/>
        <v/>
      </c>
      <c r="K311" s="277" t="str">
        <f t="shared" ca="1" si="108"/>
        <v/>
      </c>
      <c r="L311" s="278" t="str">
        <f t="shared" ca="1" si="108"/>
        <v/>
      </c>
      <c r="M311" s="279" t="str">
        <f t="shared" ca="1" si="108"/>
        <v/>
      </c>
      <c r="N311" s="277" t="str">
        <f t="shared" ca="1" si="108"/>
        <v/>
      </c>
      <c r="O311" s="278" t="str">
        <f t="shared" ca="1" si="108"/>
        <v/>
      </c>
      <c r="P311" s="279" t="str">
        <f t="shared" ca="1" si="108"/>
        <v/>
      </c>
      <c r="Q311" s="280" t="str">
        <f t="shared" ca="1" si="108"/>
        <v/>
      </c>
      <c r="R311" s="281" t="str">
        <f t="shared" ca="1" si="109"/>
        <v/>
      </c>
      <c r="S311" s="277" t="str">
        <f t="shared" ca="1" si="109"/>
        <v/>
      </c>
      <c r="T311" s="282" t="str">
        <f t="shared" ca="1" si="109"/>
        <v/>
      </c>
      <c r="U311" s="281" t="str">
        <f t="shared" ca="1" si="109"/>
        <v/>
      </c>
      <c r="V311" s="277" t="str">
        <f t="shared" ca="1" si="109"/>
        <v/>
      </c>
      <c r="W311" s="278" t="str">
        <f t="shared" ca="1" si="109"/>
        <v/>
      </c>
      <c r="X311" s="279" t="str">
        <f t="shared" ca="1" si="109"/>
        <v/>
      </c>
      <c r="Y311" s="277" t="str">
        <f t="shared" ca="1" si="109"/>
        <v/>
      </c>
      <c r="Z311" s="278" t="str">
        <f t="shared" ca="1" si="109"/>
        <v/>
      </c>
      <c r="AA311" s="279" t="str">
        <f t="shared" ca="1" si="109"/>
        <v/>
      </c>
      <c r="AB311" s="280" t="str">
        <f t="shared" ca="1" si="109"/>
        <v/>
      </c>
      <c r="AC311" s="283"/>
      <c r="AD311" s="212"/>
    </row>
    <row r="312" spans="1:30" s="22" customFormat="1" ht="22.5" customHeight="1">
      <c r="A312" s="284" t="s">
        <v>726</v>
      </c>
      <c r="B312" s="284"/>
      <c r="C312" s="284"/>
      <c r="D312" s="284" t="s">
        <v>727</v>
      </c>
      <c r="E312" s="284"/>
      <c r="F312" s="284"/>
      <c r="G312" s="284"/>
      <c r="H312" s="285"/>
      <c r="I312" s="284"/>
      <c r="J312" s="285"/>
      <c r="K312" s="285"/>
      <c r="L312" s="284"/>
      <c r="M312" s="285"/>
      <c r="N312" s="285"/>
      <c r="O312" s="285"/>
      <c r="P312" s="284"/>
      <c r="Q312" s="284" t="s">
        <v>728</v>
      </c>
      <c r="R312" s="284"/>
      <c r="S312" s="284"/>
      <c r="T312" s="284"/>
      <c r="U312" s="285"/>
      <c r="V312" s="284"/>
      <c r="W312" s="285"/>
      <c r="X312" s="284"/>
      <c r="Y312" s="284"/>
      <c r="Z312" s="285"/>
      <c r="AA312" s="285"/>
      <c r="AB312" s="285"/>
      <c r="AC312" s="286"/>
      <c r="AD312" s="212"/>
    </row>
    <row r="313" spans="1:30" ht="39.75" customHeight="1" thickBot="1">
      <c r="A313" s="226"/>
      <c r="B313" s="226"/>
      <c r="C313" s="227" t="s">
        <v>729</v>
      </c>
      <c r="D313" s="228"/>
      <c r="E313" s="226"/>
      <c r="F313" s="226"/>
      <c r="G313" s="228"/>
      <c r="H313" s="228"/>
      <c r="I313" s="228"/>
      <c r="J313" s="228"/>
      <c r="K313" s="228"/>
      <c r="L313" s="228"/>
      <c r="M313" s="228"/>
      <c r="N313" s="228"/>
      <c r="O313" s="228"/>
      <c r="P313" s="228"/>
      <c r="Q313" s="228"/>
      <c r="R313" s="229" t="s">
        <v>730</v>
      </c>
      <c r="S313" s="230"/>
      <c r="T313" s="230"/>
      <c r="U313" s="231" t="e">
        <f ca="1">DATE(AD$1,AF$1,INDEX(凭证录入!B:B,AD317))</f>
        <v>#VALUE!</v>
      </c>
      <c r="V313" s="232"/>
      <c r="W313" s="232"/>
      <c r="X313" s="232"/>
      <c r="Y313" s="232"/>
      <c r="Z313" s="232"/>
      <c r="AA313" s="232"/>
      <c r="AB313" s="232"/>
      <c r="AD313" s="212"/>
    </row>
    <row r="314" spans="1:30" s="45" customFormat="1" ht="23.25" customHeight="1" thickTop="1">
      <c r="A314" s="235" t="s">
        <v>731</v>
      </c>
      <c r="B314" s="235"/>
      <c r="C314" s="236" t="str">
        <f t="shared" si="97"/>
        <v>远大开发有限公司</v>
      </c>
      <c r="D314" s="236"/>
      <c r="E314" s="236"/>
      <c r="F314" s="236"/>
      <c r="G314" s="236"/>
      <c r="H314" s="236"/>
      <c r="I314" s="236"/>
      <c r="J314" s="236"/>
      <c r="K314" s="236"/>
      <c r="L314" s="236"/>
      <c r="M314" s="236"/>
      <c r="N314" s="236"/>
      <c r="O314" s="236"/>
      <c r="P314" s="236"/>
      <c r="Q314" s="236"/>
      <c r="R314" s="229" t="s">
        <v>732</v>
      </c>
      <c r="S314" s="229"/>
      <c r="T314" s="229"/>
      <c r="U314" s="237" t="str">
        <f t="shared" ref="U314" si="119">"第 "&amp;TEXT($AF$1,"00")&amp;TEXT($AC314,"0000 号")</f>
        <v>第 010027 号</v>
      </c>
      <c r="V314" s="237"/>
      <c r="W314" s="238"/>
      <c r="X314" s="238"/>
      <c r="Y314" s="238"/>
      <c r="Z314" s="238"/>
      <c r="AA314" s="238"/>
      <c r="AB314" s="238"/>
      <c r="AC314" s="239">
        <f t="shared" si="99"/>
        <v>27</v>
      </c>
      <c r="AD314" s="212"/>
    </row>
    <row r="315" spans="1:30" s="45" customFormat="1" ht="22.5" customHeight="1">
      <c r="A315" s="241" t="s">
        <v>733</v>
      </c>
      <c r="B315" s="542" t="s">
        <v>734</v>
      </c>
      <c r="C315" s="242" t="s">
        <v>735</v>
      </c>
      <c r="D315" s="243" t="s">
        <v>736</v>
      </c>
      <c r="E315" s="539" t="s">
        <v>737</v>
      </c>
      <c r="F315" s="539" t="s">
        <v>738</v>
      </c>
      <c r="G315" s="244" t="s">
        <v>739</v>
      </c>
      <c r="H315" s="245"/>
      <c r="I315" s="245"/>
      <c r="J315" s="245"/>
      <c r="K315" s="245"/>
      <c r="L315" s="245"/>
      <c r="M315" s="245"/>
      <c r="N315" s="245"/>
      <c r="O315" s="245"/>
      <c r="P315" s="245"/>
      <c r="Q315" s="246"/>
      <c r="R315" s="247" t="s">
        <v>740</v>
      </c>
      <c r="S315" s="245"/>
      <c r="T315" s="245"/>
      <c r="U315" s="245"/>
      <c r="V315" s="245"/>
      <c r="W315" s="245"/>
      <c r="X315" s="245"/>
      <c r="Y315" s="245"/>
      <c r="Z315" s="245"/>
      <c r="AA315" s="245"/>
      <c r="AB315" s="246"/>
      <c r="AC315" s="541" t="str">
        <f ca="1">"附单据数︵"&amp;INDEX(凭证录入!$D:$D,$AD$17)&amp;"︶张"</f>
        <v>附单据数︵4︶张</v>
      </c>
      <c r="AD315" s="235"/>
    </row>
    <row r="316" spans="1:30" s="45" customFormat="1" ht="22.5" customHeight="1">
      <c r="A316" s="248" t="s">
        <v>741</v>
      </c>
      <c r="B316" s="543"/>
      <c r="C316" s="249" t="s">
        <v>742</v>
      </c>
      <c r="D316" s="250" t="s">
        <v>742</v>
      </c>
      <c r="E316" s="540"/>
      <c r="F316" s="540"/>
      <c r="G316" s="251" t="s">
        <v>743</v>
      </c>
      <c r="H316" s="252" t="s">
        <v>744</v>
      </c>
      <c r="I316" s="253" t="s">
        <v>745</v>
      </c>
      <c r="J316" s="254" t="s">
        <v>746</v>
      </c>
      <c r="K316" s="252" t="s">
        <v>747</v>
      </c>
      <c r="L316" s="253" t="s">
        <v>744</v>
      </c>
      <c r="M316" s="254" t="s">
        <v>745</v>
      </c>
      <c r="N316" s="252" t="s">
        <v>746</v>
      </c>
      <c r="O316" s="253" t="s">
        <v>748</v>
      </c>
      <c r="P316" s="254" t="s">
        <v>749</v>
      </c>
      <c r="Q316" s="255" t="s">
        <v>750</v>
      </c>
      <c r="R316" s="256" t="s">
        <v>743</v>
      </c>
      <c r="S316" s="252" t="s">
        <v>744</v>
      </c>
      <c r="T316" s="257" t="s">
        <v>745</v>
      </c>
      <c r="U316" s="256" t="s">
        <v>746</v>
      </c>
      <c r="V316" s="252" t="s">
        <v>747</v>
      </c>
      <c r="W316" s="253" t="s">
        <v>744</v>
      </c>
      <c r="X316" s="254" t="s">
        <v>745</v>
      </c>
      <c r="Y316" s="252" t="s">
        <v>746</v>
      </c>
      <c r="Z316" s="253" t="s">
        <v>748</v>
      </c>
      <c r="AA316" s="254" t="s">
        <v>749</v>
      </c>
      <c r="AB316" s="255" t="s">
        <v>750</v>
      </c>
      <c r="AC316" s="541"/>
    </row>
    <row r="317" spans="1:30" s="45" customFormat="1" ht="22.5" customHeight="1">
      <c r="A317" s="258" t="str">
        <f ca="1">IFERROR(INDEX(凭证录入!H:H,$AD317),"")</f>
        <v/>
      </c>
      <c r="B317" s="259" t="str">
        <f ca="1">IFERROR(INDEX(凭证录入!I:I,$AD317),"")</f>
        <v/>
      </c>
      <c r="C317" s="260" t="str">
        <f ca="1">IFERROR(VLOOKUP($B317,会计科目表!$A:$C,2,),"")</f>
        <v/>
      </c>
      <c r="D317" s="261" t="str">
        <f ca="1">IFERROR(VLOOKUP($B317,会计科目表!$A:$C,3,),"")</f>
        <v/>
      </c>
      <c r="E317" s="262">
        <f ca="1">IFERROR(INDEX(凭证录入!K:K,$AD317),0)</f>
        <v>0</v>
      </c>
      <c r="F317" s="262">
        <f ca="1">IFERROR(INDEX(凭证录入!L:L,$AD317),0)</f>
        <v>0</v>
      </c>
      <c r="G317" s="263" t="str">
        <f t="shared" ca="1" si="108"/>
        <v/>
      </c>
      <c r="H317" s="264" t="str">
        <f t="shared" ca="1" si="108"/>
        <v/>
      </c>
      <c r="I317" s="265" t="str">
        <f t="shared" ca="1" si="108"/>
        <v/>
      </c>
      <c r="J317" s="266" t="str">
        <f t="shared" ca="1" si="108"/>
        <v/>
      </c>
      <c r="K317" s="264" t="str">
        <f t="shared" ca="1" si="108"/>
        <v/>
      </c>
      <c r="L317" s="265" t="str">
        <f t="shared" ca="1" si="108"/>
        <v/>
      </c>
      <c r="M317" s="266" t="str">
        <f t="shared" ca="1" si="108"/>
        <v/>
      </c>
      <c r="N317" s="264" t="str">
        <f t="shared" ca="1" si="108"/>
        <v/>
      </c>
      <c r="O317" s="265" t="str">
        <f t="shared" ca="1" si="108"/>
        <v/>
      </c>
      <c r="P317" s="266" t="str">
        <f t="shared" ca="1" si="108"/>
        <v/>
      </c>
      <c r="Q317" s="267" t="str">
        <f t="shared" ca="1" si="108"/>
        <v/>
      </c>
      <c r="R317" s="268" t="str">
        <f t="shared" ca="1" si="109"/>
        <v/>
      </c>
      <c r="S317" s="264" t="str">
        <f t="shared" ca="1" si="109"/>
        <v/>
      </c>
      <c r="T317" s="269" t="str">
        <f t="shared" ca="1" si="109"/>
        <v/>
      </c>
      <c r="U317" s="268" t="str">
        <f t="shared" ca="1" si="109"/>
        <v/>
      </c>
      <c r="V317" s="264" t="str">
        <f t="shared" ca="1" si="109"/>
        <v/>
      </c>
      <c r="W317" s="265" t="str">
        <f t="shared" ca="1" si="109"/>
        <v/>
      </c>
      <c r="X317" s="266" t="str">
        <f t="shared" ca="1" si="109"/>
        <v/>
      </c>
      <c r="Y317" s="264" t="str">
        <f t="shared" ca="1" si="109"/>
        <v/>
      </c>
      <c r="Z317" s="265" t="str">
        <f t="shared" ca="1" si="109"/>
        <v/>
      </c>
      <c r="AA317" s="266" t="str">
        <f t="shared" ca="1" si="109"/>
        <v/>
      </c>
      <c r="AB317" s="267" t="str">
        <f t="shared" ca="1" si="109"/>
        <v/>
      </c>
      <c r="AC317" s="541"/>
      <c r="AD317" s="212" t="str">
        <f t="shared" ca="1" si="113"/>
        <v/>
      </c>
    </row>
    <row r="318" spans="1:30" s="45" customFormat="1" ht="22.5" customHeight="1">
      <c r="A318" s="258" t="str">
        <f ca="1">IFERROR(INDEX(凭证录入!H:H,$AD318),"")</f>
        <v/>
      </c>
      <c r="B318" s="259" t="str">
        <f ca="1">IFERROR(INDEX(凭证录入!I:I,$AD318),"")</f>
        <v/>
      </c>
      <c r="C318" s="260" t="str">
        <f ca="1">IFERROR(VLOOKUP($B318,会计科目表!$A:$C,2,),"")</f>
        <v/>
      </c>
      <c r="D318" s="261" t="str">
        <f ca="1">IFERROR(VLOOKUP($B318,会计科目表!$A:$C,3,),"")</f>
        <v/>
      </c>
      <c r="E318" s="262">
        <f ca="1">IFERROR(INDEX(凭证录入!K:K,$AD318),0)</f>
        <v>0</v>
      </c>
      <c r="F318" s="262">
        <f ca="1">IFERROR(INDEX(凭证录入!L:L,$AD318),0)</f>
        <v>0</v>
      </c>
      <c r="G318" s="263" t="str">
        <f t="shared" ca="1" si="108"/>
        <v/>
      </c>
      <c r="H318" s="264" t="str">
        <f t="shared" ca="1" si="108"/>
        <v/>
      </c>
      <c r="I318" s="265" t="str">
        <f t="shared" ca="1" si="108"/>
        <v/>
      </c>
      <c r="J318" s="266" t="str">
        <f t="shared" ca="1" si="108"/>
        <v/>
      </c>
      <c r="K318" s="264" t="str">
        <f t="shared" ca="1" si="108"/>
        <v/>
      </c>
      <c r="L318" s="265" t="str">
        <f t="shared" ca="1" si="108"/>
        <v/>
      </c>
      <c r="M318" s="266" t="str">
        <f t="shared" ca="1" si="108"/>
        <v/>
      </c>
      <c r="N318" s="264" t="str">
        <f t="shared" ca="1" si="108"/>
        <v/>
      </c>
      <c r="O318" s="265" t="str">
        <f t="shared" ca="1" si="108"/>
        <v/>
      </c>
      <c r="P318" s="266" t="str">
        <f t="shared" ca="1" si="108"/>
        <v/>
      </c>
      <c r="Q318" s="267" t="str">
        <f t="shared" ca="1" si="108"/>
        <v/>
      </c>
      <c r="R318" s="268" t="str">
        <f t="shared" ca="1" si="109"/>
        <v/>
      </c>
      <c r="S318" s="264" t="str">
        <f t="shared" ca="1" si="109"/>
        <v/>
      </c>
      <c r="T318" s="269" t="str">
        <f t="shared" ca="1" si="109"/>
        <v/>
      </c>
      <c r="U318" s="268" t="str">
        <f t="shared" ca="1" si="109"/>
        <v/>
      </c>
      <c r="V318" s="264" t="str">
        <f t="shared" ca="1" si="109"/>
        <v/>
      </c>
      <c r="W318" s="265" t="str">
        <f t="shared" ca="1" si="109"/>
        <v/>
      </c>
      <c r="X318" s="266" t="str">
        <f t="shared" ca="1" si="109"/>
        <v/>
      </c>
      <c r="Y318" s="264" t="str">
        <f t="shared" ca="1" si="109"/>
        <v/>
      </c>
      <c r="Z318" s="265" t="str">
        <f t="shared" ca="1" si="109"/>
        <v/>
      </c>
      <c r="AA318" s="266" t="str">
        <f t="shared" ca="1" si="109"/>
        <v/>
      </c>
      <c r="AB318" s="267" t="str">
        <f t="shared" ca="1" si="109"/>
        <v/>
      </c>
      <c r="AC318" s="541"/>
      <c r="AD318" s="212" t="str">
        <f t="shared" ca="1" si="113"/>
        <v/>
      </c>
    </row>
    <row r="319" spans="1:30" s="45" customFormat="1" ht="22.5" customHeight="1">
      <c r="A319" s="258" t="str">
        <f ca="1">IFERROR(INDEX(凭证录入!H:H,$AD319),"")</f>
        <v/>
      </c>
      <c r="B319" s="259" t="str">
        <f ca="1">IFERROR(INDEX(凭证录入!I:I,$AD319),"")</f>
        <v/>
      </c>
      <c r="C319" s="260" t="str">
        <f ca="1">IFERROR(VLOOKUP($B319,会计科目表!$A:$C,2,),"")</f>
        <v/>
      </c>
      <c r="D319" s="261" t="str">
        <f ca="1">IFERROR(VLOOKUP($B319,会计科目表!$A:$C,3,),"")</f>
        <v/>
      </c>
      <c r="E319" s="262">
        <f ca="1">IFERROR(INDEX(凭证录入!K:K,$AD319),0)</f>
        <v>0</v>
      </c>
      <c r="F319" s="262">
        <f ca="1">IFERROR(INDEX(凭证录入!L:L,$AD319),0)</f>
        <v>0</v>
      </c>
      <c r="G319" s="263" t="str">
        <f t="shared" ca="1" si="108"/>
        <v/>
      </c>
      <c r="H319" s="264" t="str">
        <f t="shared" ca="1" si="108"/>
        <v/>
      </c>
      <c r="I319" s="265" t="str">
        <f t="shared" ref="G319:Q357" ca="1" si="120">LEFT(RIGHT(TEXT($E319/1%," ￥0; ￥-0;"),18-COLUMN()))</f>
        <v/>
      </c>
      <c r="J319" s="266" t="str">
        <f t="shared" ca="1" si="120"/>
        <v/>
      </c>
      <c r="K319" s="264" t="str">
        <f t="shared" ca="1" si="120"/>
        <v/>
      </c>
      <c r="L319" s="265" t="str">
        <f t="shared" ca="1" si="120"/>
        <v/>
      </c>
      <c r="M319" s="266" t="str">
        <f t="shared" ca="1" si="120"/>
        <v/>
      </c>
      <c r="N319" s="264" t="str">
        <f t="shared" ca="1" si="120"/>
        <v/>
      </c>
      <c r="O319" s="265" t="str">
        <f t="shared" ca="1" si="120"/>
        <v/>
      </c>
      <c r="P319" s="266" t="str">
        <f t="shared" ca="1" si="120"/>
        <v/>
      </c>
      <c r="Q319" s="267" t="str">
        <f t="shared" ca="1" si="120"/>
        <v/>
      </c>
      <c r="R319" s="268" t="str">
        <f t="shared" ca="1" si="109"/>
        <v/>
      </c>
      <c r="S319" s="264" t="str">
        <f t="shared" ca="1" si="109"/>
        <v/>
      </c>
      <c r="T319" s="269" t="str">
        <f t="shared" ref="R319:AB357" ca="1" si="121">LEFT(RIGHT(TEXT($F319/1%," ￥0; ￥-0;"),29-COLUMN()))</f>
        <v/>
      </c>
      <c r="U319" s="268" t="str">
        <f t="shared" ca="1" si="121"/>
        <v/>
      </c>
      <c r="V319" s="264" t="str">
        <f t="shared" ca="1" si="121"/>
        <v/>
      </c>
      <c r="W319" s="265" t="str">
        <f t="shared" ca="1" si="121"/>
        <v/>
      </c>
      <c r="X319" s="266" t="str">
        <f t="shared" ca="1" si="121"/>
        <v/>
      </c>
      <c r="Y319" s="264" t="str">
        <f t="shared" ca="1" si="121"/>
        <v/>
      </c>
      <c r="Z319" s="265" t="str">
        <f t="shared" ca="1" si="121"/>
        <v/>
      </c>
      <c r="AA319" s="266" t="str">
        <f t="shared" ca="1" si="121"/>
        <v/>
      </c>
      <c r="AB319" s="267" t="str">
        <f t="shared" ca="1" si="121"/>
        <v/>
      </c>
      <c r="AC319" s="536" t="s">
        <v>777</v>
      </c>
      <c r="AD319" s="212" t="str">
        <f t="shared" ca="1" si="113"/>
        <v/>
      </c>
    </row>
    <row r="320" spans="1:30" s="45" customFormat="1" ht="22.5" customHeight="1">
      <c r="A320" s="258" t="str">
        <f ca="1">IFERROR(INDEX(凭证录入!H:H,$AD320),"")</f>
        <v/>
      </c>
      <c r="B320" s="259" t="str">
        <f ca="1">IFERROR(INDEX(凭证录入!I:I,$AD320),"")</f>
        <v/>
      </c>
      <c r="C320" s="260" t="str">
        <f ca="1">IFERROR(VLOOKUP($B320,会计科目表!$A:$C,2,),"")</f>
        <v/>
      </c>
      <c r="D320" s="261" t="str">
        <f ca="1">IFERROR(VLOOKUP($B320,会计科目表!$A:$C,3,),"")</f>
        <v/>
      </c>
      <c r="E320" s="262">
        <f ca="1">IFERROR(INDEX(凭证录入!K:K,$AD320),0)</f>
        <v>0</v>
      </c>
      <c r="F320" s="262">
        <f ca="1">IFERROR(INDEX(凭证录入!L:L,$AD320),0)</f>
        <v>0</v>
      </c>
      <c r="G320" s="263" t="str">
        <f t="shared" ca="1" si="120"/>
        <v/>
      </c>
      <c r="H320" s="264" t="str">
        <f t="shared" ca="1" si="120"/>
        <v/>
      </c>
      <c r="I320" s="265" t="str">
        <f t="shared" ca="1" si="120"/>
        <v/>
      </c>
      <c r="J320" s="266" t="str">
        <f t="shared" ca="1" si="120"/>
        <v/>
      </c>
      <c r="K320" s="264" t="str">
        <f t="shared" ca="1" si="120"/>
        <v/>
      </c>
      <c r="L320" s="265" t="str">
        <f t="shared" ca="1" si="120"/>
        <v/>
      </c>
      <c r="M320" s="266" t="str">
        <f t="shared" ca="1" si="120"/>
        <v/>
      </c>
      <c r="N320" s="264" t="str">
        <f t="shared" ca="1" si="120"/>
        <v/>
      </c>
      <c r="O320" s="265" t="str">
        <f t="shared" ca="1" si="120"/>
        <v/>
      </c>
      <c r="P320" s="266" t="str">
        <f t="shared" ca="1" si="120"/>
        <v/>
      </c>
      <c r="Q320" s="267" t="str">
        <f t="shared" ca="1" si="120"/>
        <v/>
      </c>
      <c r="R320" s="268" t="str">
        <f t="shared" ca="1" si="121"/>
        <v/>
      </c>
      <c r="S320" s="264" t="str">
        <f t="shared" ca="1" si="121"/>
        <v/>
      </c>
      <c r="T320" s="269" t="str">
        <f t="shared" ca="1" si="121"/>
        <v/>
      </c>
      <c r="U320" s="268" t="str">
        <f t="shared" ca="1" si="121"/>
        <v/>
      </c>
      <c r="V320" s="264" t="str">
        <f t="shared" ca="1" si="121"/>
        <v/>
      </c>
      <c r="W320" s="265" t="str">
        <f t="shared" ca="1" si="121"/>
        <v/>
      </c>
      <c r="X320" s="266" t="str">
        <f t="shared" ca="1" si="121"/>
        <v/>
      </c>
      <c r="Y320" s="264" t="str">
        <f t="shared" ca="1" si="121"/>
        <v/>
      </c>
      <c r="Z320" s="265" t="str">
        <f t="shared" ca="1" si="121"/>
        <v/>
      </c>
      <c r="AA320" s="266" t="str">
        <f t="shared" ca="1" si="121"/>
        <v/>
      </c>
      <c r="AB320" s="267" t="str">
        <f t="shared" ca="1" si="121"/>
        <v/>
      </c>
      <c r="AC320" s="537"/>
      <c r="AD320" s="212" t="str">
        <f t="shared" ca="1" si="113"/>
        <v/>
      </c>
    </row>
    <row r="321" spans="1:30" s="45" customFormat="1" ht="22.5" customHeight="1">
      <c r="A321" s="258" t="str">
        <f ca="1">IFERROR(INDEX(凭证录入!H:H,$AD321),"")</f>
        <v/>
      </c>
      <c r="B321" s="259" t="str">
        <f ca="1">IFERROR(INDEX(凭证录入!I:I,$AD321),"")</f>
        <v/>
      </c>
      <c r="C321" s="260" t="str">
        <f ca="1">IFERROR(VLOOKUP($B321,会计科目表!$A:$C,2,),"")</f>
        <v/>
      </c>
      <c r="D321" s="261" t="str">
        <f ca="1">IFERROR(VLOOKUP($B321,会计科目表!$A:$C,3,),"")</f>
        <v/>
      </c>
      <c r="E321" s="262">
        <f ca="1">IFERROR(INDEX(凭证录入!K:K,$AD321),0)</f>
        <v>0</v>
      </c>
      <c r="F321" s="262">
        <f ca="1">IFERROR(INDEX(凭证录入!L:L,$AD321),0)</f>
        <v>0</v>
      </c>
      <c r="G321" s="263" t="str">
        <f t="shared" ca="1" si="120"/>
        <v/>
      </c>
      <c r="H321" s="264" t="str">
        <f t="shared" ca="1" si="120"/>
        <v/>
      </c>
      <c r="I321" s="265" t="str">
        <f t="shared" ca="1" si="120"/>
        <v/>
      </c>
      <c r="J321" s="266" t="str">
        <f t="shared" ca="1" si="120"/>
        <v/>
      </c>
      <c r="K321" s="264" t="str">
        <f t="shared" ca="1" si="120"/>
        <v/>
      </c>
      <c r="L321" s="265" t="str">
        <f t="shared" ca="1" si="120"/>
        <v/>
      </c>
      <c r="M321" s="266" t="str">
        <f t="shared" ca="1" si="120"/>
        <v/>
      </c>
      <c r="N321" s="264" t="str">
        <f t="shared" ca="1" si="120"/>
        <v/>
      </c>
      <c r="O321" s="265" t="str">
        <f t="shared" ca="1" si="120"/>
        <v/>
      </c>
      <c r="P321" s="266" t="str">
        <f t="shared" ca="1" si="120"/>
        <v/>
      </c>
      <c r="Q321" s="267" t="str">
        <f t="shared" ca="1" si="120"/>
        <v/>
      </c>
      <c r="R321" s="268" t="str">
        <f t="shared" ca="1" si="121"/>
        <v/>
      </c>
      <c r="S321" s="264" t="str">
        <f t="shared" ca="1" si="121"/>
        <v/>
      </c>
      <c r="T321" s="269" t="str">
        <f t="shared" ca="1" si="121"/>
        <v/>
      </c>
      <c r="U321" s="268" t="str">
        <f t="shared" ca="1" si="121"/>
        <v/>
      </c>
      <c r="V321" s="264" t="str">
        <f t="shared" ca="1" si="121"/>
        <v/>
      </c>
      <c r="W321" s="265" t="str">
        <f t="shared" ca="1" si="121"/>
        <v/>
      </c>
      <c r="X321" s="266" t="str">
        <f t="shared" ca="1" si="121"/>
        <v/>
      </c>
      <c r="Y321" s="264" t="str">
        <f t="shared" ca="1" si="121"/>
        <v/>
      </c>
      <c r="Z321" s="265" t="str">
        <f t="shared" ca="1" si="121"/>
        <v/>
      </c>
      <c r="AA321" s="266" t="str">
        <f t="shared" ca="1" si="121"/>
        <v/>
      </c>
      <c r="AB321" s="267" t="str">
        <f t="shared" ca="1" si="121"/>
        <v/>
      </c>
      <c r="AC321" s="538"/>
      <c r="AD321" s="212" t="str">
        <f t="shared" ca="1" si="113"/>
        <v/>
      </c>
    </row>
    <row r="322" spans="1:30" s="45" customFormat="1" ht="22.5" customHeight="1">
      <c r="A322" s="258" t="str">
        <f ca="1">IFERROR(INDEX(凭证录入!H:H,$AD322),"")</f>
        <v/>
      </c>
      <c r="B322" s="259" t="str">
        <f ca="1">IFERROR(INDEX(凭证录入!I:I,$AD322),"")</f>
        <v/>
      </c>
      <c r="C322" s="260" t="str">
        <f ca="1">IFERROR(VLOOKUP($B322,会计科目表!$A:$C,2,),"")</f>
        <v/>
      </c>
      <c r="D322" s="261" t="str">
        <f ca="1">IFERROR(VLOOKUP($B322,会计科目表!$A:$C,3,),"")</f>
        <v/>
      </c>
      <c r="E322" s="262">
        <f ca="1">IFERROR(INDEX(凭证录入!K:K,$AD322),0)</f>
        <v>0</v>
      </c>
      <c r="F322" s="262">
        <f ca="1">IFERROR(INDEX(凭证录入!L:L,$AD322),0)</f>
        <v>0</v>
      </c>
      <c r="G322" s="263" t="str">
        <f t="shared" ca="1" si="120"/>
        <v/>
      </c>
      <c r="H322" s="264" t="str">
        <f t="shared" ca="1" si="120"/>
        <v/>
      </c>
      <c r="I322" s="265" t="str">
        <f t="shared" ca="1" si="120"/>
        <v/>
      </c>
      <c r="J322" s="266" t="str">
        <f t="shared" ca="1" si="120"/>
        <v/>
      </c>
      <c r="K322" s="264" t="str">
        <f t="shared" ca="1" si="120"/>
        <v/>
      </c>
      <c r="L322" s="265" t="str">
        <f t="shared" ca="1" si="120"/>
        <v/>
      </c>
      <c r="M322" s="266" t="str">
        <f t="shared" ca="1" si="120"/>
        <v/>
      </c>
      <c r="N322" s="264" t="str">
        <f t="shared" ca="1" si="120"/>
        <v/>
      </c>
      <c r="O322" s="265" t="str">
        <f t="shared" ca="1" si="120"/>
        <v/>
      </c>
      <c r="P322" s="266" t="str">
        <f t="shared" ca="1" si="120"/>
        <v/>
      </c>
      <c r="Q322" s="267" t="str">
        <f t="shared" ca="1" si="120"/>
        <v/>
      </c>
      <c r="R322" s="268" t="str">
        <f t="shared" ca="1" si="121"/>
        <v/>
      </c>
      <c r="S322" s="264" t="str">
        <f t="shared" ca="1" si="121"/>
        <v/>
      </c>
      <c r="T322" s="269" t="str">
        <f t="shared" ca="1" si="121"/>
        <v/>
      </c>
      <c r="U322" s="268" t="str">
        <f t="shared" ca="1" si="121"/>
        <v/>
      </c>
      <c r="V322" s="264" t="str">
        <f t="shared" ca="1" si="121"/>
        <v/>
      </c>
      <c r="W322" s="265" t="str">
        <f t="shared" ca="1" si="121"/>
        <v/>
      </c>
      <c r="X322" s="266" t="str">
        <f t="shared" ca="1" si="121"/>
        <v/>
      </c>
      <c r="Y322" s="264" t="str">
        <f t="shared" ca="1" si="121"/>
        <v/>
      </c>
      <c r="Z322" s="265" t="str">
        <f t="shared" ca="1" si="121"/>
        <v/>
      </c>
      <c r="AA322" s="266" t="str">
        <f t="shared" ca="1" si="121"/>
        <v/>
      </c>
      <c r="AB322" s="267" t="str">
        <f t="shared" ca="1" si="121"/>
        <v/>
      </c>
      <c r="AC322" s="538"/>
      <c r="AD322" s="212" t="str">
        <f t="shared" ca="1" si="113"/>
        <v/>
      </c>
    </row>
    <row r="323" spans="1:30" s="45" customFormat="1" ht="22.5" customHeight="1">
      <c r="A323" s="270" t="s">
        <v>778</v>
      </c>
      <c r="B323" s="271"/>
      <c r="C323" s="272" t="str">
        <f t="shared" ref="C323" ca="1" si="122">SUBSTITUTE(SUBSTITUTE(IF(-DOLLAR(E323),IF(E323&gt;0,,"负")&amp;TEXT(INT(ABS(E323)+0.5%),"[dbnum2]G/通用格式元;;")&amp;TEXT(RIGHT(DOLLAR(E323,2),2),"[dbnum2]0角0分;;整"),),"零角",IF(E323^2&lt;1,,"零")),"零分","整")</f>
        <v/>
      </c>
      <c r="D323" s="273"/>
      <c r="E323" s="274">
        <f t="shared" ref="E323:F323" ca="1" si="123">SUM(E317:E322)</f>
        <v>0</v>
      </c>
      <c r="F323" s="275">
        <f t="shared" ca="1" si="123"/>
        <v>0</v>
      </c>
      <c r="G323" s="276" t="str">
        <f t="shared" ca="1" si="120"/>
        <v/>
      </c>
      <c r="H323" s="277" t="str">
        <f t="shared" ca="1" si="120"/>
        <v/>
      </c>
      <c r="I323" s="278" t="str">
        <f t="shared" ca="1" si="120"/>
        <v/>
      </c>
      <c r="J323" s="279" t="str">
        <f t="shared" ca="1" si="120"/>
        <v/>
      </c>
      <c r="K323" s="277" t="str">
        <f t="shared" ca="1" si="120"/>
        <v/>
      </c>
      <c r="L323" s="278" t="str">
        <f t="shared" ca="1" si="120"/>
        <v/>
      </c>
      <c r="M323" s="279" t="str">
        <f t="shared" ca="1" si="120"/>
        <v/>
      </c>
      <c r="N323" s="277" t="str">
        <f t="shared" ca="1" si="120"/>
        <v/>
      </c>
      <c r="O323" s="278" t="str">
        <f t="shared" ca="1" si="120"/>
        <v/>
      </c>
      <c r="P323" s="279" t="str">
        <f t="shared" ca="1" si="120"/>
        <v/>
      </c>
      <c r="Q323" s="280" t="str">
        <f t="shared" ca="1" si="120"/>
        <v/>
      </c>
      <c r="R323" s="281" t="str">
        <f t="shared" ca="1" si="121"/>
        <v/>
      </c>
      <c r="S323" s="277" t="str">
        <f t="shared" ca="1" si="121"/>
        <v/>
      </c>
      <c r="T323" s="282" t="str">
        <f t="shared" ca="1" si="121"/>
        <v/>
      </c>
      <c r="U323" s="281" t="str">
        <f t="shared" ca="1" si="121"/>
        <v/>
      </c>
      <c r="V323" s="277" t="str">
        <f t="shared" ca="1" si="121"/>
        <v/>
      </c>
      <c r="W323" s="278" t="str">
        <f t="shared" ca="1" si="121"/>
        <v/>
      </c>
      <c r="X323" s="279" t="str">
        <f t="shared" ca="1" si="121"/>
        <v/>
      </c>
      <c r="Y323" s="277" t="str">
        <f t="shared" ca="1" si="121"/>
        <v/>
      </c>
      <c r="Z323" s="278" t="str">
        <f t="shared" ca="1" si="121"/>
        <v/>
      </c>
      <c r="AA323" s="279" t="str">
        <f t="shared" ca="1" si="121"/>
        <v/>
      </c>
      <c r="AB323" s="280" t="str">
        <f t="shared" ca="1" si="121"/>
        <v/>
      </c>
      <c r="AC323" s="283"/>
      <c r="AD323" s="212"/>
    </row>
    <row r="324" spans="1:30" s="22" customFormat="1" ht="22.5" customHeight="1">
      <c r="A324" s="284" t="s">
        <v>752</v>
      </c>
      <c r="B324" s="284"/>
      <c r="C324" s="284"/>
      <c r="D324" s="284" t="s">
        <v>753</v>
      </c>
      <c r="E324" s="284"/>
      <c r="F324" s="284"/>
      <c r="G324" s="284"/>
      <c r="H324" s="285"/>
      <c r="I324" s="284"/>
      <c r="J324" s="285"/>
      <c r="K324" s="285"/>
      <c r="L324" s="284"/>
      <c r="M324" s="285"/>
      <c r="N324" s="285"/>
      <c r="O324" s="285"/>
      <c r="P324" s="284"/>
      <c r="Q324" s="284" t="s">
        <v>754</v>
      </c>
      <c r="R324" s="284"/>
      <c r="S324" s="284"/>
      <c r="T324" s="284"/>
      <c r="U324" s="285"/>
      <c r="V324" s="284"/>
      <c r="W324" s="285"/>
      <c r="X324" s="284"/>
      <c r="Y324" s="284"/>
      <c r="Z324" s="285"/>
      <c r="AA324" s="285"/>
      <c r="AB324" s="285"/>
      <c r="AC324" s="286"/>
      <c r="AD324" s="212"/>
    </row>
    <row r="325" spans="1:30" ht="39.75" customHeight="1" thickBot="1">
      <c r="A325" s="226"/>
      <c r="B325" s="226"/>
      <c r="C325" s="227" t="s">
        <v>755</v>
      </c>
      <c r="D325" s="228"/>
      <c r="E325" s="226"/>
      <c r="F325" s="226"/>
      <c r="G325" s="228"/>
      <c r="H325" s="228"/>
      <c r="I325" s="228"/>
      <c r="J325" s="228"/>
      <c r="K325" s="228"/>
      <c r="L325" s="228"/>
      <c r="M325" s="228"/>
      <c r="N325" s="228"/>
      <c r="O325" s="228"/>
      <c r="P325" s="228"/>
      <c r="Q325" s="228"/>
      <c r="R325" s="229" t="s">
        <v>756</v>
      </c>
      <c r="S325" s="230"/>
      <c r="T325" s="230"/>
      <c r="U325" s="231" t="e">
        <f ca="1">DATE(AD$1,AF$1,INDEX(凭证录入!B:B,AD329))</f>
        <v>#VALUE!</v>
      </c>
      <c r="V325" s="232"/>
      <c r="W325" s="232"/>
      <c r="X325" s="232"/>
      <c r="Y325" s="232"/>
      <c r="Z325" s="232"/>
      <c r="AA325" s="232"/>
      <c r="AB325" s="232"/>
      <c r="AD325" s="212"/>
    </row>
    <row r="326" spans="1:30" s="45" customFormat="1" ht="23.25" customHeight="1" thickTop="1">
      <c r="A326" s="235" t="s">
        <v>757</v>
      </c>
      <c r="B326" s="235"/>
      <c r="C326" s="236" t="str">
        <f t="shared" ref="C326:C350" si="124">Co</f>
        <v>远大开发有限公司</v>
      </c>
      <c r="D326" s="236"/>
      <c r="E326" s="236"/>
      <c r="F326" s="236"/>
      <c r="G326" s="236"/>
      <c r="H326" s="236"/>
      <c r="I326" s="236"/>
      <c r="J326" s="236"/>
      <c r="K326" s="236"/>
      <c r="L326" s="236"/>
      <c r="M326" s="236"/>
      <c r="N326" s="236"/>
      <c r="O326" s="236"/>
      <c r="P326" s="236"/>
      <c r="Q326" s="236"/>
      <c r="R326" s="229" t="s">
        <v>758</v>
      </c>
      <c r="S326" s="229"/>
      <c r="T326" s="229"/>
      <c r="U326" s="237" t="str">
        <f t="shared" ref="U326" si="125">"第 "&amp;TEXT($AF$1,"00")&amp;TEXT($AC326,"0000 号")</f>
        <v>第 010028 号</v>
      </c>
      <c r="V326" s="237"/>
      <c r="W326" s="238"/>
      <c r="X326" s="238"/>
      <c r="Y326" s="238"/>
      <c r="Z326" s="238"/>
      <c r="AA326" s="238"/>
      <c r="AB326" s="238"/>
      <c r="AC326" s="239">
        <f t="shared" ref="AC326:AC350" si="126">N(LEFT((AC314),3)+1)</f>
        <v>28</v>
      </c>
      <c r="AD326" s="212"/>
    </row>
    <row r="327" spans="1:30" s="45" customFormat="1" ht="22.5" customHeight="1">
      <c r="A327" s="241" t="s">
        <v>759</v>
      </c>
      <c r="B327" s="542" t="s">
        <v>760</v>
      </c>
      <c r="C327" s="242" t="s">
        <v>761</v>
      </c>
      <c r="D327" s="243" t="s">
        <v>762</v>
      </c>
      <c r="E327" s="539" t="s">
        <v>763</v>
      </c>
      <c r="F327" s="539" t="s">
        <v>764</v>
      </c>
      <c r="G327" s="244" t="s">
        <v>765</v>
      </c>
      <c r="H327" s="245"/>
      <c r="I327" s="245"/>
      <c r="J327" s="245"/>
      <c r="K327" s="245"/>
      <c r="L327" s="245"/>
      <c r="M327" s="245"/>
      <c r="N327" s="245"/>
      <c r="O327" s="245"/>
      <c r="P327" s="245"/>
      <c r="Q327" s="246"/>
      <c r="R327" s="247" t="s">
        <v>766</v>
      </c>
      <c r="S327" s="245"/>
      <c r="T327" s="245"/>
      <c r="U327" s="245"/>
      <c r="V327" s="245"/>
      <c r="W327" s="245"/>
      <c r="X327" s="245"/>
      <c r="Y327" s="245"/>
      <c r="Z327" s="245"/>
      <c r="AA327" s="245"/>
      <c r="AB327" s="246"/>
      <c r="AC327" s="541" t="str">
        <f ca="1">"附单据数︵"&amp;INDEX(凭证录入!$D:$D,$AD$17)&amp;"︶张"</f>
        <v>附单据数︵4︶张</v>
      </c>
      <c r="AD327" s="235"/>
    </row>
    <row r="328" spans="1:30" s="45" customFormat="1" ht="22.5" customHeight="1">
      <c r="A328" s="248" t="s">
        <v>767</v>
      </c>
      <c r="B328" s="543"/>
      <c r="C328" s="249" t="s">
        <v>768</v>
      </c>
      <c r="D328" s="250" t="s">
        <v>768</v>
      </c>
      <c r="E328" s="540"/>
      <c r="F328" s="540"/>
      <c r="G328" s="251" t="s">
        <v>769</v>
      </c>
      <c r="H328" s="252" t="s">
        <v>770</v>
      </c>
      <c r="I328" s="253" t="s">
        <v>771</v>
      </c>
      <c r="J328" s="254" t="s">
        <v>772</v>
      </c>
      <c r="K328" s="252" t="s">
        <v>773</v>
      </c>
      <c r="L328" s="253" t="s">
        <v>770</v>
      </c>
      <c r="M328" s="254" t="s">
        <v>771</v>
      </c>
      <c r="N328" s="252" t="s">
        <v>772</v>
      </c>
      <c r="O328" s="253" t="s">
        <v>774</v>
      </c>
      <c r="P328" s="254" t="s">
        <v>775</v>
      </c>
      <c r="Q328" s="255" t="s">
        <v>776</v>
      </c>
      <c r="R328" s="256" t="s">
        <v>769</v>
      </c>
      <c r="S328" s="252" t="s">
        <v>770</v>
      </c>
      <c r="T328" s="257" t="s">
        <v>771</v>
      </c>
      <c r="U328" s="256" t="s">
        <v>772</v>
      </c>
      <c r="V328" s="252" t="s">
        <v>773</v>
      </c>
      <c r="W328" s="253" t="s">
        <v>770</v>
      </c>
      <c r="X328" s="254" t="s">
        <v>771</v>
      </c>
      <c r="Y328" s="252" t="s">
        <v>772</v>
      </c>
      <c r="Z328" s="253" t="s">
        <v>774</v>
      </c>
      <c r="AA328" s="254" t="s">
        <v>775</v>
      </c>
      <c r="AB328" s="255" t="s">
        <v>776</v>
      </c>
      <c r="AC328" s="541"/>
    </row>
    <row r="329" spans="1:30" s="45" customFormat="1" ht="22.5" customHeight="1">
      <c r="A329" s="258" t="str">
        <f ca="1">IFERROR(INDEX(凭证录入!H:H,$AD329),"")</f>
        <v/>
      </c>
      <c r="B329" s="259" t="str">
        <f ca="1">IFERROR(INDEX(凭证录入!I:I,$AD329),"")</f>
        <v/>
      </c>
      <c r="C329" s="260" t="str">
        <f ca="1">IFERROR(VLOOKUP($B329,会计科目表!$A:$C,2,),"")</f>
        <v/>
      </c>
      <c r="D329" s="261" t="str">
        <f ca="1">IFERROR(VLOOKUP($B329,会计科目表!$A:$C,3,),"")</f>
        <v/>
      </c>
      <c r="E329" s="262">
        <f ca="1">IFERROR(INDEX(凭证录入!K:K,$AD329),0)</f>
        <v>0</v>
      </c>
      <c r="F329" s="262">
        <f ca="1">IFERROR(INDEX(凭证录入!L:L,$AD329),0)</f>
        <v>0</v>
      </c>
      <c r="G329" s="263" t="str">
        <f t="shared" ca="1" si="120"/>
        <v/>
      </c>
      <c r="H329" s="264" t="str">
        <f t="shared" ca="1" si="120"/>
        <v/>
      </c>
      <c r="I329" s="265" t="str">
        <f t="shared" ca="1" si="120"/>
        <v/>
      </c>
      <c r="J329" s="266" t="str">
        <f t="shared" ca="1" si="120"/>
        <v/>
      </c>
      <c r="K329" s="264" t="str">
        <f t="shared" ca="1" si="120"/>
        <v/>
      </c>
      <c r="L329" s="265" t="str">
        <f t="shared" ca="1" si="120"/>
        <v/>
      </c>
      <c r="M329" s="266" t="str">
        <f t="shared" ca="1" si="120"/>
        <v/>
      </c>
      <c r="N329" s="264" t="str">
        <f t="shared" ca="1" si="120"/>
        <v/>
      </c>
      <c r="O329" s="265" t="str">
        <f t="shared" ca="1" si="120"/>
        <v/>
      </c>
      <c r="P329" s="266" t="str">
        <f t="shared" ca="1" si="120"/>
        <v/>
      </c>
      <c r="Q329" s="267" t="str">
        <f t="shared" ca="1" si="120"/>
        <v/>
      </c>
      <c r="R329" s="268" t="str">
        <f t="shared" ca="1" si="121"/>
        <v/>
      </c>
      <c r="S329" s="264" t="str">
        <f t="shared" ca="1" si="121"/>
        <v/>
      </c>
      <c r="T329" s="269" t="str">
        <f t="shared" ca="1" si="121"/>
        <v/>
      </c>
      <c r="U329" s="268" t="str">
        <f t="shared" ca="1" si="121"/>
        <v/>
      </c>
      <c r="V329" s="264" t="str">
        <f t="shared" ca="1" si="121"/>
        <v/>
      </c>
      <c r="W329" s="265" t="str">
        <f t="shared" ca="1" si="121"/>
        <v/>
      </c>
      <c r="X329" s="266" t="str">
        <f t="shared" ca="1" si="121"/>
        <v/>
      </c>
      <c r="Y329" s="264" t="str">
        <f t="shared" ca="1" si="121"/>
        <v/>
      </c>
      <c r="Z329" s="265" t="str">
        <f t="shared" ca="1" si="121"/>
        <v/>
      </c>
      <c r="AA329" s="266" t="str">
        <f t="shared" ca="1" si="121"/>
        <v/>
      </c>
      <c r="AB329" s="267" t="str">
        <f t="shared" ca="1" si="121"/>
        <v/>
      </c>
      <c r="AC329" s="541"/>
      <c r="AD329" s="212" t="str">
        <f t="shared" ca="1" si="113"/>
        <v/>
      </c>
    </row>
    <row r="330" spans="1:30" s="45" customFormat="1" ht="22.5" customHeight="1">
      <c r="A330" s="258" t="str">
        <f ca="1">IFERROR(INDEX(凭证录入!H:H,$AD330),"")</f>
        <v/>
      </c>
      <c r="B330" s="259" t="str">
        <f ca="1">IFERROR(INDEX(凭证录入!I:I,$AD330),"")</f>
        <v/>
      </c>
      <c r="C330" s="260" t="str">
        <f ca="1">IFERROR(VLOOKUP($B330,会计科目表!$A:$C,2,),"")</f>
        <v/>
      </c>
      <c r="D330" s="261" t="str">
        <f ca="1">IFERROR(VLOOKUP($B330,会计科目表!$A:$C,3,),"")</f>
        <v/>
      </c>
      <c r="E330" s="262">
        <f ca="1">IFERROR(INDEX(凭证录入!K:K,$AD330),0)</f>
        <v>0</v>
      </c>
      <c r="F330" s="262">
        <f ca="1">IFERROR(INDEX(凭证录入!L:L,$AD330),0)</f>
        <v>0</v>
      </c>
      <c r="G330" s="263" t="str">
        <f t="shared" ca="1" si="120"/>
        <v/>
      </c>
      <c r="H330" s="264" t="str">
        <f t="shared" ca="1" si="120"/>
        <v/>
      </c>
      <c r="I330" s="265" t="str">
        <f t="shared" ca="1" si="120"/>
        <v/>
      </c>
      <c r="J330" s="266" t="str">
        <f t="shared" ca="1" si="120"/>
        <v/>
      </c>
      <c r="K330" s="264" t="str">
        <f t="shared" ca="1" si="120"/>
        <v/>
      </c>
      <c r="L330" s="265" t="str">
        <f t="shared" ca="1" si="120"/>
        <v/>
      </c>
      <c r="M330" s="266" t="str">
        <f t="shared" ca="1" si="120"/>
        <v/>
      </c>
      <c r="N330" s="264" t="str">
        <f t="shared" ca="1" si="120"/>
        <v/>
      </c>
      <c r="O330" s="265" t="str">
        <f t="shared" ca="1" si="120"/>
        <v/>
      </c>
      <c r="P330" s="266" t="str">
        <f t="shared" ca="1" si="120"/>
        <v/>
      </c>
      <c r="Q330" s="267" t="str">
        <f t="shared" ca="1" si="120"/>
        <v/>
      </c>
      <c r="R330" s="268" t="str">
        <f t="shared" ca="1" si="121"/>
        <v/>
      </c>
      <c r="S330" s="264" t="str">
        <f t="shared" ca="1" si="121"/>
        <v/>
      </c>
      <c r="T330" s="269" t="str">
        <f t="shared" ca="1" si="121"/>
        <v/>
      </c>
      <c r="U330" s="268" t="str">
        <f t="shared" ca="1" si="121"/>
        <v/>
      </c>
      <c r="V330" s="264" t="str">
        <f t="shared" ca="1" si="121"/>
        <v/>
      </c>
      <c r="W330" s="265" t="str">
        <f t="shared" ca="1" si="121"/>
        <v/>
      </c>
      <c r="X330" s="266" t="str">
        <f t="shared" ca="1" si="121"/>
        <v/>
      </c>
      <c r="Y330" s="264" t="str">
        <f t="shared" ca="1" si="121"/>
        <v/>
      </c>
      <c r="Z330" s="265" t="str">
        <f t="shared" ca="1" si="121"/>
        <v/>
      </c>
      <c r="AA330" s="266" t="str">
        <f t="shared" ca="1" si="121"/>
        <v/>
      </c>
      <c r="AB330" s="267" t="str">
        <f t="shared" ca="1" si="121"/>
        <v/>
      </c>
      <c r="AC330" s="541"/>
      <c r="AD330" s="212" t="str">
        <f t="shared" ca="1" si="113"/>
        <v/>
      </c>
    </row>
    <row r="331" spans="1:30" s="45" customFormat="1" ht="22.5" customHeight="1">
      <c r="A331" s="258" t="str">
        <f ca="1">IFERROR(INDEX(凭证录入!H:H,$AD331),"")</f>
        <v/>
      </c>
      <c r="B331" s="259" t="str">
        <f ca="1">IFERROR(INDEX(凭证录入!I:I,$AD331),"")</f>
        <v/>
      </c>
      <c r="C331" s="260" t="str">
        <f ca="1">IFERROR(VLOOKUP($B331,会计科目表!$A:$C,2,),"")</f>
        <v/>
      </c>
      <c r="D331" s="261" t="str">
        <f ca="1">IFERROR(VLOOKUP($B331,会计科目表!$A:$C,3,),"")</f>
        <v/>
      </c>
      <c r="E331" s="262">
        <f ca="1">IFERROR(INDEX(凭证录入!K:K,$AD331),0)</f>
        <v>0</v>
      </c>
      <c r="F331" s="262">
        <f ca="1">IFERROR(INDEX(凭证录入!L:L,$AD331),0)</f>
        <v>0</v>
      </c>
      <c r="G331" s="263" t="str">
        <f t="shared" ca="1" si="120"/>
        <v/>
      </c>
      <c r="H331" s="264" t="str">
        <f t="shared" ca="1" si="120"/>
        <v/>
      </c>
      <c r="I331" s="265" t="str">
        <f t="shared" ca="1" si="120"/>
        <v/>
      </c>
      <c r="J331" s="266" t="str">
        <f t="shared" ca="1" si="120"/>
        <v/>
      </c>
      <c r="K331" s="264" t="str">
        <f t="shared" ca="1" si="120"/>
        <v/>
      </c>
      <c r="L331" s="265" t="str">
        <f t="shared" ca="1" si="120"/>
        <v/>
      </c>
      <c r="M331" s="266" t="str">
        <f t="shared" ca="1" si="120"/>
        <v/>
      </c>
      <c r="N331" s="264" t="str">
        <f t="shared" ca="1" si="120"/>
        <v/>
      </c>
      <c r="O331" s="265" t="str">
        <f t="shared" ca="1" si="120"/>
        <v/>
      </c>
      <c r="P331" s="266" t="str">
        <f t="shared" ca="1" si="120"/>
        <v/>
      </c>
      <c r="Q331" s="267" t="str">
        <f t="shared" ca="1" si="120"/>
        <v/>
      </c>
      <c r="R331" s="268" t="str">
        <f t="shared" ca="1" si="121"/>
        <v/>
      </c>
      <c r="S331" s="264" t="str">
        <f t="shared" ca="1" si="121"/>
        <v/>
      </c>
      <c r="T331" s="269" t="str">
        <f t="shared" ca="1" si="121"/>
        <v/>
      </c>
      <c r="U331" s="268" t="str">
        <f t="shared" ca="1" si="121"/>
        <v/>
      </c>
      <c r="V331" s="264" t="str">
        <f t="shared" ca="1" si="121"/>
        <v/>
      </c>
      <c r="W331" s="265" t="str">
        <f t="shared" ca="1" si="121"/>
        <v/>
      </c>
      <c r="X331" s="266" t="str">
        <f t="shared" ca="1" si="121"/>
        <v/>
      </c>
      <c r="Y331" s="264" t="str">
        <f t="shared" ca="1" si="121"/>
        <v/>
      </c>
      <c r="Z331" s="265" t="str">
        <f t="shared" ca="1" si="121"/>
        <v/>
      </c>
      <c r="AA331" s="266" t="str">
        <f t="shared" ca="1" si="121"/>
        <v/>
      </c>
      <c r="AB331" s="267" t="str">
        <f t="shared" ca="1" si="121"/>
        <v/>
      </c>
      <c r="AC331" s="536" t="s">
        <v>777</v>
      </c>
      <c r="AD331" s="212" t="str">
        <f t="shared" ca="1" si="113"/>
        <v/>
      </c>
    </row>
    <row r="332" spans="1:30" s="45" customFormat="1" ht="22.5" customHeight="1">
      <c r="A332" s="258" t="str">
        <f ca="1">IFERROR(INDEX(凭证录入!H:H,$AD332),"")</f>
        <v/>
      </c>
      <c r="B332" s="259" t="str">
        <f ca="1">IFERROR(INDEX(凭证录入!I:I,$AD332),"")</f>
        <v/>
      </c>
      <c r="C332" s="260" t="str">
        <f ca="1">IFERROR(VLOOKUP($B332,会计科目表!$A:$C,2,),"")</f>
        <v/>
      </c>
      <c r="D332" s="261" t="str">
        <f ca="1">IFERROR(VLOOKUP($B332,会计科目表!$A:$C,3,),"")</f>
        <v/>
      </c>
      <c r="E332" s="262">
        <f ca="1">IFERROR(INDEX(凭证录入!K:K,$AD332),0)</f>
        <v>0</v>
      </c>
      <c r="F332" s="262">
        <f ca="1">IFERROR(INDEX(凭证录入!L:L,$AD332),0)</f>
        <v>0</v>
      </c>
      <c r="G332" s="263" t="str">
        <f t="shared" ca="1" si="120"/>
        <v/>
      </c>
      <c r="H332" s="264" t="str">
        <f t="shared" ca="1" si="120"/>
        <v/>
      </c>
      <c r="I332" s="265" t="str">
        <f t="shared" ca="1" si="120"/>
        <v/>
      </c>
      <c r="J332" s="266" t="str">
        <f t="shared" ca="1" si="120"/>
        <v/>
      </c>
      <c r="K332" s="264" t="str">
        <f t="shared" ca="1" si="120"/>
        <v/>
      </c>
      <c r="L332" s="265" t="str">
        <f t="shared" ca="1" si="120"/>
        <v/>
      </c>
      <c r="M332" s="266" t="str">
        <f t="shared" ca="1" si="120"/>
        <v/>
      </c>
      <c r="N332" s="264" t="str">
        <f t="shared" ca="1" si="120"/>
        <v/>
      </c>
      <c r="O332" s="265" t="str">
        <f t="shared" ca="1" si="120"/>
        <v/>
      </c>
      <c r="P332" s="266" t="str">
        <f t="shared" ca="1" si="120"/>
        <v/>
      </c>
      <c r="Q332" s="267" t="str">
        <f t="shared" ca="1" si="120"/>
        <v/>
      </c>
      <c r="R332" s="268" t="str">
        <f t="shared" ca="1" si="121"/>
        <v/>
      </c>
      <c r="S332" s="264" t="str">
        <f t="shared" ca="1" si="121"/>
        <v/>
      </c>
      <c r="T332" s="269" t="str">
        <f t="shared" ca="1" si="121"/>
        <v/>
      </c>
      <c r="U332" s="268" t="str">
        <f t="shared" ca="1" si="121"/>
        <v/>
      </c>
      <c r="V332" s="264" t="str">
        <f t="shared" ca="1" si="121"/>
        <v/>
      </c>
      <c r="W332" s="265" t="str">
        <f t="shared" ca="1" si="121"/>
        <v/>
      </c>
      <c r="X332" s="266" t="str">
        <f t="shared" ca="1" si="121"/>
        <v/>
      </c>
      <c r="Y332" s="264" t="str">
        <f t="shared" ca="1" si="121"/>
        <v/>
      </c>
      <c r="Z332" s="265" t="str">
        <f t="shared" ca="1" si="121"/>
        <v/>
      </c>
      <c r="AA332" s="266" t="str">
        <f t="shared" ca="1" si="121"/>
        <v/>
      </c>
      <c r="AB332" s="267" t="str">
        <f t="shared" ca="1" si="121"/>
        <v/>
      </c>
      <c r="AC332" s="537"/>
      <c r="AD332" s="212" t="str">
        <f t="shared" ca="1" si="113"/>
        <v/>
      </c>
    </row>
    <row r="333" spans="1:30" s="45" customFormat="1" ht="22.5" customHeight="1">
      <c r="A333" s="258" t="str">
        <f ca="1">IFERROR(INDEX(凭证录入!H:H,$AD333),"")</f>
        <v/>
      </c>
      <c r="B333" s="259" t="str">
        <f ca="1">IFERROR(INDEX(凭证录入!I:I,$AD333),"")</f>
        <v/>
      </c>
      <c r="C333" s="260" t="str">
        <f ca="1">IFERROR(VLOOKUP($B333,会计科目表!$A:$C,2,),"")</f>
        <v/>
      </c>
      <c r="D333" s="261" t="str">
        <f ca="1">IFERROR(VLOOKUP($B333,会计科目表!$A:$C,3,),"")</f>
        <v/>
      </c>
      <c r="E333" s="262">
        <f ca="1">IFERROR(INDEX(凭证录入!K:K,$AD333),0)</f>
        <v>0</v>
      </c>
      <c r="F333" s="262">
        <f ca="1">IFERROR(INDEX(凭证录入!L:L,$AD333),0)</f>
        <v>0</v>
      </c>
      <c r="G333" s="263" t="str">
        <f t="shared" ca="1" si="120"/>
        <v/>
      </c>
      <c r="H333" s="264" t="str">
        <f t="shared" ca="1" si="120"/>
        <v/>
      </c>
      <c r="I333" s="265" t="str">
        <f t="shared" ca="1" si="120"/>
        <v/>
      </c>
      <c r="J333" s="266" t="str">
        <f t="shared" ca="1" si="120"/>
        <v/>
      </c>
      <c r="K333" s="264" t="str">
        <f t="shared" ca="1" si="120"/>
        <v/>
      </c>
      <c r="L333" s="265" t="str">
        <f t="shared" ca="1" si="120"/>
        <v/>
      </c>
      <c r="M333" s="266" t="str">
        <f t="shared" ca="1" si="120"/>
        <v/>
      </c>
      <c r="N333" s="264" t="str">
        <f t="shared" ca="1" si="120"/>
        <v/>
      </c>
      <c r="O333" s="265" t="str">
        <f t="shared" ca="1" si="120"/>
        <v/>
      </c>
      <c r="P333" s="266" t="str">
        <f t="shared" ca="1" si="120"/>
        <v/>
      </c>
      <c r="Q333" s="267" t="str">
        <f t="shared" ca="1" si="120"/>
        <v/>
      </c>
      <c r="R333" s="268" t="str">
        <f t="shared" ca="1" si="121"/>
        <v/>
      </c>
      <c r="S333" s="264" t="str">
        <f t="shared" ca="1" si="121"/>
        <v/>
      </c>
      <c r="T333" s="269" t="str">
        <f t="shared" ca="1" si="121"/>
        <v/>
      </c>
      <c r="U333" s="268" t="str">
        <f t="shared" ca="1" si="121"/>
        <v/>
      </c>
      <c r="V333" s="264" t="str">
        <f t="shared" ca="1" si="121"/>
        <v/>
      </c>
      <c r="W333" s="265" t="str">
        <f t="shared" ca="1" si="121"/>
        <v/>
      </c>
      <c r="X333" s="266" t="str">
        <f t="shared" ca="1" si="121"/>
        <v/>
      </c>
      <c r="Y333" s="264" t="str">
        <f t="shared" ca="1" si="121"/>
        <v/>
      </c>
      <c r="Z333" s="265" t="str">
        <f t="shared" ca="1" si="121"/>
        <v/>
      </c>
      <c r="AA333" s="266" t="str">
        <f t="shared" ca="1" si="121"/>
        <v/>
      </c>
      <c r="AB333" s="267" t="str">
        <f t="shared" ca="1" si="121"/>
        <v/>
      </c>
      <c r="AC333" s="538"/>
      <c r="AD333" s="212" t="str">
        <f t="shared" ca="1" si="113"/>
        <v/>
      </c>
    </row>
    <row r="334" spans="1:30" s="45" customFormat="1" ht="22.5" customHeight="1">
      <c r="A334" s="258" t="str">
        <f ca="1">IFERROR(INDEX(凭证录入!H:H,$AD334),"")</f>
        <v/>
      </c>
      <c r="B334" s="259" t="str">
        <f ca="1">IFERROR(INDEX(凭证录入!I:I,$AD334),"")</f>
        <v/>
      </c>
      <c r="C334" s="260" t="str">
        <f ca="1">IFERROR(VLOOKUP($B334,会计科目表!$A:$C,2,),"")</f>
        <v/>
      </c>
      <c r="D334" s="261" t="str">
        <f ca="1">IFERROR(VLOOKUP($B334,会计科目表!$A:$C,3,),"")</f>
        <v/>
      </c>
      <c r="E334" s="262">
        <f ca="1">IFERROR(INDEX(凭证录入!K:K,$AD334),0)</f>
        <v>0</v>
      </c>
      <c r="F334" s="262">
        <f ca="1">IFERROR(INDEX(凭证录入!L:L,$AD334),0)</f>
        <v>0</v>
      </c>
      <c r="G334" s="263" t="str">
        <f t="shared" ca="1" si="120"/>
        <v/>
      </c>
      <c r="H334" s="264" t="str">
        <f t="shared" ca="1" si="120"/>
        <v/>
      </c>
      <c r="I334" s="265" t="str">
        <f t="shared" ca="1" si="120"/>
        <v/>
      </c>
      <c r="J334" s="266" t="str">
        <f t="shared" ca="1" si="120"/>
        <v/>
      </c>
      <c r="K334" s="264" t="str">
        <f t="shared" ca="1" si="120"/>
        <v/>
      </c>
      <c r="L334" s="265" t="str">
        <f t="shared" ca="1" si="120"/>
        <v/>
      </c>
      <c r="M334" s="266" t="str">
        <f t="shared" ca="1" si="120"/>
        <v/>
      </c>
      <c r="N334" s="264" t="str">
        <f t="shared" ca="1" si="120"/>
        <v/>
      </c>
      <c r="O334" s="265" t="str">
        <f t="shared" ca="1" si="120"/>
        <v/>
      </c>
      <c r="P334" s="266" t="str">
        <f t="shared" ca="1" si="120"/>
        <v/>
      </c>
      <c r="Q334" s="267" t="str">
        <f t="shared" ca="1" si="120"/>
        <v/>
      </c>
      <c r="R334" s="268" t="str">
        <f t="shared" ca="1" si="121"/>
        <v/>
      </c>
      <c r="S334" s="264" t="str">
        <f t="shared" ca="1" si="121"/>
        <v/>
      </c>
      <c r="T334" s="269" t="str">
        <f t="shared" ca="1" si="121"/>
        <v/>
      </c>
      <c r="U334" s="268" t="str">
        <f t="shared" ca="1" si="121"/>
        <v/>
      </c>
      <c r="V334" s="264" t="str">
        <f t="shared" ca="1" si="121"/>
        <v/>
      </c>
      <c r="W334" s="265" t="str">
        <f t="shared" ca="1" si="121"/>
        <v/>
      </c>
      <c r="X334" s="266" t="str">
        <f t="shared" ca="1" si="121"/>
        <v/>
      </c>
      <c r="Y334" s="264" t="str">
        <f t="shared" ca="1" si="121"/>
        <v/>
      </c>
      <c r="Z334" s="265" t="str">
        <f t="shared" ca="1" si="121"/>
        <v/>
      </c>
      <c r="AA334" s="266" t="str">
        <f t="shared" ca="1" si="121"/>
        <v/>
      </c>
      <c r="AB334" s="267" t="str">
        <f t="shared" ca="1" si="121"/>
        <v/>
      </c>
      <c r="AC334" s="538"/>
      <c r="AD334" s="212" t="str">
        <f t="shared" ca="1" si="113"/>
        <v/>
      </c>
    </row>
    <row r="335" spans="1:30" s="45" customFormat="1" ht="22.5" customHeight="1">
      <c r="A335" s="270" t="s">
        <v>778</v>
      </c>
      <c r="B335" s="271"/>
      <c r="C335" s="272" t="str">
        <f t="shared" ref="C335" ca="1" si="127">SUBSTITUTE(SUBSTITUTE(IF(-DOLLAR(E335),IF(E335&gt;0,,"负")&amp;TEXT(INT(ABS(E335)+0.5%),"[dbnum2]G/通用格式元;;")&amp;TEXT(RIGHT(DOLLAR(E335,2),2),"[dbnum2]0角0分;;整"),),"零角",IF(E335^2&lt;1,,"零")),"零分","整")</f>
        <v/>
      </c>
      <c r="D335" s="273"/>
      <c r="E335" s="274">
        <f t="shared" ref="E335:F335" ca="1" si="128">SUM(E329:E334)</f>
        <v>0</v>
      </c>
      <c r="F335" s="275">
        <f t="shared" ca="1" si="128"/>
        <v>0</v>
      </c>
      <c r="G335" s="276" t="str">
        <f t="shared" ca="1" si="120"/>
        <v/>
      </c>
      <c r="H335" s="277" t="str">
        <f t="shared" ca="1" si="120"/>
        <v/>
      </c>
      <c r="I335" s="278" t="str">
        <f t="shared" ca="1" si="120"/>
        <v/>
      </c>
      <c r="J335" s="279" t="str">
        <f t="shared" ca="1" si="120"/>
        <v/>
      </c>
      <c r="K335" s="277" t="str">
        <f t="shared" ca="1" si="120"/>
        <v/>
      </c>
      <c r="L335" s="278" t="str">
        <f t="shared" ca="1" si="120"/>
        <v/>
      </c>
      <c r="M335" s="279" t="str">
        <f t="shared" ca="1" si="120"/>
        <v/>
      </c>
      <c r="N335" s="277" t="str">
        <f t="shared" ca="1" si="120"/>
        <v/>
      </c>
      <c r="O335" s="278" t="str">
        <f t="shared" ca="1" si="120"/>
        <v/>
      </c>
      <c r="P335" s="279" t="str">
        <f t="shared" ca="1" si="120"/>
        <v/>
      </c>
      <c r="Q335" s="280" t="str">
        <f t="shared" ca="1" si="120"/>
        <v/>
      </c>
      <c r="R335" s="281" t="str">
        <f t="shared" ca="1" si="121"/>
        <v/>
      </c>
      <c r="S335" s="277" t="str">
        <f t="shared" ca="1" si="121"/>
        <v/>
      </c>
      <c r="T335" s="282" t="str">
        <f t="shared" ca="1" si="121"/>
        <v/>
      </c>
      <c r="U335" s="281" t="str">
        <f t="shared" ca="1" si="121"/>
        <v/>
      </c>
      <c r="V335" s="277" t="str">
        <f t="shared" ca="1" si="121"/>
        <v/>
      </c>
      <c r="W335" s="278" t="str">
        <f t="shared" ca="1" si="121"/>
        <v/>
      </c>
      <c r="X335" s="279" t="str">
        <f t="shared" ca="1" si="121"/>
        <v/>
      </c>
      <c r="Y335" s="277" t="str">
        <f t="shared" ca="1" si="121"/>
        <v/>
      </c>
      <c r="Z335" s="278" t="str">
        <f t="shared" ca="1" si="121"/>
        <v/>
      </c>
      <c r="AA335" s="279" t="str">
        <f t="shared" ca="1" si="121"/>
        <v/>
      </c>
      <c r="AB335" s="280" t="str">
        <f t="shared" ca="1" si="121"/>
        <v/>
      </c>
      <c r="AC335" s="283"/>
      <c r="AD335" s="212"/>
    </row>
    <row r="336" spans="1:30" s="22" customFormat="1" ht="22.5" customHeight="1">
      <c r="A336" s="284" t="s">
        <v>779</v>
      </c>
      <c r="B336" s="284"/>
      <c r="C336" s="284"/>
      <c r="D336" s="284" t="s">
        <v>780</v>
      </c>
      <c r="E336" s="284"/>
      <c r="F336" s="284"/>
      <c r="G336" s="284"/>
      <c r="H336" s="285"/>
      <c r="I336" s="284"/>
      <c r="J336" s="285"/>
      <c r="K336" s="285"/>
      <c r="L336" s="284"/>
      <c r="M336" s="285"/>
      <c r="N336" s="285"/>
      <c r="O336" s="285"/>
      <c r="P336" s="284"/>
      <c r="Q336" s="284" t="s">
        <v>781</v>
      </c>
      <c r="R336" s="284"/>
      <c r="S336" s="284"/>
      <c r="T336" s="284"/>
      <c r="U336" s="285"/>
      <c r="V336" s="284"/>
      <c r="W336" s="285"/>
      <c r="X336" s="284"/>
      <c r="Y336" s="284"/>
      <c r="Z336" s="285"/>
      <c r="AA336" s="285"/>
      <c r="AB336" s="285"/>
      <c r="AC336" s="286"/>
      <c r="AD336" s="212"/>
    </row>
    <row r="337" spans="1:30" ht="39.75" customHeight="1" thickBot="1">
      <c r="A337" s="226"/>
      <c r="B337" s="226"/>
      <c r="C337" s="227" t="s">
        <v>782</v>
      </c>
      <c r="D337" s="228"/>
      <c r="E337" s="226"/>
      <c r="F337" s="226"/>
      <c r="G337" s="228"/>
      <c r="H337" s="228"/>
      <c r="I337" s="228"/>
      <c r="J337" s="228"/>
      <c r="K337" s="228"/>
      <c r="L337" s="228"/>
      <c r="M337" s="228"/>
      <c r="N337" s="228"/>
      <c r="O337" s="228"/>
      <c r="P337" s="228"/>
      <c r="Q337" s="228"/>
      <c r="R337" s="229" t="s">
        <v>783</v>
      </c>
      <c r="S337" s="230"/>
      <c r="T337" s="230"/>
      <c r="U337" s="231" t="e">
        <f ca="1">DATE(AD$1,AF$1,INDEX(凭证录入!B:B,AD341))</f>
        <v>#VALUE!</v>
      </c>
      <c r="V337" s="232"/>
      <c r="W337" s="232"/>
      <c r="X337" s="232"/>
      <c r="Y337" s="232"/>
      <c r="Z337" s="232"/>
      <c r="AA337" s="232"/>
      <c r="AB337" s="232"/>
      <c r="AD337" s="212"/>
    </row>
    <row r="338" spans="1:30" s="45" customFormat="1" ht="23.25" customHeight="1" thickTop="1">
      <c r="A338" s="235" t="s">
        <v>784</v>
      </c>
      <c r="B338" s="235"/>
      <c r="C338" s="236" t="str">
        <f t="shared" si="124"/>
        <v>远大开发有限公司</v>
      </c>
      <c r="D338" s="236"/>
      <c r="E338" s="236"/>
      <c r="F338" s="236"/>
      <c r="G338" s="236"/>
      <c r="H338" s="236"/>
      <c r="I338" s="236"/>
      <c r="J338" s="236"/>
      <c r="K338" s="236"/>
      <c r="L338" s="236"/>
      <c r="M338" s="236"/>
      <c r="N338" s="236"/>
      <c r="O338" s="236"/>
      <c r="P338" s="236"/>
      <c r="Q338" s="236"/>
      <c r="R338" s="229" t="s">
        <v>785</v>
      </c>
      <c r="S338" s="229"/>
      <c r="T338" s="229"/>
      <c r="U338" s="237" t="str">
        <f t="shared" ref="U338" si="129">"第 "&amp;TEXT($AF$1,"00")&amp;TEXT($AC338,"0000 号")</f>
        <v>第 010029 号</v>
      </c>
      <c r="V338" s="237"/>
      <c r="W338" s="238"/>
      <c r="X338" s="238"/>
      <c r="Y338" s="238"/>
      <c r="Z338" s="238"/>
      <c r="AA338" s="238"/>
      <c r="AB338" s="238"/>
      <c r="AC338" s="239">
        <f t="shared" si="126"/>
        <v>29</v>
      </c>
      <c r="AD338" s="212"/>
    </row>
    <row r="339" spans="1:30" s="45" customFormat="1" ht="22.5" customHeight="1">
      <c r="A339" s="241" t="s">
        <v>786</v>
      </c>
      <c r="B339" s="542" t="s">
        <v>787</v>
      </c>
      <c r="C339" s="242" t="s">
        <v>788</v>
      </c>
      <c r="D339" s="243" t="s">
        <v>789</v>
      </c>
      <c r="E339" s="539" t="s">
        <v>790</v>
      </c>
      <c r="F339" s="539" t="s">
        <v>791</v>
      </c>
      <c r="G339" s="244" t="s">
        <v>792</v>
      </c>
      <c r="H339" s="245"/>
      <c r="I339" s="245"/>
      <c r="J339" s="245"/>
      <c r="K339" s="245"/>
      <c r="L339" s="245"/>
      <c r="M339" s="245"/>
      <c r="N339" s="245"/>
      <c r="O339" s="245"/>
      <c r="P339" s="245"/>
      <c r="Q339" s="246"/>
      <c r="R339" s="247" t="s">
        <v>793</v>
      </c>
      <c r="S339" s="245"/>
      <c r="T339" s="245"/>
      <c r="U339" s="245"/>
      <c r="V339" s="245"/>
      <c r="W339" s="245"/>
      <c r="X339" s="245"/>
      <c r="Y339" s="245"/>
      <c r="Z339" s="245"/>
      <c r="AA339" s="245"/>
      <c r="AB339" s="246"/>
      <c r="AC339" s="541" t="str">
        <f ca="1">"附单据数︵"&amp;INDEX(凭证录入!$D:$D,$AD$17)&amp;"︶张"</f>
        <v>附单据数︵4︶张</v>
      </c>
      <c r="AD339" s="235"/>
    </row>
    <row r="340" spans="1:30" s="45" customFormat="1" ht="22.5" customHeight="1">
      <c r="A340" s="248" t="s">
        <v>794</v>
      </c>
      <c r="B340" s="543"/>
      <c r="C340" s="249" t="s">
        <v>795</v>
      </c>
      <c r="D340" s="250" t="s">
        <v>795</v>
      </c>
      <c r="E340" s="540"/>
      <c r="F340" s="540"/>
      <c r="G340" s="251" t="s">
        <v>796</v>
      </c>
      <c r="H340" s="252" t="s">
        <v>797</v>
      </c>
      <c r="I340" s="253" t="s">
        <v>798</v>
      </c>
      <c r="J340" s="254" t="s">
        <v>799</v>
      </c>
      <c r="K340" s="252" t="s">
        <v>800</v>
      </c>
      <c r="L340" s="253" t="s">
        <v>797</v>
      </c>
      <c r="M340" s="254" t="s">
        <v>798</v>
      </c>
      <c r="N340" s="252" t="s">
        <v>799</v>
      </c>
      <c r="O340" s="253" t="s">
        <v>801</v>
      </c>
      <c r="P340" s="254" t="s">
        <v>802</v>
      </c>
      <c r="Q340" s="255" t="s">
        <v>803</v>
      </c>
      <c r="R340" s="256" t="s">
        <v>796</v>
      </c>
      <c r="S340" s="252" t="s">
        <v>797</v>
      </c>
      <c r="T340" s="257" t="s">
        <v>798</v>
      </c>
      <c r="U340" s="256" t="s">
        <v>799</v>
      </c>
      <c r="V340" s="252" t="s">
        <v>800</v>
      </c>
      <c r="W340" s="253" t="s">
        <v>797</v>
      </c>
      <c r="X340" s="254" t="s">
        <v>798</v>
      </c>
      <c r="Y340" s="252" t="s">
        <v>799</v>
      </c>
      <c r="Z340" s="253" t="s">
        <v>801</v>
      </c>
      <c r="AA340" s="254" t="s">
        <v>802</v>
      </c>
      <c r="AB340" s="255" t="s">
        <v>803</v>
      </c>
      <c r="AC340" s="541"/>
    </row>
    <row r="341" spans="1:30" s="45" customFormat="1" ht="22.5" customHeight="1">
      <c r="A341" s="258" t="str">
        <f ca="1">IFERROR(INDEX(凭证录入!H:H,$AD341),"")</f>
        <v/>
      </c>
      <c r="B341" s="259" t="str">
        <f ca="1">IFERROR(INDEX(凭证录入!I:I,$AD341),"")</f>
        <v/>
      </c>
      <c r="C341" s="260" t="str">
        <f ca="1">IFERROR(VLOOKUP($B341,会计科目表!$A:$C,2,),"")</f>
        <v/>
      </c>
      <c r="D341" s="261" t="str">
        <f ca="1">IFERROR(VLOOKUP($B341,会计科目表!$A:$C,3,),"")</f>
        <v/>
      </c>
      <c r="E341" s="262">
        <f ca="1">IFERROR(INDEX(凭证录入!K:K,$AD341),0)</f>
        <v>0</v>
      </c>
      <c r="F341" s="262">
        <f ca="1">IFERROR(INDEX(凭证录入!L:L,$AD341),0)</f>
        <v>0</v>
      </c>
      <c r="G341" s="263" t="str">
        <f t="shared" ca="1" si="120"/>
        <v/>
      </c>
      <c r="H341" s="264" t="str">
        <f t="shared" ca="1" si="120"/>
        <v/>
      </c>
      <c r="I341" s="265" t="str">
        <f t="shared" ca="1" si="120"/>
        <v/>
      </c>
      <c r="J341" s="266" t="str">
        <f t="shared" ca="1" si="120"/>
        <v/>
      </c>
      <c r="K341" s="264" t="str">
        <f t="shared" ca="1" si="120"/>
        <v/>
      </c>
      <c r="L341" s="265" t="str">
        <f t="shared" ca="1" si="120"/>
        <v/>
      </c>
      <c r="M341" s="266" t="str">
        <f t="shared" ca="1" si="120"/>
        <v/>
      </c>
      <c r="N341" s="264" t="str">
        <f t="shared" ca="1" si="120"/>
        <v/>
      </c>
      <c r="O341" s="265" t="str">
        <f t="shared" ca="1" si="120"/>
        <v/>
      </c>
      <c r="P341" s="266" t="str">
        <f t="shared" ca="1" si="120"/>
        <v/>
      </c>
      <c r="Q341" s="267" t="str">
        <f t="shared" ca="1" si="120"/>
        <v/>
      </c>
      <c r="R341" s="268" t="str">
        <f t="shared" ca="1" si="121"/>
        <v/>
      </c>
      <c r="S341" s="264" t="str">
        <f t="shared" ca="1" si="121"/>
        <v/>
      </c>
      <c r="T341" s="269" t="str">
        <f t="shared" ca="1" si="121"/>
        <v/>
      </c>
      <c r="U341" s="268" t="str">
        <f t="shared" ca="1" si="121"/>
        <v/>
      </c>
      <c r="V341" s="264" t="str">
        <f t="shared" ca="1" si="121"/>
        <v/>
      </c>
      <c r="W341" s="265" t="str">
        <f t="shared" ca="1" si="121"/>
        <v/>
      </c>
      <c r="X341" s="266" t="str">
        <f t="shared" ca="1" si="121"/>
        <v/>
      </c>
      <c r="Y341" s="264" t="str">
        <f t="shared" ca="1" si="121"/>
        <v/>
      </c>
      <c r="Z341" s="265" t="str">
        <f t="shared" ca="1" si="121"/>
        <v/>
      </c>
      <c r="AA341" s="266" t="str">
        <f t="shared" ca="1" si="121"/>
        <v/>
      </c>
      <c r="AB341" s="267" t="str">
        <f t="shared" ca="1" si="121"/>
        <v/>
      </c>
      <c r="AC341" s="541"/>
      <c r="AD341" s="212" t="str">
        <f t="shared" ca="1" si="113"/>
        <v/>
      </c>
    </row>
    <row r="342" spans="1:30" s="45" customFormat="1" ht="22.5" customHeight="1">
      <c r="A342" s="258" t="str">
        <f ca="1">IFERROR(INDEX(凭证录入!H:H,$AD342),"")</f>
        <v/>
      </c>
      <c r="B342" s="259" t="str">
        <f ca="1">IFERROR(INDEX(凭证录入!I:I,$AD342),"")</f>
        <v/>
      </c>
      <c r="C342" s="260" t="str">
        <f ca="1">IFERROR(VLOOKUP($B342,会计科目表!$A:$C,2,),"")</f>
        <v/>
      </c>
      <c r="D342" s="261" t="str">
        <f ca="1">IFERROR(VLOOKUP($B342,会计科目表!$A:$C,3,),"")</f>
        <v/>
      </c>
      <c r="E342" s="262">
        <f ca="1">IFERROR(INDEX(凭证录入!K:K,$AD342),0)</f>
        <v>0</v>
      </c>
      <c r="F342" s="262">
        <f ca="1">IFERROR(INDEX(凭证录入!L:L,$AD342),0)</f>
        <v>0</v>
      </c>
      <c r="G342" s="263" t="str">
        <f t="shared" ca="1" si="120"/>
        <v/>
      </c>
      <c r="H342" s="264" t="str">
        <f t="shared" ca="1" si="120"/>
        <v/>
      </c>
      <c r="I342" s="265" t="str">
        <f t="shared" ca="1" si="120"/>
        <v/>
      </c>
      <c r="J342" s="266" t="str">
        <f t="shared" ca="1" si="120"/>
        <v/>
      </c>
      <c r="K342" s="264" t="str">
        <f t="shared" ca="1" si="120"/>
        <v/>
      </c>
      <c r="L342" s="265" t="str">
        <f t="shared" ca="1" si="120"/>
        <v/>
      </c>
      <c r="M342" s="266" t="str">
        <f t="shared" ca="1" si="120"/>
        <v/>
      </c>
      <c r="N342" s="264" t="str">
        <f t="shared" ca="1" si="120"/>
        <v/>
      </c>
      <c r="O342" s="265" t="str">
        <f t="shared" ca="1" si="120"/>
        <v/>
      </c>
      <c r="P342" s="266" t="str">
        <f t="shared" ca="1" si="120"/>
        <v/>
      </c>
      <c r="Q342" s="267" t="str">
        <f t="shared" ca="1" si="120"/>
        <v/>
      </c>
      <c r="R342" s="268" t="str">
        <f t="shared" ca="1" si="121"/>
        <v/>
      </c>
      <c r="S342" s="264" t="str">
        <f t="shared" ca="1" si="121"/>
        <v/>
      </c>
      <c r="T342" s="269" t="str">
        <f t="shared" ca="1" si="121"/>
        <v/>
      </c>
      <c r="U342" s="268" t="str">
        <f t="shared" ca="1" si="121"/>
        <v/>
      </c>
      <c r="V342" s="264" t="str">
        <f t="shared" ca="1" si="121"/>
        <v/>
      </c>
      <c r="W342" s="265" t="str">
        <f t="shared" ca="1" si="121"/>
        <v/>
      </c>
      <c r="X342" s="266" t="str">
        <f t="shared" ca="1" si="121"/>
        <v/>
      </c>
      <c r="Y342" s="264" t="str">
        <f t="shared" ca="1" si="121"/>
        <v/>
      </c>
      <c r="Z342" s="265" t="str">
        <f t="shared" ca="1" si="121"/>
        <v/>
      </c>
      <c r="AA342" s="266" t="str">
        <f t="shared" ca="1" si="121"/>
        <v/>
      </c>
      <c r="AB342" s="267" t="str">
        <f t="shared" ca="1" si="121"/>
        <v/>
      </c>
      <c r="AC342" s="541"/>
      <c r="AD342" s="212" t="str">
        <f t="shared" ca="1" si="113"/>
        <v/>
      </c>
    </row>
    <row r="343" spans="1:30" s="45" customFormat="1" ht="22.5" customHeight="1">
      <c r="A343" s="258" t="str">
        <f ca="1">IFERROR(INDEX(凭证录入!H:H,$AD343),"")</f>
        <v/>
      </c>
      <c r="B343" s="259" t="str">
        <f ca="1">IFERROR(INDEX(凭证录入!I:I,$AD343),"")</f>
        <v/>
      </c>
      <c r="C343" s="260" t="str">
        <f ca="1">IFERROR(VLOOKUP($B343,会计科目表!$A:$C,2,),"")</f>
        <v/>
      </c>
      <c r="D343" s="261" t="str">
        <f ca="1">IFERROR(VLOOKUP($B343,会计科目表!$A:$C,3,),"")</f>
        <v/>
      </c>
      <c r="E343" s="262">
        <f ca="1">IFERROR(INDEX(凭证录入!K:K,$AD343),0)</f>
        <v>0</v>
      </c>
      <c r="F343" s="262">
        <f ca="1">IFERROR(INDEX(凭证录入!L:L,$AD343),0)</f>
        <v>0</v>
      </c>
      <c r="G343" s="263" t="str">
        <f t="shared" ca="1" si="120"/>
        <v/>
      </c>
      <c r="H343" s="264" t="str">
        <f t="shared" ca="1" si="120"/>
        <v/>
      </c>
      <c r="I343" s="265" t="str">
        <f t="shared" ca="1" si="120"/>
        <v/>
      </c>
      <c r="J343" s="266" t="str">
        <f t="shared" ca="1" si="120"/>
        <v/>
      </c>
      <c r="K343" s="264" t="str">
        <f t="shared" ca="1" si="120"/>
        <v/>
      </c>
      <c r="L343" s="265" t="str">
        <f t="shared" ca="1" si="120"/>
        <v/>
      </c>
      <c r="M343" s="266" t="str">
        <f t="shared" ca="1" si="120"/>
        <v/>
      </c>
      <c r="N343" s="264" t="str">
        <f t="shared" ca="1" si="120"/>
        <v/>
      </c>
      <c r="O343" s="265" t="str">
        <f t="shared" ca="1" si="120"/>
        <v/>
      </c>
      <c r="P343" s="266" t="str">
        <f t="shared" ca="1" si="120"/>
        <v/>
      </c>
      <c r="Q343" s="267" t="str">
        <f t="shared" ca="1" si="120"/>
        <v/>
      </c>
      <c r="R343" s="268" t="str">
        <f t="shared" ca="1" si="121"/>
        <v/>
      </c>
      <c r="S343" s="264" t="str">
        <f t="shared" ca="1" si="121"/>
        <v/>
      </c>
      <c r="T343" s="269" t="str">
        <f t="shared" ca="1" si="121"/>
        <v/>
      </c>
      <c r="U343" s="268" t="str">
        <f t="shared" ca="1" si="121"/>
        <v/>
      </c>
      <c r="V343" s="264" t="str">
        <f t="shared" ca="1" si="121"/>
        <v/>
      </c>
      <c r="W343" s="265" t="str">
        <f t="shared" ca="1" si="121"/>
        <v/>
      </c>
      <c r="X343" s="266" t="str">
        <f t="shared" ca="1" si="121"/>
        <v/>
      </c>
      <c r="Y343" s="264" t="str">
        <f t="shared" ca="1" si="121"/>
        <v/>
      </c>
      <c r="Z343" s="265" t="str">
        <f t="shared" ca="1" si="121"/>
        <v/>
      </c>
      <c r="AA343" s="266" t="str">
        <f t="shared" ca="1" si="121"/>
        <v/>
      </c>
      <c r="AB343" s="267" t="str">
        <f t="shared" ca="1" si="121"/>
        <v/>
      </c>
      <c r="AC343" s="536" t="s">
        <v>804</v>
      </c>
      <c r="AD343" s="212" t="str">
        <f t="shared" ca="1" si="113"/>
        <v/>
      </c>
    </row>
    <row r="344" spans="1:30" s="45" customFormat="1" ht="22.5" customHeight="1">
      <c r="A344" s="258" t="str">
        <f ca="1">IFERROR(INDEX(凭证录入!H:H,$AD344),"")</f>
        <v/>
      </c>
      <c r="B344" s="259" t="str">
        <f ca="1">IFERROR(INDEX(凭证录入!I:I,$AD344),"")</f>
        <v/>
      </c>
      <c r="C344" s="260" t="str">
        <f ca="1">IFERROR(VLOOKUP($B344,会计科目表!$A:$C,2,),"")</f>
        <v/>
      </c>
      <c r="D344" s="261" t="str">
        <f ca="1">IFERROR(VLOOKUP($B344,会计科目表!$A:$C,3,),"")</f>
        <v/>
      </c>
      <c r="E344" s="262">
        <f ca="1">IFERROR(INDEX(凭证录入!K:K,$AD344),0)</f>
        <v>0</v>
      </c>
      <c r="F344" s="262">
        <f ca="1">IFERROR(INDEX(凭证录入!L:L,$AD344),0)</f>
        <v>0</v>
      </c>
      <c r="G344" s="263" t="str">
        <f t="shared" ca="1" si="120"/>
        <v/>
      </c>
      <c r="H344" s="264" t="str">
        <f t="shared" ca="1" si="120"/>
        <v/>
      </c>
      <c r="I344" s="265" t="str">
        <f t="shared" ca="1" si="120"/>
        <v/>
      </c>
      <c r="J344" s="266" t="str">
        <f t="shared" ca="1" si="120"/>
        <v/>
      </c>
      <c r="K344" s="264" t="str">
        <f t="shared" ca="1" si="120"/>
        <v/>
      </c>
      <c r="L344" s="265" t="str">
        <f t="shared" ca="1" si="120"/>
        <v/>
      </c>
      <c r="M344" s="266" t="str">
        <f t="shared" ca="1" si="120"/>
        <v/>
      </c>
      <c r="N344" s="264" t="str">
        <f t="shared" ca="1" si="120"/>
        <v/>
      </c>
      <c r="O344" s="265" t="str">
        <f t="shared" ca="1" si="120"/>
        <v/>
      </c>
      <c r="P344" s="266" t="str">
        <f t="shared" ca="1" si="120"/>
        <v/>
      </c>
      <c r="Q344" s="267" t="str">
        <f t="shared" ca="1" si="120"/>
        <v/>
      </c>
      <c r="R344" s="268" t="str">
        <f t="shared" ca="1" si="121"/>
        <v/>
      </c>
      <c r="S344" s="264" t="str">
        <f t="shared" ca="1" si="121"/>
        <v/>
      </c>
      <c r="T344" s="269" t="str">
        <f t="shared" ca="1" si="121"/>
        <v/>
      </c>
      <c r="U344" s="268" t="str">
        <f t="shared" ca="1" si="121"/>
        <v/>
      </c>
      <c r="V344" s="264" t="str">
        <f t="shared" ca="1" si="121"/>
        <v/>
      </c>
      <c r="W344" s="265" t="str">
        <f t="shared" ca="1" si="121"/>
        <v/>
      </c>
      <c r="X344" s="266" t="str">
        <f t="shared" ca="1" si="121"/>
        <v/>
      </c>
      <c r="Y344" s="264" t="str">
        <f t="shared" ca="1" si="121"/>
        <v/>
      </c>
      <c r="Z344" s="265" t="str">
        <f t="shared" ca="1" si="121"/>
        <v/>
      </c>
      <c r="AA344" s="266" t="str">
        <f t="shared" ca="1" si="121"/>
        <v/>
      </c>
      <c r="AB344" s="267" t="str">
        <f t="shared" ca="1" si="121"/>
        <v/>
      </c>
      <c r="AC344" s="537"/>
      <c r="AD344" s="212" t="str">
        <f t="shared" ca="1" si="113"/>
        <v/>
      </c>
    </row>
    <row r="345" spans="1:30" s="45" customFormat="1" ht="22.5" customHeight="1">
      <c r="A345" s="258" t="str">
        <f ca="1">IFERROR(INDEX(凭证录入!H:H,$AD345),"")</f>
        <v/>
      </c>
      <c r="B345" s="259" t="str">
        <f ca="1">IFERROR(INDEX(凭证录入!I:I,$AD345),"")</f>
        <v/>
      </c>
      <c r="C345" s="260" t="str">
        <f ca="1">IFERROR(VLOOKUP($B345,会计科目表!$A:$C,2,),"")</f>
        <v/>
      </c>
      <c r="D345" s="261" t="str">
        <f ca="1">IFERROR(VLOOKUP($B345,会计科目表!$A:$C,3,),"")</f>
        <v/>
      </c>
      <c r="E345" s="262">
        <f ca="1">IFERROR(INDEX(凭证录入!K:K,$AD345),0)</f>
        <v>0</v>
      </c>
      <c r="F345" s="262">
        <f ca="1">IFERROR(INDEX(凭证录入!L:L,$AD345),0)</f>
        <v>0</v>
      </c>
      <c r="G345" s="263" t="str">
        <f t="shared" ca="1" si="120"/>
        <v/>
      </c>
      <c r="H345" s="264" t="str">
        <f t="shared" ca="1" si="120"/>
        <v/>
      </c>
      <c r="I345" s="265" t="str">
        <f t="shared" ca="1" si="120"/>
        <v/>
      </c>
      <c r="J345" s="266" t="str">
        <f t="shared" ca="1" si="120"/>
        <v/>
      </c>
      <c r="K345" s="264" t="str">
        <f t="shared" ca="1" si="120"/>
        <v/>
      </c>
      <c r="L345" s="265" t="str">
        <f t="shared" ca="1" si="120"/>
        <v/>
      </c>
      <c r="M345" s="266" t="str">
        <f t="shared" ca="1" si="120"/>
        <v/>
      </c>
      <c r="N345" s="264" t="str">
        <f t="shared" ca="1" si="120"/>
        <v/>
      </c>
      <c r="O345" s="265" t="str">
        <f t="shared" ca="1" si="120"/>
        <v/>
      </c>
      <c r="P345" s="266" t="str">
        <f t="shared" ca="1" si="120"/>
        <v/>
      </c>
      <c r="Q345" s="267" t="str">
        <f t="shared" ca="1" si="120"/>
        <v/>
      </c>
      <c r="R345" s="268" t="str">
        <f t="shared" ca="1" si="121"/>
        <v/>
      </c>
      <c r="S345" s="264" t="str">
        <f t="shared" ca="1" si="121"/>
        <v/>
      </c>
      <c r="T345" s="269" t="str">
        <f t="shared" ca="1" si="121"/>
        <v/>
      </c>
      <c r="U345" s="268" t="str">
        <f t="shared" ca="1" si="121"/>
        <v/>
      </c>
      <c r="V345" s="264" t="str">
        <f t="shared" ca="1" si="121"/>
        <v/>
      </c>
      <c r="W345" s="265" t="str">
        <f t="shared" ca="1" si="121"/>
        <v/>
      </c>
      <c r="X345" s="266" t="str">
        <f t="shared" ca="1" si="121"/>
        <v/>
      </c>
      <c r="Y345" s="264" t="str">
        <f t="shared" ca="1" si="121"/>
        <v/>
      </c>
      <c r="Z345" s="265" t="str">
        <f t="shared" ca="1" si="121"/>
        <v/>
      </c>
      <c r="AA345" s="266" t="str">
        <f t="shared" ca="1" si="121"/>
        <v/>
      </c>
      <c r="AB345" s="267" t="str">
        <f t="shared" ca="1" si="121"/>
        <v/>
      </c>
      <c r="AC345" s="538"/>
      <c r="AD345" s="212" t="str">
        <f t="shared" ca="1" si="113"/>
        <v/>
      </c>
    </row>
    <row r="346" spans="1:30" s="45" customFormat="1" ht="22.5" customHeight="1">
      <c r="A346" s="258" t="str">
        <f ca="1">IFERROR(INDEX(凭证录入!H:H,$AD346),"")</f>
        <v/>
      </c>
      <c r="B346" s="259" t="str">
        <f ca="1">IFERROR(INDEX(凭证录入!I:I,$AD346),"")</f>
        <v/>
      </c>
      <c r="C346" s="260" t="str">
        <f ca="1">IFERROR(VLOOKUP($B346,会计科目表!$A:$C,2,),"")</f>
        <v/>
      </c>
      <c r="D346" s="261" t="str">
        <f ca="1">IFERROR(VLOOKUP($B346,会计科目表!$A:$C,3,),"")</f>
        <v/>
      </c>
      <c r="E346" s="262">
        <f ca="1">IFERROR(INDEX(凭证录入!K:K,$AD346),0)</f>
        <v>0</v>
      </c>
      <c r="F346" s="262">
        <f ca="1">IFERROR(INDEX(凭证录入!L:L,$AD346),0)</f>
        <v>0</v>
      </c>
      <c r="G346" s="263" t="str">
        <f t="shared" ca="1" si="120"/>
        <v/>
      </c>
      <c r="H346" s="264" t="str">
        <f t="shared" ca="1" si="120"/>
        <v/>
      </c>
      <c r="I346" s="265" t="str">
        <f t="shared" ca="1" si="120"/>
        <v/>
      </c>
      <c r="J346" s="266" t="str">
        <f t="shared" ca="1" si="120"/>
        <v/>
      </c>
      <c r="K346" s="264" t="str">
        <f t="shared" ca="1" si="120"/>
        <v/>
      </c>
      <c r="L346" s="265" t="str">
        <f t="shared" ca="1" si="120"/>
        <v/>
      </c>
      <c r="M346" s="266" t="str">
        <f t="shared" ca="1" si="120"/>
        <v/>
      </c>
      <c r="N346" s="264" t="str">
        <f t="shared" ca="1" si="120"/>
        <v/>
      </c>
      <c r="O346" s="265" t="str">
        <f t="shared" ca="1" si="120"/>
        <v/>
      </c>
      <c r="P346" s="266" t="str">
        <f t="shared" ca="1" si="120"/>
        <v/>
      </c>
      <c r="Q346" s="267" t="str">
        <f t="shared" ca="1" si="120"/>
        <v/>
      </c>
      <c r="R346" s="268" t="str">
        <f t="shared" ca="1" si="121"/>
        <v/>
      </c>
      <c r="S346" s="264" t="str">
        <f t="shared" ca="1" si="121"/>
        <v/>
      </c>
      <c r="T346" s="269" t="str">
        <f t="shared" ca="1" si="121"/>
        <v/>
      </c>
      <c r="U346" s="268" t="str">
        <f t="shared" ca="1" si="121"/>
        <v/>
      </c>
      <c r="V346" s="264" t="str">
        <f t="shared" ca="1" si="121"/>
        <v/>
      </c>
      <c r="W346" s="265" t="str">
        <f t="shared" ca="1" si="121"/>
        <v/>
      </c>
      <c r="X346" s="266" t="str">
        <f t="shared" ca="1" si="121"/>
        <v/>
      </c>
      <c r="Y346" s="264" t="str">
        <f t="shared" ca="1" si="121"/>
        <v/>
      </c>
      <c r="Z346" s="265" t="str">
        <f t="shared" ca="1" si="121"/>
        <v/>
      </c>
      <c r="AA346" s="266" t="str">
        <f t="shared" ca="1" si="121"/>
        <v/>
      </c>
      <c r="AB346" s="267" t="str">
        <f t="shared" ca="1" si="121"/>
        <v/>
      </c>
      <c r="AC346" s="538"/>
      <c r="AD346" s="212" t="str">
        <f t="shared" ca="1" si="113"/>
        <v/>
      </c>
    </row>
    <row r="347" spans="1:30" s="45" customFormat="1" ht="22.5" customHeight="1">
      <c r="A347" s="270" t="s">
        <v>805</v>
      </c>
      <c r="B347" s="271"/>
      <c r="C347" s="272" t="str">
        <f t="shared" ref="C347" ca="1" si="130">SUBSTITUTE(SUBSTITUTE(IF(-DOLLAR(E347),IF(E347&gt;0,,"负")&amp;TEXT(INT(ABS(E347)+0.5%),"[dbnum2]G/通用格式元;;")&amp;TEXT(RIGHT(DOLLAR(E347,2),2),"[dbnum2]0角0分;;整"),),"零角",IF(E347^2&lt;1,,"零")),"零分","整")</f>
        <v/>
      </c>
      <c r="D347" s="273"/>
      <c r="E347" s="274">
        <f t="shared" ref="E347:F347" ca="1" si="131">SUM(E341:E346)</f>
        <v>0</v>
      </c>
      <c r="F347" s="275">
        <f t="shared" ca="1" si="131"/>
        <v>0</v>
      </c>
      <c r="G347" s="276" t="str">
        <f t="shared" ca="1" si="120"/>
        <v/>
      </c>
      <c r="H347" s="277" t="str">
        <f t="shared" ca="1" si="120"/>
        <v/>
      </c>
      <c r="I347" s="278" t="str">
        <f t="shared" ca="1" si="120"/>
        <v/>
      </c>
      <c r="J347" s="279" t="str">
        <f t="shared" ca="1" si="120"/>
        <v/>
      </c>
      <c r="K347" s="277" t="str">
        <f t="shared" ca="1" si="120"/>
        <v/>
      </c>
      <c r="L347" s="278" t="str">
        <f t="shared" ca="1" si="120"/>
        <v/>
      </c>
      <c r="M347" s="279" t="str">
        <f t="shared" ca="1" si="120"/>
        <v/>
      </c>
      <c r="N347" s="277" t="str">
        <f t="shared" ca="1" si="120"/>
        <v/>
      </c>
      <c r="O347" s="278" t="str">
        <f t="shared" ca="1" si="120"/>
        <v/>
      </c>
      <c r="P347" s="279" t="str">
        <f t="shared" ca="1" si="120"/>
        <v/>
      </c>
      <c r="Q347" s="280" t="str">
        <f t="shared" ca="1" si="120"/>
        <v/>
      </c>
      <c r="R347" s="281" t="str">
        <f t="shared" ca="1" si="121"/>
        <v/>
      </c>
      <c r="S347" s="277" t="str">
        <f t="shared" ca="1" si="121"/>
        <v/>
      </c>
      <c r="T347" s="282" t="str">
        <f t="shared" ca="1" si="121"/>
        <v/>
      </c>
      <c r="U347" s="281" t="str">
        <f t="shared" ca="1" si="121"/>
        <v/>
      </c>
      <c r="V347" s="277" t="str">
        <f t="shared" ca="1" si="121"/>
        <v/>
      </c>
      <c r="W347" s="278" t="str">
        <f t="shared" ca="1" si="121"/>
        <v/>
      </c>
      <c r="X347" s="279" t="str">
        <f t="shared" ca="1" si="121"/>
        <v/>
      </c>
      <c r="Y347" s="277" t="str">
        <f t="shared" ca="1" si="121"/>
        <v/>
      </c>
      <c r="Z347" s="278" t="str">
        <f t="shared" ca="1" si="121"/>
        <v/>
      </c>
      <c r="AA347" s="279" t="str">
        <f t="shared" ca="1" si="121"/>
        <v/>
      </c>
      <c r="AB347" s="280" t="str">
        <f t="shared" ca="1" si="121"/>
        <v/>
      </c>
      <c r="AC347" s="283"/>
      <c r="AD347" s="212"/>
    </row>
    <row r="348" spans="1:30" s="22" customFormat="1" ht="22.5" customHeight="1">
      <c r="A348" s="284" t="s">
        <v>806</v>
      </c>
      <c r="B348" s="284"/>
      <c r="C348" s="284"/>
      <c r="D348" s="284" t="s">
        <v>807</v>
      </c>
      <c r="E348" s="284"/>
      <c r="F348" s="284"/>
      <c r="G348" s="284"/>
      <c r="H348" s="285"/>
      <c r="I348" s="284"/>
      <c r="J348" s="285"/>
      <c r="K348" s="285"/>
      <c r="L348" s="284"/>
      <c r="M348" s="285"/>
      <c r="N348" s="285"/>
      <c r="O348" s="285"/>
      <c r="P348" s="284"/>
      <c r="Q348" s="284" t="s">
        <v>808</v>
      </c>
      <c r="R348" s="284"/>
      <c r="S348" s="284"/>
      <c r="T348" s="284"/>
      <c r="U348" s="285"/>
      <c r="V348" s="284"/>
      <c r="W348" s="285"/>
      <c r="X348" s="284"/>
      <c r="Y348" s="284"/>
      <c r="Z348" s="285"/>
      <c r="AA348" s="285"/>
      <c r="AB348" s="285"/>
      <c r="AC348" s="286"/>
      <c r="AD348" s="212"/>
    </row>
    <row r="349" spans="1:30" ht="39.75" customHeight="1" thickBot="1">
      <c r="A349" s="226"/>
      <c r="B349" s="226"/>
      <c r="C349" s="227" t="s">
        <v>809</v>
      </c>
      <c r="D349" s="228"/>
      <c r="E349" s="226"/>
      <c r="F349" s="226"/>
      <c r="G349" s="228"/>
      <c r="H349" s="228"/>
      <c r="I349" s="228"/>
      <c r="J349" s="228"/>
      <c r="K349" s="228"/>
      <c r="L349" s="228"/>
      <c r="M349" s="228"/>
      <c r="N349" s="228"/>
      <c r="O349" s="228"/>
      <c r="P349" s="228"/>
      <c r="Q349" s="228"/>
      <c r="R349" s="229" t="s">
        <v>810</v>
      </c>
      <c r="S349" s="230"/>
      <c r="T349" s="230"/>
      <c r="U349" s="231" t="e">
        <f ca="1">DATE(AD$1,AF$1,INDEX(凭证录入!B:B,AD353))</f>
        <v>#VALUE!</v>
      </c>
      <c r="V349" s="232"/>
      <c r="W349" s="232"/>
      <c r="X349" s="232"/>
      <c r="Y349" s="232"/>
      <c r="Z349" s="232"/>
      <c r="AA349" s="232"/>
      <c r="AB349" s="232"/>
      <c r="AD349" s="212"/>
    </row>
    <row r="350" spans="1:30" s="45" customFormat="1" ht="23.25" customHeight="1" thickTop="1">
      <c r="A350" s="235" t="s">
        <v>811</v>
      </c>
      <c r="B350" s="235"/>
      <c r="C350" s="236" t="str">
        <f t="shared" si="124"/>
        <v>远大开发有限公司</v>
      </c>
      <c r="D350" s="236"/>
      <c r="E350" s="236"/>
      <c r="F350" s="236"/>
      <c r="G350" s="236"/>
      <c r="H350" s="236"/>
      <c r="I350" s="236"/>
      <c r="J350" s="236"/>
      <c r="K350" s="236"/>
      <c r="L350" s="236"/>
      <c r="M350" s="236"/>
      <c r="N350" s="236"/>
      <c r="O350" s="236"/>
      <c r="P350" s="236"/>
      <c r="Q350" s="236"/>
      <c r="R350" s="229" t="s">
        <v>812</v>
      </c>
      <c r="S350" s="229"/>
      <c r="T350" s="229"/>
      <c r="U350" s="237" t="str">
        <f t="shared" ref="U350" si="132">"第 "&amp;TEXT($AF$1,"00")&amp;TEXT($AC350,"0000 号")</f>
        <v>第 010030 号</v>
      </c>
      <c r="V350" s="237"/>
      <c r="W350" s="238"/>
      <c r="X350" s="238"/>
      <c r="Y350" s="238"/>
      <c r="Z350" s="238"/>
      <c r="AA350" s="238"/>
      <c r="AB350" s="238"/>
      <c r="AC350" s="239">
        <f t="shared" si="126"/>
        <v>30</v>
      </c>
      <c r="AD350" s="212"/>
    </row>
    <row r="351" spans="1:30" s="45" customFormat="1" ht="22.5" customHeight="1">
      <c r="A351" s="241" t="s">
        <v>813</v>
      </c>
      <c r="B351" s="542" t="s">
        <v>814</v>
      </c>
      <c r="C351" s="242" t="s">
        <v>815</v>
      </c>
      <c r="D351" s="243" t="s">
        <v>816</v>
      </c>
      <c r="E351" s="539" t="s">
        <v>817</v>
      </c>
      <c r="F351" s="539" t="s">
        <v>818</v>
      </c>
      <c r="G351" s="244" t="s">
        <v>819</v>
      </c>
      <c r="H351" s="245"/>
      <c r="I351" s="245"/>
      <c r="J351" s="245"/>
      <c r="K351" s="245"/>
      <c r="L351" s="245"/>
      <c r="M351" s="245"/>
      <c r="N351" s="245"/>
      <c r="O351" s="245"/>
      <c r="P351" s="245"/>
      <c r="Q351" s="246"/>
      <c r="R351" s="247" t="s">
        <v>820</v>
      </c>
      <c r="S351" s="245"/>
      <c r="T351" s="245"/>
      <c r="U351" s="245"/>
      <c r="V351" s="245"/>
      <c r="W351" s="245"/>
      <c r="X351" s="245"/>
      <c r="Y351" s="245"/>
      <c r="Z351" s="245"/>
      <c r="AA351" s="245"/>
      <c r="AB351" s="246"/>
      <c r="AC351" s="541" t="str">
        <f ca="1">"附单据数︵"&amp;INDEX(凭证录入!$D:$D,$AD$17)&amp;"︶张"</f>
        <v>附单据数︵4︶张</v>
      </c>
      <c r="AD351" s="235"/>
    </row>
    <row r="352" spans="1:30" s="45" customFormat="1" ht="22.5" customHeight="1">
      <c r="A352" s="248" t="s">
        <v>821</v>
      </c>
      <c r="B352" s="543"/>
      <c r="C352" s="249" t="s">
        <v>822</v>
      </c>
      <c r="D352" s="250" t="s">
        <v>822</v>
      </c>
      <c r="E352" s="540"/>
      <c r="F352" s="540"/>
      <c r="G352" s="251" t="s">
        <v>823</v>
      </c>
      <c r="H352" s="252" t="s">
        <v>824</v>
      </c>
      <c r="I352" s="253" t="s">
        <v>825</v>
      </c>
      <c r="J352" s="254" t="s">
        <v>826</v>
      </c>
      <c r="K352" s="252" t="s">
        <v>827</v>
      </c>
      <c r="L352" s="253" t="s">
        <v>824</v>
      </c>
      <c r="M352" s="254" t="s">
        <v>825</v>
      </c>
      <c r="N352" s="252" t="s">
        <v>826</v>
      </c>
      <c r="O352" s="253" t="s">
        <v>828</v>
      </c>
      <c r="P352" s="254" t="s">
        <v>829</v>
      </c>
      <c r="Q352" s="255" t="s">
        <v>830</v>
      </c>
      <c r="R352" s="256" t="s">
        <v>823</v>
      </c>
      <c r="S352" s="252" t="s">
        <v>824</v>
      </c>
      <c r="T352" s="257" t="s">
        <v>825</v>
      </c>
      <c r="U352" s="256" t="s">
        <v>826</v>
      </c>
      <c r="V352" s="252" t="s">
        <v>827</v>
      </c>
      <c r="W352" s="253" t="s">
        <v>824</v>
      </c>
      <c r="X352" s="254" t="s">
        <v>825</v>
      </c>
      <c r="Y352" s="252" t="s">
        <v>826</v>
      </c>
      <c r="Z352" s="253" t="s">
        <v>828</v>
      </c>
      <c r="AA352" s="254" t="s">
        <v>829</v>
      </c>
      <c r="AB352" s="255" t="s">
        <v>830</v>
      </c>
      <c r="AC352" s="541"/>
    </row>
    <row r="353" spans="1:30" s="45" customFormat="1" ht="22.5" customHeight="1">
      <c r="A353" s="258" t="str">
        <f ca="1">IFERROR(INDEX(凭证录入!H:H,$AD353),"")</f>
        <v/>
      </c>
      <c r="B353" s="259" t="str">
        <f ca="1">IFERROR(INDEX(凭证录入!I:I,$AD353),"")</f>
        <v/>
      </c>
      <c r="C353" s="260" t="str">
        <f ca="1">IFERROR(VLOOKUP($B353,会计科目表!$A:$C,2,),"")</f>
        <v/>
      </c>
      <c r="D353" s="261" t="str">
        <f ca="1">IFERROR(VLOOKUP($B353,会计科目表!$A:$C,3,),"")</f>
        <v/>
      </c>
      <c r="E353" s="262">
        <f ca="1">IFERROR(INDEX(凭证录入!K:K,$AD353),0)</f>
        <v>0</v>
      </c>
      <c r="F353" s="262">
        <f ca="1">IFERROR(INDEX(凭证录入!L:L,$AD353),0)</f>
        <v>0</v>
      </c>
      <c r="G353" s="263" t="str">
        <f t="shared" ca="1" si="120"/>
        <v/>
      </c>
      <c r="H353" s="264" t="str">
        <f t="shared" ca="1" si="120"/>
        <v/>
      </c>
      <c r="I353" s="265" t="str">
        <f t="shared" ca="1" si="120"/>
        <v/>
      </c>
      <c r="J353" s="266" t="str">
        <f t="shared" ca="1" si="120"/>
        <v/>
      </c>
      <c r="K353" s="264" t="str">
        <f t="shared" ca="1" si="120"/>
        <v/>
      </c>
      <c r="L353" s="265" t="str">
        <f t="shared" ca="1" si="120"/>
        <v/>
      </c>
      <c r="M353" s="266" t="str">
        <f t="shared" ca="1" si="120"/>
        <v/>
      </c>
      <c r="N353" s="264" t="str">
        <f t="shared" ca="1" si="120"/>
        <v/>
      </c>
      <c r="O353" s="265" t="str">
        <f t="shared" ca="1" si="120"/>
        <v/>
      </c>
      <c r="P353" s="266" t="str">
        <f t="shared" ca="1" si="120"/>
        <v/>
      </c>
      <c r="Q353" s="267" t="str">
        <f t="shared" ca="1" si="120"/>
        <v/>
      </c>
      <c r="R353" s="268" t="str">
        <f t="shared" ca="1" si="121"/>
        <v/>
      </c>
      <c r="S353" s="264" t="str">
        <f t="shared" ca="1" si="121"/>
        <v/>
      </c>
      <c r="T353" s="269" t="str">
        <f t="shared" ca="1" si="121"/>
        <v/>
      </c>
      <c r="U353" s="268" t="str">
        <f t="shared" ca="1" si="121"/>
        <v/>
      </c>
      <c r="V353" s="264" t="str">
        <f t="shared" ca="1" si="121"/>
        <v/>
      </c>
      <c r="W353" s="265" t="str">
        <f t="shared" ca="1" si="121"/>
        <v/>
      </c>
      <c r="X353" s="266" t="str">
        <f t="shared" ca="1" si="121"/>
        <v/>
      </c>
      <c r="Y353" s="264" t="str">
        <f t="shared" ca="1" si="121"/>
        <v/>
      </c>
      <c r="Z353" s="265" t="str">
        <f t="shared" ca="1" si="121"/>
        <v/>
      </c>
      <c r="AA353" s="266" t="str">
        <f t="shared" ca="1" si="121"/>
        <v/>
      </c>
      <c r="AB353" s="267" t="str">
        <f t="shared" ca="1" si="121"/>
        <v/>
      </c>
      <c r="AC353" s="541"/>
      <c r="AD353" s="212" t="str">
        <f t="shared" ca="1" si="113"/>
        <v/>
      </c>
    </row>
    <row r="354" spans="1:30" s="45" customFormat="1" ht="22.5" customHeight="1">
      <c r="A354" s="258" t="str">
        <f ca="1">IFERROR(INDEX(凭证录入!H:H,$AD354),"")</f>
        <v/>
      </c>
      <c r="B354" s="259" t="str">
        <f ca="1">IFERROR(INDEX(凭证录入!I:I,$AD354),"")</f>
        <v/>
      </c>
      <c r="C354" s="260" t="str">
        <f ca="1">IFERROR(VLOOKUP($B354,会计科目表!$A:$C,2,),"")</f>
        <v/>
      </c>
      <c r="D354" s="261" t="str">
        <f ca="1">IFERROR(VLOOKUP($B354,会计科目表!$A:$C,3,),"")</f>
        <v/>
      </c>
      <c r="E354" s="262">
        <f ca="1">IFERROR(INDEX(凭证录入!K:K,$AD354),0)</f>
        <v>0</v>
      </c>
      <c r="F354" s="262">
        <f ca="1">IFERROR(INDEX(凭证录入!L:L,$AD354),0)</f>
        <v>0</v>
      </c>
      <c r="G354" s="263" t="str">
        <f t="shared" ca="1" si="120"/>
        <v/>
      </c>
      <c r="H354" s="264" t="str">
        <f t="shared" ca="1" si="120"/>
        <v/>
      </c>
      <c r="I354" s="265" t="str">
        <f t="shared" ca="1" si="120"/>
        <v/>
      </c>
      <c r="J354" s="266" t="str">
        <f t="shared" ca="1" si="120"/>
        <v/>
      </c>
      <c r="K354" s="264" t="str">
        <f t="shared" ca="1" si="120"/>
        <v/>
      </c>
      <c r="L354" s="265" t="str">
        <f t="shared" ca="1" si="120"/>
        <v/>
      </c>
      <c r="M354" s="266" t="str">
        <f t="shared" ca="1" si="120"/>
        <v/>
      </c>
      <c r="N354" s="264" t="str">
        <f t="shared" ca="1" si="120"/>
        <v/>
      </c>
      <c r="O354" s="265" t="str">
        <f t="shared" ca="1" si="120"/>
        <v/>
      </c>
      <c r="P354" s="266" t="str">
        <f t="shared" ca="1" si="120"/>
        <v/>
      </c>
      <c r="Q354" s="267" t="str">
        <f t="shared" ca="1" si="120"/>
        <v/>
      </c>
      <c r="R354" s="268" t="str">
        <f t="shared" ca="1" si="121"/>
        <v/>
      </c>
      <c r="S354" s="264" t="str">
        <f t="shared" ca="1" si="121"/>
        <v/>
      </c>
      <c r="T354" s="269" t="str">
        <f t="shared" ca="1" si="121"/>
        <v/>
      </c>
      <c r="U354" s="268" t="str">
        <f t="shared" ca="1" si="121"/>
        <v/>
      </c>
      <c r="V354" s="264" t="str">
        <f t="shared" ca="1" si="121"/>
        <v/>
      </c>
      <c r="W354" s="265" t="str">
        <f t="shared" ca="1" si="121"/>
        <v/>
      </c>
      <c r="X354" s="266" t="str">
        <f t="shared" ca="1" si="121"/>
        <v/>
      </c>
      <c r="Y354" s="264" t="str">
        <f t="shared" ca="1" si="121"/>
        <v/>
      </c>
      <c r="Z354" s="265" t="str">
        <f t="shared" ca="1" si="121"/>
        <v/>
      </c>
      <c r="AA354" s="266" t="str">
        <f t="shared" ca="1" si="121"/>
        <v/>
      </c>
      <c r="AB354" s="267" t="str">
        <f t="shared" ca="1" si="121"/>
        <v/>
      </c>
      <c r="AC354" s="541"/>
      <c r="AD354" s="212" t="str">
        <f t="shared" ca="1" si="113"/>
        <v/>
      </c>
    </row>
    <row r="355" spans="1:30" s="45" customFormat="1" ht="22.5" customHeight="1">
      <c r="A355" s="258" t="str">
        <f ca="1">IFERROR(INDEX(凭证录入!H:H,$AD355),"")</f>
        <v/>
      </c>
      <c r="B355" s="259" t="str">
        <f ca="1">IFERROR(INDEX(凭证录入!I:I,$AD355),"")</f>
        <v/>
      </c>
      <c r="C355" s="260" t="str">
        <f ca="1">IFERROR(VLOOKUP($B355,会计科目表!$A:$C,2,),"")</f>
        <v/>
      </c>
      <c r="D355" s="261" t="str">
        <f ca="1">IFERROR(VLOOKUP($B355,会计科目表!$A:$C,3,),"")</f>
        <v/>
      </c>
      <c r="E355" s="262">
        <f ca="1">IFERROR(INDEX(凭证录入!K:K,$AD355),0)</f>
        <v>0</v>
      </c>
      <c r="F355" s="262">
        <f ca="1">IFERROR(INDEX(凭证录入!L:L,$AD355),0)</f>
        <v>0</v>
      </c>
      <c r="G355" s="263" t="str">
        <f t="shared" ca="1" si="120"/>
        <v/>
      </c>
      <c r="H355" s="264" t="str">
        <f t="shared" ca="1" si="120"/>
        <v/>
      </c>
      <c r="I355" s="265" t="str">
        <f t="shared" ca="1" si="120"/>
        <v/>
      </c>
      <c r="J355" s="266" t="str">
        <f t="shared" ca="1" si="120"/>
        <v/>
      </c>
      <c r="K355" s="264" t="str">
        <f t="shared" ca="1" si="120"/>
        <v/>
      </c>
      <c r="L355" s="265" t="str">
        <f t="shared" ca="1" si="120"/>
        <v/>
      </c>
      <c r="M355" s="266" t="str">
        <f t="shared" ca="1" si="120"/>
        <v/>
      </c>
      <c r="N355" s="264" t="str">
        <f t="shared" ca="1" si="120"/>
        <v/>
      </c>
      <c r="O355" s="265" t="str">
        <f t="shared" ca="1" si="120"/>
        <v/>
      </c>
      <c r="P355" s="266" t="str">
        <f t="shared" ca="1" si="120"/>
        <v/>
      </c>
      <c r="Q355" s="267" t="str">
        <f t="shared" ca="1" si="120"/>
        <v/>
      </c>
      <c r="R355" s="268" t="str">
        <f t="shared" ca="1" si="121"/>
        <v/>
      </c>
      <c r="S355" s="264" t="str">
        <f t="shared" ca="1" si="121"/>
        <v/>
      </c>
      <c r="T355" s="269" t="str">
        <f t="shared" ca="1" si="121"/>
        <v/>
      </c>
      <c r="U355" s="268" t="str">
        <f t="shared" ca="1" si="121"/>
        <v/>
      </c>
      <c r="V355" s="264" t="str">
        <f t="shared" ca="1" si="121"/>
        <v/>
      </c>
      <c r="W355" s="265" t="str">
        <f t="shared" ca="1" si="121"/>
        <v/>
      </c>
      <c r="X355" s="266" t="str">
        <f t="shared" ca="1" si="121"/>
        <v/>
      </c>
      <c r="Y355" s="264" t="str">
        <f t="shared" ca="1" si="121"/>
        <v/>
      </c>
      <c r="Z355" s="265" t="str">
        <f t="shared" ca="1" si="121"/>
        <v/>
      </c>
      <c r="AA355" s="266" t="str">
        <f t="shared" ca="1" si="121"/>
        <v/>
      </c>
      <c r="AB355" s="267" t="str">
        <f t="shared" ca="1" si="121"/>
        <v/>
      </c>
      <c r="AC355" s="536" t="s">
        <v>831</v>
      </c>
      <c r="AD355" s="212" t="str">
        <f t="shared" ca="1" si="113"/>
        <v/>
      </c>
    </row>
    <row r="356" spans="1:30" s="45" customFormat="1" ht="22.5" customHeight="1">
      <c r="A356" s="258" t="str">
        <f ca="1">IFERROR(INDEX(凭证录入!H:H,$AD356),"")</f>
        <v/>
      </c>
      <c r="B356" s="259" t="str">
        <f ca="1">IFERROR(INDEX(凭证录入!I:I,$AD356),"")</f>
        <v/>
      </c>
      <c r="C356" s="260" t="str">
        <f ca="1">IFERROR(VLOOKUP($B356,会计科目表!$A:$C,2,),"")</f>
        <v/>
      </c>
      <c r="D356" s="261" t="str">
        <f ca="1">IFERROR(VLOOKUP($B356,会计科目表!$A:$C,3,),"")</f>
        <v/>
      </c>
      <c r="E356" s="262">
        <f ca="1">IFERROR(INDEX(凭证录入!K:K,$AD356),0)</f>
        <v>0</v>
      </c>
      <c r="F356" s="262">
        <f ca="1">IFERROR(INDEX(凭证录入!L:L,$AD356),0)</f>
        <v>0</v>
      </c>
      <c r="G356" s="263" t="str">
        <f t="shared" ca="1" si="120"/>
        <v/>
      </c>
      <c r="H356" s="264" t="str">
        <f t="shared" ca="1" si="120"/>
        <v/>
      </c>
      <c r="I356" s="265" t="str">
        <f t="shared" ca="1" si="120"/>
        <v/>
      </c>
      <c r="J356" s="266" t="str">
        <f t="shared" ca="1" si="120"/>
        <v/>
      </c>
      <c r="K356" s="264" t="str">
        <f t="shared" ca="1" si="120"/>
        <v/>
      </c>
      <c r="L356" s="265" t="str">
        <f t="shared" ca="1" si="120"/>
        <v/>
      </c>
      <c r="M356" s="266" t="str">
        <f t="shared" ca="1" si="120"/>
        <v/>
      </c>
      <c r="N356" s="264" t="str">
        <f t="shared" ca="1" si="120"/>
        <v/>
      </c>
      <c r="O356" s="265" t="str">
        <f t="shared" ca="1" si="120"/>
        <v/>
      </c>
      <c r="P356" s="266" t="str">
        <f t="shared" ca="1" si="120"/>
        <v/>
      </c>
      <c r="Q356" s="267" t="str">
        <f t="shared" ca="1" si="120"/>
        <v/>
      </c>
      <c r="R356" s="268" t="str">
        <f t="shared" ca="1" si="121"/>
        <v/>
      </c>
      <c r="S356" s="264" t="str">
        <f t="shared" ca="1" si="121"/>
        <v/>
      </c>
      <c r="T356" s="269" t="str">
        <f t="shared" ca="1" si="121"/>
        <v/>
      </c>
      <c r="U356" s="268" t="str">
        <f t="shared" ca="1" si="121"/>
        <v/>
      </c>
      <c r="V356" s="264" t="str">
        <f t="shared" ca="1" si="121"/>
        <v/>
      </c>
      <c r="W356" s="265" t="str">
        <f t="shared" ca="1" si="121"/>
        <v/>
      </c>
      <c r="X356" s="266" t="str">
        <f t="shared" ca="1" si="121"/>
        <v/>
      </c>
      <c r="Y356" s="264" t="str">
        <f t="shared" ca="1" si="121"/>
        <v/>
      </c>
      <c r="Z356" s="265" t="str">
        <f t="shared" ca="1" si="121"/>
        <v/>
      </c>
      <c r="AA356" s="266" t="str">
        <f t="shared" ca="1" si="121"/>
        <v/>
      </c>
      <c r="AB356" s="267" t="str">
        <f t="shared" ca="1" si="121"/>
        <v/>
      </c>
      <c r="AC356" s="537"/>
      <c r="AD356" s="212" t="str">
        <f t="shared" ca="1" si="113"/>
        <v/>
      </c>
    </row>
    <row r="357" spans="1:30" s="45" customFormat="1" ht="22.5" customHeight="1">
      <c r="A357" s="258" t="str">
        <f ca="1">IFERROR(INDEX(凭证录入!H:H,$AD357),"")</f>
        <v/>
      </c>
      <c r="B357" s="259" t="str">
        <f ca="1">IFERROR(INDEX(凭证录入!I:I,$AD357),"")</f>
        <v/>
      </c>
      <c r="C357" s="260" t="str">
        <f ca="1">IFERROR(VLOOKUP($B357,会计科目表!$A:$C,2,),"")</f>
        <v/>
      </c>
      <c r="D357" s="261" t="str">
        <f ca="1">IFERROR(VLOOKUP($B357,会计科目表!$A:$C,3,),"")</f>
        <v/>
      </c>
      <c r="E357" s="262">
        <f ca="1">IFERROR(INDEX(凭证录入!K:K,$AD357),0)</f>
        <v>0</v>
      </c>
      <c r="F357" s="262">
        <f ca="1">IFERROR(INDEX(凭证录入!L:L,$AD357),0)</f>
        <v>0</v>
      </c>
      <c r="G357" s="263" t="str">
        <f t="shared" ca="1" si="120"/>
        <v/>
      </c>
      <c r="H357" s="264" t="str">
        <f t="shared" ca="1" si="120"/>
        <v/>
      </c>
      <c r="I357" s="265" t="str">
        <f t="shared" ca="1" si="120"/>
        <v/>
      </c>
      <c r="J357" s="266" t="str">
        <f t="shared" ca="1" si="120"/>
        <v/>
      </c>
      <c r="K357" s="264" t="str">
        <f t="shared" ref="G357:Q359" ca="1" si="133">LEFT(RIGHT(TEXT($E357/1%," ￥0; ￥-0;"),18-COLUMN()))</f>
        <v/>
      </c>
      <c r="L357" s="265" t="str">
        <f t="shared" ca="1" si="133"/>
        <v/>
      </c>
      <c r="M357" s="266" t="str">
        <f t="shared" ca="1" si="133"/>
        <v/>
      </c>
      <c r="N357" s="264" t="str">
        <f t="shared" ca="1" si="133"/>
        <v/>
      </c>
      <c r="O357" s="265" t="str">
        <f t="shared" ca="1" si="133"/>
        <v/>
      </c>
      <c r="P357" s="266" t="str">
        <f t="shared" ca="1" si="133"/>
        <v/>
      </c>
      <c r="Q357" s="267" t="str">
        <f t="shared" ca="1" si="133"/>
        <v/>
      </c>
      <c r="R357" s="268" t="str">
        <f t="shared" ca="1" si="121"/>
        <v/>
      </c>
      <c r="S357" s="264" t="str">
        <f t="shared" ca="1" si="121"/>
        <v/>
      </c>
      <c r="T357" s="269" t="str">
        <f t="shared" ca="1" si="121"/>
        <v/>
      </c>
      <c r="U357" s="268" t="str">
        <f t="shared" ca="1" si="121"/>
        <v/>
      </c>
      <c r="V357" s="264" t="str">
        <f t="shared" ref="R357:AB359" ca="1" si="134">LEFT(RIGHT(TEXT($F357/1%," ￥0; ￥-0;"),29-COLUMN()))</f>
        <v/>
      </c>
      <c r="W357" s="265" t="str">
        <f t="shared" ca="1" si="134"/>
        <v/>
      </c>
      <c r="X357" s="266" t="str">
        <f t="shared" ca="1" si="134"/>
        <v/>
      </c>
      <c r="Y357" s="264" t="str">
        <f t="shared" ca="1" si="134"/>
        <v/>
      </c>
      <c r="Z357" s="265" t="str">
        <f t="shared" ca="1" si="134"/>
        <v/>
      </c>
      <c r="AA357" s="266" t="str">
        <f t="shared" ca="1" si="134"/>
        <v/>
      </c>
      <c r="AB357" s="267" t="str">
        <f t="shared" ca="1" si="134"/>
        <v/>
      </c>
      <c r="AC357" s="538"/>
      <c r="AD357" s="212" t="str">
        <f t="shared" ref="AD357:AD358" ca="1" si="135">IFERROR(INDEX(记账行号,MOD(ROW()-4,12)),"")</f>
        <v/>
      </c>
    </row>
    <row r="358" spans="1:30" s="45" customFormat="1" ht="22.5" customHeight="1">
      <c r="A358" s="258" t="str">
        <f ca="1">IFERROR(INDEX(凭证录入!H:H,$AD358),"")</f>
        <v/>
      </c>
      <c r="B358" s="259" t="str">
        <f ca="1">IFERROR(INDEX(凭证录入!I:I,$AD358),"")</f>
        <v/>
      </c>
      <c r="C358" s="260" t="str">
        <f ca="1">IFERROR(VLOOKUP($B358,会计科目表!$A:$C,2,),"")</f>
        <v/>
      </c>
      <c r="D358" s="261" t="str">
        <f ca="1">IFERROR(VLOOKUP($B358,会计科目表!$A:$C,3,),"")</f>
        <v/>
      </c>
      <c r="E358" s="262">
        <f ca="1">IFERROR(INDEX(凭证录入!K:K,$AD358),0)</f>
        <v>0</v>
      </c>
      <c r="F358" s="262">
        <f ca="1">IFERROR(INDEX(凭证录入!L:L,$AD358),0)</f>
        <v>0</v>
      </c>
      <c r="G358" s="263" t="str">
        <f t="shared" ca="1" si="133"/>
        <v/>
      </c>
      <c r="H358" s="264" t="str">
        <f t="shared" ca="1" si="133"/>
        <v/>
      </c>
      <c r="I358" s="265" t="str">
        <f t="shared" ca="1" si="133"/>
        <v/>
      </c>
      <c r="J358" s="266" t="str">
        <f t="shared" ca="1" si="133"/>
        <v/>
      </c>
      <c r="K358" s="264" t="str">
        <f t="shared" ca="1" si="133"/>
        <v/>
      </c>
      <c r="L358" s="265" t="str">
        <f t="shared" ca="1" si="133"/>
        <v/>
      </c>
      <c r="M358" s="266" t="str">
        <f t="shared" ca="1" si="133"/>
        <v/>
      </c>
      <c r="N358" s="264" t="str">
        <f t="shared" ca="1" si="133"/>
        <v/>
      </c>
      <c r="O358" s="265" t="str">
        <f t="shared" ca="1" si="133"/>
        <v/>
      </c>
      <c r="P358" s="266" t="str">
        <f t="shared" ca="1" si="133"/>
        <v/>
      </c>
      <c r="Q358" s="267" t="str">
        <f t="shared" ca="1" si="133"/>
        <v/>
      </c>
      <c r="R358" s="268" t="str">
        <f t="shared" ca="1" si="134"/>
        <v/>
      </c>
      <c r="S358" s="264" t="str">
        <f t="shared" ca="1" si="134"/>
        <v/>
      </c>
      <c r="T358" s="269" t="str">
        <f t="shared" ca="1" si="134"/>
        <v/>
      </c>
      <c r="U358" s="268" t="str">
        <f t="shared" ca="1" si="134"/>
        <v/>
      </c>
      <c r="V358" s="264" t="str">
        <f t="shared" ca="1" si="134"/>
        <v/>
      </c>
      <c r="W358" s="265" t="str">
        <f t="shared" ca="1" si="134"/>
        <v/>
      </c>
      <c r="X358" s="266" t="str">
        <f t="shared" ca="1" si="134"/>
        <v/>
      </c>
      <c r="Y358" s="264" t="str">
        <f t="shared" ca="1" si="134"/>
        <v/>
      </c>
      <c r="Z358" s="265" t="str">
        <f t="shared" ca="1" si="134"/>
        <v/>
      </c>
      <c r="AA358" s="266" t="str">
        <f t="shared" ca="1" si="134"/>
        <v/>
      </c>
      <c r="AB358" s="267" t="str">
        <f t="shared" ca="1" si="134"/>
        <v/>
      </c>
      <c r="AC358" s="538"/>
      <c r="AD358" s="212" t="str">
        <f t="shared" ca="1" si="135"/>
        <v/>
      </c>
    </row>
    <row r="359" spans="1:30" s="45" customFormat="1" ht="22.5" customHeight="1">
      <c r="A359" s="270" t="s">
        <v>832</v>
      </c>
      <c r="B359" s="271"/>
      <c r="C359" s="272" t="str">
        <f t="shared" ref="C359" ca="1" si="136">SUBSTITUTE(SUBSTITUTE(IF(-DOLLAR(E359),IF(E359&gt;0,,"负")&amp;TEXT(INT(ABS(E359)+0.5%),"[dbnum2]G/通用格式元;;")&amp;TEXT(RIGHT(DOLLAR(E359,2),2),"[dbnum2]0角0分;;整"),),"零角",IF(E359^2&lt;1,,"零")),"零分","整")</f>
        <v/>
      </c>
      <c r="D359" s="273"/>
      <c r="E359" s="274">
        <f t="shared" ref="E359:F359" ca="1" si="137">SUM(E353:E358)</f>
        <v>0</v>
      </c>
      <c r="F359" s="275">
        <f t="shared" ca="1" si="137"/>
        <v>0</v>
      </c>
      <c r="G359" s="276" t="str">
        <f t="shared" ca="1" si="133"/>
        <v/>
      </c>
      <c r="H359" s="277" t="str">
        <f t="shared" ca="1" si="133"/>
        <v/>
      </c>
      <c r="I359" s="278" t="str">
        <f t="shared" ca="1" si="133"/>
        <v/>
      </c>
      <c r="J359" s="279" t="str">
        <f t="shared" ca="1" si="133"/>
        <v/>
      </c>
      <c r="K359" s="277" t="str">
        <f t="shared" ca="1" si="133"/>
        <v/>
      </c>
      <c r="L359" s="278" t="str">
        <f t="shared" ca="1" si="133"/>
        <v/>
      </c>
      <c r="M359" s="279" t="str">
        <f t="shared" ca="1" si="133"/>
        <v/>
      </c>
      <c r="N359" s="277" t="str">
        <f t="shared" ca="1" si="133"/>
        <v/>
      </c>
      <c r="O359" s="278" t="str">
        <f t="shared" ca="1" si="133"/>
        <v/>
      </c>
      <c r="P359" s="279" t="str">
        <f t="shared" ca="1" si="133"/>
        <v/>
      </c>
      <c r="Q359" s="280" t="str">
        <f t="shared" ca="1" si="133"/>
        <v/>
      </c>
      <c r="R359" s="281" t="str">
        <f t="shared" ca="1" si="134"/>
        <v/>
      </c>
      <c r="S359" s="277" t="str">
        <f t="shared" ca="1" si="134"/>
        <v/>
      </c>
      <c r="T359" s="282" t="str">
        <f t="shared" ca="1" si="134"/>
        <v/>
      </c>
      <c r="U359" s="281" t="str">
        <f t="shared" ca="1" si="134"/>
        <v/>
      </c>
      <c r="V359" s="277" t="str">
        <f t="shared" ca="1" si="134"/>
        <v/>
      </c>
      <c r="W359" s="278" t="str">
        <f t="shared" ca="1" si="134"/>
        <v/>
      </c>
      <c r="X359" s="279" t="str">
        <f t="shared" ca="1" si="134"/>
        <v/>
      </c>
      <c r="Y359" s="277" t="str">
        <f t="shared" ca="1" si="134"/>
        <v/>
      </c>
      <c r="Z359" s="278" t="str">
        <f t="shared" ca="1" si="134"/>
        <v/>
      </c>
      <c r="AA359" s="279" t="str">
        <f t="shared" ca="1" si="134"/>
        <v/>
      </c>
      <c r="AB359" s="280" t="str">
        <f t="shared" ca="1" si="134"/>
        <v/>
      </c>
      <c r="AC359" s="283"/>
      <c r="AD359" s="212"/>
    </row>
    <row r="360" spans="1:30" s="22" customFormat="1" ht="22.5" customHeight="1">
      <c r="A360" s="284" t="s">
        <v>627</v>
      </c>
      <c r="B360" s="284"/>
      <c r="C360" s="284"/>
      <c r="D360" s="284" t="s">
        <v>629</v>
      </c>
      <c r="E360" s="284"/>
      <c r="F360" s="284"/>
      <c r="G360" s="284"/>
      <c r="H360" s="285"/>
      <c r="I360" s="284"/>
      <c r="J360" s="285"/>
      <c r="K360" s="285"/>
      <c r="L360" s="284"/>
      <c r="M360" s="285"/>
      <c r="N360" s="285"/>
      <c r="O360" s="285"/>
      <c r="P360" s="284"/>
      <c r="Q360" s="284" t="s">
        <v>631</v>
      </c>
      <c r="R360" s="284"/>
      <c r="S360" s="284"/>
      <c r="T360" s="284"/>
      <c r="U360" s="285"/>
      <c r="V360" s="284"/>
      <c r="W360" s="285"/>
      <c r="X360" s="284"/>
      <c r="Y360" s="284"/>
      <c r="Z360" s="285"/>
      <c r="AA360" s="285"/>
      <c r="AB360" s="285"/>
      <c r="AC360" s="286"/>
      <c r="AD360" s="212"/>
    </row>
    <row r="361" spans="1:30" ht="37.5" customHeight="1">
      <c r="A361" s="177" t="s">
        <v>476</v>
      </c>
      <c r="B361" s="178"/>
      <c r="C361" s="179"/>
      <c r="D361" s="179"/>
      <c r="E361" s="178"/>
      <c r="F361" s="178"/>
      <c r="G361" s="203"/>
      <c r="H361" s="192" t="str">
        <f t="shared" ref="H361:H388" si="138">IFERROR(INDEX(行号,TEXT(MOD(ROW(),12)-4,"[=]A")),"")</f>
        <v/>
      </c>
    </row>
    <row r="362" spans="1:30" s="45" customFormat="1" ht="19.5" customHeight="1" thickBot="1">
      <c r="C362" s="180" t="e">
        <f>DATEVALUE("2010-"&amp;$H$1&amp;"-"&amp;INDEX(凭证录入!B:B,H365))</f>
        <v>#VALUE!</v>
      </c>
      <c r="D362" s="181"/>
      <c r="E362" s="182" t="s">
        <v>477</v>
      </c>
      <c r="F362" s="183" t="e">
        <f>N(LEFT((F350),3)+1)</f>
        <v>#VALUE!</v>
      </c>
      <c r="G362" s="203"/>
      <c r="H362" s="192" t="str">
        <f t="shared" si="138"/>
        <v/>
      </c>
      <c r="I362" s="184"/>
    </row>
    <row r="363" spans="1:30" s="45" customFormat="1" ht="19.5" customHeight="1" thickBot="1">
      <c r="A363" s="544" t="s">
        <v>478</v>
      </c>
      <c r="B363" s="545" t="s">
        <v>479</v>
      </c>
      <c r="C363" s="185" t="s">
        <v>480</v>
      </c>
      <c r="D363" s="186"/>
      <c r="E363" s="187"/>
      <c r="F363" s="202"/>
      <c r="G363" s="203"/>
      <c r="H363" s="192" t="str">
        <f t="shared" si="138"/>
        <v/>
      </c>
    </row>
    <row r="364" spans="1:30" s="45" customFormat="1" ht="19.5" customHeight="1" thickBot="1">
      <c r="A364" s="545"/>
      <c r="B364" s="546"/>
      <c r="C364" s="202" t="s">
        <v>481</v>
      </c>
      <c r="D364" s="202" t="s">
        <v>482</v>
      </c>
      <c r="E364" s="202" t="s">
        <v>483</v>
      </c>
      <c r="F364" s="202" t="s">
        <v>484</v>
      </c>
      <c r="G364" s="203"/>
      <c r="H364" s="192" t="str">
        <f t="shared" si="138"/>
        <v/>
      </c>
    </row>
    <row r="365" spans="1:30" s="45" customFormat="1" ht="19.5" customHeight="1" thickBot="1">
      <c r="A365" s="189" t="str">
        <f>IFERROR(INDEX(凭证录入!H:H,$H365),"")</f>
        <v/>
      </c>
      <c r="B365" s="189" t="str">
        <f>IFERROR(INDEX(凭证录入!I:I,$H365),"")</f>
        <v/>
      </c>
      <c r="C365" s="190" t="str">
        <f>IFERROR(VLOOKUP($B365,会计科目表!$A:$C,2,),"")</f>
        <v/>
      </c>
      <c r="D365" s="190" t="str">
        <f>IFERROR(VLOOKUP($B365,会计科目表!$A:$C,3,),"")</f>
        <v/>
      </c>
      <c r="E365" s="191">
        <f>IFERROR(INDEX(凭证录入!K:K,$H365),0)</f>
        <v>0</v>
      </c>
      <c r="F365" s="191">
        <f>IFERROR(INDEX(凭证录入!L:L,$H365),0)</f>
        <v>0</v>
      </c>
      <c r="G365" s="203"/>
      <c r="H365" s="192" t="str">
        <f t="shared" si="138"/>
        <v/>
      </c>
    </row>
    <row r="366" spans="1:30" s="45" customFormat="1" ht="19.5" customHeight="1" thickBot="1">
      <c r="A366" s="189" t="str">
        <f>IFERROR(INDEX(凭证录入!H:H,$H366),"")</f>
        <v/>
      </c>
      <c r="B366" s="189" t="str">
        <f>IFERROR(INDEX(凭证录入!I:I,$H366),"")</f>
        <v/>
      </c>
      <c r="C366" s="190" t="str">
        <f>IFERROR(VLOOKUP($B366,会计科目表!$A:$C,2,),"")</f>
        <v/>
      </c>
      <c r="D366" s="190" t="str">
        <f>IFERROR(VLOOKUP($B366,会计科目表!$A:$C,3,),"")</f>
        <v/>
      </c>
      <c r="E366" s="191">
        <f>IFERROR(INDEX(凭证录入!K:K,$H366),0)</f>
        <v>0</v>
      </c>
      <c r="F366" s="191">
        <f>IFERROR(INDEX(凭证录入!L:L,$H366),0)</f>
        <v>0</v>
      </c>
      <c r="G366" s="203" t="s">
        <v>490</v>
      </c>
      <c r="H366" s="192" t="str">
        <f t="shared" si="138"/>
        <v/>
      </c>
      <c r="I366" s="203"/>
    </row>
    <row r="367" spans="1:30" s="45" customFormat="1" ht="19.5" customHeight="1" thickBot="1">
      <c r="A367" s="189" t="str">
        <f>IFERROR(INDEX(凭证录入!H:H,$H367),"")</f>
        <v/>
      </c>
      <c r="B367" s="189" t="str">
        <f>IFERROR(INDEX(凭证录入!I:I,$H367),"")</f>
        <v/>
      </c>
      <c r="C367" s="190" t="str">
        <f>IFERROR(VLOOKUP($B367,会计科目表!$A:$C,2,),"")</f>
        <v/>
      </c>
      <c r="D367" s="190" t="str">
        <f>IFERROR(VLOOKUP($B367,会计科目表!$A:$C,3,),"")</f>
        <v/>
      </c>
      <c r="E367" s="191">
        <f>IFERROR(INDEX(凭证录入!K:K,$H367),0)</f>
        <v>0</v>
      </c>
      <c r="F367" s="191">
        <f>IFERROR(INDEX(凭证录入!L:L,$H367),0)</f>
        <v>0</v>
      </c>
      <c r="G367" s="203" t="s">
        <v>491</v>
      </c>
      <c r="H367" s="192" t="str">
        <f t="shared" si="138"/>
        <v/>
      </c>
      <c r="I367" s="203"/>
    </row>
    <row r="368" spans="1:30" s="45" customFormat="1" ht="19.5" customHeight="1" thickBot="1">
      <c r="A368" s="189" t="str">
        <f>IFERROR(INDEX(凭证录入!H:H,$H368),"")</f>
        <v/>
      </c>
      <c r="B368" s="189" t="str">
        <f>IFERROR(INDEX(凭证录入!I:I,$H368),"")</f>
        <v/>
      </c>
      <c r="C368" s="190" t="str">
        <f>IFERROR(VLOOKUP($B368,会计科目表!$A:$C,2,),"")</f>
        <v/>
      </c>
      <c r="D368" s="190" t="str">
        <f>IFERROR(VLOOKUP($B368,会计科目表!$A:$C,3,),"")</f>
        <v/>
      </c>
      <c r="E368" s="191">
        <f>IFERROR(INDEX(凭证录入!K:K,$H368),0)</f>
        <v>0</v>
      </c>
      <c r="F368" s="191">
        <f>IFERROR(INDEX(凭证录入!L:L,$H368),0)</f>
        <v>0</v>
      </c>
      <c r="G368" s="203" t="e">
        <f>INDEX(凭证录入!$D:$D,$H365)</f>
        <v>#VALUE!</v>
      </c>
      <c r="H368" s="192" t="str">
        <f t="shared" si="138"/>
        <v/>
      </c>
      <c r="I368" s="203"/>
    </row>
    <row r="369" spans="1:9" s="45" customFormat="1" ht="19.5" customHeight="1" thickBot="1">
      <c r="A369" s="189" t="str">
        <f>IFERROR(INDEX(凭证录入!H:H,$H369),"")</f>
        <v/>
      </c>
      <c r="B369" s="189" t="str">
        <f>IFERROR(INDEX(凭证录入!I:I,$H369),"")</f>
        <v/>
      </c>
      <c r="C369" s="190" t="str">
        <f>IFERROR(VLOOKUP($B369,会计科目表!$A:$C,2,),"")</f>
        <v/>
      </c>
      <c r="D369" s="190" t="str">
        <f>IFERROR(VLOOKUP($B369,会计科目表!$A:$C,3,),"")</f>
        <v/>
      </c>
      <c r="E369" s="191">
        <f>IFERROR(INDEX(凭证录入!K:K,$H369),0)</f>
        <v>0</v>
      </c>
      <c r="F369" s="191">
        <f>IFERROR(INDEX(凭证录入!L:L,$H369),0)</f>
        <v>0</v>
      </c>
      <c r="G369" s="203" t="s">
        <v>492</v>
      </c>
      <c r="H369" s="192" t="str">
        <f t="shared" si="138"/>
        <v/>
      </c>
    </row>
    <row r="370" spans="1:9" s="45" customFormat="1" ht="19.5" customHeight="1" thickBot="1">
      <c r="A370" s="189" t="str">
        <f>IFERROR(INDEX(凭证录入!H:H,$H370),"")</f>
        <v/>
      </c>
      <c r="B370" s="189" t="str">
        <f>IFERROR(INDEX(凭证录入!I:I,$H370),"")</f>
        <v/>
      </c>
      <c r="C370" s="190" t="str">
        <f>IFERROR(VLOOKUP($B370,会计科目表!$A:$C,2,),"")</f>
        <v/>
      </c>
      <c r="D370" s="190" t="str">
        <f>IFERROR(VLOOKUP($B370,会计科目表!$A:$C,3,),"")</f>
        <v/>
      </c>
      <c r="E370" s="191">
        <f>IFERROR(INDEX(凭证录入!K:K,$H370),0)</f>
        <v>0</v>
      </c>
      <c r="F370" s="191">
        <f>IFERROR(INDEX(凭证录入!L:L,$H370),0)</f>
        <v>0</v>
      </c>
      <c r="G370" s="203"/>
      <c r="H370" s="192" t="str">
        <f t="shared" si="138"/>
        <v/>
      </c>
    </row>
    <row r="371" spans="1:9" s="45" customFormat="1" ht="19.5" customHeight="1" thickBot="1">
      <c r="A371" s="193"/>
      <c r="B371" s="194" t="s">
        <v>485</v>
      </c>
      <c r="C371" s="195" t="str">
        <f>SUBSTITUTE(SUBSTITUTE(IF(-DOLLAR(E371),IF(E371&gt;0,,"负")&amp;TEXT(INT(ABS(E371)+0.5%),"[dbnum2]G/通用格式元;;")&amp;TEXT(RIGHT(DOLLAR(E371),2),"[dbnum2]0角0分;;整"),),"零角",IF(E371^2&lt;1,,"零")),"零分","整")</f>
        <v/>
      </c>
      <c r="D371" s="196"/>
      <c r="E371" s="197">
        <f>SUM(E365:E370)</f>
        <v>0</v>
      </c>
      <c r="F371" s="197">
        <f>SUM(F365:F370)</f>
        <v>0</v>
      </c>
      <c r="G371" s="203"/>
      <c r="H371" s="192" t="str">
        <f t="shared" si="138"/>
        <v/>
      </c>
    </row>
    <row r="372" spans="1:9" s="199" customFormat="1" ht="19.5" customHeight="1">
      <c r="A372" s="45" t="s">
        <v>486</v>
      </c>
      <c r="B372" s="45" t="s">
        <v>487</v>
      </c>
      <c r="C372" s="45" t="s">
        <v>488</v>
      </c>
      <c r="D372" s="45" t="s">
        <v>504</v>
      </c>
      <c r="E372" s="45" t="s">
        <v>489</v>
      </c>
      <c r="F372" s="203" t="str">
        <f>IF($E371&lt;&gt;$F371,"借贷不平","")</f>
        <v/>
      </c>
      <c r="G372" s="183"/>
      <c r="H372" s="198" t="str">
        <f t="shared" si="138"/>
        <v/>
      </c>
    </row>
    <row r="373" spans="1:9" ht="37.5" customHeight="1">
      <c r="A373" s="177" t="s">
        <v>476</v>
      </c>
      <c r="B373" s="178"/>
      <c r="C373" s="179"/>
      <c r="D373" s="179"/>
      <c r="E373" s="178"/>
      <c r="F373" s="178"/>
      <c r="G373" s="203"/>
      <c r="H373" s="192" t="str">
        <f t="shared" si="138"/>
        <v/>
      </c>
    </row>
    <row r="374" spans="1:9" s="45" customFormat="1" ht="19.5" customHeight="1" thickBot="1">
      <c r="C374" s="180" t="e">
        <f>DATEVALUE("2010-"&amp;$H$1&amp;"-"&amp;INDEX(凭证录入!B:B,H377))</f>
        <v>#VALUE!</v>
      </c>
      <c r="D374" s="181"/>
      <c r="E374" s="182" t="s">
        <v>477</v>
      </c>
      <c r="F374" s="183" t="e">
        <f>N(LEFT((F362),3)+1)</f>
        <v>#VALUE!</v>
      </c>
      <c r="G374" s="203"/>
      <c r="H374" s="192" t="str">
        <f t="shared" si="138"/>
        <v/>
      </c>
      <c r="I374" s="184"/>
    </row>
    <row r="375" spans="1:9" s="45" customFormat="1" ht="19.5" customHeight="1" thickBot="1">
      <c r="A375" s="544" t="s">
        <v>478</v>
      </c>
      <c r="B375" s="545" t="s">
        <v>479</v>
      </c>
      <c r="C375" s="185" t="s">
        <v>480</v>
      </c>
      <c r="D375" s="186"/>
      <c r="E375" s="187"/>
      <c r="F375" s="202"/>
      <c r="G375" s="203"/>
      <c r="H375" s="192" t="str">
        <f t="shared" si="138"/>
        <v/>
      </c>
    </row>
    <row r="376" spans="1:9" s="45" customFormat="1" ht="19.5" customHeight="1" thickBot="1">
      <c r="A376" s="545"/>
      <c r="B376" s="546"/>
      <c r="C376" s="202" t="s">
        <v>481</v>
      </c>
      <c r="D376" s="202" t="s">
        <v>482</v>
      </c>
      <c r="E376" s="202" t="s">
        <v>483</v>
      </c>
      <c r="F376" s="202" t="s">
        <v>484</v>
      </c>
      <c r="G376" s="203"/>
      <c r="H376" s="192" t="str">
        <f t="shared" si="138"/>
        <v/>
      </c>
    </row>
    <row r="377" spans="1:9" s="45" customFormat="1" ht="19.5" customHeight="1" thickBot="1">
      <c r="A377" s="189" t="str">
        <f>IFERROR(INDEX(凭证录入!H:H,$H377),"")</f>
        <v/>
      </c>
      <c r="B377" s="189" t="str">
        <f>IFERROR(INDEX(凭证录入!I:I,$H377),"")</f>
        <v/>
      </c>
      <c r="C377" s="190" t="str">
        <f>IFERROR(VLOOKUP($B377,会计科目表!$A:$C,2,),"")</f>
        <v/>
      </c>
      <c r="D377" s="190" t="str">
        <f>IFERROR(VLOOKUP($B377,会计科目表!$A:$C,3,),"")</f>
        <v/>
      </c>
      <c r="E377" s="191">
        <f>IFERROR(INDEX(凭证录入!K:K,$H377),0)</f>
        <v>0</v>
      </c>
      <c r="F377" s="191">
        <f>IFERROR(INDEX(凭证录入!L:L,$H377),0)</f>
        <v>0</v>
      </c>
      <c r="G377" s="203"/>
      <c r="H377" s="192" t="str">
        <f t="shared" si="138"/>
        <v/>
      </c>
    </row>
    <row r="378" spans="1:9" s="45" customFormat="1" ht="19.5" customHeight="1" thickBot="1">
      <c r="A378" s="189" t="str">
        <f>IFERROR(INDEX(凭证录入!H:H,$H378),"")</f>
        <v/>
      </c>
      <c r="B378" s="189" t="str">
        <f>IFERROR(INDEX(凭证录入!I:I,$H378),"")</f>
        <v/>
      </c>
      <c r="C378" s="190" t="str">
        <f>IFERROR(VLOOKUP($B378,会计科目表!$A:$C,2,),"")</f>
        <v/>
      </c>
      <c r="D378" s="190" t="str">
        <f>IFERROR(VLOOKUP($B378,会计科目表!$A:$C,3,),"")</f>
        <v/>
      </c>
      <c r="E378" s="191">
        <f>IFERROR(INDEX(凭证录入!K:K,$H378),0)</f>
        <v>0</v>
      </c>
      <c r="F378" s="191">
        <f>IFERROR(INDEX(凭证录入!L:L,$H378),0)</f>
        <v>0</v>
      </c>
      <c r="G378" s="203" t="s">
        <v>490</v>
      </c>
      <c r="H378" s="192" t="str">
        <f t="shared" si="138"/>
        <v/>
      </c>
      <c r="I378" s="203"/>
    </row>
    <row r="379" spans="1:9" s="45" customFormat="1" ht="19.5" customHeight="1" thickBot="1">
      <c r="A379" s="189" t="str">
        <f>IFERROR(INDEX(凭证录入!H:H,$H379),"")</f>
        <v/>
      </c>
      <c r="B379" s="189" t="str">
        <f>IFERROR(INDEX(凭证录入!I:I,$H379),"")</f>
        <v/>
      </c>
      <c r="C379" s="190" t="str">
        <f>IFERROR(VLOOKUP($B379,会计科目表!$A:$C,2,),"")</f>
        <v/>
      </c>
      <c r="D379" s="190" t="str">
        <f>IFERROR(VLOOKUP($B379,会计科目表!$A:$C,3,),"")</f>
        <v/>
      </c>
      <c r="E379" s="191">
        <f>IFERROR(INDEX(凭证录入!K:K,$H379),0)</f>
        <v>0</v>
      </c>
      <c r="F379" s="191">
        <f>IFERROR(INDEX(凭证录入!L:L,$H379),0)</f>
        <v>0</v>
      </c>
      <c r="G379" s="203" t="s">
        <v>491</v>
      </c>
      <c r="H379" s="192" t="str">
        <f t="shared" si="138"/>
        <v/>
      </c>
      <c r="I379" s="203"/>
    </row>
    <row r="380" spans="1:9" s="45" customFormat="1" ht="19.5" customHeight="1" thickBot="1">
      <c r="A380" s="189" t="str">
        <f>IFERROR(INDEX(凭证录入!H:H,$H380),"")</f>
        <v/>
      </c>
      <c r="B380" s="189" t="str">
        <f>IFERROR(INDEX(凭证录入!I:I,$H380),"")</f>
        <v/>
      </c>
      <c r="C380" s="190" t="str">
        <f>IFERROR(VLOOKUP($B380,会计科目表!$A:$C,2,),"")</f>
        <v/>
      </c>
      <c r="D380" s="190" t="str">
        <f>IFERROR(VLOOKUP($B380,会计科目表!$A:$C,3,),"")</f>
        <v/>
      </c>
      <c r="E380" s="191">
        <f>IFERROR(INDEX(凭证录入!K:K,$H380),0)</f>
        <v>0</v>
      </c>
      <c r="F380" s="191">
        <f>IFERROR(INDEX(凭证录入!L:L,$H380),0)</f>
        <v>0</v>
      </c>
      <c r="G380" s="203" t="e">
        <f>INDEX(凭证录入!$D:$D,$H377)</f>
        <v>#VALUE!</v>
      </c>
      <c r="H380" s="192" t="str">
        <f t="shared" si="138"/>
        <v/>
      </c>
      <c r="I380" s="203"/>
    </row>
    <row r="381" spans="1:9" s="45" customFormat="1" ht="19.5" customHeight="1" thickBot="1">
      <c r="A381" s="189" t="str">
        <f>IFERROR(INDEX(凭证录入!H:H,$H381),"")</f>
        <v/>
      </c>
      <c r="B381" s="189" t="str">
        <f>IFERROR(INDEX(凭证录入!I:I,$H381),"")</f>
        <v/>
      </c>
      <c r="C381" s="190" t="str">
        <f>IFERROR(VLOOKUP($B381,会计科目表!$A:$C,2,),"")</f>
        <v/>
      </c>
      <c r="D381" s="190" t="str">
        <f>IFERROR(VLOOKUP($B381,会计科目表!$A:$C,3,),"")</f>
        <v/>
      </c>
      <c r="E381" s="191">
        <f>IFERROR(INDEX(凭证录入!K:K,$H381),0)</f>
        <v>0</v>
      </c>
      <c r="F381" s="191">
        <f>IFERROR(INDEX(凭证录入!L:L,$H381),0)</f>
        <v>0</v>
      </c>
      <c r="G381" s="203" t="s">
        <v>492</v>
      </c>
      <c r="H381" s="192" t="str">
        <f t="shared" si="138"/>
        <v/>
      </c>
    </row>
    <row r="382" spans="1:9" s="45" customFormat="1" ht="19.5" customHeight="1" thickBot="1">
      <c r="A382" s="189" t="str">
        <f>IFERROR(INDEX(凭证录入!H:H,$H382),"")</f>
        <v/>
      </c>
      <c r="B382" s="189" t="str">
        <f>IFERROR(INDEX(凭证录入!I:I,$H382),"")</f>
        <v/>
      </c>
      <c r="C382" s="190" t="str">
        <f>IFERROR(VLOOKUP($B382,会计科目表!$A:$C,2,),"")</f>
        <v/>
      </c>
      <c r="D382" s="190" t="str">
        <f>IFERROR(VLOOKUP($B382,会计科目表!$A:$C,3,),"")</f>
        <v/>
      </c>
      <c r="E382" s="191">
        <f>IFERROR(INDEX(凭证录入!K:K,$H382),0)</f>
        <v>0</v>
      </c>
      <c r="F382" s="191">
        <f>IFERROR(INDEX(凭证录入!L:L,$H382),0)</f>
        <v>0</v>
      </c>
      <c r="G382" s="203"/>
      <c r="H382" s="192" t="str">
        <f t="shared" si="138"/>
        <v/>
      </c>
    </row>
    <row r="383" spans="1:9" s="45" customFormat="1" ht="19.5" customHeight="1" thickBot="1">
      <c r="A383" s="193"/>
      <c r="B383" s="194" t="s">
        <v>485</v>
      </c>
      <c r="C383" s="195" t="str">
        <f>SUBSTITUTE(SUBSTITUTE(IF(-DOLLAR(E383),IF(E383&gt;0,,"负")&amp;TEXT(INT(ABS(E383)+0.5%),"[dbnum2]G/通用格式元;;")&amp;TEXT(RIGHT(DOLLAR(E383),2),"[dbnum2]0角0分;;整"),),"零角",IF(E383^2&lt;1,,"零")),"零分","整")</f>
        <v/>
      </c>
      <c r="D383" s="196"/>
      <c r="E383" s="197">
        <f>SUM(E377:E382)</f>
        <v>0</v>
      </c>
      <c r="F383" s="197">
        <f>SUM(F377:F382)</f>
        <v>0</v>
      </c>
      <c r="G383" s="203"/>
      <c r="H383" s="192" t="str">
        <f t="shared" si="138"/>
        <v/>
      </c>
    </row>
    <row r="384" spans="1:9" s="199" customFormat="1" ht="19.5" customHeight="1">
      <c r="A384" s="45" t="s">
        <v>486</v>
      </c>
      <c r="B384" s="45" t="s">
        <v>487</v>
      </c>
      <c r="C384" s="45" t="s">
        <v>488</v>
      </c>
      <c r="D384" s="45" t="s">
        <v>504</v>
      </c>
      <c r="E384" s="45" t="s">
        <v>489</v>
      </c>
      <c r="F384" s="203" t="str">
        <f>IF($E383&lt;&gt;$F383,"借贷不平","")</f>
        <v/>
      </c>
      <c r="G384" s="183"/>
      <c r="H384" s="198" t="str">
        <f t="shared" si="138"/>
        <v/>
      </c>
    </row>
    <row r="385" spans="1:9" ht="37.5" customHeight="1">
      <c r="A385" s="177" t="s">
        <v>476</v>
      </c>
      <c r="B385" s="178"/>
      <c r="C385" s="179"/>
      <c r="D385" s="179"/>
      <c r="E385" s="178"/>
      <c r="F385" s="178"/>
      <c r="G385" s="203"/>
      <c r="H385" s="192" t="str">
        <f t="shared" si="138"/>
        <v/>
      </c>
    </row>
    <row r="386" spans="1:9" s="45" customFormat="1" ht="19.5" customHeight="1" thickBot="1">
      <c r="C386" s="180" t="e">
        <f>DATEVALUE("2010-"&amp;$H$1&amp;"-"&amp;INDEX(凭证录入!B:B,H389))</f>
        <v>#VALUE!</v>
      </c>
      <c r="D386" s="181"/>
      <c r="E386" s="182" t="s">
        <v>477</v>
      </c>
      <c r="F386" s="183" t="e">
        <f>N(LEFT((F374),3)+1)</f>
        <v>#VALUE!</v>
      </c>
      <c r="G386" s="203"/>
      <c r="H386" s="192" t="str">
        <f t="shared" si="138"/>
        <v/>
      </c>
      <c r="I386" s="184"/>
    </row>
    <row r="387" spans="1:9" s="45" customFormat="1" ht="19.5" customHeight="1" thickBot="1">
      <c r="A387" s="544" t="s">
        <v>478</v>
      </c>
      <c r="B387" s="545" t="s">
        <v>479</v>
      </c>
      <c r="C387" s="185" t="s">
        <v>480</v>
      </c>
      <c r="D387" s="186"/>
      <c r="E387" s="187"/>
      <c r="F387" s="202"/>
      <c r="G387" s="203"/>
      <c r="H387" s="192" t="str">
        <f t="shared" si="138"/>
        <v/>
      </c>
    </row>
    <row r="388" spans="1:9" s="45" customFormat="1" ht="19.5" customHeight="1" thickBot="1">
      <c r="A388" s="545"/>
      <c r="B388" s="546"/>
      <c r="C388" s="202" t="s">
        <v>481</v>
      </c>
      <c r="D388" s="202" t="s">
        <v>482</v>
      </c>
      <c r="E388" s="202" t="s">
        <v>483</v>
      </c>
      <c r="F388" s="202" t="s">
        <v>484</v>
      </c>
      <c r="G388" s="203"/>
      <c r="H388" s="192" t="str">
        <f t="shared" si="138"/>
        <v/>
      </c>
    </row>
    <row r="389" spans="1:9" s="45" customFormat="1" ht="19.5" customHeight="1" thickBot="1">
      <c r="A389" s="189" t="str">
        <f>IFERROR(INDEX(凭证录入!H:H,$H389),"")</f>
        <v/>
      </c>
      <c r="B389" s="189" t="str">
        <f>IFERROR(INDEX(凭证录入!I:I,$H389),"")</f>
        <v/>
      </c>
      <c r="C389" s="190" t="str">
        <f>IFERROR(VLOOKUP($B389,会计科目表!$A:$C,2,),"")</f>
        <v/>
      </c>
      <c r="D389" s="190" t="str">
        <f>IFERROR(VLOOKUP($B389,会计科目表!$A:$C,3,),"")</f>
        <v/>
      </c>
      <c r="E389" s="191">
        <f>IFERROR(INDEX(凭证录入!K:K,$H389),0)</f>
        <v>0</v>
      </c>
      <c r="F389" s="191">
        <f>IFERROR(INDEX(凭证录入!L:L,$H389),0)</f>
        <v>0</v>
      </c>
      <c r="G389" s="203"/>
      <c r="H389" s="192" t="str">
        <f t="shared" ref="H389:H452" si="139">IFERROR(INDEX(行号,TEXT(MOD(ROW(),12)-4,"[=]A")),"")</f>
        <v/>
      </c>
    </row>
    <row r="390" spans="1:9" s="45" customFormat="1" ht="19.5" customHeight="1" thickBot="1">
      <c r="A390" s="189" t="str">
        <f>IFERROR(INDEX(凭证录入!H:H,$H390),"")</f>
        <v/>
      </c>
      <c r="B390" s="189" t="str">
        <f>IFERROR(INDEX(凭证录入!I:I,$H390),"")</f>
        <v/>
      </c>
      <c r="C390" s="190" t="str">
        <f>IFERROR(VLOOKUP($B390,会计科目表!$A:$C,2,),"")</f>
        <v/>
      </c>
      <c r="D390" s="190" t="str">
        <f>IFERROR(VLOOKUP($B390,会计科目表!$A:$C,3,),"")</f>
        <v/>
      </c>
      <c r="E390" s="191">
        <f>IFERROR(INDEX(凭证录入!K:K,$H390),0)</f>
        <v>0</v>
      </c>
      <c r="F390" s="191">
        <f>IFERROR(INDEX(凭证录入!L:L,$H390),0)</f>
        <v>0</v>
      </c>
      <c r="G390" s="203" t="s">
        <v>490</v>
      </c>
      <c r="H390" s="192" t="str">
        <f t="shared" si="139"/>
        <v/>
      </c>
      <c r="I390" s="203"/>
    </row>
    <row r="391" spans="1:9" s="45" customFormat="1" ht="19.5" customHeight="1" thickBot="1">
      <c r="A391" s="189" t="str">
        <f>IFERROR(INDEX(凭证录入!H:H,$H391),"")</f>
        <v/>
      </c>
      <c r="B391" s="189" t="str">
        <f>IFERROR(INDEX(凭证录入!I:I,$H391),"")</f>
        <v/>
      </c>
      <c r="C391" s="190" t="str">
        <f>IFERROR(VLOOKUP($B391,会计科目表!$A:$C,2,),"")</f>
        <v/>
      </c>
      <c r="D391" s="190" t="str">
        <f>IFERROR(VLOOKUP($B391,会计科目表!$A:$C,3,),"")</f>
        <v/>
      </c>
      <c r="E391" s="191">
        <f>IFERROR(INDEX(凭证录入!K:K,$H391),0)</f>
        <v>0</v>
      </c>
      <c r="F391" s="191">
        <f>IFERROR(INDEX(凭证录入!L:L,$H391),0)</f>
        <v>0</v>
      </c>
      <c r="G391" s="203" t="s">
        <v>491</v>
      </c>
      <c r="H391" s="192" t="str">
        <f t="shared" si="139"/>
        <v/>
      </c>
      <c r="I391" s="203"/>
    </row>
    <row r="392" spans="1:9" s="45" customFormat="1" ht="19.5" customHeight="1" thickBot="1">
      <c r="A392" s="189" t="str">
        <f>IFERROR(INDEX(凭证录入!H:H,$H392),"")</f>
        <v/>
      </c>
      <c r="B392" s="189" t="str">
        <f>IFERROR(INDEX(凭证录入!I:I,$H392),"")</f>
        <v/>
      </c>
      <c r="C392" s="190" t="str">
        <f>IFERROR(VLOOKUP($B392,会计科目表!$A:$C,2,),"")</f>
        <v/>
      </c>
      <c r="D392" s="190" t="str">
        <f>IFERROR(VLOOKUP($B392,会计科目表!$A:$C,3,),"")</f>
        <v/>
      </c>
      <c r="E392" s="191">
        <f>IFERROR(INDEX(凭证录入!K:K,$H392),0)</f>
        <v>0</v>
      </c>
      <c r="F392" s="191">
        <f>IFERROR(INDEX(凭证录入!L:L,$H392),0)</f>
        <v>0</v>
      </c>
      <c r="G392" s="203" t="e">
        <f>INDEX(凭证录入!$D:$D,$H389)</f>
        <v>#VALUE!</v>
      </c>
      <c r="H392" s="192" t="str">
        <f t="shared" si="139"/>
        <v/>
      </c>
      <c r="I392" s="203"/>
    </row>
    <row r="393" spans="1:9" s="45" customFormat="1" ht="19.5" customHeight="1" thickBot="1">
      <c r="A393" s="189" t="str">
        <f>IFERROR(INDEX(凭证录入!H:H,$H393),"")</f>
        <v/>
      </c>
      <c r="B393" s="189" t="str">
        <f>IFERROR(INDEX(凭证录入!I:I,$H393),"")</f>
        <v/>
      </c>
      <c r="C393" s="190" t="str">
        <f>IFERROR(VLOOKUP($B393,会计科目表!$A:$C,2,),"")</f>
        <v/>
      </c>
      <c r="D393" s="190" t="str">
        <f>IFERROR(VLOOKUP($B393,会计科目表!$A:$C,3,),"")</f>
        <v/>
      </c>
      <c r="E393" s="191">
        <f>IFERROR(INDEX(凭证录入!K:K,$H393),0)</f>
        <v>0</v>
      </c>
      <c r="F393" s="191">
        <f>IFERROR(INDEX(凭证录入!L:L,$H393),0)</f>
        <v>0</v>
      </c>
      <c r="G393" s="203" t="s">
        <v>492</v>
      </c>
      <c r="H393" s="192" t="str">
        <f t="shared" si="139"/>
        <v/>
      </c>
    </row>
    <row r="394" spans="1:9" s="45" customFormat="1" ht="19.5" customHeight="1" thickBot="1">
      <c r="A394" s="189" t="str">
        <f>IFERROR(INDEX(凭证录入!H:H,$H394),"")</f>
        <v/>
      </c>
      <c r="B394" s="189" t="str">
        <f>IFERROR(INDEX(凭证录入!I:I,$H394),"")</f>
        <v/>
      </c>
      <c r="C394" s="190" t="str">
        <f>IFERROR(VLOOKUP($B394,会计科目表!$A:$C,2,),"")</f>
        <v/>
      </c>
      <c r="D394" s="190" t="str">
        <f>IFERROR(VLOOKUP($B394,会计科目表!$A:$C,3,),"")</f>
        <v/>
      </c>
      <c r="E394" s="191">
        <f>IFERROR(INDEX(凭证录入!K:K,$H394),0)</f>
        <v>0</v>
      </c>
      <c r="F394" s="191">
        <f>IFERROR(INDEX(凭证录入!L:L,$H394),0)</f>
        <v>0</v>
      </c>
      <c r="G394" s="203"/>
      <c r="H394" s="192" t="str">
        <f t="shared" si="139"/>
        <v/>
      </c>
    </row>
    <row r="395" spans="1:9" s="45" customFormat="1" ht="19.5" customHeight="1" thickBot="1">
      <c r="A395" s="193"/>
      <c r="B395" s="194" t="s">
        <v>485</v>
      </c>
      <c r="C395" s="195" t="str">
        <f>SUBSTITUTE(SUBSTITUTE(IF(-DOLLAR(E395),IF(E395&gt;0,,"负")&amp;TEXT(INT(ABS(E395)+0.5%),"[dbnum2]G/通用格式元;;")&amp;TEXT(RIGHT(DOLLAR(E395),2),"[dbnum2]0角0分;;整"),),"零角",IF(E395^2&lt;1,,"零")),"零分","整")</f>
        <v/>
      </c>
      <c r="D395" s="196"/>
      <c r="E395" s="197">
        <f>SUM(E389:E394)</f>
        <v>0</v>
      </c>
      <c r="F395" s="197">
        <f>SUM(F389:F394)</f>
        <v>0</v>
      </c>
      <c r="G395" s="203"/>
      <c r="H395" s="192" t="str">
        <f t="shared" si="139"/>
        <v/>
      </c>
    </row>
    <row r="396" spans="1:9" s="199" customFormat="1" ht="19.5" customHeight="1">
      <c r="A396" s="45" t="s">
        <v>486</v>
      </c>
      <c r="B396" s="45" t="s">
        <v>487</v>
      </c>
      <c r="C396" s="45" t="s">
        <v>488</v>
      </c>
      <c r="D396" s="45" t="s">
        <v>504</v>
      </c>
      <c r="E396" s="45" t="s">
        <v>489</v>
      </c>
      <c r="F396" s="203" t="str">
        <f>IF($E395&lt;&gt;$F395,"借贷不平","")</f>
        <v/>
      </c>
      <c r="G396" s="183"/>
      <c r="H396" s="198" t="str">
        <f t="shared" si="139"/>
        <v/>
      </c>
    </row>
    <row r="397" spans="1:9" ht="37.5" customHeight="1">
      <c r="A397" s="177" t="s">
        <v>476</v>
      </c>
      <c r="B397" s="178"/>
      <c r="C397" s="179"/>
      <c r="D397" s="179"/>
      <c r="E397" s="178"/>
      <c r="F397" s="178"/>
      <c r="G397" s="203"/>
      <c r="H397" s="192" t="str">
        <f t="shared" si="139"/>
        <v/>
      </c>
    </row>
    <row r="398" spans="1:9" s="45" customFormat="1" ht="19.5" customHeight="1" thickBot="1">
      <c r="C398" s="180" t="e">
        <f>DATEVALUE("2010-"&amp;$H$1&amp;"-"&amp;INDEX(凭证录入!B:B,H401))</f>
        <v>#VALUE!</v>
      </c>
      <c r="D398" s="181"/>
      <c r="E398" s="182" t="s">
        <v>477</v>
      </c>
      <c r="F398" s="183" t="e">
        <f>N(LEFT((F386),3)+1)</f>
        <v>#VALUE!</v>
      </c>
      <c r="G398" s="203"/>
      <c r="H398" s="192" t="str">
        <f t="shared" si="139"/>
        <v/>
      </c>
      <c r="I398" s="184"/>
    </row>
    <row r="399" spans="1:9" s="45" customFormat="1" ht="19.5" customHeight="1" thickBot="1">
      <c r="A399" s="544" t="s">
        <v>478</v>
      </c>
      <c r="B399" s="545" t="s">
        <v>479</v>
      </c>
      <c r="C399" s="185" t="s">
        <v>480</v>
      </c>
      <c r="D399" s="186"/>
      <c r="E399" s="187"/>
      <c r="F399" s="202"/>
      <c r="G399" s="203"/>
      <c r="H399" s="192" t="str">
        <f t="shared" si="139"/>
        <v/>
      </c>
    </row>
    <row r="400" spans="1:9" s="45" customFormat="1" ht="19.5" customHeight="1" thickBot="1">
      <c r="A400" s="545"/>
      <c r="B400" s="546"/>
      <c r="C400" s="202" t="s">
        <v>481</v>
      </c>
      <c r="D400" s="202" t="s">
        <v>482</v>
      </c>
      <c r="E400" s="202" t="s">
        <v>483</v>
      </c>
      <c r="F400" s="202" t="s">
        <v>484</v>
      </c>
      <c r="G400" s="203"/>
      <c r="H400" s="192" t="str">
        <f t="shared" si="139"/>
        <v/>
      </c>
    </row>
    <row r="401" spans="1:9" s="45" customFormat="1" ht="19.5" customHeight="1" thickBot="1">
      <c r="A401" s="189" t="str">
        <f>IFERROR(INDEX(凭证录入!H:H,$H401),"")</f>
        <v/>
      </c>
      <c r="B401" s="189" t="str">
        <f>IFERROR(INDEX(凭证录入!I:I,$H401),"")</f>
        <v/>
      </c>
      <c r="C401" s="190" t="str">
        <f>IFERROR(VLOOKUP($B401,会计科目表!$A:$C,2,),"")</f>
        <v/>
      </c>
      <c r="D401" s="190" t="str">
        <f>IFERROR(VLOOKUP($B401,会计科目表!$A:$C,3,),"")</f>
        <v/>
      </c>
      <c r="E401" s="191">
        <f>IFERROR(INDEX(凭证录入!K:K,$H401),0)</f>
        <v>0</v>
      </c>
      <c r="F401" s="191">
        <f>IFERROR(INDEX(凭证录入!L:L,$H401),0)</f>
        <v>0</v>
      </c>
      <c r="G401" s="203"/>
      <c r="H401" s="192" t="str">
        <f t="shared" si="139"/>
        <v/>
      </c>
    </row>
    <row r="402" spans="1:9" s="45" customFormat="1" ht="19.5" customHeight="1" thickBot="1">
      <c r="A402" s="189" t="str">
        <f>IFERROR(INDEX(凭证录入!H:H,$H402),"")</f>
        <v/>
      </c>
      <c r="B402" s="189" t="str">
        <f>IFERROR(INDEX(凭证录入!I:I,$H402),"")</f>
        <v/>
      </c>
      <c r="C402" s="190" t="str">
        <f>IFERROR(VLOOKUP($B402,会计科目表!$A:$C,2,),"")</f>
        <v/>
      </c>
      <c r="D402" s="190" t="str">
        <f>IFERROR(VLOOKUP($B402,会计科目表!$A:$C,3,),"")</f>
        <v/>
      </c>
      <c r="E402" s="191">
        <f>IFERROR(INDEX(凭证录入!K:K,$H402),0)</f>
        <v>0</v>
      </c>
      <c r="F402" s="191">
        <f>IFERROR(INDEX(凭证录入!L:L,$H402),0)</f>
        <v>0</v>
      </c>
      <c r="G402" s="203" t="s">
        <v>490</v>
      </c>
      <c r="H402" s="192" t="str">
        <f t="shared" si="139"/>
        <v/>
      </c>
      <c r="I402" s="203"/>
    </row>
    <row r="403" spans="1:9" s="45" customFormat="1" ht="19.5" customHeight="1" thickBot="1">
      <c r="A403" s="189" t="str">
        <f>IFERROR(INDEX(凭证录入!H:H,$H403),"")</f>
        <v/>
      </c>
      <c r="B403" s="189" t="str">
        <f>IFERROR(INDEX(凭证录入!I:I,$H403),"")</f>
        <v/>
      </c>
      <c r="C403" s="190" t="str">
        <f>IFERROR(VLOOKUP($B403,会计科目表!$A:$C,2,),"")</f>
        <v/>
      </c>
      <c r="D403" s="190" t="str">
        <f>IFERROR(VLOOKUP($B403,会计科目表!$A:$C,3,),"")</f>
        <v/>
      </c>
      <c r="E403" s="191">
        <f>IFERROR(INDEX(凭证录入!K:K,$H403),0)</f>
        <v>0</v>
      </c>
      <c r="F403" s="191">
        <f>IFERROR(INDEX(凭证录入!L:L,$H403),0)</f>
        <v>0</v>
      </c>
      <c r="G403" s="203" t="s">
        <v>491</v>
      </c>
      <c r="H403" s="192" t="str">
        <f t="shared" si="139"/>
        <v/>
      </c>
      <c r="I403" s="203"/>
    </row>
    <row r="404" spans="1:9" s="45" customFormat="1" ht="19.5" customHeight="1" thickBot="1">
      <c r="A404" s="189" t="str">
        <f>IFERROR(INDEX(凭证录入!H:H,$H404),"")</f>
        <v/>
      </c>
      <c r="B404" s="189" t="str">
        <f>IFERROR(INDEX(凭证录入!I:I,$H404),"")</f>
        <v/>
      </c>
      <c r="C404" s="190" t="str">
        <f>IFERROR(VLOOKUP($B404,会计科目表!$A:$C,2,),"")</f>
        <v/>
      </c>
      <c r="D404" s="190" t="str">
        <f>IFERROR(VLOOKUP($B404,会计科目表!$A:$C,3,),"")</f>
        <v/>
      </c>
      <c r="E404" s="191">
        <f>IFERROR(INDEX(凭证录入!K:K,$H404),0)</f>
        <v>0</v>
      </c>
      <c r="F404" s="191">
        <f>IFERROR(INDEX(凭证录入!L:L,$H404),0)</f>
        <v>0</v>
      </c>
      <c r="G404" s="203" t="e">
        <f>INDEX(凭证录入!$D:$D,$H401)</f>
        <v>#VALUE!</v>
      </c>
      <c r="H404" s="192" t="str">
        <f t="shared" si="139"/>
        <v/>
      </c>
      <c r="I404" s="203"/>
    </row>
    <row r="405" spans="1:9" s="45" customFormat="1" ht="19.5" customHeight="1" thickBot="1">
      <c r="A405" s="189" t="str">
        <f>IFERROR(INDEX(凭证录入!H:H,$H405),"")</f>
        <v/>
      </c>
      <c r="B405" s="189" t="str">
        <f>IFERROR(INDEX(凭证录入!I:I,$H405),"")</f>
        <v/>
      </c>
      <c r="C405" s="190" t="str">
        <f>IFERROR(VLOOKUP($B405,会计科目表!$A:$C,2,),"")</f>
        <v/>
      </c>
      <c r="D405" s="190" t="str">
        <f>IFERROR(VLOOKUP($B405,会计科目表!$A:$C,3,),"")</f>
        <v/>
      </c>
      <c r="E405" s="191">
        <f>IFERROR(INDEX(凭证录入!K:K,$H405),0)</f>
        <v>0</v>
      </c>
      <c r="F405" s="191">
        <f>IFERROR(INDEX(凭证录入!L:L,$H405),0)</f>
        <v>0</v>
      </c>
      <c r="G405" s="203" t="s">
        <v>492</v>
      </c>
      <c r="H405" s="192" t="str">
        <f t="shared" si="139"/>
        <v/>
      </c>
    </row>
    <row r="406" spans="1:9" s="45" customFormat="1" ht="19.5" customHeight="1" thickBot="1">
      <c r="A406" s="189" t="str">
        <f>IFERROR(INDEX(凭证录入!H:H,$H406),"")</f>
        <v/>
      </c>
      <c r="B406" s="189" t="str">
        <f>IFERROR(INDEX(凭证录入!I:I,$H406),"")</f>
        <v/>
      </c>
      <c r="C406" s="190" t="str">
        <f>IFERROR(VLOOKUP($B406,会计科目表!$A:$C,2,),"")</f>
        <v/>
      </c>
      <c r="D406" s="190" t="str">
        <f>IFERROR(VLOOKUP($B406,会计科目表!$A:$C,3,),"")</f>
        <v/>
      </c>
      <c r="E406" s="191">
        <f>IFERROR(INDEX(凭证录入!K:K,$H406),0)</f>
        <v>0</v>
      </c>
      <c r="F406" s="191">
        <f>IFERROR(INDEX(凭证录入!L:L,$H406),0)</f>
        <v>0</v>
      </c>
      <c r="G406" s="203"/>
      <c r="H406" s="192" t="str">
        <f t="shared" si="139"/>
        <v/>
      </c>
    </row>
    <row r="407" spans="1:9" s="45" customFormat="1" ht="19.5" customHeight="1" thickBot="1">
      <c r="A407" s="193"/>
      <c r="B407" s="194" t="s">
        <v>485</v>
      </c>
      <c r="C407" s="195" t="str">
        <f>SUBSTITUTE(SUBSTITUTE(IF(-DOLLAR(E407),IF(E407&gt;0,,"负")&amp;TEXT(INT(ABS(E407)+0.5%),"[dbnum2]G/通用格式元;;")&amp;TEXT(RIGHT(DOLLAR(E407),2),"[dbnum2]0角0分;;整"),),"零角",IF(E407^2&lt;1,,"零")),"零分","整")</f>
        <v/>
      </c>
      <c r="D407" s="196"/>
      <c r="E407" s="197">
        <f>SUM(E401:E406)</f>
        <v>0</v>
      </c>
      <c r="F407" s="197">
        <f>SUM(F401:F406)</f>
        <v>0</v>
      </c>
      <c r="G407" s="203"/>
      <c r="H407" s="192" t="str">
        <f t="shared" si="139"/>
        <v/>
      </c>
    </row>
    <row r="408" spans="1:9" s="199" customFormat="1" ht="19.5" customHeight="1">
      <c r="A408" s="45" t="s">
        <v>486</v>
      </c>
      <c r="B408" s="45" t="s">
        <v>487</v>
      </c>
      <c r="C408" s="45" t="s">
        <v>488</v>
      </c>
      <c r="D408" s="45" t="s">
        <v>504</v>
      </c>
      <c r="E408" s="45" t="s">
        <v>489</v>
      </c>
      <c r="F408" s="203" t="str">
        <f>IF($E407&lt;&gt;$F407,"借贷不平","")</f>
        <v/>
      </c>
      <c r="G408" s="183"/>
      <c r="H408" s="198" t="str">
        <f t="shared" si="139"/>
        <v/>
      </c>
    </row>
    <row r="409" spans="1:9" ht="37.5" customHeight="1">
      <c r="A409" s="177" t="s">
        <v>476</v>
      </c>
      <c r="B409" s="178"/>
      <c r="C409" s="179"/>
      <c r="D409" s="179"/>
      <c r="E409" s="178"/>
      <c r="F409" s="178"/>
      <c r="G409" s="203"/>
      <c r="H409" s="192" t="str">
        <f t="shared" si="139"/>
        <v/>
      </c>
    </row>
    <row r="410" spans="1:9" s="45" customFormat="1" ht="19.5" customHeight="1" thickBot="1">
      <c r="C410" s="180" t="e">
        <f>DATEVALUE("2010-"&amp;$H$1&amp;"-"&amp;INDEX(凭证录入!B:B,H413))</f>
        <v>#VALUE!</v>
      </c>
      <c r="D410" s="181"/>
      <c r="E410" s="182" t="s">
        <v>477</v>
      </c>
      <c r="F410" s="183" t="e">
        <f>N(LEFT((F398),3)+1)</f>
        <v>#VALUE!</v>
      </c>
      <c r="G410" s="203"/>
      <c r="H410" s="192" t="str">
        <f t="shared" si="139"/>
        <v/>
      </c>
      <c r="I410" s="184"/>
    </row>
    <row r="411" spans="1:9" s="45" customFormat="1" ht="19.5" customHeight="1" thickBot="1">
      <c r="A411" s="544" t="s">
        <v>478</v>
      </c>
      <c r="B411" s="545" t="s">
        <v>479</v>
      </c>
      <c r="C411" s="185" t="s">
        <v>480</v>
      </c>
      <c r="D411" s="186"/>
      <c r="E411" s="187"/>
      <c r="F411" s="202"/>
      <c r="G411" s="203"/>
      <c r="H411" s="192" t="str">
        <f t="shared" si="139"/>
        <v/>
      </c>
    </row>
    <row r="412" spans="1:9" s="45" customFormat="1" ht="19.5" customHeight="1" thickBot="1">
      <c r="A412" s="545"/>
      <c r="B412" s="546"/>
      <c r="C412" s="202" t="s">
        <v>481</v>
      </c>
      <c r="D412" s="202" t="s">
        <v>482</v>
      </c>
      <c r="E412" s="202" t="s">
        <v>483</v>
      </c>
      <c r="F412" s="202" t="s">
        <v>484</v>
      </c>
      <c r="G412" s="203"/>
      <c r="H412" s="192" t="str">
        <f t="shared" si="139"/>
        <v/>
      </c>
    </row>
    <row r="413" spans="1:9" s="45" customFormat="1" ht="19.5" customHeight="1" thickBot="1">
      <c r="A413" s="189" t="str">
        <f>IFERROR(INDEX(凭证录入!H:H,$H413),"")</f>
        <v/>
      </c>
      <c r="B413" s="189" t="str">
        <f>IFERROR(INDEX(凭证录入!I:I,$H413),"")</f>
        <v/>
      </c>
      <c r="C413" s="190" t="str">
        <f>IFERROR(VLOOKUP($B413,会计科目表!$A:$C,2,),"")</f>
        <v/>
      </c>
      <c r="D413" s="190" t="str">
        <f>IFERROR(VLOOKUP($B413,会计科目表!$A:$C,3,),"")</f>
        <v/>
      </c>
      <c r="E413" s="191">
        <f>IFERROR(INDEX(凭证录入!K:K,$H413),0)</f>
        <v>0</v>
      </c>
      <c r="F413" s="191">
        <f>IFERROR(INDEX(凭证录入!L:L,$H413),0)</f>
        <v>0</v>
      </c>
      <c r="G413" s="203"/>
      <c r="H413" s="192" t="str">
        <f t="shared" si="139"/>
        <v/>
      </c>
    </row>
    <row r="414" spans="1:9" s="45" customFormat="1" ht="19.5" customHeight="1" thickBot="1">
      <c r="A414" s="189" t="str">
        <f>IFERROR(INDEX(凭证录入!H:H,$H414),"")</f>
        <v/>
      </c>
      <c r="B414" s="189" t="str">
        <f>IFERROR(INDEX(凭证录入!I:I,$H414),"")</f>
        <v/>
      </c>
      <c r="C414" s="190" t="str">
        <f>IFERROR(VLOOKUP($B414,会计科目表!$A:$C,2,),"")</f>
        <v/>
      </c>
      <c r="D414" s="190" t="str">
        <f>IFERROR(VLOOKUP($B414,会计科目表!$A:$C,3,),"")</f>
        <v/>
      </c>
      <c r="E414" s="191">
        <f>IFERROR(INDEX(凭证录入!K:K,$H414),0)</f>
        <v>0</v>
      </c>
      <c r="F414" s="191">
        <f>IFERROR(INDEX(凭证录入!L:L,$H414),0)</f>
        <v>0</v>
      </c>
      <c r="G414" s="203" t="s">
        <v>490</v>
      </c>
      <c r="H414" s="192" t="str">
        <f t="shared" si="139"/>
        <v/>
      </c>
      <c r="I414" s="203"/>
    </row>
    <row r="415" spans="1:9" s="45" customFormat="1" ht="19.5" customHeight="1" thickBot="1">
      <c r="A415" s="189" t="str">
        <f>IFERROR(INDEX(凭证录入!H:H,$H415),"")</f>
        <v/>
      </c>
      <c r="B415" s="189" t="str">
        <f>IFERROR(INDEX(凭证录入!I:I,$H415),"")</f>
        <v/>
      </c>
      <c r="C415" s="190" t="str">
        <f>IFERROR(VLOOKUP($B415,会计科目表!$A:$C,2,),"")</f>
        <v/>
      </c>
      <c r="D415" s="190" t="str">
        <f>IFERROR(VLOOKUP($B415,会计科目表!$A:$C,3,),"")</f>
        <v/>
      </c>
      <c r="E415" s="191">
        <f>IFERROR(INDEX(凭证录入!K:K,$H415),0)</f>
        <v>0</v>
      </c>
      <c r="F415" s="191">
        <f>IFERROR(INDEX(凭证录入!L:L,$H415),0)</f>
        <v>0</v>
      </c>
      <c r="G415" s="203" t="s">
        <v>491</v>
      </c>
      <c r="H415" s="192" t="str">
        <f t="shared" si="139"/>
        <v/>
      </c>
      <c r="I415" s="203"/>
    </row>
    <row r="416" spans="1:9" s="45" customFormat="1" ht="19.5" customHeight="1" thickBot="1">
      <c r="A416" s="189" t="str">
        <f>IFERROR(INDEX(凭证录入!H:H,$H416),"")</f>
        <v/>
      </c>
      <c r="B416" s="189" t="str">
        <f>IFERROR(INDEX(凭证录入!I:I,$H416),"")</f>
        <v/>
      </c>
      <c r="C416" s="190" t="str">
        <f>IFERROR(VLOOKUP($B416,会计科目表!$A:$C,2,),"")</f>
        <v/>
      </c>
      <c r="D416" s="190" t="str">
        <f>IFERROR(VLOOKUP($B416,会计科目表!$A:$C,3,),"")</f>
        <v/>
      </c>
      <c r="E416" s="191">
        <f>IFERROR(INDEX(凭证录入!K:K,$H416),0)</f>
        <v>0</v>
      </c>
      <c r="F416" s="191">
        <f>IFERROR(INDEX(凭证录入!L:L,$H416),0)</f>
        <v>0</v>
      </c>
      <c r="G416" s="203" t="e">
        <f>INDEX(凭证录入!$D:$D,$H413)</f>
        <v>#VALUE!</v>
      </c>
      <c r="H416" s="192" t="str">
        <f t="shared" si="139"/>
        <v/>
      </c>
      <c r="I416" s="203"/>
    </row>
    <row r="417" spans="1:9" s="45" customFormat="1" ht="19.5" customHeight="1" thickBot="1">
      <c r="A417" s="189" t="str">
        <f>IFERROR(INDEX(凭证录入!H:H,$H417),"")</f>
        <v/>
      </c>
      <c r="B417" s="189" t="str">
        <f>IFERROR(INDEX(凭证录入!I:I,$H417),"")</f>
        <v/>
      </c>
      <c r="C417" s="190" t="str">
        <f>IFERROR(VLOOKUP($B417,会计科目表!$A:$C,2,),"")</f>
        <v/>
      </c>
      <c r="D417" s="190" t="str">
        <f>IFERROR(VLOOKUP($B417,会计科目表!$A:$C,3,),"")</f>
        <v/>
      </c>
      <c r="E417" s="191">
        <f>IFERROR(INDEX(凭证录入!K:K,$H417),0)</f>
        <v>0</v>
      </c>
      <c r="F417" s="191">
        <f>IFERROR(INDEX(凭证录入!L:L,$H417),0)</f>
        <v>0</v>
      </c>
      <c r="G417" s="203" t="s">
        <v>492</v>
      </c>
      <c r="H417" s="192" t="str">
        <f t="shared" si="139"/>
        <v/>
      </c>
    </row>
    <row r="418" spans="1:9" s="45" customFormat="1" ht="19.5" customHeight="1" thickBot="1">
      <c r="A418" s="189" t="str">
        <f>IFERROR(INDEX(凭证录入!H:H,$H418),"")</f>
        <v/>
      </c>
      <c r="B418" s="189" t="str">
        <f>IFERROR(INDEX(凭证录入!I:I,$H418),"")</f>
        <v/>
      </c>
      <c r="C418" s="190" t="str">
        <f>IFERROR(VLOOKUP($B418,会计科目表!$A:$C,2,),"")</f>
        <v/>
      </c>
      <c r="D418" s="190" t="str">
        <f>IFERROR(VLOOKUP($B418,会计科目表!$A:$C,3,),"")</f>
        <v/>
      </c>
      <c r="E418" s="191">
        <f>IFERROR(INDEX(凭证录入!K:K,$H418),0)</f>
        <v>0</v>
      </c>
      <c r="F418" s="191">
        <f>IFERROR(INDEX(凭证录入!L:L,$H418),0)</f>
        <v>0</v>
      </c>
      <c r="G418" s="203"/>
      <c r="H418" s="192" t="str">
        <f t="shared" si="139"/>
        <v/>
      </c>
    </row>
    <row r="419" spans="1:9" s="45" customFormat="1" ht="19.5" customHeight="1" thickBot="1">
      <c r="A419" s="193"/>
      <c r="B419" s="194" t="s">
        <v>485</v>
      </c>
      <c r="C419" s="195" t="str">
        <f>SUBSTITUTE(SUBSTITUTE(IF(-DOLLAR(E419),IF(E419&gt;0,,"负")&amp;TEXT(INT(ABS(E419)+0.5%),"[dbnum2]G/通用格式元;;")&amp;TEXT(RIGHT(DOLLAR(E419),2),"[dbnum2]0角0分;;整"),),"零角",IF(E419^2&lt;1,,"零")),"零分","整")</f>
        <v/>
      </c>
      <c r="D419" s="196"/>
      <c r="E419" s="197">
        <f>SUM(E413:E418)</f>
        <v>0</v>
      </c>
      <c r="F419" s="197">
        <f>SUM(F413:F418)</f>
        <v>0</v>
      </c>
      <c r="G419" s="203"/>
      <c r="H419" s="192" t="str">
        <f t="shared" si="139"/>
        <v/>
      </c>
    </row>
    <row r="420" spans="1:9" s="199" customFormat="1" ht="19.5" customHeight="1">
      <c r="A420" s="45" t="s">
        <v>486</v>
      </c>
      <c r="B420" s="45" t="s">
        <v>487</v>
      </c>
      <c r="C420" s="45" t="s">
        <v>488</v>
      </c>
      <c r="D420" s="45" t="s">
        <v>504</v>
      </c>
      <c r="E420" s="45" t="s">
        <v>489</v>
      </c>
      <c r="F420" s="203" t="str">
        <f>IF($E419&lt;&gt;$F419,"借贷不平","")</f>
        <v/>
      </c>
      <c r="G420" s="183"/>
      <c r="H420" s="198" t="str">
        <f t="shared" si="139"/>
        <v/>
      </c>
    </row>
    <row r="421" spans="1:9" ht="37.5" customHeight="1">
      <c r="A421" s="177" t="s">
        <v>476</v>
      </c>
      <c r="B421" s="178"/>
      <c r="C421" s="179"/>
      <c r="D421" s="179"/>
      <c r="E421" s="178"/>
      <c r="F421" s="178"/>
      <c r="G421" s="203"/>
      <c r="H421" s="192" t="str">
        <f t="shared" si="139"/>
        <v/>
      </c>
    </row>
    <row r="422" spans="1:9" s="45" customFormat="1" ht="19.5" customHeight="1" thickBot="1">
      <c r="C422" s="180" t="e">
        <f>DATEVALUE("2010-"&amp;$H$1&amp;"-"&amp;INDEX(凭证录入!B:B,H425))</f>
        <v>#VALUE!</v>
      </c>
      <c r="D422" s="181"/>
      <c r="E422" s="182" t="s">
        <v>477</v>
      </c>
      <c r="F422" s="183" t="e">
        <f>N(LEFT((F410),3)+1)</f>
        <v>#VALUE!</v>
      </c>
      <c r="G422" s="203"/>
      <c r="H422" s="192" t="str">
        <f t="shared" si="139"/>
        <v/>
      </c>
      <c r="I422" s="184"/>
    </row>
    <row r="423" spans="1:9" s="45" customFormat="1" ht="19.5" customHeight="1" thickBot="1">
      <c r="A423" s="544" t="s">
        <v>478</v>
      </c>
      <c r="B423" s="545" t="s">
        <v>479</v>
      </c>
      <c r="C423" s="185" t="s">
        <v>480</v>
      </c>
      <c r="D423" s="186"/>
      <c r="E423" s="187"/>
      <c r="F423" s="202"/>
      <c r="G423" s="203"/>
      <c r="H423" s="192" t="str">
        <f t="shared" si="139"/>
        <v/>
      </c>
    </row>
    <row r="424" spans="1:9" s="45" customFormat="1" ht="19.5" customHeight="1" thickBot="1">
      <c r="A424" s="545"/>
      <c r="B424" s="546"/>
      <c r="C424" s="202" t="s">
        <v>481</v>
      </c>
      <c r="D424" s="202" t="s">
        <v>482</v>
      </c>
      <c r="E424" s="202" t="s">
        <v>483</v>
      </c>
      <c r="F424" s="202" t="s">
        <v>484</v>
      </c>
      <c r="G424" s="203"/>
      <c r="H424" s="192" t="str">
        <f t="shared" si="139"/>
        <v/>
      </c>
    </row>
    <row r="425" spans="1:9" s="45" customFormat="1" ht="19.5" customHeight="1" thickBot="1">
      <c r="A425" s="189" t="str">
        <f>IFERROR(INDEX(凭证录入!H:H,$H425),"")</f>
        <v/>
      </c>
      <c r="B425" s="189" t="str">
        <f>IFERROR(INDEX(凭证录入!I:I,$H425),"")</f>
        <v/>
      </c>
      <c r="C425" s="190" t="str">
        <f>IFERROR(VLOOKUP($B425,会计科目表!$A:$C,2,),"")</f>
        <v/>
      </c>
      <c r="D425" s="190" t="str">
        <f>IFERROR(VLOOKUP($B425,会计科目表!$A:$C,3,),"")</f>
        <v/>
      </c>
      <c r="E425" s="191">
        <f>IFERROR(INDEX(凭证录入!K:K,$H425),0)</f>
        <v>0</v>
      </c>
      <c r="F425" s="191">
        <f>IFERROR(INDEX(凭证录入!L:L,$H425),0)</f>
        <v>0</v>
      </c>
      <c r="G425" s="203"/>
      <c r="H425" s="192" t="str">
        <f t="shared" si="139"/>
        <v/>
      </c>
    </row>
    <row r="426" spans="1:9" s="45" customFormat="1" ht="19.5" customHeight="1" thickBot="1">
      <c r="A426" s="189" t="str">
        <f>IFERROR(INDEX(凭证录入!H:H,$H426),"")</f>
        <v/>
      </c>
      <c r="B426" s="189" t="str">
        <f>IFERROR(INDEX(凭证录入!I:I,$H426),"")</f>
        <v/>
      </c>
      <c r="C426" s="190" t="str">
        <f>IFERROR(VLOOKUP($B426,会计科目表!$A:$C,2,),"")</f>
        <v/>
      </c>
      <c r="D426" s="190" t="str">
        <f>IFERROR(VLOOKUP($B426,会计科目表!$A:$C,3,),"")</f>
        <v/>
      </c>
      <c r="E426" s="191">
        <f>IFERROR(INDEX(凭证录入!K:K,$H426),0)</f>
        <v>0</v>
      </c>
      <c r="F426" s="191">
        <f>IFERROR(INDEX(凭证录入!L:L,$H426),0)</f>
        <v>0</v>
      </c>
      <c r="G426" s="203" t="s">
        <v>490</v>
      </c>
      <c r="H426" s="192" t="str">
        <f t="shared" si="139"/>
        <v/>
      </c>
      <c r="I426" s="203"/>
    </row>
    <row r="427" spans="1:9" s="45" customFormat="1" ht="19.5" customHeight="1" thickBot="1">
      <c r="A427" s="189" t="str">
        <f>IFERROR(INDEX(凭证录入!H:H,$H427),"")</f>
        <v/>
      </c>
      <c r="B427" s="189" t="str">
        <f>IFERROR(INDEX(凭证录入!I:I,$H427),"")</f>
        <v/>
      </c>
      <c r="C427" s="190" t="str">
        <f>IFERROR(VLOOKUP($B427,会计科目表!$A:$C,2,),"")</f>
        <v/>
      </c>
      <c r="D427" s="190" t="str">
        <f>IFERROR(VLOOKUP($B427,会计科目表!$A:$C,3,),"")</f>
        <v/>
      </c>
      <c r="E427" s="191">
        <f>IFERROR(INDEX(凭证录入!K:K,$H427),0)</f>
        <v>0</v>
      </c>
      <c r="F427" s="191">
        <f>IFERROR(INDEX(凭证录入!L:L,$H427),0)</f>
        <v>0</v>
      </c>
      <c r="G427" s="203" t="s">
        <v>491</v>
      </c>
      <c r="H427" s="192" t="str">
        <f t="shared" si="139"/>
        <v/>
      </c>
      <c r="I427" s="203"/>
    </row>
    <row r="428" spans="1:9" s="45" customFormat="1" ht="19.5" customHeight="1" thickBot="1">
      <c r="A428" s="189" t="str">
        <f>IFERROR(INDEX(凭证录入!H:H,$H428),"")</f>
        <v/>
      </c>
      <c r="B428" s="189" t="str">
        <f>IFERROR(INDEX(凭证录入!I:I,$H428),"")</f>
        <v/>
      </c>
      <c r="C428" s="190" t="str">
        <f>IFERROR(VLOOKUP($B428,会计科目表!$A:$C,2,),"")</f>
        <v/>
      </c>
      <c r="D428" s="190" t="str">
        <f>IFERROR(VLOOKUP($B428,会计科目表!$A:$C,3,),"")</f>
        <v/>
      </c>
      <c r="E428" s="191">
        <f>IFERROR(INDEX(凭证录入!K:K,$H428),0)</f>
        <v>0</v>
      </c>
      <c r="F428" s="191">
        <f>IFERROR(INDEX(凭证录入!L:L,$H428),0)</f>
        <v>0</v>
      </c>
      <c r="G428" s="203" t="e">
        <f>INDEX(凭证录入!$D:$D,$H425)</f>
        <v>#VALUE!</v>
      </c>
      <c r="H428" s="192" t="str">
        <f t="shared" si="139"/>
        <v/>
      </c>
      <c r="I428" s="203"/>
    </row>
    <row r="429" spans="1:9" s="45" customFormat="1" ht="19.5" customHeight="1" thickBot="1">
      <c r="A429" s="189" t="str">
        <f>IFERROR(INDEX(凭证录入!H:H,$H429),"")</f>
        <v/>
      </c>
      <c r="B429" s="189" t="str">
        <f>IFERROR(INDEX(凭证录入!I:I,$H429),"")</f>
        <v/>
      </c>
      <c r="C429" s="190" t="str">
        <f>IFERROR(VLOOKUP($B429,会计科目表!$A:$C,2,),"")</f>
        <v/>
      </c>
      <c r="D429" s="190" t="str">
        <f>IFERROR(VLOOKUP($B429,会计科目表!$A:$C,3,),"")</f>
        <v/>
      </c>
      <c r="E429" s="191">
        <f>IFERROR(INDEX(凭证录入!K:K,$H429),0)</f>
        <v>0</v>
      </c>
      <c r="F429" s="191">
        <f>IFERROR(INDEX(凭证录入!L:L,$H429),0)</f>
        <v>0</v>
      </c>
      <c r="G429" s="203" t="s">
        <v>492</v>
      </c>
      <c r="H429" s="192" t="str">
        <f t="shared" si="139"/>
        <v/>
      </c>
    </row>
    <row r="430" spans="1:9" s="45" customFormat="1" ht="19.5" customHeight="1" thickBot="1">
      <c r="A430" s="189" t="str">
        <f>IFERROR(INDEX(凭证录入!H:H,$H430),"")</f>
        <v/>
      </c>
      <c r="B430" s="189" t="str">
        <f>IFERROR(INDEX(凭证录入!I:I,$H430),"")</f>
        <v/>
      </c>
      <c r="C430" s="190" t="str">
        <f>IFERROR(VLOOKUP($B430,会计科目表!$A:$C,2,),"")</f>
        <v/>
      </c>
      <c r="D430" s="190" t="str">
        <f>IFERROR(VLOOKUP($B430,会计科目表!$A:$C,3,),"")</f>
        <v/>
      </c>
      <c r="E430" s="191">
        <f>IFERROR(INDEX(凭证录入!K:K,$H430),0)</f>
        <v>0</v>
      </c>
      <c r="F430" s="191">
        <f>IFERROR(INDEX(凭证录入!L:L,$H430),0)</f>
        <v>0</v>
      </c>
      <c r="G430" s="203"/>
      <c r="H430" s="192" t="str">
        <f t="shared" si="139"/>
        <v/>
      </c>
    </row>
    <row r="431" spans="1:9" s="45" customFormat="1" ht="19.5" customHeight="1" thickBot="1">
      <c r="A431" s="193"/>
      <c r="B431" s="194" t="s">
        <v>485</v>
      </c>
      <c r="C431" s="195" t="str">
        <f>SUBSTITUTE(SUBSTITUTE(IF(-DOLLAR(E431),IF(E431&gt;0,,"负")&amp;TEXT(INT(ABS(E431)+0.5%),"[dbnum2]G/通用格式元;;")&amp;TEXT(RIGHT(DOLLAR(E431),2),"[dbnum2]0角0分;;整"),),"零角",IF(E431^2&lt;1,,"零")),"零分","整")</f>
        <v/>
      </c>
      <c r="D431" s="196"/>
      <c r="E431" s="197">
        <f>SUM(E425:E430)</f>
        <v>0</v>
      </c>
      <c r="F431" s="197">
        <f>SUM(F425:F430)</f>
        <v>0</v>
      </c>
      <c r="G431" s="203"/>
      <c r="H431" s="192" t="str">
        <f t="shared" si="139"/>
        <v/>
      </c>
    </row>
    <row r="432" spans="1:9" s="199" customFormat="1" ht="19.5" customHeight="1">
      <c r="A432" s="45" t="s">
        <v>486</v>
      </c>
      <c r="B432" s="45" t="s">
        <v>487</v>
      </c>
      <c r="C432" s="45" t="s">
        <v>488</v>
      </c>
      <c r="D432" s="45" t="s">
        <v>504</v>
      </c>
      <c r="E432" s="45" t="s">
        <v>489</v>
      </c>
      <c r="F432" s="203" t="str">
        <f>IF($E431&lt;&gt;$F431,"借贷不平","")</f>
        <v/>
      </c>
      <c r="G432" s="183"/>
      <c r="H432" s="198" t="str">
        <f t="shared" si="139"/>
        <v/>
      </c>
    </row>
    <row r="433" spans="1:9" ht="37.5" customHeight="1">
      <c r="A433" s="177" t="s">
        <v>476</v>
      </c>
      <c r="B433" s="178"/>
      <c r="C433" s="179"/>
      <c r="D433" s="179"/>
      <c r="E433" s="178"/>
      <c r="F433" s="178"/>
      <c r="G433" s="203"/>
      <c r="H433" s="192" t="str">
        <f t="shared" si="139"/>
        <v/>
      </c>
    </row>
    <row r="434" spans="1:9" s="45" customFormat="1" ht="19.5" customHeight="1" thickBot="1">
      <c r="C434" s="180" t="e">
        <f>DATEVALUE("2010-"&amp;$H$1&amp;"-"&amp;INDEX(凭证录入!B:B,H437))</f>
        <v>#VALUE!</v>
      </c>
      <c r="D434" s="181"/>
      <c r="E434" s="182" t="s">
        <v>477</v>
      </c>
      <c r="F434" s="183" t="e">
        <f>N(LEFT((F422),3)+1)</f>
        <v>#VALUE!</v>
      </c>
      <c r="G434" s="203"/>
      <c r="H434" s="192" t="str">
        <f t="shared" si="139"/>
        <v/>
      </c>
      <c r="I434" s="184"/>
    </row>
    <row r="435" spans="1:9" s="45" customFormat="1" ht="19.5" customHeight="1" thickBot="1">
      <c r="A435" s="544" t="s">
        <v>478</v>
      </c>
      <c r="B435" s="545" t="s">
        <v>479</v>
      </c>
      <c r="C435" s="185" t="s">
        <v>480</v>
      </c>
      <c r="D435" s="186"/>
      <c r="E435" s="187"/>
      <c r="F435" s="202"/>
      <c r="G435" s="203"/>
      <c r="H435" s="192" t="str">
        <f t="shared" si="139"/>
        <v/>
      </c>
    </row>
    <row r="436" spans="1:9" s="45" customFormat="1" ht="19.5" customHeight="1" thickBot="1">
      <c r="A436" s="545"/>
      <c r="B436" s="546"/>
      <c r="C436" s="202" t="s">
        <v>481</v>
      </c>
      <c r="D436" s="202" t="s">
        <v>482</v>
      </c>
      <c r="E436" s="202" t="s">
        <v>483</v>
      </c>
      <c r="F436" s="202" t="s">
        <v>484</v>
      </c>
      <c r="G436" s="203"/>
      <c r="H436" s="192" t="str">
        <f t="shared" si="139"/>
        <v/>
      </c>
    </row>
    <row r="437" spans="1:9" s="45" customFormat="1" ht="19.5" customHeight="1" thickBot="1">
      <c r="A437" s="189" t="str">
        <f>IFERROR(INDEX(凭证录入!H:H,$H437),"")</f>
        <v/>
      </c>
      <c r="B437" s="189" t="str">
        <f>IFERROR(INDEX(凭证录入!I:I,$H437),"")</f>
        <v/>
      </c>
      <c r="C437" s="190" t="str">
        <f>IFERROR(VLOOKUP($B437,会计科目表!$A:$C,2,),"")</f>
        <v/>
      </c>
      <c r="D437" s="190" t="str">
        <f>IFERROR(VLOOKUP($B437,会计科目表!$A:$C,3,),"")</f>
        <v/>
      </c>
      <c r="E437" s="191">
        <f>IFERROR(INDEX(凭证录入!K:K,$H437),0)</f>
        <v>0</v>
      </c>
      <c r="F437" s="191">
        <f>IFERROR(INDEX(凭证录入!L:L,$H437),0)</f>
        <v>0</v>
      </c>
      <c r="G437" s="203"/>
      <c r="H437" s="192" t="str">
        <f t="shared" si="139"/>
        <v/>
      </c>
    </row>
    <row r="438" spans="1:9" s="45" customFormat="1" ht="19.5" customHeight="1" thickBot="1">
      <c r="A438" s="189" t="str">
        <f>IFERROR(INDEX(凭证录入!H:H,$H438),"")</f>
        <v/>
      </c>
      <c r="B438" s="189" t="str">
        <f>IFERROR(INDEX(凭证录入!I:I,$H438),"")</f>
        <v/>
      </c>
      <c r="C438" s="190" t="str">
        <f>IFERROR(VLOOKUP($B438,会计科目表!$A:$C,2,),"")</f>
        <v/>
      </c>
      <c r="D438" s="190" t="str">
        <f>IFERROR(VLOOKUP($B438,会计科目表!$A:$C,3,),"")</f>
        <v/>
      </c>
      <c r="E438" s="191">
        <f>IFERROR(INDEX(凭证录入!K:K,$H438),0)</f>
        <v>0</v>
      </c>
      <c r="F438" s="191">
        <f>IFERROR(INDEX(凭证录入!L:L,$H438),0)</f>
        <v>0</v>
      </c>
      <c r="G438" s="203" t="s">
        <v>490</v>
      </c>
      <c r="H438" s="192" t="str">
        <f t="shared" si="139"/>
        <v/>
      </c>
      <c r="I438" s="203"/>
    </row>
    <row r="439" spans="1:9" s="45" customFormat="1" ht="19.5" customHeight="1" thickBot="1">
      <c r="A439" s="189" t="str">
        <f>IFERROR(INDEX(凭证录入!H:H,$H439),"")</f>
        <v/>
      </c>
      <c r="B439" s="189" t="str">
        <f>IFERROR(INDEX(凭证录入!I:I,$H439),"")</f>
        <v/>
      </c>
      <c r="C439" s="190" t="str">
        <f>IFERROR(VLOOKUP($B439,会计科目表!$A:$C,2,),"")</f>
        <v/>
      </c>
      <c r="D439" s="190" t="str">
        <f>IFERROR(VLOOKUP($B439,会计科目表!$A:$C,3,),"")</f>
        <v/>
      </c>
      <c r="E439" s="191">
        <f>IFERROR(INDEX(凭证录入!K:K,$H439),0)</f>
        <v>0</v>
      </c>
      <c r="F439" s="191">
        <f>IFERROR(INDEX(凭证录入!L:L,$H439),0)</f>
        <v>0</v>
      </c>
      <c r="G439" s="203" t="s">
        <v>491</v>
      </c>
      <c r="H439" s="192" t="str">
        <f t="shared" si="139"/>
        <v/>
      </c>
      <c r="I439" s="203"/>
    </row>
    <row r="440" spans="1:9" s="45" customFormat="1" ht="19.5" customHeight="1" thickBot="1">
      <c r="A440" s="189" t="str">
        <f>IFERROR(INDEX(凭证录入!H:H,$H440),"")</f>
        <v/>
      </c>
      <c r="B440" s="189" t="str">
        <f>IFERROR(INDEX(凭证录入!I:I,$H440),"")</f>
        <v/>
      </c>
      <c r="C440" s="190" t="str">
        <f>IFERROR(VLOOKUP($B440,会计科目表!$A:$C,2,),"")</f>
        <v/>
      </c>
      <c r="D440" s="190" t="str">
        <f>IFERROR(VLOOKUP($B440,会计科目表!$A:$C,3,),"")</f>
        <v/>
      </c>
      <c r="E440" s="191">
        <f>IFERROR(INDEX(凭证录入!K:K,$H440),0)</f>
        <v>0</v>
      </c>
      <c r="F440" s="191">
        <f>IFERROR(INDEX(凭证录入!L:L,$H440),0)</f>
        <v>0</v>
      </c>
      <c r="G440" s="203" t="e">
        <f>INDEX(凭证录入!$D:$D,$H437)</f>
        <v>#VALUE!</v>
      </c>
      <c r="H440" s="192" t="str">
        <f t="shared" si="139"/>
        <v/>
      </c>
      <c r="I440" s="203"/>
    </row>
    <row r="441" spans="1:9" s="45" customFormat="1" ht="19.5" customHeight="1" thickBot="1">
      <c r="A441" s="189" t="str">
        <f>IFERROR(INDEX(凭证录入!H:H,$H441),"")</f>
        <v/>
      </c>
      <c r="B441" s="189" t="str">
        <f>IFERROR(INDEX(凭证录入!I:I,$H441),"")</f>
        <v/>
      </c>
      <c r="C441" s="190" t="str">
        <f>IFERROR(VLOOKUP($B441,会计科目表!$A:$C,2,),"")</f>
        <v/>
      </c>
      <c r="D441" s="190" t="str">
        <f>IFERROR(VLOOKUP($B441,会计科目表!$A:$C,3,),"")</f>
        <v/>
      </c>
      <c r="E441" s="191">
        <f>IFERROR(INDEX(凭证录入!K:K,$H441),0)</f>
        <v>0</v>
      </c>
      <c r="F441" s="191">
        <f>IFERROR(INDEX(凭证录入!L:L,$H441),0)</f>
        <v>0</v>
      </c>
      <c r="G441" s="203" t="s">
        <v>492</v>
      </c>
      <c r="H441" s="192" t="str">
        <f t="shared" si="139"/>
        <v/>
      </c>
    </row>
    <row r="442" spans="1:9" s="45" customFormat="1" ht="19.5" customHeight="1" thickBot="1">
      <c r="A442" s="189" t="str">
        <f>IFERROR(INDEX(凭证录入!H:H,$H442),"")</f>
        <v/>
      </c>
      <c r="B442" s="189" t="str">
        <f>IFERROR(INDEX(凭证录入!I:I,$H442),"")</f>
        <v/>
      </c>
      <c r="C442" s="190" t="str">
        <f>IFERROR(VLOOKUP($B442,会计科目表!$A:$C,2,),"")</f>
        <v/>
      </c>
      <c r="D442" s="190" t="str">
        <f>IFERROR(VLOOKUP($B442,会计科目表!$A:$C,3,),"")</f>
        <v/>
      </c>
      <c r="E442" s="191">
        <f>IFERROR(INDEX(凭证录入!K:K,$H442),0)</f>
        <v>0</v>
      </c>
      <c r="F442" s="191">
        <f>IFERROR(INDEX(凭证录入!L:L,$H442),0)</f>
        <v>0</v>
      </c>
      <c r="G442" s="203"/>
      <c r="H442" s="192" t="str">
        <f t="shared" si="139"/>
        <v/>
      </c>
    </row>
    <row r="443" spans="1:9" s="45" customFormat="1" ht="19.5" customHeight="1" thickBot="1">
      <c r="A443" s="193"/>
      <c r="B443" s="194" t="s">
        <v>485</v>
      </c>
      <c r="C443" s="195" t="str">
        <f>SUBSTITUTE(SUBSTITUTE(IF(-DOLLAR(E443),IF(E443&gt;0,,"负")&amp;TEXT(INT(ABS(E443)+0.5%),"[dbnum2]G/通用格式元;;")&amp;TEXT(RIGHT(DOLLAR(E443),2),"[dbnum2]0角0分;;整"),),"零角",IF(E443^2&lt;1,,"零")),"零分","整")</f>
        <v/>
      </c>
      <c r="D443" s="196"/>
      <c r="E443" s="197">
        <f>SUM(E437:E442)</f>
        <v>0</v>
      </c>
      <c r="F443" s="197">
        <f>SUM(F437:F442)</f>
        <v>0</v>
      </c>
      <c r="G443" s="203"/>
      <c r="H443" s="192" t="str">
        <f t="shared" si="139"/>
        <v/>
      </c>
    </row>
    <row r="444" spans="1:9" s="199" customFormat="1" ht="19.5" customHeight="1">
      <c r="A444" s="45" t="s">
        <v>486</v>
      </c>
      <c r="B444" s="45" t="s">
        <v>487</v>
      </c>
      <c r="C444" s="45" t="s">
        <v>488</v>
      </c>
      <c r="D444" s="45" t="s">
        <v>504</v>
      </c>
      <c r="E444" s="45" t="s">
        <v>489</v>
      </c>
      <c r="F444" s="203" t="str">
        <f>IF($E443&lt;&gt;$F443,"借贷不平","")</f>
        <v/>
      </c>
      <c r="G444" s="183"/>
      <c r="H444" s="198" t="str">
        <f t="shared" si="139"/>
        <v/>
      </c>
    </row>
    <row r="445" spans="1:9" ht="37.5" customHeight="1">
      <c r="A445" s="177" t="s">
        <v>476</v>
      </c>
      <c r="B445" s="178"/>
      <c r="C445" s="179"/>
      <c r="D445" s="179"/>
      <c r="E445" s="178"/>
      <c r="F445" s="178"/>
      <c r="G445" s="203"/>
      <c r="H445" s="192" t="str">
        <f t="shared" si="139"/>
        <v/>
      </c>
    </row>
    <row r="446" spans="1:9" s="45" customFormat="1" ht="19.5" customHeight="1" thickBot="1">
      <c r="C446" s="180" t="e">
        <f>DATEVALUE("2010-"&amp;$H$1&amp;"-"&amp;INDEX(凭证录入!B:B,H449))</f>
        <v>#VALUE!</v>
      </c>
      <c r="D446" s="181"/>
      <c r="E446" s="182" t="s">
        <v>477</v>
      </c>
      <c r="F446" s="183" t="e">
        <f>N(LEFT((F434),3)+1)</f>
        <v>#VALUE!</v>
      </c>
      <c r="G446" s="203"/>
      <c r="H446" s="192" t="str">
        <f t="shared" si="139"/>
        <v/>
      </c>
      <c r="I446" s="184"/>
    </row>
    <row r="447" spans="1:9" s="45" customFormat="1" ht="19.5" customHeight="1" thickBot="1">
      <c r="A447" s="544" t="s">
        <v>478</v>
      </c>
      <c r="B447" s="545" t="s">
        <v>479</v>
      </c>
      <c r="C447" s="185" t="s">
        <v>480</v>
      </c>
      <c r="D447" s="186"/>
      <c r="E447" s="187"/>
      <c r="F447" s="202"/>
      <c r="G447" s="203"/>
      <c r="H447" s="192" t="str">
        <f t="shared" si="139"/>
        <v/>
      </c>
    </row>
    <row r="448" spans="1:9" s="45" customFormat="1" ht="19.5" customHeight="1" thickBot="1">
      <c r="A448" s="545"/>
      <c r="B448" s="546"/>
      <c r="C448" s="202" t="s">
        <v>481</v>
      </c>
      <c r="D448" s="202" t="s">
        <v>482</v>
      </c>
      <c r="E448" s="202" t="s">
        <v>483</v>
      </c>
      <c r="F448" s="202" t="s">
        <v>484</v>
      </c>
      <c r="G448" s="203"/>
      <c r="H448" s="192" t="str">
        <f t="shared" si="139"/>
        <v/>
      </c>
    </row>
    <row r="449" spans="1:9" s="45" customFormat="1" ht="19.5" customHeight="1" thickBot="1">
      <c r="A449" s="189" t="str">
        <f>IFERROR(INDEX(凭证录入!H:H,$H449),"")</f>
        <v/>
      </c>
      <c r="B449" s="189" t="str">
        <f>IFERROR(INDEX(凭证录入!I:I,$H449),"")</f>
        <v/>
      </c>
      <c r="C449" s="190" t="str">
        <f>IFERROR(VLOOKUP($B449,会计科目表!$A:$C,2,),"")</f>
        <v/>
      </c>
      <c r="D449" s="190" t="str">
        <f>IFERROR(VLOOKUP($B449,会计科目表!$A:$C,3,),"")</f>
        <v/>
      </c>
      <c r="E449" s="191">
        <f>IFERROR(INDEX(凭证录入!K:K,$H449),0)</f>
        <v>0</v>
      </c>
      <c r="F449" s="191">
        <f>IFERROR(INDEX(凭证录入!L:L,$H449),0)</f>
        <v>0</v>
      </c>
      <c r="G449" s="203"/>
      <c r="H449" s="192" t="str">
        <f t="shared" si="139"/>
        <v/>
      </c>
    </row>
    <row r="450" spans="1:9" s="45" customFormat="1" ht="19.5" customHeight="1" thickBot="1">
      <c r="A450" s="189" t="str">
        <f>IFERROR(INDEX(凭证录入!H:H,$H450),"")</f>
        <v/>
      </c>
      <c r="B450" s="189" t="str">
        <f>IFERROR(INDEX(凭证录入!I:I,$H450),"")</f>
        <v/>
      </c>
      <c r="C450" s="190" t="str">
        <f>IFERROR(VLOOKUP($B450,会计科目表!$A:$C,2,),"")</f>
        <v/>
      </c>
      <c r="D450" s="190" t="str">
        <f>IFERROR(VLOOKUP($B450,会计科目表!$A:$C,3,),"")</f>
        <v/>
      </c>
      <c r="E450" s="191">
        <f>IFERROR(INDEX(凭证录入!K:K,$H450),0)</f>
        <v>0</v>
      </c>
      <c r="F450" s="191">
        <f>IFERROR(INDEX(凭证录入!L:L,$H450),0)</f>
        <v>0</v>
      </c>
      <c r="G450" s="203" t="s">
        <v>490</v>
      </c>
      <c r="H450" s="192" t="str">
        <f t="shared" si="139"/>
        <v/>
      </c>
      <c r="I450" s="203"/>
    </row>
    <row r="451" spans="1:9" s="45" customFormat="1" ht="19.5" customHeight="1" thickBot="1">
      <c r="A451" s="189" t="str">
        <f>IFERROR(INDEX(凭证录入!H:H,$H451),"")</f>
        <v/>
      </c>
      <c r="B451" s="189" t="str">
        <f>IFERROR(INDEX(凭证录入!I:I,$H451),"")</f>
        <v/>
      </c>
      <c r="C451" s="190" t="str">
        <f>IFERROR(VLOOKUP($B451,会计科目表!$A:$C,2,),"")</f>
        <v/>
      </c>
      <c r="D451" s="190" t="str">
        <f>IFERROR(VLOOKUP($B451,会计科目表!$A:$C,3,),"")</f>
        <v/>
      </c>
      <c r="E451" s="191">
        <f>IFERROR(INDEX(凭证录入!K:K,$H451),0)</f>
        <v>0</v>
      </c>
      <c r="F451" s="191">
        <f>IFERROR(INDEX(凭证录入!L:L,$H451),0)</f>
        <v>0</v>
      </c>
      <c r="G451" s="203" t="s">
        <v>491</v>
      </c>
      <c r="H451" s="192" t="str">
        <f t="shared" si="139"/>
        <v/>
      </c>
      <c r="I451" s="203"/>
    </row>
    <row r="452" spans="1:9" s="45" customFormat="1" ht="19.5" customHeight="1" thickBot="1">
      <c r="A452" s="189" t="str">
        <f>IFERROR(INDEX(凭证录入!H:H,$H452),"")</f>
        <v/>
      </c>
      <c r="B452" s="189" t="str">
        <f>IFERROR(INDEX(凭证录入!I:I,$H452),"")</f>
        <v/>
      </c>
      <c r="C452" s="190" t="str">
        <f>IFERROR(VLOOKUP($B452,会计科目表!$A:$C,2,),"")</f>
        <v/>
      </c>
      <c r="D452" s="190" t="str">
        <f>IFERROR(VLOOKUP($B452,会计科目表!$A:$C,3,),"")</f>
        <v/>
      </c>
      <c r="E452" s="191">
        <f>IFERROR(INDEX(凭证录入!K:K,$H452),0)</f>
        <v>0</v>
      </c>
      <c r="F452" s="191">
        <f>IFERROR(INDEX(凭证录入!L:L,$H452),0)</f>
        <v>0</v>
      </c>
      <c r="G452" s="203" t="e">
        <f>INDEX(凭证录入!$D:$D,$H449)</f>
        <v>#VALUE!</v>
      </c>
      <c r="H452" s="192" t="str">
        <f t="shared" si="139"/>
        <v/>
      </c>
      <c r="I452" s="203"/>
    </row>
    <row r="453" spans="1:9" s="45" customFormat="1" ht="19.5" customHeight="1" thickBot="1">
      <c r="A453" s="189" t="str">
        <f>IFERROR(INDEX(凭证录入!H:H,$H453),"")</f>
        <v/>
      </c>
      <c r="B453" s="189" t="str">
        <f>IFERROR(INDEX(凭证录入!I:I,$H453),"")</f>
        <v/>
      </c>
      <c r="C453" s="190" t="str">
        <f>IFERROR(VLOOKUP($B453,会计科目表!$A:$C,2,),"")</f>
        <v/>
      </c>
      <c r="D453" s="190" t="str">
        <f>IFERROR(VLOOKUP($B453,会计科目表!$A:$C,3,),"")</f>
        <v/>
      </c>
      <c r="E453" s="191">
        <f>IFERROR(INDEX(凭证录入!K:K,$H453),0)</f>
        <v>0</v>
      </c>
      <c r="F453" s="191">
        <f>IFERROR(INDEX(凭证录入!L:L,$H453),0)</f>
        <v>0</v>
      </c>
      <c r="G453" s="203" t="s">
        <v>492</v>
      </c>
      <c r="H453" s="192" t="str">
        <f t="shared" ref="H453:H516" si="140">IFERROR(INDEX(行号,TEXT(MOD(ROW(),12)-4,"[=]A")),"")</f>
        <v/>
      </c>
    </row>
    <row r="454" spans="1:9" s="45" customFormat="1" ht="19.5" customHeight="1" thickBot="1">
      <c r="A454" s="189" t="str">
        <f>IFERROR(INDEX(凭证录入!H:H,$H454),"")</f>
        <v/>
      </c>
      <c r="B454" s="189" t="str">
        <f>IFERROR(INDEX(凭证录入!I:I,$H454),"")</f>
        <v/>
      </c>
      <c r="C454" s="190" t="str">
        <f>IFERROR(VLOOKUP($B454,会计科目表!$A:$C,2,),"")</f>
        <v/>
      </c>
      <c r="D454" s="190" t="str">
        <f>IFERROR(VLOOKUP($B454,会计科目表!$A:$C,3,),"")</f>
        <v/>
      </c>
      <c r="E454" s="191">
        <f>IFERROR(INDEX(凭证录入!K:K,$H454),0)</f>
        <v>0</v>
      </c>
      <c r="F454" s="191">
        <f>IFERROR(INDEX(凭证录入!L:L,$H454),0)</f>
        <v>0</v>
      </c>
      <c r="G454" s="203"/>
      <c r="H454" s="192" t="str">
        <f t="shared" si="140"/>
        <v/>
      </c>
    </row>
    <row r="455" spans="1:9" s="45" customFormat="1" ht="19.5" customHeight="1" thickBot="1">
      <c r="A455" s="193"/>
      <c r="B455" s="194" t="s">
        <v>485</v>
      </c>
      <c r="C455" s="195" t="str">
        <f>SUBSTITUTE(SUBSTITUTE(IF(-DOLLAR(E455),IF(E455&gt;0,,"负")&amp;TEXT(INT(ABS(E455)+0.5%),"[dbnum2]G/通用格式元;;")&amp;TEXT(RIGHT(DOLLAR(E455),2),"[dbnum2]0角0分;;整"),),"零角",IF(E455^2&lt;1,,"零")),"零分","整")</f>
        <v/>
      </c>
      <c r="D455" s="196"/>
      <c r="E455" s="197">
        <f>SUM(E449:E454)</f>
        <v>0</v>
      </c>
      <c r="F455" s="197">
        <f>SUM(F449:F454)</f>
        <v>0</v>
      </c>
      <c r="G455" s="203"/>
      <c r="H455" s="192" t="str">
        <f t="shared" si="140"/>
        <v/>
      </c>
    </row>
    <row r="456" spans="1:9" s="199" customFormat="1" ht="19.5" customHeight="1">
      <c r="A456" s="45" t="s">
        <v>486</v>
      </c>
      <c r="B456" s="45" t="s">
        <v>487</v>
      </c>
      <c r="C456" s="45" t="s">
        <v>488</v>
      </c>
      <c r="D456" s="45" t="s">
        <v>504</v>
      </c>
      <c r="E456" s="45" t="s">
        <v>489</v>
      </c>
      <c r="F456" s="203" t="str">
        <f>IF($E455&lt;&gt;$F455,"借贷不平","")</f>
        <v/>
      </c>
      <c r="G456" s="183"/>
      <c r="H456" s="198" t="str">
        <f t="shared" si="140"/>
        <v/>
      </c>
    </row>
    <row r="457" spans="1:9" ht="37.5" customHeight="1">
      <c r="A457" s="177" t="s">
        <v>476</v>
      </c>
      <c r="B457" s="178"/>
      <c r="C457" s="179"/>
      <c r="D457" s="179"/>
      <c r="E457" s="178"/>
      <c r="F457" s="178"/>
      <c r="G457" s="203"/>
      <c r="H457" s="192" t="str">
        <f t="shared" si="140"/>
        <v/>
      </c>
    </row>
    <row r="458" spans="1:9" s="45" customFormat="1" ht="19.5" customHeight="1" thickBot="1">
      <c r="C458" s="180" t="e">
        <f>DATEVALUE("2010-"&amp;$H$1&amp;"-"&amp;INDEX(凭证录入!B:B,H461))</f>
        <v>#VALUE!</v>
      </c>
      <c r="D458" s="181"/>
      <c r="E458" s="182" t="s">
        <v>477</v>
      </c>
      <c r="F458" s="183" t="e">
        <f>N(LEFT((F446),3)+1)</f>
        <v>#VALUE!</v>
      </c>
      <c r="G458" s="203"/>
      <c r="H458" s="192" t="str">
        <f t="shared" si="140"/>
        <v/>
      </c>
      <c r="I458" s="184"/>
    </row>
    <row r="459" spans="1:9" s="45" customFormat="1" ht="19.5" customHeight="1" thickBot="1">
      <c r="A459" s="544" t="s">
        <v>478</v>
      </c>
      <c r="B459" s="545" t="s">
        <v>479</v>
      </c>
      <c r="C459" s="185" t="s">
        <v>480</v>
      </c>
      <c r="D459" s="186"/>
      <c r="E459" s="187"/>
      <c r="F459" s="202"/>
      <c r="G459" s="203"/>
      <c r="H459" s="192" t="str">
        <f t="shared" si="140"/>
        <v/>
      </c>
    </row>
    <row r="460" spans="1:9" s="45" customFormat="1" ht="19.5" customHeight="1" thickBot="1">
      <c r="A460" s="545"/>
      <c r="B460" s="546"/>
      <c r="C460" s="202" t="s">
        <v>481</v>
      </c>
      <c r="D460" s="202" t="s">
        <v>482</v>
      </c>
      <c r="E460" s="202" t="s">
        <v>483</v>
      </c>
      <c r="F460" s="202" t="s">
        <v>484</v>
      </c>
      <c r="G460" s="203"/>
      <c r="H460" s="192" t="str">
        <f t="shared" si="140"/>
        <v/>
      </c>
    </row>
    <row r="461" spans="1:9" s="45" customFormat="1" ht="19.5" customHeight="1" thickBot="1">
      <c r="A461" s="189" t="str">
        <f>IFERROR(INDEX(凭证录入!H:H,$H461),"")</f>
        <v/>
      </c>
      <c r="B461" s="189" t="str">
        <f>IFERROR(INDEX(凭证录入!I:I,$H461),"")</f>
        <v/>
      </c>
      <c r="C461" s="190" t="str">
        <f>IFERROR(VLOOKUP($B461,会计科目表!$A:$C,2,),"")</f>
        <v/>
      </c>
      <c r="D461" s="190" t="str">
        <f>IFERROR(VLOOKUP($B461,会计科目表!$A:$C,3,),"")</f>
        <v/>
      </c>
      <c r="E461" s="191">
        <f>IFERROR(INDEX(凭证录入!K:K,$H461),0)</f>
        <v>0</v>
      </c>
      <c r="F461" s="191">
        <f>IFERROR(INDEX(凭证录入!L:L,$H461),0)</f>
        <v>0</v>
      </c>
      <c r="G461" s="203"/>
      <c r="H461" s="192" t="str">
        <f t="shared" si="140"/>
        <v/>
      </c>
    </row>
    <row r="462" spans="1:9" s="45" customFormat="1" ht="19.5" customHeight="1" thickBot="1">
      <c r="A462" s="189" t="str">
        <f>IFERROR(INDEX(凭证录入!H:H,$H462),"")</f>
        <v/>
      </c>
      <c r="B462" s="189" t="str">
        <f>IFERROR(INDEX(凭证录入!I:I,$H462),"")</f>
        <v/>
      </c>
      <c r="C462" s="190" t="str">
        <f>IFERROR(VLOOKUP($B462,会计科目表!$A:$C,2,),"")</f>
        <v/>
      </c>
      <c r="D462" s="190" t="str">
        <f>IFERROR(VLOOKUP($B462,会计科目表!$A:$C,3,),"")</f>
        <v/>
      </c>
      <c r="E462" s="191">
        <f>IFERROR(INDEX(凭证录入!K:K,$H462),0)</f>
        <v>0</v>
      </c>
      <c r="F462" s="191">
        <f>IFERROR(INDEX(凭证录入!L:L,$H462),0)</f>
        <v>0</v>
      </c>
      <c r="G462" s="203" t="s">
        <v>490</v>
      </c>
      <c r="H462" s="192" t="str">
        <f t="shared" si="140"/>
        <v/>
      </c>
      <c r="I462" s="203"/>
    </row>
    <row r="463" spans="1:9" s="45" customFormat="1" ht="19.5" customHeight="1" thickBot="1">
      <c r="A463" s="189" t="str">
        <f>IFERROR(INDEX(凭证录入!H:H,$H463),"")</f>
        <v/>
      </c>
      <c r="B463" s="189" t="str">
        <f>IFERROR(INDEX(凭证录入!I:I,$H463),"")</f>
        <v/>
      </c>
      <c r="C463" s="190" t="str">
        <f>IFERROR(VLOOKUP($B463,会计科目表!$A:$C,2,),"")</f>
        <v/>
      </c>
      <c r="D463" s="190" t="str">
        <f>IFERROR(VLOOKUP($B463,会计科目表!$A:$C,3,),"")</f>
        <v/>
      </c>
      <c r="E463" s="191">
        <f>IFERROR(INDEX(凭证录入!K:K,$H463),0)</f>
        <v>0</v>
      </c>
      <c r="F463" s="191">
        <f>IFERROR(INDEX(凭证录入!L:L,$H463),0)</f>
        <v>0</v>
      </c>
      <c r="G463" s="203" t="s">
        <v>491</v>
      </c>
      <c r="H463" s="192" t="str">
        <f t="shared" si="140"/>
        <v/>
      </c>
      <c r="I463" s="203"/>
    </row>
    <row r="464" spans="1:9" s="45" customFormat="1" ht="19.5" customHeight="1" thickBot="1">
      <c r="A464" s="189" t="str">
        <f>IFERROR(INDEX(凭证录入!H:H,$H464),"")</f>
        <v/>
      </c>
      <c r="B464" s="189" t="str">
        <f>IFERROR(INDEX(凭证录入!I:I,$H464),"")</f>
        <v/>
      </c>
      <c r="C464" s="190" t="str">
        <f>IFERROR(VLOOKUP($B464,会计科目表!$A:$C,2,),"")</f>
        <v/>
      </c>
      <c r="D464" s="190" t="str">
        <f>IFERROR(VLOOKUP($B464,会计科目表!$A:$C,3,),"")</f>
        <v/>
      </c>
      <c r="E464" s="191">
        <f>IFERROR(INDEX(凭证录入!K:K,$H464),0)</f>
        <v>0</v>
      </c>
      <c r="F464" s="191">
        <f>IFERROR(INDEX(凭证录入!L:L,$H464),0)</f>
        <v>0</v>
      </c>
      <c r="G464" s="203" t="e">
        <f>INDEX(凭证录入!$D:$D,$H461)</f>
        <v>#VALUE!</v>
      </c>
      <c r="H464" s="192" t="str">
        <f t="shared" si="140"/>
        <v/>
      </c>
      <c r="I464" s="203"/>
    </row>
    <row r="465" spans="1:9" s="45" customFormat="1" ht="19.5" customHeight="1" thickBot="1">
      <c r="A465" s="189" t="str">
        <f>IFERROR(INDEX(凭证录入!H:H,$H465),"")</f>
        <v/>
      </c>
      <c r="B465" s="189" t="str">
        <f>IFERROR(INDEX(凭证录入!I:I,$H465),"")</f>
        <v/>
      </c>
      <c r="C465" s="190" t="str">
        <f>IFERROR(VLOOKUP($B465,会计科目表!$A:$C,2,),"")</f>
        <v/>
      </c>
      <c r="D465" s="190" t="str">
        <f>IFERROR(VLOOKUP($B465,会计科目表!$A:$C,3,),"")</f>
        <v/>
      </c>
      <c r="E465" s="191">
        <f>IFERROR(INDEX(凭证录入!K:K,$H465),0)</f>
        <v>0</v>
      </c>
      <c r="F465" s="191">
        <f>IFERROR(INDEX(凭证录入!L:L,$H465),0)</f>
        <v>0</v>
      </c>
      <c r="G465" s="203" t="s">
        <v>492</v>
      </c>
      <c r="H465" s="192" t="str">
        <f t="shared" si="140"/>
        <v/>
      </c>
    </row>
    <row r="466" spans="1:9" s="45" customFormat="1" ht="19.5" customHeight="1" thickBot="1">
      <c r="A466" s="189" t="str">
        <f>IFERROR(INDEX(凭证录入!H:H,$H466),"")</f>
        <v/>
      </c>
      <c r="B466" s="189" t="str">
        <f>IFERROR(INDEX(凭证录入!I:I,$H466),"")</f>
        <v/>
      </c>
      <c r="C466" s="190" t="str">
        <f>IFERROR(VLOOKUP($B466,会计科目表!$A:$C,2,),"")</f>
        <v/>
      </c>
      <c r="D466" s="190" t="str">
        <f>IFERROR(VLOOKUP($B466,会计科目表!$A:$C,3,),"")</f>
        <v/>
      </c>
      <c r="E466" s="191">
        <f>IFERROR(INDEX(凭证录入!K:K,$H466),0)</f>
        <v>0</v>
      </c>
      <c r="F466" s="191">
        <f>IFERROR(INDEX(凭证录入!L:L,$H466),0)</f>
        <v>0</v>
      </c>
      <c r="G466" s="203"/>
      <c r="H466" s="192" t="str">
        <f t="shared" si="140"/>
        <v/>
      </c>
    </row>
    <row r="467" spans="1:9" s="45" customFormat="1" ht="19.5" customHeight="1" thickBot="1">
      <c r="A467" s="193"/>
      <c r="B467" s="194" t="s">
        <v>485</v>
      </c>
      <c r="C467" s="195" t="str">
        <f>SUBSTITUTE(SUBSTITUTE(IF(-DOLLAR(E467),IF(E467&gt;0,,"负")&amp;TEXT(INT(ABS(E467)+0.5%),"[dbnum2]G/通用格式元;;")&amp;TEXT(RIGHT(DOLLAR(E467),2),"[dbnum2]0角0分;;整"),),"零角",IF(E467^2&lt;1,,"零")),"零分","整")</f>
        <v/>
      </c>
      <c r="D467" s="196"/>
      <c r="E467" s="197">
        <f>SUM(E461:E466)</f>
        <v>0</v>
      </c>
      <c r="F467" s="197">
        <f>SUM(F461:F466)</f>
        <v>0</v>
      </c>
      <c r="G467" s="203"/>
      <c r="H467" s="192" t="str">
        <f t="shared" si="140"/>
        <v/>
      </c>
    </row>
    <row r="468" spans="1:9" s="199" customFormat="1" ht="19.5" customHeight="1">
      <c r="A468" s="45" t="s">
        <v>486</v>
      </c>
      <c r="B468" s="45" t="s">
        <v>487</v>
      </c>
      <c r="C468" s="45" t="s">
        <v>488</v>
      </c>
      <c r="D468" s="45" t="s">
        <v>504</v>
      </c>
      <c r="E468" s="45" t="s">
        <v>489</v>
      </c>
      <c r="F468" s="203" t="str">
        <f>IF($E467&lt;&gt;$F467,"借贷不平","")</f>
        <v/>
      </c>
      <c r="G468" s="183"/>
      <c r="H468" s="198" t="str">
        <f t="shared" si="140"/>
        <v/>
      </c>
    </row>
    <row r="469" spans="1:9" ht="37.5" customHeight="1">
      <c r="A469" s="177" t="s">
        <v>476</v>
      </c>
      <c r="B469" s="178"/>
      <c r="C469" s="179"/>
      <c r="D469" s="179"/>
      <c r="E469" s="178"/>
      <c r="F469" s="178"/>
      <c r="G469" s="203"/>
      <c r="H469" s="192" t="str">
        <f t="shared" si="140"/>
        <v/>
      </c>
    </row>
    <row r="470" spans="1:9" s="45" customFormat="1" ht="19.5" customHeight="1" thickBot="1">
      <c r="C470" s="180" t="e">
        <f>DATEVALUE("2010-"&amp;$H$1&amp;"-"&amp;INDEX(凭证录入!B:B,H473))</f>
        <v>#VALUE!</v>
      </c>
      <c r="D470" s="181"/>
      <c r="E470" s="182" t="s">
        <v>477</v>
      </c>
      <c r="F470" s="183" t="e">
        <f>N(LEFT((F458),3)+1)</f>
        <v>#VALUE!</v>
      </c>
      <c r="G470" s="203"/>
      <c r="H470" s="192" t="str">
        <f t="shared" si="140"/>
        <v/>
      </c>
      <c r="I470" s="184"/>
    </row>
    <row r="471" spans="1:9" s="45" customFormat="1" ht="19.5" customHeight="1" thickBot="1">
      <c r="A471" s="544" t="s">
        <v>478</v>
      </c>
      <c r="B471" s="545" t="s">
        <v>479</v>
      </c>
      <c r="C471" s="185" t="s">
        <v>480</v>
      </c>
      <c r="D471" s="186"/>
      <c r="E471" s="187"/>
      <c r="F471" s="202"/>
      <c r="G471" s="203"/>
      <c r="H471" s="192" t="str">
        <f t="shared" si="140"/>
        <v/>
      </c>
    </row>
    <row r="472" spans="1:9" s="45" customFormat="1" ht="19.5" customHeight="1" thickBot="1">
      <c r="A472" s="545"/>
      <c r="B472" s="546"/>
      <c r="C472" s="202" t="s">
        <v>481</v>
      </c>
      <c r="D472" s="202" t="s">
        <v>482</v>
      </c>
      <c r="E472" s="202" t="s">
        <v>483</v>
      </c>
      <c r="F472" s="202" t="s">
        <v>484</v>
      </c>
      <c r="G472" s="203"/>
      <c r="H472" s="192" t="str">
        <f t="shared" si="140"/>
        <v/>
      </c>
    </row>
    <row r="473" spans="1:9" s="45" customFormat="1" ht="19.5" customHeight="1" thickBot="1">
      <c r="A473" s="189" t="str">
        <f>IFERROR(INDEX(凭证录入!H:H,$H473),"")</f>
        <v/>
      </c>
      <c r="B473" s="189" t="str">
        <f>IFERROR(INDEX(凭证录入!I:I,$H473),"")</f>
        <v/>
      </c>
      <c r="C473" s="190" t="str">
        <f>IFERROR(VLOOKUP($B473,会计科目表!$A:$C,2,),"")</f>
        <v/>
      </c>
      <c r="D473" s="190" t="str">
        <f>IFERROR(VLOOKUP($B473,会计科目表!$A:$C,3,),"")</f>
        <v/>
      </c>
      <c r="E473" s="191">
        <f>IFERROR(INDEX(凭证录入!K:K,$H473),0)</f>
        <v>0</v>
      </c>
      <c r="F473" s="191">
        <f>IFERROR(INDEX(凭证录入!L:L,$H473),0)</f>
        <v>0</v>
      </c>
      <c r="G473" s="203"/>
      <c r="H473" s="192" t="str">
        <f t="shared" si="140"/>
        <v/>
      </c>
    </row>
    <row r="474" spans="1:9" s="45" customFormat="1" ht="19.5" customHeight="1" thickBot="1">
      <c r="A474" s="189" t="str">
        <f>IFERROR(INDEX(凭证录入!H:H,$H474),"")</f>
        <v/>
      </c>
      <c r="B474" s="189" t="str">
        <f>IFERROR(INDEX(凭证录入!I:I,$H474),"")</f>
        <v/>
      </c>
      <c r="C474" s="190" t="str">
        <f>IFERROR(VLOOKUP($B474,会计科目表!$A:$C,2,),"")</f>
        <v/>
      </c>
      <c r="D474" s="190" t="str">
        <f>IFERROR(VLOOKUP($B474,会计科目表!$A:$C,3,),"")</f>
        <v/>
      </c>
      <c r="E474" s="191">
        <f>IFERROR(INDEX(凭证录入!K:K,$H474),0)</f>
        <v>0</v>
      </c>
      <c r="F474" s="191">
        <f>IFERROR(INDEX(凭证录入!L:L,$H474),0)</f>
        <v>0</v>
      </c>
      <c r="G474" s="203" t="s">
        <v>490</v>
      </c>
      <c r="H474" s="192" t="str">
        <f t="shared" si="140"/>
        <v/>
      </c>
      <c r="I474" s="203"/>
    </row>
    <row r="475" spans="1:9" s="45" customFormat="1" ht="19.5" customHeight="1" thickBot="1">
      <c r="A475" s="189" t="str">
        <f>IFERROR(INDEX(凭证录入!H:H,$H475),"")</f>
        <v/>
      </c>
      <c r="B475" s="189" t="str">
        <f>IFERROR(INDEX(凭证录入!I:I,$H475),"")</f>
        <v/>
      </c>
      <c r="C475" s="190" t="str">
        <f>IFERROR(VLOOKUP($B475,会计科目表!$A:$C,2,),"")</f>
        <v/>
      </c>
      <c r="D475" s="190" t="str">
        <f>IFERROR(VLOOKUP($B475,会计科目表!$A:$C,3,),"")</f>
        <v/>
      </c>
      <c r="E475" s="191">
        <f>IFERROR(INDEX(凭证录入!K:K,$H475),0)</f>
        <v>0</v>
      </c>
      <c r="F475" s="191">
        <f>IFERROR(INDEX(凭证录入!L:L,$H475),0)</f>
        <v>0</v>
      </c>
      <c r="G475" s="203" t="s">
        <v>491</v>
      </c>
      <c r="H475" s="192" t="str">
        <f t="shared" si="140"/>
        <v/>
      </c>
      <c r="I475" s="203"/>
    </row>
    <row r="476" spans="1:9" s="45" customFormat="1" ht="19.5" customHeight="1" thickBot="1">
      <c r="A476" s="189" t="str">
        <f>IFERROR(INDEX(凭证录入!H:H,$H476),"")</f>
        <v/>
      </c>
      <c r="B476" s="189" t="str">
        <f>IFERROR(INDEX(凭证录入!I:I,$H476),"")</f>
        <v/>
      </c>
      <c r="C476" s="190" t="str">
        <f>IFERROR(VLOOKUP($B476,会计科目表!$A:$C,2,),"")</f>
        <v/>
      </c>
      <c r="D476" s="190" t="str">
        <f>IFERROR(VLOOKUP($B476,会计科目表!$A:$C,3,),"")</f>
        <v/>
      </c>
      <c r="E476" s="191">
        <f>IFERROR(INDEX(凭证录入!K:K,$H476),0)</f>
        <v>0</v>
      </c>
      <c r="F476" s="191">
        <f>IFERROR(INDEX(凭证录入!L:L,$H476),0)</f>
        <v>0</v>
      </c>
      <c r="G476" s="203" t="e">
        <f>INDEX(凭证录入!$D:$D,$H473)</f>
        <v>#VALUE!</v>
      </c>
      <c r="H476" s="192" t="str">
        <f t="shared" si="140"/>
        <v/>
      </c>
      <c r="I476" s="203"/>
    </row>
    <row r="477" spans="1:9" s="45" customFormat="1" ht="19.5" customHeight="1" thickBot="1">
      <c r="A477" s="189" t="str">
        <f>IFERROR(INDEX(凭证录入!H:H,$H477),"")</f>
        <v/>
      </c>
      <c r="B477" s="189" t="str">
        <f>IFERROR(INDEX(凭证录入!I:I,$H477),"")</f>
        <v/>
      </c>
      <c r="C477" s="190" t="str">
        <f>IFERROR(VLOOKUP($B477,会计科目表!$A:$C,2,),"")</f>
        <v/>
      </c>
      <c r="D477" s="190" t="str">
        <f>IFERROR(VLOOKUP($B477,会计科目表!$A:$C,3,),"")</f>
        <v/>
      </c>
      <c r="E477" s="191">
        <f>IFERROR(INDEX(凭证录入!K:K,$H477),0)</f>
        <v>0</v>
      </c>
      <c r="F477" s="191">
        <f>IFERROR(INDEX(凭证录入!L:L,$H477),0)</f>
        <v>0</v>
      </c>
      <c r="G477" s="203" t="s">
        <v>492</v>
      </c>
      <c r="H477" s="192" t="str">
        <f t="shared" si="140"/>
        <v/>
      </c>
    </row>
    <row r="478" spans="1:9" s="45" customFormat="1" ht="19.5" customHeight="1" thickBot="1">
      <c r="A478" s="189" t="str">
        <f>IFERROR(INDEX(凭证录入!H:H,$H478),"")</f>
        <v/>
      </c>
      <c r="B478" s="189" t="str">
        <f>IFERROR(INDEX(凭证录入!I:I,$H478),"")</f>
        <v/>
      </c>
      <c r="C478" s="190" t="str">
        <f>IFERROR(VLOOKUP($B478,会计科目表!$A:$C,2,),"")</f>
        <v/>
      </c>
      <c r="D478" s="190" t="str">
        <f>IFERROR(VLOOKUP($B478,会计科目表!$A:$C,3,),"")</f>
        <v/>
      </c>
      <c r="E478" s="191">
        <f>IFERROR(INDEX(凭证录入!K:K,$H478),0)</f>
        <v>0</v>
      </c>
      <c r="F478" s="191">
        <f>IFERROR(INDEX(凭证录入!L:L,$H478),0)</f>
        <v>0</v>
      </c>
      <c r="G478" s="203"/>
      <c r="H478" s="192" t="str">
        <f t="shared" si="140"/>
        <v/>
      </c>
    </row>
    <row r="479" spans="1:9" s="45" customFormat="1" ht="19.5" customHeight="1" thickBot="1">
      <c r="A479" s="193"/>
      <c r="B479" s="194" t="s">
        <v>485</v>
      </c>
      <c r="C479" s="195" t="str">
        <f>SUBSTITUTE(SUBSTITUTE(IF(-DOLLAR(E479),IF(E479&gt;0,,"负")&amp;TEXT(INT(ABS(E479)+0.5%),"[dbnum2]G/通用格式元;;")&amp;TEXT(RIGHT(DOLLAR(E479),2),"[dbnum2]0角0分;;整"),),"零角",IF(E479^2&lt;1,,"零")),"零分","整")</f>
        <v/>
      </c>
      <c r="D479" s="196"/>
      <c r="E479" s="197">
        <f>SUM(E473:E478)</f>
        <v>0</v>
      </c>
      <c r="F479" s="197">
        <f>SUM(F473:F478)</f>
        <v>0</v>
      </c>
      <c r="G479" s="203"/>
      <c r="H479" s="192" t="str">
        <f t="shared" si="140"/>
        <v/>
      </c>
    </row>
    <row r="480" spans="1:9" s="199" customFormat="1" ht="19.5" customHeight="1">
      <c r="A480" s="45" t="s">
        <v>486</v>
      </c>
      <c r="B480" s="45" t="s">
        <v>487</v>
      </c>
      <c r="C480" s="45" t="s">
        <v>488</v>
      </c>
      <c r="D480" s="45" t="s">
        <v>504</v>
      </c>
      <c r="E480" s="45" t="s">
        <v>489</v>
      </c>
      <c r="F480" s="203" t="str">
        <f>IF($E479&lt;&gt;$F479,"借贷不平","")</f>
        <v/>
      </c>
      <c r="G480" s="183"/>
      <c r="H480" s="198" t="str">
        <f t="shared" si="140"/>
        <v/>
      </c>
    </row>
    <row r="481" spans="1:9" ht="37.5" customHeight="1">
      <c r="A481" s="177" t="s">
        <v>493</v>
      </c>
      <c r="B481" s="178"/>
      <c r="C481" s="179"/>
      <c r="D481" s="179"/>
      <c r="E481" s="178"/>
      <c r="F481" s="178"/>
      <c r="G481" s="176"/>
      <c r="H481" s="192" t="str">
        <f t="shared" si="140"/>
        <v/>
      </c>
    </row>
    <row r="482" spans="1:9" s="45" customFormat="1" ht="19.5" customHeight="1" thickBot="1">
      <c r="C482" s="180" t="e">
        <f>DATEVALUE("2010-"&amp;$H$1&amp;"-"&amp;INDEX(凭证录入!B:B,H485))</f>
        <v>#VALUE!</v>
      </c>
      <c r="D482" s="181"/>
      <c r="E482" s="182" t="s">
        <v>477</v>
      </c>
      <c r="F482" s="183" t="e">
        <f>N(LEFT((F470),3)+1)</f>
        <v>#VALUE!</v>
      </c>
      <c r="G482" s="176"/>
      <c r="H482" s="192" t="str">
        <f t="shared" si="140"/>
        <v/>
      </c>
      <c r="I482" s="184"/>
    </row>
    <row r="483" spans="1:9" s="45" customFormat="1" ht="19.5" customHeight="1" thickBot="1">
      <c r="A483" s="544" t="s">
        <v>494</v>
      </c>
      <c r="B483" s="545" t="s">
        <v>495</v>
      </c>
      <c r="C483" s="185" t="s">
        <v>496</v>
      </c>
      <c r="D483" s="186"/>
      <c r="E483" s="187"/>
      <c r="F483" s="188"/>
      <c r="G483" s="176"/>
      <c r="H483" s="192" t="str">
        <f t="shared" si="140"/>
        <v/>
      </c>
    </row>
    <row r="484" spans="1:9" s="45" customFormat="1" ht="19.5" customHeight="1" thickBot="1">
      <c r="A484" s="545"/>
      <c r="B484" s="546"/>
      <c r="C484" s="188" t="s">
        <v>497</v>
      </c>
      <c r="D484" s="188" t="s">
        <v>498</v>
      </c>
      <c r="E484" s="188" t="s">
        <v>499</v>
      </c>
      <c r="F484" s="188" t="s">
        <v>500</v>
      </c>
      <c r="G484" s="176"/>
      <c r="H484" s="192" t="str">
        <f t="shared" si="140"/>
        <v/>
      </c>
    </row>
    <row r="485" spans="1:9" s="45" customFormat="1" ht="19.5" customHeight="1" thickBot="1">
      <c r="A485" s="189" t="str">
        <f>IFERROR(INDEX(凭证录入!H:H,$H485),"")</f>
        <v/>
      </c>
      <c r="B485" s="189" t="str">
        <f>IFERROR(INDEX(凭证录入!I:I,$H485),"")</f>
        <v/>
      </c>
      <c r="C485" s="190" t="str">
        <f>IFERROR(VLOOKUP($B485,会计科目表!$A:$C,2,),"")</f>
        <v/>
      </c>
      <c r="D485" s="190" t="str">
        <f>IFERROR(VLOOKUP($B485,会计科目表!$A:$C,3,),"")</f>
        <v/>
      </c>
      <c r="E485" s="191">
        <f>IFERROR(INDEX(凭证录入!K:K,$H485),0)</f>
        <v>0</v>
      </c>
      <c r="F485" s="191">
        <f>IFERROR(INDEX(凭证录入!L:L,$H485),0)</f>
        <v>0</v>
      </c>
      <c r="G485" s="176"/>
      <c r="H485" s="192" t="str">
        <f t="shared" si="140"/>
        <v/>
      </c>
    </row>
    <row r="486" spans="1:9" s="45" customFormat="1" ht="19.5" customHeight="1" thickBot="1">
      <c r="A486" s="189" t="str">
        <f>IFERROR(INDEX(凭证录入!H:H,$H486),"")</f>
        <v/>
      </c>
      <c r="B486" s="189" t="str">
        <f>IFERROR(INDEX(凭证录入!I:I,$H486),"")</f>
        <v/>
      </c>
      <c r="C486" s="190" t="str">
        <f>IFERROR(VLOOKUP($B486,会计科目表!$A:$C,2,),"")</f>
        <v/>
      </c>
      <c r="D486" s="190" t="str">
        <f>IFERROR(VLOOKUP($B486,会计科目表!$A:$C,3,),"")</f>
        <v/>
      </c>
      <c r="E486" s="191">
        <f>IFERROR(INDEX(凭证录入!K:K,$H486),0)</f>
        <v>0</v>
      </c>
      <c r="F486" s="191">
        <f>IFERROR(INDEX(凭证录入!L:L,$H486),0)</f>
        <v>0</v>
      </c>
      <c r="G486" s="176" t="s">
        <v>490</v>
      </c>
      <c r="H486" s="192" t="str">
        <f t="shared" si="140"/>
        <v/>
      </c>
      <c r="I486" s="176"/>
    </row>
    <row r="487" spans="1:9" s="45" customFormat="1" ht="19.5" customHeight="1" thickBot="1">
      <c r="A487" s="189" t="str">
        <f>IFERROR(INDEX(凭证录入!H:H,$H487),"")</f>
        <v/>
      </c>
      <c r="B487" s="189" t="str">
        <f>IFERROR(INDEX(凭证录入!I:I,$H487),"")</f>
        <v/>
      </c>
      <c r="C487" s="190" t="str">
        <f>IFERROR(VLOOKUP($B487,会计科目表!$A:$C,2,),"")</f>
        <v/>
      </c>
      <c r="D487" s="190" t="str">
        <f>IFERROR(VLOOKUP($B487,会计科目表!$A:$C,3,),"")</f>
        <v/>
      </c>
      <c r="E487" s="191">
        <f>IFERROR(INDEX(凭证录入!K:K,$H487),0)</f>
        <v>0</v>
      </c>
      <c r="F487" s="191">
        <f>IFERROR(INDEX(凭证录入!L:L,$H487),0)</f>
        <v>0</v>
      </c>
      <c r="G487" s="176" t="s">
        <v>491</v>
      </c>
      <c r="H487" s="192" t="str">
        <f t="shared" si="140"/>
        <v/>
      </c>
      <c r="I487" s="176"/>
    </row>
    <row r="488" spans="1:9" s="45" customFormat="1" ht="19.5" customHeight="1" thickBot="1">
      <c r="A488" s="189" t="str">
        <f>IFERROR(INDEX(凭证录入!H:H,$H488),"")</f>
        <v/>
      </c>
      <c r="B488" s="189" t="str">
        <f>IFERROR(INDEX(凭证录入!I:I,$H488),"")</f>
        <v/>
      </c>
      <c r="C488" s="190" t="str">
        <f>IFERROR(VLOOKUP($B488,会计科目表!$A:$C,2,),"")</f>
        <v/>
      </c>
      <c r="D488" s="190" t="str">
        <f>IFERROR(VLOOKUP($B488,会计科目表!$A:$C,3,),"")</f>
        <v/>
      </c>
      <c r="E488" s="191">
        <f>IFERROR(INDEX(凭证录入!K:K,$H488),0)</f>
        <v>0</v>
      </c>
      <c r="F488" s="191">
        <f>IFERROR(INDEX(凭证录入!L:L,$H488),0)</f>
        <v>0</v>
      </c>
      <c r="G488" s="176" t="e">
        <f>INDEX(凭证录入!$D:$D,$H485)</f>
        <v>#VALUE!</v>
      </c>
      <c r="H488" s="192" t="str">
        <f t="shared" si="140"/>
        <v/>
      </c>
      <c r="I488" s="176"/>
    </row>
    <row r="489" spans="1:9" s="45" customFormat="1" ht="19.5" customHeight="1" thickBot="1">
      <c r="A489" s="189" t="str">
        <f>IFERROR(INDEX(凭证录入!H:H,$H489),"")</f>
        <v/>
      </c>
      <c r="B489" s="189" t="str">
        <f>IFERROR(INDEX(凭证录入!I:I,$H489),"")</f>
        <v/>
      </c>
      <c r="C489" s="190" t="str">
        <f>IFERROR(VLOOKUP($B489,会计科目表!$A:$C,2,),"")</f>
        <v/>
      </c>
      <c r="D489" s="190" t="str">
        <f>IFERROR(VLOOKUP($B489,会计科目表!$A:$C,3,),"")</f>
        <v/>
      </c>
      <c r="E489" s="191">
        <f>IFERROR(INDEX(凭证录入!K:K,$H489),0)</f>
        <v>0</v>
      </c>
      <c r="F489" s="191">
        <f>IFERROR(INDEX(凭证录入!L:L,$H489),0)</f>
        <v>0</v>
      </c>
      <c r="G489" s="176" t="s">
        <v>492</v>
      </c>
      <c r="H489" s="192" t="str">
        <f t="shared" si="140"/>
        <v/>
      </c>
    </row>
    <row r="490" spans="1:9" s="45" customFormat="1" ht="19.5" customHeight="1" thickBot="1">
      <c r="A490" s="189" t="str">
        <f>IFERROR(INDEX(凭证录入!H:H,$H490),"")</f>
        <v/>
      </c>
      <c r="B490" s="189" t="str">
        <f>IFERROR(INDEX(凭证录入!I:I,$H490),"")</f>
        <v/>
      </c>
      <c r="C490" s="190" t="str">
        <f>IFERROR(VLOOKUP($B490,会计科目表!$A:$C,2,),"")</f>
        <v/>
      </c>
      <c r="D490" s="190" t="str">
        <f>IFERROR(VLOOKUP($B490,会计科目表!$A:$C,3,),"")</f>
        <v/>
      </c>
      <c r="E490" s="191">
        <f>IFERROR(INDEX(凭证录入!K:K,$H490),0)</f>
        <v>0</v>
      </c>
      <c r="F490" s="191">
        <f>IFERROR(INDEX(凭证录入!L:L,$H490),0)</f>
        <v>0</v>
      </c>
      <c r="G490" s="176"/>
      <c r="H490" s="192" t="str">
        <f t="shared" si="140"/>
        <v/>
      </c>
    </row>
    <row r="491" spans="1:9" s="45" customFormat="1" ht="19.5" customHeight="1" thickBot="1">
      <c r="A491" s="193"/>
      <c r="B491" s="194" t="s">
        <v>485</v>
      </c>
      <c r="C491" s="195" t="str">
        <f>SUBSTITUTE(SUBSTITUTE(IF(-DOLLAR(E491),IF(E491&gt;0,,"负")&amp;TEXT(INT(ABS(E491)+0.5%),"[dbnum2]G/通用格式元;;")&amp;TEXT(RIGHT(DOLLAR(E491),2),"[dbnum2]0角0分;;整"),),"零角",IF(E491^2&lt;1,,"零")),"零分","整")</f>
        <v/>
      </c>
      <c r="D491" s="196"/>
      <c r="E491" s="197">
        <f>SUM(E485:E490)</f>
        <v>0</v>
      </c>
      <c r="F491" s="197">
        <f>SUM(F485:F490)</f>
        <v>0</v>
      </c>
      <c r="G491" s="176"/>
      <c r="H491" s="192" t="str">
        <f t="shared" si="140"/>
        <v/>
      </c>
    </row>
    <row r="492" spans="1:9" s="199" customFormat="1" ht="19.5" customHeight="1">
      <c r="A492" s="45" t="s">
        <v>486</v>
      </c>
      <c r="B492" s="45" t="s">
        <v>487</v>
      </c>
      <c r="C492" s="45" t="s">
        <v>488</v>
      </c>
      <c r="D492" s="45" t="s">
        <v>504</v>
      </c>
      <c r="E492" s="45" t="s">
        <v>489</v>
      </c>
      <c r="F492" s="176" t="str">
        <f>IF($E491&lt;&gt;$F491,"借贷不平","")</f>
        <v/>
      </c>
      <c r="G492" s="183"/>
      <c r="H492" s="198" t="str">
        <f t="shared" si="140"/>
        <v/>
      </c>
    </row>
    <row r="493" spans="1:9" ht="37.5" customHeight="1">
      <c r="A493" s="177" t="s">
        <v>493</v>
      </c>
      <c r="B493" s="178"/>
      <c r="C493" s="179"/>
      <c r="D493" s="179"/>
      <c r="E493" s="178"/>
      <c r="F493" s="178"/>
      <c r="G493" s="176"/>
      <c r="H493" s="192" t="str">
        <f t="shared" si="140"/>
        <v/>
      </c>
    </row>
    <row r="494" spans="1:9" s="45" customFormat="1" ht="19.5" customHeight="1" thickBot="1">
      <c r="C494" s="180" t="e">
        <f>DATEVALUE("2010-"&amp;$H$1&amp;"-"&amp;INDEX(凭证录入!B:B,H497))</f>
        <v>#VALUE!</v>
      </c>
      <c r="D494" s="181"/>
      <c r="E494" s="182" t="s">
        <v>477</v>
      </c>
      <c r="F494" s="183" t="e">
        <f>N(LEFT((F482),3)+1)</f>
        <v>#VALUE!</v>
      </c>
      <c r="G494" s="176"/>
      <c r="H494" s="192" t="str">
        <f t="shared" si="140"/>
        <v/>
      </c>
      <c r="I494" s="184"/>
    </row>
    <row r="495" spans="1:9" s="45" customFormat="1" ht="19.5" customHeight="1" thickBot="1">
      <c r="A495" s="544" t="s">
        <v>494</v>
      </c>
      <c r="B495" s="545" t="s">
        <v>495</v>
      </c>
      <c r="C495" s="185" t="s">
        <v>496</v>
      </c>
      <c r="D495" s="186"/>
      <c r="E495" s="187"/>
      <c r="F495" s="188"/>
      <c r="G495" s="176"/>
      <c r="H495" s="192" t="str">
        <f t="shared" si="140"/>
        <v/>
      </c>
    </row>
    <row r="496" spans="1:9" s="45" customFormat="1" ht="19.5" customHeight="1" thickBot="1">
      <c r="A496" s="545"/>
      <c r="B496" s="546"/>
      <c r="C496" s="188" t="s">
        <v>497</v>
      </c>
      <c r="D496" s="188" t="s">
        <v>498</v>
      </c>
      <c r="E496" s="188" t="s">
        <v>499</v>
      </c>
      <c r="F496" s="188" t="s">
        <v>500</v>
      </c>
      <c r="G496" s="176"/>
      <c r="H496" s="192" t="str">
        <f t="shared" si="140"/>
        <v/>
      </c>
    </row>
    <row r="497" spans="1:9" s="45" customFormat="1" ht="19.5" customHeight="1" thickBot="1">
      <c r="A497" s="189" t="str">
        <f>IFERROR(INDEX(凭证录入!H:H,$H497),"")</f>
        <v/>
      </c>
      <c r="B497" s="189" t="str">
        <f>IFERROR(INDEX(凭证录入!I:I,$H497),"")</f>
        <v/>
      </c>
      <c r="C497" s="190" t="str">
        <f>IFERROR(VLOOKUP($B497,会计科目表!$A:$C,2,),"")</f>
        <v/>
      </c>
      <c r="D497" s="190" t="str">
        <f>IFERROR(VLOOKUP($B497,会计科目表!$A:$C,3,),"")</f>
        <v/>
      </c>
      <c r="E497" s="191">
        <f>IFERROR(INDEX(凭证录入!K:K,$H497),0)</f>
        <v>0</v>
      </c>
      <c r="F497" s="191">
        <f>IFERROR(INDEX(凭证录入!L:L,$H497),0)</f>
        <v>0</v>
      </c>
      <c r="G497" s="176"/>
      <c r="H497" s="192" t="str">
        <f t="shared" si="140"/>
        <v/>
      </c>
    </row>
    <row r="498" spans="1:9" s="45" customFormat="1" ht="19.5" customHeight="1" thickBot="1">
      <c r="A498" s="189" t="str">
        <f>IFERROR(INDEX(凭证录入!H:H,$H498),"")</f>
        <v/>
      </c>
      <c r="B498" s="189" t="str">
        <f>IFERROR(INDEX(凭证录入!I:I,$H498),"")</f>
        <v/>
      </c>
      <c r="C498" s="190" t="str">
        <f>IFERROR(VLOOKUP($B498,会计科目表!$A:$C,2,),"")</f>
        <v/>
      </c>
      <c r="D498" s="190" t="str">
        <f>IFERROR(VLOOKUP($B498,会计科目表!$A:$C,3,),"")</f>
        <v/>
      </c>
      <c r="E498" s="191">
        <f>IFERROR(INDEX(凭证录入!K:K,$H498),0)</f>
        <v>0</v>
      </c>
      <c r="F498" s="191">
        <f>IFERROR(INDEX(凭证录入!L:L,$H498),0)</f>
        <v>0</v>
      </c>
      <c r="G498" s="176" t="s">
        <v>490</v>
      </c>
      <c r="H498" s="192" t="str">
        <f t="shared" si="140"/>
        <v/>
      </c>
      <c r="I498" s="176"/>
    </row>
    <row r="499" spans="1:9" s="45" customFormat="1" ht="19.5" customHeight="1" thickBot="1">
      <c r="A499" s="189" t="str">
        <f>IFERROR(INDEX(凭证录入!H:H,$H499),"")</f>
        <v/>
      </c>
      <c r="B499" s="189" t="str">
        <f>IFERROR(INDEX(凭证录入!I:I,$H499),"")</f>
        <v/>
      </c>
      <c r="C499" s="190" t="str">
        <f>IFERROR(VLOOKUP($B499,会计科目表!$A:$C,2,),"")</f>
        <v/>
      </c>
      <c r="D499" s="190" t="str">
        <f>IFERROR(VLOOKUP($B499,会计科目表!$A:$C,3,),"")</f>
        <v/>
      </c>
      <c r="E499" s="191">
        <f>IFERROR(INDEX(凭证录入!K:K,$H499),0)</f>
        <v>0</v>
      </c>
      <c r="F499" s="191">
        <f>IFERROR(INDEX(凭证录入!L:L,$H499),0)</f>
        <v>0</v>
      </c>
      <c r="G499" s="176" t="s">
        <v>491</v>
      </c>
      <c r="H499" s="192" t="str">
        <f t="shared" si="140"/>
        <v/>
      </c>
      <c r="I499" s="176"/>
    </row>
    <row r="500" spans="1:9" s="45" customFormat="1" ht="19.5" customHeight="1" thickBot="1">
      <c r="A500" s="189" t="str">
        <f>IFERROR(INDEX(凭证录入!H:H,$H500),"")</f>
        <v/>
      </c>
      <c r="B500" s="189" t="str">
        <f>IFERROR(INDEX(凭证录入!I:I,$H500),"")</f>
        <v/>
      </c>
      <c r="C500" s="190" t="str">
        <f>IFERROR(VLOOKUP($B500,会计科目表!$A:$C,2,),"")</f>
        <v/>
      </c>
      <c r="D500" s="190" t="str">
        <f>IFERROR(VLOOKUP($B500,会计科目表!$A:$C,3,),"")</f>
        <v/>
      </c>
      <c r="E500" s="191">
        <f>IFERROR(INDEX(凭证录入!K:K,$H500),0)</f>
        <v>0</v>
      </c>
      <c r="F500" s="191">
        <f>IFERROR(INDEX(凭证录入!L:L,$H500),0)</f>
        <v>0</v>
      </c>
      <c r="G500" s="176" t="e">
        <f>INDEX(凭证录入!$D:$D,$H497)</f>
        <v>#VALUE!</v>
      </c>
      <c r="H500" s="192" t="str">
        <f t="shared" si="140"/>
        <v/>
      </c>
      <c r="I500" s="176"/>
    </row>
    <row r="501" spans="1:9" s="45" customFormat="1" ht="19.5" customHeight="1" thickBot="1">
      <c r="A501" s="189" t="str">
        <f>IFERROR(INDEX(凭证录入!H:H,$H501),"")</f>
        <v/>
      </c>
      <c r="B501" s="189" t="str">
        <f>IFERROR(INDEX(凭证录入!I:I,$H501),"")</f>
        <v/>
      </c>
      <c r="C501" s="190" t="str">
        <f>IFERROR(VLOOKUP($B501,会计科目表!$A:$C,2,),"")</f>
        <v/>
      </c>
      <c r="D501" s="190" t="str">
        <f>IFERROR(VLOOKUP($B501,会计科目表!$A:$C,3,),"")</f>
        <v/>
      </c>
      <c r="E501" s="191">
        <f>IFERROR(INDEX(凭证录入!K:K,$H501),0)</f>
        <v>0</v>
      </c>
      <c r="F501" s="191">
        <f>IFERROR(INDEX(凭证录入!L:L,$H501),0)</f>
        <v>0</v>
      </c>
      <c r="G501" s="176" t="s">
        <v>492</v>
      </c>
      <c r="H501" s="192" t="str">
        <f t="shared" si="140"/>
        <v/>
      </c>
    </row>
    <row r="502" spans="1:9" s="45" customFormat="1" ht="19.5" customHeight="1" thickBot="1">
      <c r="A502" s="189" t="str">
        <f>IFERROR(INDEX(凭证录入!H:H,$H502),"")</f>
        <v/>
      </c>
      <c r="B502" s="189" t="str">
        <f>IFERROR(INDEX(凭证录入!I:I,$H502),"")</f>
        <v/>
      </c>
      <c r="C502" s="190" t="str">
        <f>IFERROR(VLOOKUP($B502,会计科目表!$A:$C,2,),"")</f>
        <v/>
      </c>
      <c r="D502" s="190" t="str">
        <f>IFERROR(VLOOKUP($B502,会计科目表!$A:$C,3,),"")</f>
        <v/>
      </c>
      <c r="E502" s="191">
        <f>IFERROR(INDEX(凭证录入!K:K,$H502),0)</f>
        <v>0</v>
      </c>
      <c r="F502" s="191">
        <f>IFERROR(INDEX(凭证录入!L:L,$H502),0)</f>
        <v>0</v>
      </c>
      <c r="G502" s="176"/>
      <c r="H502" s="192" t="str">
        <f t="shared" si="140"/>
        <v/>
      </c>
    </row>
    <row r="503" spans="1:9" s="45" customFormat="1" ht="19.5" customHeight="1" thickBot="1">
      <c r="A503" s="193"/>
      <c r="B503" s="194" t="s">
        <v>485</v>
      </c>
      <c r="C503" s="195" t="str">
        <f>SUBSTITUTE(SUBSTITUTE(IF(-DOLLAR(E503),IF(E503&gt;0,,"负")&amp;TEXT(INT(ABS(E503)+0.5%),"[dbnum2]G/通用格式元;;")&amp;TEXT(RIGHT(DOLLAR(E503),2),"[dbnum2]0角0分;;整"),),"零角",IF(E503^2&lt;1,,"零")),"零分","整")</f>
        <v/>
      </c>
      <c r="D503" s="196"/>
      <c r="E503" s="197">
        <f>SUM(E497:E502)</f>
        <v>0</v>
      </c>
      <c r="F503" s="197">
        <f>SUM(F497:F502)</f>
        <v>0</v>
      </c>
      <c r="G503" s="176"/>
      <c r="H503" s="192" t="str">
        <f t="shared" si="140"/>
        <v/>
      </c>
    </row>
    <row r="504" spans="1:9" s="199" customFormat="1" ht="19.5" customHeight="1">
      <c r="A504" s="45" t="s">
        <v>486</v>
      </c>
      <c r="B504" s="45" t="s">
        <v>487</v>
      </c>
      <c r="C504" s="45" t="s">
        <v>488</v>
      </c>
      <c r="D504" s="45" t="s">
        <v>504</v>
      </c>
      <c r="E504" s="45" t="s">
        <v>489</v>
      </c>
      <c r="F504" s="176" t="str">
        <f>IF($E503&lt;&gt;$F503,"借贷不平","")</f>
        <v/>
      </c>
      <c r="G504" s="183"/>
      <c r="H504" s="198" t="str">
        <f t="shared" si="140"/>
        <v/>
      </c>
    </row>
    <row r="505" spans="1:9" ht="37.5" customHeight="1">
      <c r="A505" s="177" t="s">
        <v>493</v>
      </c>
      <c r="B505" s="178"/>
      <c r="C505" s="179"/>
      <c r="D505" s="179"/>
      <c r="E505" s="178"/>
      <c r="F505" s="178"/>
      <c r="G505" s="176"/>
      <c r="H505" s="192" t="str">
        <f t="shared" si="140"/>
        <v/>
      </c>
    </row>
    <row r="506" spans="1:9" s="45" customFormat="1" ht="19.5" customHeight="1" thickBot="1">
      <c r="C506" s="180" t="e">
        <f>DATEVALUE("2010-"&amp;$H$1&amp;"-"&amp;INDEX(凭证录入!B:B,H509))</f>
        <v>#VALUE!</v>
      </c>
      <c r="D506" s="181"/>
      <c r="E506" s="182" t="s">
        <v>477</v>
      </c>
      <c r="F506" s="183" t="e">
        <f>N(LEFT((F494),3)+1)</f>
        <v>#VALUE!</v>
      </c>
      <c r="G506" s="176"/>
      <c r="H506" s="192" t="str">
        <f t="shared" si="140"/>
        <v/>
      </c>
      <c r="I506" s="184"/>
    </row>
    <row r="507" spans="1:9" s="45" customFormat="1" ht="19.5" customHeight="1" thickBot="1">
      <c r="A507" s="544" t="s">
        <v>494</v>
      </c>
      <c r="B507" s="545" t="s">
        <v>495</v>
      </c>
      <c r="C507" s="185" t="s">
        <v>496</v>
      </c>
      <c r="D507" s="186"/>
      <c r="E507" s="187"/>
      <c r="F507" s="188"/>
      <c r="G507" s="176"/>
      <c r="H507" s="192" t="str">
        <f t="shared" si="140"/>
        <v/>
      </c>
    </row>
    <row r="508" spans="1:9" s="45" customFormat="1" ht="19.5" customHeight="1" thickBot="1">
      <c r="A508" s="545"/>
      <c r="B508" s="546"/>
      <c r="C508" s="188" t="s">
        <v>497</v>
      </c>
      <c r="D508" s="188" t="s">
        <v>498</v>
      </c>
      <c r="E508" s="188" t="s">
        <v>499</v>
      </c>
      <c r="F508" s="188" t="s">
        <v>500</v>
      </c>
      <c r="G508" s="176"/>
      <c r="H508" s="192" t="str">
        <f t="shared" si="140"/>
        <v/>
      </c>
    </row>
    <row r="509" spans="1:9" s="45" customFormat="1" ht="19.5" customHeight="1" thickBot="1">
      <c r="A509" s="189" t="str">
        <f>IFERROR(INDEX(凭证录入!H:H,$H509),"")</f>
        <v/>
      </c>
      <c r="B509" s="189" t="str">
        <f>IFERROR(INDEX(凭证录入!I:I,$H509),"")</f>
        <v/>
      </c>
      <c r="C509" s="190" t="str">
        <f>IFERROR(VLOOKUP($B509,会计科目表!$A:$C,2,),"")</f>
        <v/>
      </c>
      <c r="D509" s="190" t="str">
        <f>IFERROR(VLOOKUP($B509,会计科目表!$A:$C,3,),"")</f>
        <v/>
      </c>
      <c r="E509" s="191">
        <f>IFERROR(INDEX(凭证录入!K:K,$H509),0)</f>
        <v>0</v>
      </c>
      <c r="F509" s="191">
        <f>IFERROR(INDEX(凭证录入!L:L,$H509),0)</f>
        <v>0</v>
      </c>
      <c r="G509" s="176"/>
      <c r="H509" s="192" t="str">
        <f t="shared" si="140"/>
        <v/>
      </c>
    </row>
    <row r="510" spans="1:9" s="45" customFormat="1" ht="19.5" customHeight="1" thickBot="1">
      <c r="A510" s="189" t="str">
        <f>IFERROR(INDEX(凭证录入!H:H,$H510),"")</f>
        <v/>
      </c>
      <c r="B510" s="189" t="str">
        <f>IFERROR(INDEX(凭证录入!I:I,$H510),"")</f>
        <v/>
      </c>
      <c r="C510" s="190" t="str">
        <f>IFERROR(VLOOKUP($B510,会计科目表!$A:$C,2,),"")</f>
        <v/>
      </c>
      <c r="D510" s="190" t="str">
        <f>IFERROR(VLOOKUP($B510,会计科目表!$A:$C,3,),"")</f>
        <v/>
      </c>
      <c r="E510" s="191">
        <f>IFERROR(INDEX(凭证录入!K:K,$H510),0)</f>
        <v>0</v>
      </c>
      <c r="F510" s="191">
        <f>IFERROR(INDEX(凭证录入!L:L,$H510),0)</f>
        <v>0</v>
      </c>
      <c r="G510" s="176" t="s">
        <v>490</v>
      </c>
      <c r="H510" s="192" t="str">
        <f t="shared" si="140"/>
        <v/>
      </c>
      <c r="I510" s="176"/>
    </row>
    <row r="511" spans="1:9" s="45" customFormat="1" ht="19.5" customHeight="1" thickBot="1">
      <c r="A511" s="189" t="str">
        <f>IFERROR(INDEX(凭证录入!H:H,$H511),"")</f>
        <v/>
      </c>
      <c r="B511" s="189" t="str">
        <f>IFERROR(INDEX(凭证录入!I:I,$H511),"")</f>
        <v/>
      </c>
      <c r="C511" s="190" t="str">
        <f>IFERROR(VLOOKUP($B511,会计科目表!$A:$C,2,),"")</f>
        <v/>
      </c>
      <c r="D511" s="190" t="str">
        <f>IFERROR(VLOOKUP($B511,会计科目表!$A:$C,3,),"")</f>
        <v/>
      </c>
      <c r="E511" s="191">
        <f>IFERROR(INDEX(凭证录入!K:K,$H511),0)</f>
        <v>0</v>
      </c>
      <c r="F511" s="191">
        <f>IFERROR(INDEX(凭证录入!L:L,$H511),0)</f>
        <v>0</v>
      </c>
      <c r="G511" s="176" t="s">
        <v>491</v>
      </c>
      <c r="H511" s="192" t="str">
        <f t="shared" si="140"/>
        <v/>
      </c>
      <c r="I511" s="176"/>
    </row>
    <row r="512" spans="1:9" s="45" customFormat="1" ht="19.5" customHeight="1" thickBot="1">
      <c r="A512" s="189" t="str">
        <f>IFERROR(INDEX(凭证录入!H:H,$H512),"")</f>
        <v/>
      </c>
      <c r="B512" s="189" t="str">
        <f>IFERROR(INDEX(凭证录入!I:I,$H512),"")</f>
        <v/>
      </c>
      <c r="C512" s="190" t="str">
        <f>IFERROR(VLOOKUP($B512,会计科目表!$A:$C,2,),"")</f>
        <v/>
      </c>
      <c r="D512" s="190" t="str">
        <f>IFERROR(VLOOKUP($B512,会计科目表!$A:$C,3,),"")</f>
        <v/>
      </c>
      <c r="E512" s="191">
        <f>IFERROR(INDEX(凭证录入!K:K,$H512),0)</f>
        <v>0</v>
      </c>
      <c r="F512" s="191">
        <f>IFERROR(INDEX(凭证录入!L:L,$H512),0)</f>
        <v>0</v>
      </c>
      <c r="G512" s="176" t="e">
        <f>INDEX(凭证录入!$D:$D,$H509)</f>
        <v>#VALUE!</v>
      </c>
      <c r="H512" s="192" t="str">
        <f t="shared" si="140"/>
        <v/>
      </c>
      <c r="I512" s="176"/>
    </row>
    <row r="513" spans="1:9" s="45" customFormat="1" ht="19.5" customHeight="1" thickBot="1">
      <c r="A513" s="189" t="str">
        <f>IFERROR(INDEX(凭证录入!H:H,$H513),"")</f>
        <v/>
      </c>
      <c r="B513" s="189" t="str">
        <f>IFERROR(INDEX(凭证录入!I:I,$H513),"")</f>
        <v/>
      </c>
      <c r="C513" s="190" t="str">
        <f>IFERROR(VLOOKUP($B513,会计科目表!$A:$C,2,),"")</f>
        <v/>
      </c>
      <c r="D513" s="190" t="str">
        <f>IFERROR(VLOOKUP($B513,会计科目表!$A:$C,3,),"")</f>
        <v/>
      </c>
      <c r="E513" s="191">
        <f>IFERROR(INDEX(凭证录入!K:K,$H513),0)</f>
        <v>0</v>
      </c>
      <c r="F513" s="191">
        <f>IFERROR(INDEX(凭证录入!L:L,$H513),0)</f>
        <v>0</v>
      </c>
      <c r="G513" s="176" t="s">
        <v>492</v>
      </c>
      <c r="H513" s="192" t="str">
        <f t="shared" si="140"/>
        <v/>
      </c>
    </row>
    <row r="514" spans="1:9" s="45" customFormat="1" ht="19.5" customHeight="1" thickBot="1">
      <c r="A514" s="189" t="str">
        <f>IFERROR(INDEX(凭证录入!H:H,$H514),"")</f>
        <v/>
      </c>
      <c r="B514" s="189" t="str">
        <f>IFERROR(INDEX(凭证录入!I:I,$H514),"")</f>
        <v/>
      </c>
      <c r="C514" s="190" t="str">
        <f>IFERROR(VLOOKUP($B514,会计科目表!$A:$C,2,),"")</f>
        <v/>
      </c>
      <c r="D514" s="190" t="str">
        <f>IFERROR(VLOOKUP($B514,会计科目表!$A:$C,3,),"")</f>
        <v/>
      </c>
      <c r="E514" s="191">
        <f>IFERROR(INDEX(凭证录入!K:K,$H514),0)</f>
        <v>0</v>
      </c>
      <c r="F514" s="191">
        <f>IFERROR(INDEX(凭证录入!L:L,$H514),0)</f>
        <v>0</v>
      </c>
      <c r="G514" s="176"/>
      <c r="H514" s="192" t="str">
        <f t="shared" si="140"/>
        <v/>
      </c>
    </row>
    <row r="515" spans="1:9" s="45" customFormat="1" ht="19.5" customHeight="1" thickBot="1">
      <c r="A515" s="193"/>
      <c r="B515" s="194" t="s">
        <v>485</v>
      </c>
      <c r="C515" s="195" t="str">
        <f>SUBSTITUTE(SUBSTITUTE(IF(-DOLLAR(E515),IF(E515&gt;0,,"负")&amp;TEXT(INT(ABS(E515)+0.5%),"[dbnum2]G/通用格式元;;")&amp;TEXT(RIGHT(DOLLAR(E515),2),"[dbnum2]0角0分;;整"),),"零角",IF(E515^2&lt;1,,"零")),"零分","整")</f>
        <v/>
      </c>
      <c r="D515" s="196"/>
      <c r="E515" s="197">
        <f>SUM(E509:E514)</f>
        <v>0</v>
      </c>
      <c r="F515" s="197">
        <f>SUM(F509:F514)</f>
        <v>0</v>
      </c>
      <c r="G515" s="176"/>
      <c r="H515" s="192" t="str">
        <f t="shared" si="140"/>
        <v/>
      </c>
    </row>
    <row r="516" spans="1:9" s="199" customFormat="1" ht="19.5" customHeight="1">
      <c r="A516" s="45" t="s">
        <v>486</v>
      </c>
      <c r="B516" s="45" t="s">
        <v>487</v>
      </c>
      <c r="C516" s="45" t="s">
        <v>488</v>
      </c>
      <c r="D516" s="45" t="s">
        <v>504</v>
      </c>
      <c r="E516" s="45" t="s">
        <v>489</v>
      </c>
      <c r="F516" s="176" t="str">
        <f>IF($E515&lt;&gt;$F515,"借贷不平","")</f>
        <v/>
      </c>
      <c r="G516" s="183"/>
      <c r="H516" s="198" t="str">
        <f t="shared" si="140"/>
        <v/>
      </c>
    </row>
    <row r="517" spans="1:9" ht="37.5" customHeight="1">
      <c r="A517" s="177" t="s">
        <v>493</v>
      </c>
      <c r="B517" s="178"/>
      <c r="C517" s="179"/>
      <c r="D517" s="179"/>
      <c r="E517" s="178"/>
      <c r="F517" s="178"/>
      <c r="G517" s="176"/>
      <c r="H517" s="192" t="str">
        <f t="shared" ref="H517:H580" si="141">IFERROR(INDEX(行号,TEXT(MOD(ROW(),12)-4,"[=]A")),"")</f>
        <v/>
      </c>
    </row>
    <row r="518" spans="1:9" s="45" customFormat="1" ht="19.5" customHeight="1" thickBot="1">
      <c r="C518" s="180" t="e">
        <f>DATEVALUE("2010-"&amp;$H$1&amp;"-"&amp;INDEX(凭证录入!B:B,H521))</f>
        <v>#VALUE!</v>
      </c>
      <c r="D518" s="181"/>
      <c r="E518" s="182" t="s">
        <v>477</v>
      </c>
      <c r="F518" s="183" t="e">
        <f>N(LEFT((F506),3)+1)</f>
        <v>#VALUE!</v>
      </c>
      <c r="G518" s="176"/>
      <c r="H518" s="192" t="str">
        <f t="shared" si="141"/>
        <v/>
      </c>
      <c r="I518" s="184"/>
    </row>
    <row r="519" spans="1:9" s="45" customFormat="1" ht="19.5" customHeight="1" thickBot="1">
      <c r="A519" s="544" t="s">
        <v>494</v>
      </c>
      <c r="B519" s="545" t="s">
        <v>495</v>
      </c>
      <c r="C519" s="185" t="s">
        <v>496</v>
      </c>
      <c r="D519" s="186"/>
      <c r="E519" s="187"/>
      <c r="F519" s="188"/>
      <c r="G519" s="176"/>
      <c r="H519" s="192" t="str">
        <f t="shared" si="141"/>
        <v/>
      </c>
    </row>
    <row r="520" spans="1:9" s="45" customFormat="1" ht="19.5" customHeight="1" thickBot="1">
      <c r="A520" s="545"/>
      <c r="B520" s="546"/>
      <c r="C520" s="188" t="s">
        <v>497</v>
      </c>
      <c r="D520" s="188" t="s">
        <v>498</v>
      </c>
      <c r="E520" s="188" t="s">
        <v>499</v>
      </c>
      <c r="F520" s="188" t="s">
        <v>500</v>
      </c>
      <c r="G520" s="176"/>
      <c r="H520" s="192" t="str">
        <f t="shared" si="141"/>
        <v/>
      </c>
    </row>
    <row r="521" spans="1:9" s="45" customFormat="1" ht="19.5" customHeight="1" thickBot="1">
      <c r="A521" s="189" t="str">
        <f>IFERROR(INDEX(凭证录入!H:H,$H521),"")</f>
        <v/>
      </c>
      <c r="B521" s="189" t="str">
        <f>IFERROR(INDEX(凭证录入!I:I,$H521),"")</f>
        <v/>
      </c>
      <c r="C521" s="190" t="str">
        <f>IFERROR(VLOOKUP($B521,会计科目表!$A:$C,2,),"")</f>
        <v/>
      </c>
      <c r="D521" s="190" t="str">
        <f>IFERROR(VLOOKUP($B521,会计科目表!$A:$C,3,),"")</f>
        <v/>
      </c>
      <c r="E521" s="191">
        <f>IFERROR(INDEX(凭证录入!K:K,$H521),0)</f>
        <v>0</v>
      </c>
      <c r="F521" s="191">
        <f>IFERROR(INDEX(凭证录入!L:L,$H521),0)</f>
        <v>0</v>
      </c>
      <c r="G521" s="176"/>
      <c r="H521" s="192" t="str">
        <f t="shared" si="141"/>
        <v/>
      </c>
    </row>
    <row r="522" spans="1:9" s="45" customFormat="1" ht="19.5" customHeight="1" thickBot="1">
      <c r="A522" s="189" t="str">
        <f>IFERROR(INDEX(凭证录入!H:H,$H522),"")</f>
        <v/>
      </c>
      <c r="B522" s="189" t="str">
        <f>IFERROR(INDEX(凭证录入!I:I,$H522),"")</f>
        <v/>
      </c>
      <c r="C522" s="190" t="str">
        <f>IFERROR(VLOOKUP($B522,会计科目表!$A:$C,2,),"")</f>
        <v/>
      </c>
      <c r="D522" s="190" t="str">
        <f>IFERROR(VLOOKUP($B522,会计科目表!$A:$C,3,),"")</f>
        <v/>
      </c>
      <c r="E522" s="191">
        <f>IFERROR(INDEX(凭证录入!K:K,$H522),0)</f>
        <v>0</v>
      </c>
      <c r="F522" s="191">
        <f>IFERROR(INDEX(凭证录入!L:L,$H522),0)</f>
        <v>0</v>
      </c>
      <c r="G522" s="176" t="s">
        <v>490</v>
      </c>
      <c r="H522" s="192" t="str">
        <f t="shared" si="141"/>
        <v/>
      </c>
      <c r="I522" s="176"/>
    </row>
    <row r="523" spans="1:9" s="45" customFormat="1" ht="19.5" customHeight="1" thickBot="1">
      <c r="A523" s="189" t="str">
        <f>IFERROR(INDEX(凭证录入!H:H,$H523),"")</f>
        <v/>
      </c>
      <c r="B523" s="189" t="str">
        <f>IFERROR(INDEX(凭证录入!I:I,$H523),"")</f>
        <v/>
      </c>
      <c r="C523" s="190" t="str">
        <f>IFERROR(VLOOKUP($B523,会计科目表!$A:$C,2,),"")</f>
        <v/>
      </c>
      <c r="D523" s="190" t="str">
        <f>IFERROR(VLOOKUP($B523,会计科目表!$A:$C,3,),"")</f>
        <v/>
      </c>
      <c r="E523" s="191">
        <f>IFERROR(INDEX(凭证录入!K:K,$H523),0)</f>
        <v>0</v>
      </c>
      <c r="F523" s="191">
        <f>IFERROR(INDEX(凭证录入!L:L,$H523),0)</f>
        <v>0</v>
      </c>
      <c r="G523" s="176" t="s">
        <v>491</v>
      </c>
      <c r="H523" s="192" t="str">
        <f t="shared" si="141"/>
        <v/>
      </c>
      <c r="I523" s="176"/>
    </row>
    <row r="524" spans="1:9" s="45" customFormat="1" ht="19.5" customHeight="1" thickBot="1">
      <c r="A524" s="189" t="str">
        <f>IFERROR(INDEX(凭证录入!H:H,$H524),"")</f>
        <v/>
      </c>
      <c r="B524" s="189" t="str">
        <f>IFERROR(INDEX(凭证录入!I:I,$H524),"")</f>
        <v/>
      </c>
      <c r="C524" s="190" t="str">
        <f>IFERROR(VLOOKUP($B524,会计科目表!$A:$C,2,),"")</f>
        <v/>
      </c>
      <c r="D524" s="190" t="str">
        <f>IFERROR(VLOOKUP($B524,会计科目表!$A:$C,3,),"")</f>
        <v/>
      </c>
      <c r="E524" s="191">
        <f>IFERROR(INDEX(凭证录入!K:K,$H524),0)</f>
        <v>0</v>
      </c>
      <c r="F524" s="191">
        <f>IFERROR(INDEX(凭证录入!L:L,$H524),0)</f>
        <v>0</v>
      </c>
      <c r="G524" s="176" t="e">
        <f>INDEX(凭证录入!$D:$D,$H521)</f>
        <v>#VALUE!</v>
      </c>
      <c r="H524" s="192" t="str">
        <f t="shared" si="141"/>
        <v/>
      </c>
      <c r="I524" s="176"/>
    </row>
    <row r="525" spans="1:9" s="45" customFormat="1" ht="19.5" customHeight="1" thickBot="1">
      <c r="A525" s="189" t="str">
        <f>IFERROR(INDEX(凭证录入!H:H,$H525),"")</f>
        <v/>
      </c>
      <c r="B525" s="189" t="str">
        <f>IFERROR(INDEX(凭证录入!I:I,$H525),"")</f>
        <v/>
      </c>
      <c r="C525" s="190" t="str">
        <f>IFERROR(VLOOKUP($B525,会计科目表!$A:$C,2,),"")</f>
        <v/>
      </c>
      <c r="D525" s="190" t="str">
        <f>IFERROR(VLOOKUP($B525,会计科目表!$A:$C,3,),"")</f>
        <v/>
      </c>
      <c r="E525" s="191">
        <f>IFERROR(INDEX(凭证录入!K:K,$H525),0)</f>
        <v>0</v>
      </c>
      <c r="F525" s="191">
        <f>IFERROR(INDEX(凭证录入!L:L,$H525),0)</f>
        <v>0</v>
      </c>
      <c r="G525" s="176" t="s">
        <v>492</v>
      </c>
      <c r="H525" s="192" t="str">
        <f t="shared" si="141"/>
        <v/>
      </c>
    </row>
    <row r="526" spans="1:9" s="45" customFormat="1" ht="19.5" customHeight="1" thickBot="1">
      <c r="A526" s="189" t="str">
        <f>IFERROR(INDEX(凭证录入!H:H,$H526),"")</f>
        <v/>
      </c>
      <c r="B526" s="189" t="str">
        <f>IFERROR(INDEX(凭证录入!I:I,$H526),"")</f>
        <v/>
      </c>
      <c r="C526" s="190" t="str">
        <f>IFERROR(VLOOKUP($B526,会计科目表!$A:$C,2,),"")</f>
        <v/>
      </c>
      <c r="D526" s="190" t="str">
        <f>IFERROR(VLOOKUP($B526,会计科目表!$A:$C,3,),"")</f>
        <v/>
      </c>
      <c r="E526" s="191">
        <f>IFERROR(INDEX(凭证录入!K:K,$H526),0)</f>
        <v>0</v>
      </c>
      <c r="F526" s="191">
        <f>IFERROR(INDEX(凭证录入!L:L,$H526),0)</f>
        <v>0</v>
      </c>
      <c r="G526" s="176"/>
      <c r="H526" s="192" t="str">
        <f t="shared" si="141"/>
        <v/>
      </c>
    </row>
    <row r="527" spans="1:9" s="45" customFormat="1" ht="19.5" customHeight="1" thickBot="1">
      <c r="A527" s="193"/>
      <c r="B527" s="194" t="s">
        <v>485</v>
      </c>
      <c r="C527" s="195" t="str">
        <f>SUBSTITUTE(SUBSTITUTE(IF(-DOLLAR(E527),IF(E527&gt;0,,"负")&amp;TEXT(INT(ABS(E527)+0.5%),"[dbnum2]G/通用格式元;;")&amp;TEXT(RIGHT(DOLLAR(E527),2),"[dbnum2]0角0分;;整"),),"零角",IF(E527^2&lt;1,,"零")),"零分","整")</f>
        <v/>
      </c>
      <c r="D527" s="196"/>
      <c r="E527" s="197">
        <f>SUM(E521:E526)</f>
        <v>0</v>
      </c>
      <c r="F527" s="197">
        <f>SUM(F521:F526)</f>
        <v>0</v>
      </c>
      <c r="G527" s="176"/>
      <c r="H527" s="192" t="str">
        <f t="shared" si="141"/>
        <v/>
      </c>
    </row>
    <row r="528" spans="1:9" s="199" customFormat="1" ht="19.5" customHeight="1">
      <c r="A528" s="45" t="s">
        <v>486</v>
      </c>
      <c r="B528" s="45" t="s">
        <v>487</v>
      </c>
      <c r="C528" s="45" t="s">
        <v>488</v>
      </c>
      <c r="D528" s="45" t="s">
        <v>504</v>
      </c>
      <c r="E528" s="45" t="s">
        <v>489</v>
      </c>
      <c r="F528" s="176" t="str">
        <f>IF($E527&lt;&gt;$F527,"借贷不平","")</f>
        <v/>
      </c>
      <c r="G528" s="183"/>
      <c r="H528" s="198" t="str">
        <f t="shared" si="141"/>
        <v/>
      </c>
    </row>
    <row r="529" spans="1:9" ht="37.5" customHeight="1">
      <c r="A529" s="177" t="s">
        <v>493</v>
      </c>
      <c r="B529" s="178"/>
      <c r="C529" s="179"/>
      <c r="D529" s="179"/>
      <c r="E529" s="178"/>
      <c r="F529" s="178"/>
      <c r="G529" s="176"/>
      <c r="H529" s="192" t="str">
        <f t="shared" si="141"/>
        <v/>
      </c>
    </row>
    <row r="530" spans="1:9" s="45" customFormat="1" ht="19.5" customHeight="1" thickBot="1">
      <c r="C530" s="180" t="e">
        <f>DATEVALUE("2010-"&amp;$H$1&amp;"-"&amp;INDEX(凭证录入!B:B,H533))</f>
        <v>#VALUE!</v>
      </c>
      <c r="D530" s="181"/>
      <c r="E530" s="182" t="s">
        <v>477</v>
      </c>
      <c r="F530" s="183" t="e">
        <f>N(LEFT((F518),3)+1)</f>
        <v>#VALUE!</v>
      </c>
      <c r="G530" s="176"/>
      <c r="H530" s="192" t="str">
        <f t="shared" si="141"/>
        <v/>
      </c>
      <c r="I530" s="184"/>
    </row>
    <row r="531" spans="1:9" s="45" customFormat="1" ht="19.5" customHeight="1" thickBot="1">
      <c r="A531" s="544" t="s">
        <v>494</v>
      </c>
      <c r="B531" s="545" t="s">
        <v>495</v>
      </c>
      <c r="C531" s="185" t="s">
        <v>496</v>
      </c>
      <c r="D531" s="186"/>
      <c r="E531" s="187"/>
      <c r="F531" s="188"/>
      <c r="G531" s="176"/>
      <c r="H531" s="192" t="str">
        <f t="shared" si="141"/>
        <v/>
      </c>
    </row>
    <row r="532" spans="1:9" s="45" customFormat="1" ht="19.5" customHeight="1" thickBot="1">
      <c r="A532" s="545"/>
      <c r="B532" s="546"/>
      <c r="C532" s="188" t="s">
        <v>497</v>
      </c>
      <c r="D532" s="188" t="s">
        <v>498</v>
      </c>
      <c r="E532" s="188" t="s">
        <v>499</v>
      </c>
      <c r="F532" s="188" t="s">
        <v>500</v>
      </c>
      <c r="G532" s="176"/>
      <c r="H532" s="192" t="str">
        <f t="shared" si="141"/>
        <v/>
      </c>
    </row>
    <row r="533" spans="1:9" s="45" customFormat="1" ht="19.5" customHeight="1" thickBot="1">
      <c r="A533" s="189" t="str">
        <f>IFERROR(INDEX(凭证录入!H:H,$H533),"")</f>
        <v/>
      </c>
      <c r="B533" s="189" t="str">
        <f>IFERROR(INDEX(凭证录入!I:I,$H533),"")</f>
        <v/>
      </c>
      <c r="C533" s="190" t="str">
        <f>IFERROR(VLOOKUP($B533,会计科目表!$A:$C,2,),"")</f>
        <v/>
      </c>
      <c r="D533" s="190" t="str">
        <f>IFERROR(VLOOKUP($B533,会计科目表!$A:$C,3,),"")</f>
        <v/>
      </c>
      <c r="E533" s="191">
        <f>IFERROR(INDEX(凭证录入!K:K,$H533),0)</f>
        <v>0</v>
      </c>
      <c r="F533" s="191">
        <f>IFERROR(INDEX(凭证录入!L:L,$H533),0)</f>
        <v>0</v>
      </c>
      <c r="G533" s="176"/>
      <c r="H533" s="192" t="str">
        <f t="shared" si="141"/>
        <v/>
      </c>
    </row>
    <row r="534" spans="1:9" s="45" customFormat="1" ht="19.5" customHeight="1" thickBot="1">
      <c r="A534" s="189" t="str">
        <f>IFERROR(INDEX(凭证录入!H:H,$H534),"")</f>
        <v/>
      </c>
      <c r="B534" s="189" t="str">
        <f>IFERROR(INDEX(凭证录入!I:I,$H534),"")</f>
        <v/>
      </c>
      <c r="C534" s="190" t="str">
        <f>IFERROR(VLOOKUP($B534,会计科目表!$A:$C,2,),"")</f>
        <v/>
      </c>
      <c r="D534" s="190" t="str">
        <f>IFERROR(VLOOKUP($B534,会计科目表!$A:$C,3,),"")</f>
        <v/>
      </c>
      <c r="E534" s="191">
        <f>IFERROR(INDEX(凭证录入!K:K,$H534),0)</f>
        <v>0</v>
      </c>
      <c r="F534" s="191">
        <f>IFERROR(INDEX(凭证录入!L:L,$H534),0)</f>
        <v>0</v>
      </c>
      <c r="G534" s="176" t="s">
        <v>490</v>
      </c>
      <c r="H534" s="192" t="str">
        <f t="shared" si="141"/>
        <v/>
      </c>
      <c r="I534" s="176"/>
    </row>
    <row r="535" spans="1:9" s="45" customFormat="1" ht="19.5" customHeight="1" thickBot="1">
      <c r="A535" s="189" t="str">
        <f>IFERROR(INDEX(凭证录入!H:H,$H535),"")</f>
        <v/>
      </c>
      <c r="B535" s="189" t="str">
        <f>IFERROR(INDEX(凭证录入!I:I,$H535),"")</f>
        <v/>
      </c>
      <c r="C535" s="190" t="str">
        <f>IFERROR(VLOOKUP($B535,会计科目表!$A:$C,2,),"")</f>
        <v/>
      </c>
      <c r="D535" s="190" t="str">
        <f>IFERROR(VLOOKUP($B535,会计科目表!$A:$C,3,),"")</f>
        <v/>
      </c>
      <c r="E535" s="191">
        <f>IFERROR(INDEX(凭证录入!K:K,$H535),0)</f>
        <v>0</v>
      </c>
      <c r="F535" s="191">
        <f>IFERROR(INDEX(凭证录入!L:L,$H535),0)</f>
        <v>0</v>
      </c>
      <c r="G535" s="176" t="s">
        <v>491</v>
      </c>
      <c r="H535" s="192" t="str">
        <f t="shared" si="141"/>
        <v/>
      </c>
      <c r="I535" s="176"/>
    </row>
    <row r="536" spans="1:9" s="45" customFormat="1" ht="19.5" customHeight="1" thickBot="1">
      <c r="A536" s="189" t="str">
        <f>IFERROR(INDEX(凭证录入!H:H,$H536),"")</f>
        <v/>
      </c>
      <c r="B536" s="189" t="str">
        <f>IFERROR(INDEX(凭证录入!I:I,$H536),"")</f>
        <v/>
      </c>
      <c r="C536" s="190" t="str">
        <f>IFERROR(VLOOKUP($B536,会计科目表!$A:$C,2,),"")</f>
        <v/>
      </c>
      <c r="D536" s="190" t="str">
        <f>IFERROR(VLOOKUP($B536,会计科目表!$A:$C,3,),"")</f>
        <v/>
      </c>
      <c r="E536" s="191">
        <f>IFERROR(INDEX(凭证录入!K:K,$H536),0)</f>
        <v>0</v>
      </c>
      <c r="F536" s="191">
        <f>IFERROR(INDEX(凭证录入!L:L,$H536),0)</f>
        <v>0</v>
      </c>
      <c r="G536" s="176" t="e">
        <f>INDEX(凭证录入!$D:$D,$H533)</f>
        <v>#VALUE!</v>
      </c>
      <c r="H536" s="192" t="str">
        <f t="shared" si="141"/>
        <v/>
      </c>
      <c r="I536" s="176"/>
    </row>
    <row r="537" spans="1:9" s="45" customFormat="1" ht="19.5" customHeight="1" thickBot="1">
      <c r="A537" s="189" t="str">
        <f>IFERROR(INDEX(凭证录入!H:H,$H537),"")</f>
        <v/>
      </c>
      <c r="B537" s="189" t="str">
        <f>IFERROR(INDEX(凭证录入!I:I,$H537),"")</f>
        <v/>
      </c>
      <c r="C537" s="190" t="str">
        <f>IFERROR(VLOOKUP($B537,会计科目表!$A:$C,2,),"")</f>
        <v/>
      </c>
      <c r="D537" s="190" t="str">
        <f>IFERROR(VLOOKUP($B537,会计科目表!$A:$C,3,),"")</f>
        <v/>
      </c>
      <c r="E537" s="191">
        <f>IFERROR(INDEX(凭证录入!K:K,$H537),0)</f>
        <v>0</v>
      </c>
      <c r="F537" s="191">
        <f>IFERROR(INDEX(凭证录入!L:L,$H537),0)</f>
        <v>0</v>
      </c>
      <c r="G537" s="176" t="s">
        <v>492</v>
      </c>
      <c r="H537" s="192" t="str">
        <f t="shared" si="141"/>
        <v/>
      </c>
    </row>
    <row r="538" spans="1:9" s="45" customFormat="1" ht="19.5" customHeight="1" thickBot="1">
      <c r="A538" s="189" t="str">
        <f>IFERROR(INDEX(凭证录入!H:H,$H538),"")</f>
        <v/>
      </c>
      <c r="B538" s="189" t="str">
        <f>IFERROR(INDEX(凭证录入!I:I,$H538),"")</f>
        <v/>
      </c>
      <c r="C538" s="190" t="str">
        <f>IFERROR(VLOOKUP($B538,会计科目表!$A:$C,2,),"")</f>
        <v/>
      </c>
      <c r="D538" s="190" t="str">
        <f>IFERROR(VLOOKUP($B538,会计科目表!$A:$C,3,),"")</f>
        <v/>
      </c>
      <c r="E538" s="191">
        <f>IFERROR(INDEX(凭证录入!K:K,$H538),0)</f>
        <v>0</v>
      </c>
      <c r="F538" s="191">
        <f>IFERROR(INDEX(凭证录入!L:L,$H538),0)</f>
        <v>0</v>
      </c>
      <c r="G538" s="176"/>
      <c r="H538" s="192" t="str">
        <f t="shared" si="141"/>
        <v/>
      </c>
    </row>
    <row r="539" spans="1:9" s="45" customFormat="1" ht="19.5" customHeight="1" thickBot="1">
      <c r="A539" s="193"/>
      <c r="B539" s="194" t="s">
        <v>485</v>
      </c>
      <c r="C539" s="195" t="str">
        <f>SUBSTITUTE(SUBSTITUTE(IF(-DOLLAR(E539),IF(E539&gt;0,,"负")&amp;TEXT(INT(ABS(E539)+0.5%),"[dbnum2]G/通用格式元;;")&amp;TEXT(RIGHT(DOLLAR(E539),2),"[dbnum2]0角0分;;整"),),"零角",IF(E539^2&lt;1,,"零")),"零分","整")</f>
        <v/>
      </c>
      <c r="D539" s="196"/>
      <c r="E539" s="197">
        <f>SUM(E533:E538)</f>
        <v>0</v>
      </c>
      <c r="F539" s="197">
        <f>SUM(F533:F538)</f>
        <v>0</v>
      </c>
      <c r="G539" s="176"/>
      <c r="H539" s="192" t="str">
        <f t="shared" si="141"/>
        <v/>
      </c>
    </row>
    <row r="540" spans="1:9" s="199" customFormat="1" ht="19.5" customHeight="1">
      <c r="A540" s="45" t="s">
        <v>486</v>
      </c>
      <c r="B540" s="45" t="s">
        <v>487</v>
      </c>
      <c r="C540" s="45" t="s">
        <v>488</v>
      </c>
      <c r="D540" s="45" t="s">
        <v>504</v>
      </c>
      <c r="E540" s="45" t="s">
        <v>489</v>
      </c>
      <c r="F540" s="176" t="str">
        <f>IF($E539&lt;&gt;$F539,"借贷不平","")</f>
        <v/>
      </c>
      <c r="G540" s="183"/>
      <c r="H540" s="198" t="str">
        <f t="shared" si="141"/>
        <v/>
      </c>
    </row>
    <row r="541" spans="1:9" ht="37.5" customHeight="1">
      <c r="A541" s="177" t="s">
        <v>493</v>
      </c>
      <c r="B541" s="178"/>
      <c r="C541" s="179"/>
      <c r="D541" s="179"/>
      <c r="E541" s="178"/>
      <c r="F541" s="178"/>
      <c r="G541" s="176"/>
      <c r="H541" s="192" t="str">
        <f t="shared" si="141"/>
        <v/>
      </c>
    </row>
    <row r="542" spans="1:9" s="45" customFormat="1" ht="19.5" customHeight="1" thickBot="1">
      <c r="C542" s="180" t="e">
        <f>DATEVALUE("2010-"&amp;$H$1&amp;"-"&amp;INDEX(凭证录入!B:B,H545))</f>
        <v>#VALUE!</v>
      </c>
      <c r="D542" s="181"/>
      <c r="E542" s="182" t="s">
        <v>477</v>
      </c>
      <c r="F542" s="183" t="e">
        <f>N(LEFT((F530),3)+1)</f>
        <v>#VALUE!</v>
      </c>
      <c r="G542" s="176"/>
      <c r="H542" s="192" t="str">
        <f t="shared" si="141"/>
        <v/>
      </c>
      <c r="I542" s="184"/>
    </row>
    <row r="543" spans="1:9" s="45" customFormat="1" ht="19.5" customHeight="1" thickBot="1">
      <c r="A543" s="544" t="s">
        <v>494</v>
      </c>
      <c r="B543" s="545" t="s">
        <v>495</v>
      </c>
      <c r="C543" s="185" t="s">
        <v>496</v>
      </c>
      <c r="D543" s="186"/>
      <c r="E543" s="187"/>
      <c r="F543" s="188"/>
      <c r="G543" s="176"/>
      <c r="H543" s="192" t="str">
        <f t="shared" si="141"/>
        <v/>
      </c>
    </row>
    <row r="544" spans="1:9" s="45" customFormat="1" ht="19.5" customHeight="1" thickBot="1">
      <c r="A544" s="545"/>
      <c r="B544" s="546"/>
      <c r="C544" s="188" t="s">
        <v>497</v>
      </c>
      <c r="D544" s="188" t="s">
        <v>498</v>
      </c>
      <c r="E544" s="188" t="s">
        <v>499</v>
      </c>
      <c r="F544" s="188" t="s">
        <v>500</v>
      </c>
      <c r="G544" s="176"/>
      <c r="H544" s="192" t="str">
        <f t="shared" si="141"/>
        <v/>
      </c>
    </row>
    <row r="545" spans="1:9" s="45" customFormat="1" ht="19.5" customHeight="1" thickBot="1">
      <c r="A545" s="189" t="str">
        <f>IFERROR(INDEX(凭证录入!H:H,$H545),"")</f>
        <v/>
      </c>
      <c r="B545" s="189" t="str">
        <f>IFERROR(INDEX(凭证录入!I:I,$H545),"")</f>
        <v/>
      </c>
      <c r="C545" s="190" t="str">
        <f>IFERROR(VLOOKUP($B545,会计科目表!$A:$C,2,),"")</f>
        <v/>
      </c>
      <c r="D545" s="190" t="str">
        <f>IFERROR(VLOOKUP($B545,会计科目表!$A:$C,3,),"")</f>
        <v/>
      </c>
      <c r="E545" s="191">
        <f>IFERROR(INDEX(凭证录入!K:K,$H545),0)</f>
        <v>0</v>
      </c>
      <c r="F545" s="191">
        <f>IFERROR(INDEX(凭证录入!L:L,$H545),0)</f>
        <v>0</v>
      </c>
      <c r="G545" s="176"/>
      <c r="H545" s="192" t="str">
        <f t="shared" si="141"/>
        <v/>
      </c>
    </row>
    <row r="546" spans="1:9" s="45" customFormat="1" ht="19.5" customHeight="1" thickBot="1">
      <c r="A546" s="189" t="str">
        <f>IFERROR(INDEX(凭证录入!H:H,$H546),"")</f>
        <v/>
      </c>
      <c r="B546" s="189" t="str">
        <f>IFERROR(INDEX(凭证录入!I:I,$H546),"")</f>
        <v/>
      </c>
      <c r="C546" s="190" t="str">
        <f>IFERROR(VLOOKUP($B546,会计科目表!$A:$C,2,),"")</f>
        <v/>
      </c>
      <c r="D546" s="190" t="str">
        <f>IFERROR(VLOOKUP($B546,会计科目表!$A:$C,3,),"")</f>
        <v/>
      </c>
      <c r="E546" s="191">
        <f>IFERROR(INDEX(凭证录入!K:K,$H546),0)</f>
        <v>0</v>
      </c>
      <c r="F546" s="191">
        <f>IFERROR(INDEX(凭证录入!L:L,$H546),0)</f>
        <v>0</v>
      </c>
      <c r="G546" s="176" t="s">
        <v>490</v>
      </c>
      <c r="H546" s="192" t="str">
        <f t="shared" si="141"/>
        <v/>
      </c>
      <c r="I546" s="176"/>
    </row>
    <row r="547" spans="1:9" s="45" customFormat="1" ht="19.5" customHeight="1" thickBot="1">
      <c r="A547" s="189" t="str">
        <f>IFERROR(INDEX(凭证录入!H:H,$H547),"")</f>
        <v/>
      </c>
      <c r="B547" s="189" t="str">
        <f>IFERROR(INDEX(凭证录入!I:I,$H547),"")</f>
        <v/>
      </c>
      <c r="C547" s="190" t="str">
        <f>IFERROR(VLOOKUP($B547,会计科目表!$A:$C,2,),"")</f>
        <v/>
      </c>
      <c r="D547" s="190" t="str">
        <f>IFERROR(VLOOKUP($B547,会计科目表!$A:$C,3,),"")</f>
        <v/>
      </c>
      <c r="E547" s="191">
        <f>IFERROR(INDEX(凭证录入!K:K,$H547),0)</f>
        <v>0</v>
      </c>
      <c r="F547" s="191">
        <f>IFERROR(INDEX(凭证录入!L:L,$H547),0)</f>
        <v>0</v>
      </c>
      <c r="G547" s="176" t="s">
        <v>491</v>
      </c>
      <c r="H547" s="192" t="str">
        <f t="shared" si="141"/>
        <v/>
      </c>
      <c r="I547" s="176"/>
    </row>
    <row r="548" spans="1:9" s="45" customFormat="1" ht="19.5" customHeight="1" thickBot="1">
      <c r="A548" s="189" t="str">
        <f>IFERROR(INDEX(凭证录入!H:H,$H548),"")</f>
        <v/>
      </c>
      <c r="B548" s="189" t="str">
        <f>IFERROR(INDEX(凭证录入!I:I,$H548),"")</f>
        <v/>
      </c>
      <c r="C548" s="190" t="str">
        <f>IFERROR(VLOOKUP($B548,会计科目表!$A:$C,2,),"")</f>
        <v/>
      </c>
      <c r="D548" s="190" t="str">
        <f>IFERROR(VLOOKUP($B548,会计科目表!$A:$C,3,),"")</f>
        <v/>
      </c>
      <c r="E548" s="191">
        <f>IFERROR(INDEX(凭证录入!K:K,$H548),0)</f>
        <v>0</v>
      </c>
      <c r="F548" s="191">
        <f>IFERROR(INDEX(凭证录入!L:L,$H548),0)</f>
        <v>0</v>
      </c>
      <c r="G548" s="176" t="e">
        <f>INDEX(凭证录入!$D:$D,$H545)</f>
        <v>#VALUE!</v>
      </c>
      <c r="H548" s="192" t="str">
        <f t="shared" si="141"/>
        <v/>
      </c>
      <c r="I548" s="176"/>
    </row>
    <row r="549" spans="1:9" s="45" customFormat="1" ht="19.5" customHeight="1" thickBot="1">
      <c r="A549" s="189" t="str">
        <f>IFERROR(INDEX(凭证录入!H:H,$H549),"")</f>
        <v/>
      </c>
      <c r="B549" s="189" t="str">
        <f>IFERROR(INDEX(凭证录入!I:I,$H549),"")</f>
        <v/>
      </c>
      <c r="C549" s="190" t="str">
        <f>IFERROR(VLOOKUP($B549,会计科目表!$A:$C,2,),"")</f>
        <v/>
      </c>
      <c r="D549" s="190" t="str">
        <f>IFERROR(VLOOKUP($B549,会计科目表!$A:$C,3,),"")</f>
        <v/>
      </c>
      <c r="E549" s="191">
        <f>IFERROR(INDEX(凭证录入!K:K,$H549),0)</f>
        <v>0</v>
      </c>
      <c r="F549" s="191">
        <f>IFERROR(INDEX(凭证录入!L:L,$H549),0)</f>
        <v>0</v>
      </c>
      <c r="G549" s="176" t="s">
        <v>492</v>
      </c>
      <c r="H549" s="192" t="str">
        <f t="shared" si="141"/>
        <v/>
      </c>
    </row>
    <row r="550" spans="1:9" s="45" customFormat="1" ht="19.5" customHeight="1" thickBot="1">
      <c r="A550" s="189" t="str">
        <f>IFERROR(INDEX(凭证录入!H:H,$H550),"")</f>
        <v/>
      </c>
      <c r="B550" s="189" t="str">
        <f>IFERROR(INDEX(凭证录入!I:I,$H550),"")</f>
        <v/>
      </c>
      <c r="C550" s="190" t="str">
        <f>IFERROR(VLOOKUP($B550,会计科目表!$A:$C,2,),"")</f>
        <v/>
      </c>
      <c r="D550" s="190" t="str">
        <f>IFERROR(VLOOKUP($B550,会计科目表!$A:$C,3,),"")</f>
        <v/>
      </c>
      <c r="E550" s="191">
        <f>IFERROR(INDEX(凭证录入!K:K,$H550),0)</f>
        <v>0</v>
      </c>
      <c r="F550" s="191">
        <f>IFERROR(INDEX(凭证录入!L:L,$H550),0)</f>
        <v>0</v>
      </c>
      <c r="G550" s="176"/>
      <c r="H550" s="192" t="str">
        <f t="shared" si="141"/>
        <v/>
      </c>
    </row>
    <row r="551" spans="1:9" s="45" customFormat="1" ht="19.5" customHeight="1" thickBot="1">
      <c r="A551" s="193"/>
      <c r="B551" s="194" t="s">
        <v>485</v>
      </c>
      <c r="C551" s="195" t="str">
        <f>SUBSTITUTE(SUBSTITUTE(IF(-DOLLAR(E551),IF(E551&gt;0,,"负")&amp;TEXT(INT(ABS(E551)+0.5%),"[dbnum2]G/通用格式元;;")&amp;TEXT(RIGHT(DOLLAR(E551),2),"[dbnum2]0角0分;;整"),),"零角",IF(E551^2&lt;1,,"零")),"零分","整")</f>
        <v/>
      </c>
      <c r="D551" s="196"/>
      <c r="E551" s="197">
        <f>SUM(E545:E550)</f>
        <v>0</v>
      </c>
      <c r="F551" s="197">
        <f>SUM(F545:F550)</f>
        <v>0</v>
      </c>
      <c r="G551" s="176"/>
      <c r="H551" s="192" t="str">
        <f t="shared" si="141"/>
        <v/>
      </c>
    </row>
    <row r="552" spans="1:9" s="199" customFormat="1" ht="19.5" customHeight="1">
      <c r="A552" s="45" t="s">
        <v>486</v>
      </c>
      <c r="B552" s="45" t="s">
        <v>487</v>
      </c>
      <c r="C552" s="45" t="s">
        <v>488</v>
      </c>
      <c r="D552" s="45" t="s">
        <v>504</v>
      </c>
      <c r="E552" s="45" t="s">
        <v>489</v>
      </c>
      <c r="F552" s="176" t="str">
        <f>IF($E551&lt;&gt;$F551,"借贷不平","")</f>
        <v/>
      </c>
      <c r="G552" s="183"/>
      <c r="H552" s="198" t="str">
        <f t="shared" si="141"/>
        <v/>
      </c>
    </row>
    <row r="553" spans="1:9" ht="37.5" customHeight="1">
      <c r="A553" s="177" t="s">
        <v>493</v>
      </c>
      <c r="B553" s="178"/>
      <c r="C553" s="179"/>
      <c r="D553" s="179"/>
      <c r="E553" s="178"/>
      <c r="F553" s="178"/>
      <c r="G553" s="176"/>
      <c r="H553" s="192" t="str">
        <f t="shared" si="141"/>
        <v/>
      </c>
    </row>
    <row r="554" spans="1:9" s="45" customFormat="1" ht="19.5" customHeight="1" thickBot="1">
      <c r="C554" s="180" t="e">
        <f>DATEVALUE("2010-"&amp;$H$1&amp;"-"&amp;INDEX(凭证录入!B:B,H557))</f>
        <v>#VALUE!</v>
      </c>
      <c r="D554" s="181"/>
      <c r="E554" s="182" t="s">
        <v>477</v>
      </c>
      <c r="F554" s="183" t="e">
        <f>N(LEFT((F542),3)+1)</f>
        <v>#VALUE!</v>
      </c>
      <c r="G554" s="176"/>
      <c r="H554" s="192" t="str">
        <f t="shared" si="141"/>
        <v/>
      </c>
      <c r="I554" s="184"/>
    </row>
    <row r="555" spans="1:9" s="45" customFormat="1" ht="19.5" customHeight="1" thickBot="1">
      <c r="A555" s="544" t="s">
        <v>494</v>
      </c>
      <c r="B555" s="545" t="s">
        <v>495</v>
      </c>
      <c r="C555" s="185" t="s">
        <v>496</v>
      </c>
      <c r="D555" s="186"/>
      <c r="E555" s="187"/>
      <c r="F555" s="188"/>
      <c r="G555" s="176"/>
      <c r="H555" s="192" t="str">
        <f t="shared" si="141"/>
        <v/>
      </c>
    </row>
    <row r="556" spans="1:9" s="45" customFormat="1" ht="19.5" customHeight="1" thickBot="1">
      <c r="A556" s="545"/>
      <c r="B556" s="546"/>
      <c r="C556" s="188" t="s">
        <v>497</v>
      </c>
      <c r="D556" s="188" t="s">
        <v>498</v>
      </c>
      <c r="E556" s="188" t="s">
        <v>499</v>
      </c>
      <c r="F556" s="188" t="s">
        <v>500</v>
      </c>
      <c r="G556" s="176"/>
      <c r="H556" s="192" t="str">
        <f t="shared" si="141"/>
        <v/>
      </c>
    </row>
    <row r="557" spans="1:9" s="45" customFormat="1" ht="19.5" customHeight="1" thickBot="1">
      <c r="A557" s="189" t="str">
        <f>IFERROR(INDEX(凭证录入!H:H,$H557),"")</f>
        <v/>
      </c>
      <c r="B557" s="189" t="str">
        <f>IFERROR(INDEX(凭证录入!I:I,$H557),"")</f>
        <v/>
      </c>
      <c r="C557" s="190" t="str">
        <f>IFERROR(VLOOKUP($B557,会计科目表!$A:$C,2,),"")</f>
        <v/>
      </c>
      <c r="D557" s="190" t="str">
        <f>IFERROR(VLOOKUP($B557,会计科目表!$A:$C,3,),"")</f>
        <v/>
      </c>
      <c r="E557" s="191">
        <f>IFERROR(INDEX(凭证录入!K:K,$H557),0)</f>
        <v>0</v>
      </c>
      <c r="F557" s="191">
        <f>IFERROR(INDEX(凭证录入!L:L,$H557),0)</f>
        <v>0</v>
      </c>
      <c r="G557" s="176"/>
      <c r="H557" s="192" t="str">
        <f t="shared" si="141"/>
        <v/>
      </c>
    </row>
    <row r="558" spans="1:9" s="45" customFormat="1" ht="19.5" customHeight="1" thickBot="1">
      <c r="A558" s="189" t="str">
        <f>IFERROR(INDEX(凭证录入!H:H,$H558),"")</f>
        <v/>
      </c>
      <c r="B558" s="189" t="str">
        <f>IFERROR(INDEX(凭证录入!I:I,$H558),"")</f>
        <v/>
      </c>
      <c r="C558" s="190" t="str">
        <f>IFERROR(VLOOKUP($B558,会计科目表!$A:$C,2,),"")</f>
        <v/>
      </c>
      <c r="D558" s="190" t="str">
        <f>IFERROR(VLOOKUP($B558,会计科目表!$A:$C,3,),"")</f>
        <v/>
      </c>
      <c r="E558" s="191">
        <f>IFERROR(INDEX(凭证录入!K:K,$H558),0)</f>
        <v>0</v>
      </c>
      <c r="F558" s="191">
        <f>IFERROR(INDEX(凭证录入!L:L,$H558),0)</f>
        <v>0</v>
      </c>
      <c r="G558" s="176" t="s">
        <v>490</v>
      </c>
      <c r="H558" s="192" t="str">
        <f t="shared" si="141"/>
        <v/>
      </c>
      <c r="I558" s="176"/>
    </row>
    <row r="559" spans="1:9" s="45" customFormat="1" ht="19.5" customHeight="1" thickBot="1">
      <c r="A559" s="189" t="str">
        <f>IFERROR(INDEX(凭证录入!H:H,$H559),"")</f>
        <v/>
      </c>
      <c r="B559" s="189" t="str">
        <f>IFERROR(INDEX(凭证录入!I:I,$H559),"")</f>
        <v/>
      </c>
      <c r="C559" s="190" t="str">
        <f>IFERROR(VLOOKUP($B559,会计科目表!$A:$C,2,),"")</f>
        <v/>
      </c>
      <c r="D559" s="190" t="str">
        <f>IFERROR(VLOOKUP($B559,会计科目表!$A:$C,3,),"")</f>
        <v/>
      </c>
      <c r="E559" s="191">
        <f>IFERROR(INDEX(凭证录入!K:K,$H559),0)</f>
        <v>0</v>
      </c>
      <c r="F559" s="191">
        <f>IFERROR(INDEX(凭证录入!L:L,$H559),0)</f>
        <v>0</v>
      </c>
      <c r="G559" s="176" t="s">
        <v>491</v>
      </c>
      <c r="H559" s="192" t="str">
        <f t="shared" si="141"/>
        <v/>
      </c>
      <c r="I559" s="176"/>
    </row>
    <row r="560" spans="1:9" s="45" customFormat="1" ht="19.5" customHeight="1" thickBot="1">
      <c r="A560" s="189" t="str">
        <f>IFERROR(INDEX(凭证录入!H:H,$H560),"")</f>
        <v/>
      </c>
      <c r="B560" s="189" t="str">
        <f>IFERROR(INDEX(凭证录入!I:I,$H560),"")</f>
        <v/>
      </c>
      <c r="C560" s="190" t="str">
        <f>IFERROR(VLOOKUP($B560,会计科目表!$A:$C,2,),"")</f>
        <v/>
      </c>
      <c r="D560" s="190" t="str">
        <f>IFERROR(VLOOKUP($B560,会计科目表!$A:$C,3,),"")</f>
        <v/>
      </c>
      <c r="E560" s="191">
        <f>IFERROR(INDEX(凭证录入!K:K,$H560),0)</f>
        <v>0</v>
      </c>
      <c r="F560" s="191">
        <f>IFERROR(INDEX(凭证录入!L:L,$H560),0)</f>
        <v>0</v>
      </c>
      <c r="G560" s="176" t="e">
        <f>INDEX(凭证录入!$D:$D,$H557)</f>
        <v>#VALUE!</v>
      </c>
      <c r="H560" s="192" t="str">
        <f t="shared" si="141"/>
        <v/>
      </c>
      <c r="I560" s="176"/>
    </row>
    <row r="561" spans="1:9" s="45" customFormat="1" ht="19.5" customHeight="1" thickBot="1">
      <c r="A561" s="189" t="str">
        <f>IFERROR(INDEX(凭证录入!H:H,$H561),"")</f>
        <v/>
      </c>
      <c r="B561" s="189" t="str">
        <f>IFERROR(INDEX(凭证录入!I:I,$H561),"")</f>
        <v/>
      </c>
      <c r="C561" s="190" t="str">
        <f>IFERROR(VLOOKUP($B561,会计科目表!$A:$C,2,),"")</f>
        <v/>
      </c>
      <c r="D561" s="190" t="str">
        <f>IFERROR(VLOOKUP($B561,会计科目表!$A:$C,3,),"")</f>
        <v/>
      </c>
      <c r="E561" s="191">
        <f>IFERROR(INDEX(凭证录入!K:K,$H561),0)</f>
        <v>0</v>
      </c>
      <c r="F561" s="191">
        <f>IFERROR(INDEX(凭证录入!L:L,$H561),0)</f>
        <v>0</v>
      </c>
      <c r="G561" s="176" t="s">
        <v>492</v>
      </c>
      <c r="H561" s="192" t="str">
        <f t="shared" si="141"/>
        <v/>
      </c>
    </row>
    <row r="562" spans="1:9" s="45" customFormat="1" ht="19.5" customHeight="1" thickBot="1">
      <c r="A562" s="189" t="str">
        <f>IFERROR(INDEX(凭证录入!H:H,$H562),"")</f>
        <v/>
      </c>
      <c r="B562" s="189" t="str">
        <f>IFERROR(INDEX(凭证录入!I:I,$H562),"")</f>
        <v/>
      </c>
      <c r="C562" s="190" t="str">
        <f>IFERROR(VLOOKUP($B562,会计科目表!$A:$C,2,),"")</f>
        <v/>
      </c>
      <c r="D562" s="190" t="str">
        <f>IFERROR(VLOOKUP($B562,会计科目表!$A:$C,3,),"")</f>
        <v/>
      </c>
      <c r="E562" s="191">
        <f>IFERROR(INDEX(凭证录入!K:K,$H562),0)</f>
        <v>0</v>
      </c>
      <c r="F562" s="191">
        <f>IFERROR(INDEX(凭证录入!L:L,$H562),0)</f>
        <v>0</v>
      </c>
      <c r="G562" s="176"/>
      <c r="H562" s="192" t="str">
        <f t="shared" si="141"/>
        <v/>
      </c>
    </row>
    <row r="563" spans="1:9" s="45" customFormat="1" ht="19.5" customHeight="1" thickBot="1">
      <c r="A563" s="193"/>
      <c r="B563" s="194" t="s">
        <v>485</v>
      </c>
      <c r="C563" s="195" t="str">
        <f>SUBSTITUTE(SUBSTITUTE(IF(-DOLLAR(E563),IF(E563&gt;0,,"负")&amp;TEXT(INT(ABS(E563)+0.5%),"[dbnum2]G/通用格式元;;")&amp;TEXT(RIGHT(DOLLAR(E563),2),"[dbnum2]0角0分;;整"),),"零角",IF(E563^2&lt;1,,"零")),"零分","整")</f>
        <v/>
      </c>
      <c r="D563" s="196"/>
      <c r="E563" s="197">
        <f>SUM(E557:E562)</f>
        <v>0</v>
      </c>
      <c r="F563" s="197">
        <f>SUM(F557:F562)</f>
        <v>0</v>
      </c>
      <c r="G563" s="176"/>
      <c r="H563" s="192" t="str">
        <f t="shared" si="141"/>
        <v/>
      </c>
    </row>
    <row r="564" spans="1:9" s="199" customFormat="1" ht="19.5" customHeight="1">
      <c r="A564" s="45" t="s">
        <v>486</v>
      </c>
      <c r="B564" s="45" t="s">
        <v>487</v>
      </c>
      <c r="C564" s="45" t="s">
        <v>488</v>
      </c>
      <c r="D564" s="45" t="s">
        <v>504</v>
      </c>
      <c r="E564" s="45" t="s">
        <v>489</v>
      </c>
      <c r="F564" s="176" t="str">
        <f>IF($E563&lt;&gt;$F563,"借贷不平","")</f>
        <v/>
      </c>
      <c r="G564" s="183"/>
      <c r="H564" s="198" t="str">
        <f t="shared" si="141"/>
        <v/>
      </c>
    </row>
    <row r="565" spans="1:9" ht="37.5" customHeight="1">
      <c r="A565" s="177" t="s">
        <v>493</v>
      </c>
      <c r="B565" s="178"/>
      <c r="C565" s="179"/>
      <c r="D565" s="179"/>
      <c r="E565" s="178"/>
      <c r="F565" s="178"/>
      <c r="G565" s="176"/>
      <c r="H565" s="192" t="str">
        <f t="shared" si="141"/>
        <v/>
      </c>
    </row>
    <row r="566" spans="1:9" s="45" customFormat="1" ht="19.5" customHeight="1" thickBot="1">
      <c r="C566" s="180" t="e">
        <f>DATEVALUE("2010-"&amp;$H$1&amp;"-"&amp;INDEX(凭证录入!B:B,H569))</f>
        <v>#VALUE!</v>
      </c>
      <c r="D566" s="181"/>
      <c r="E566" s="182" t="s">
        <v>477</v>
      </c>
      <c r="F566" s="183" t="e">
        <f>N(LEFT((F554),3)+1)</f>
        <v>#VALUE!</v>
      </c>
      <c r="G566" s="176"/>
      <c r="H566" s="192" t="str">
        <f t="shared" si="141"/>
        <v/>
      </c>
      <c r="I566" s="184"/>
    </row>
    <row r="567" spans="1:9" s="45" customFormat="1" ht="19.5" customHeight="1" thickBot="1">
      <c r="A567" s="544" t="s">
        <v>494</v>
      </c>
      <c r="B567" s="545" t="s">
        <v>495</v>
      </c>
      <c r="C567" s="185" t="s">
        <v>496</v>
      </c>
      <c r="D567" s="186"/>
      <c r="E567" s="187"/>
      <c r="F567" s="188"/>
      <c r="G567" s="176"/>
      <c r="H567" s="192" t="str">
        <f t="shared" si="141"/>
        <v/>
      </c>
    </row>
    <row r="568" spans="1:9" s="45" customFormat="1" ht="19.5" customHeight="1" thickBot="1">
      <c r="A568" s="545"/>
      <c r="B568" s="546"/>
      <c r="C568" s="188" t="s">
        <v>497</v>
      </c>
      <c r="D568" s="188" t="s">
        <v>498</v>
      </c>
      <c r="E568" s="188" t="s">
        <v>499</v>
      </c>
      <c r="F568" s="188" t="s">
        <v>500</v>
      </c>
      <c r="G568" s="176"/>
      <c r="H568" s="192" t="str">
        <f t="shared" si="141"/>
        <v/>
      </c>
    </row>
    <row r="569" spans="1:9" s="45" customFormat="1" ht="19.5" customHeight="1" thickBot="1">
      <c r="A569" s="189" t="str">
        <f>IFERROR(INDEX(凭证录入!H:H,$H569),"")</f>
        <v/>
      </c>
      <c r="B569" s="189" t="str">
        <f>IFERROR(INDEX(凭证录入!I:I,$H569),"")</f>
        <v/>
      </c>
      <c r="C569" s="190" t="str">
        <f>IFERROR(VLOOKUP($B569,会计科目表!$A:$C,2,),"")</f>
        <v/>
      </c>
      <c r="D569" s="190" t="str">
        <f>IFERROR(VLOOKUP($B569,会计科目表!$A:$C,3,),"")</f>
        <v/>
      </c>
      <c r="E569" s="191">
        <f>IFERROR(INDEX(凭证录入!K:K,$H569),0)</f>
        <v>0</v>
      </c>
      <c r="F569" s="191">
        <f>IFERROR(INDEX(凭证录入!L:L,$H569),0)</f>
        <v>0</v>
      </c>
      <c r="G569" s="176"/>
      <c r="H569" s="192" t="str">
        <f t="shared" si="141"/>
        <v/>
      </c>
    </row>
    <row r="570" spans="1:9" s="45" customFormat="1" ht="19.5" customHeight="1" thickBot="1">
      <c r="A570" s="189" t="str">
        <f>IFERROR(INDEX(凭证录入!H:H,$H570),"")</f>
        <v/>
      </c>
      <c r="B570" s="189" t="str">
        <f>IFERROR(INDEX(凭证录入!I:I,$H570),"")</f>
        <v/>
      </c>
      <c r="C570" s="190" t="str">
        <f>IFERROR(VLOOKUP($B570,会计科目表!$A:$C,2,),"")</f>
        <v/>
      </c>
      <c r="D570" s="190" t="str">
        <f>IFERROR(VLOOKUP($B570,会计科目表!$A:$C,3,),"")</f>
        <v/>
      </c>
      <c r="E570" s="191">
        <f>IFERROR(INDEX(凭证录入!K:K,$H570),0)</f>
        <v>0</v>
      </c>
      <c r="F570" s="191">
        <f>IFERROR(INDEX(凭证录入!L:L,$H570),0)</f>
        <v>0</v>
      </c>
      <c r="G570" s="176" t="s">
        <v>490</v>
      </c>
      <c r="H570" s="192" t="str">
        <f t="shared" si="141"/>
        <v/>
      </c>
      <c r="I570" s="176"/>
    </row>
    <row r="571" spans="1:9" s="45" customFormat="1" ht="19.5" customHeight="1" thickBot="1">
      <c r="A571" s="189" t="str">
        <f>IFERROR(INDEX(凭证录入!H:H,$H571),"")</f>
        <v/>
      </c>
      <c r="B571" s="189" t="str">
        <f>IFERROR(INDEX(凭证录入!I:I,$H571),"")</f>
        <v/>
      </c>
      <c r="C571" s="190" t="str">
        <f>IFERROR(VLOOKUP($B571,会计科目表!$A:$C,2,),"")</f>
        <v/>
      </c>
      <c r="D571" s="190" t="str">
        <f>IFERROR(VLOOKUP($B571,会计科目表!$A:$C,3,),"")</f>
        <v/>
      </c>
      <c r="E571" s="191">
        <f>IFERROR(INDEX(凭证录入!K:K,$H571),0)</f>
        <v>0</v>
      </c>
      <c r="F571" s="191">
        <f>IFERROR(INDEX(凭证录入!L:L,$H571),0)</f>
        <v>0</v>
      </c>
      <c r="G571" s="176" t="s">
        <v>491</v>
      </c>
      <c r="H571" s="192" t="str">
        <f t="shared" si="141"/>
        <v/>
      </c>
      <c r="I571" s="176"/>
    </row>
    <row r="572" spans="1:9" s="45" customFormat="1" ht="19.5" customHeight="1" thickBot="1">
      <c r="A572" s="189" t="str">
        <f>IFERROR(INDEX(凭证录入!H:H,$H572),"")</f>
        <v/>
      </c>
      <c r="B572" s="189" t="str">
        <f>IFERROR(INDEX(凭证录入!I:I,$H572),"")</f>
        <v/>
      </c>
      <c r="C572" s="190" t="str">
        <f>IFERROR(VLOOKUP($B572,会计科目表!$A:$C,2,),"")</f>
        <v/>
      </c>
      <c r="D572" s="190" t="str">
        <f>IFERROR(VLOOKUP($B572,会计科目表!$A:$C,3,),"")</f>
        <v/>
      </c>
      <c r="E572" s="191">
        <f>IFERROR(INDEX(凭证录入!K:K,$H572),0)</f>
        <v>0</v>
      </c>
      <c r="F572" s="191">
        <f>IFERROR(INDEX(凭证录入!L:L,$H572),0)</f>
        <v>0</v>
      </c>
      <c r="G572" s="176" t="e">
        <f>INDEX(凭证录入!$D:$D,$H569)</f>
        <v>#VALUE!</v>
      </c>
      <c r="H572" s="192" t="str">
        <f t="shared" si="141"/>
        <v/>
      </c>
      <c r="I572" s="176"/>
    </row>
    <row r="573" spans="1:9" s="45" customFormat="1" ht="19.5" customHeight="1" thickBot="1">
      <c r="A573" s="189" t="str">
        <f>IFERROR(INDEX(凭证录入!H:H,$H573),"")</f>
        <v/>
      </c>
      <c r="B573" s="189" t="str">
        <f>IFERROR(INDEX(凭证录入!I:I,$H573),"")</f>
        <v/>
      </c>
      <c r="C573" s="190" t="str">
        <f>IFERROR(VLOOKUP($B573,会计科目表!$A:$C,2,),"")</f>
        <v/>
      </c>
      <c r="D573" s="190" t="str">
        <f>IFERROR(VLOOKUP($B573,会计科目表!$A:$C,3,),"")</f>
        <v/>
      </c>
      <c r="E573" s="191">
        <f>IFERROR(INDEX(凭证录入!K:K,$H573),0)</f>
        <v>0</v>
      </c>
      <c r="F573" s="191">
        <f>IFERROR(INDEX(凭证录入!L:L,$H573),0)</f>
        <v>0</v>
      </c>
      <c r="G573" s="176" t="s">
        <v>492</v>
      </c>
      <c r="H573" s="192" t="str">
        <f t="shared" si="141"/>
        <v/>
      </c>
    </row>
    <row r="574" spans="1:9" s="45" customFormat="1" ht="19.5" customHeight="1" thickBot="1">
      <c r="A574" s="189" t="str">
        <f>IFERROR(INDEX(凭证录入!H:H,$H574),"")</f>
        <v/>
      </c>
      <c r="B574" s="189" t="str">
        <f>IFERROR(INDEX(凭证录入!I:I,$H574),"")</f>
        <v/>
      </c>
      <c r="C574" s="190" t="str">
        <f>IFERROR(VLOOKUP($B574,会计科目表!$A:$C,2,),"")</f>
        <v/>
      </c>
      <c r="D574" s="190" t="str">
        <f>IFERROR(VLOOKUP($B574,会计科目表!$A:$C,3,),"")</f>
        <v/>
      </c>
      <c r="E574" s="191">
        <f>IFERROR(INDEX(凭证录入!K:K,$H574),0)</f>
        <v>0</v>
      </c>
      <c r="F574" s="191">
        <f>IFERROR(INDEX(凭证录入!L:L,$H574),0)</f>
        <v>0</v>
      </c>
      <c r="G574" s="176"/>
      <c r="H574" s="192" t="str">
        <f t="shared" si="141"/>
        <v/>
      </c>
    </row>
    <row r="575" spans="1:9" s="45" customFormat="1" ht="19.5" customHeight="1" thickBot="1">
      <c r="A575" s="193"/>
      <c r="B575" s="194" t="s">
        <v>485</v>
      </c>
      <c r="C575" s="195" t="str">
        <f>SUBSTITUTE(SUBSTITUTE(IF(-DOLLAR(E575),IF(E575&gt;0,,"负")&amp;TEXT(INT(ABS(E575)+0.5%),"[dbnum2]G/通用格式元;;")&amp;TEXT(RIGHT(DOLLAR(E575),2),"[dbnum2]0角0分;;整"),),"零角",IF(E575^2&lt;1,,"零")),"零分","整")</f>
        <v/>
      </c>
      <c r="D575" s="196"/>
      <c r="E575" s="197">
        <f>SUM(E569:E574)</f>
        <v>0</v>
      </c>
      <c r="F575" s="197">
        <f>SUM(F569:F574)</f>
        <v>0</v>
      </c>
      <c r="G575" s="176"/>
      <c r="H575" s="192" t="str">
        <f t="shared" si="141"/>
        <v/>
      </c>
    </row>
    <row r="576" spans="1:9" s="199" customFormat="1" ht="19.5" customHeight="1">
      <c r="A576" s="45" t="s">
        <v>486</v>
      </c>
      <c r="B576" s="45" t="s">
        <v>487</v>
      </c>
      <c r="C576" s="45" t="s">
        <v>488</v>
      </c>
      <c r="D576" s="45" t="s">
        <v>504</v>
      </c>
      <c r="E576" s="45" t="s">
        <v>489</v>
      </c>
      <c r="F576" s="176" t="str">
        <f>IF($E575&lt;&gt;$F575,"借贷不平","")</f>
        <v/>
      </c>
      <c r="G576" s="183"/>
      <c r="H576" s="198" t="str">
        <f t="shared" si="141"/>
        <v/>
      </c>
    </row>
    <row r="577" spans="1:9" ht="37.5" customHeight="1">
      <c r="A577" s="177" t="s">
        <v>493</v>
      </c>
      <c r="B577" s="178"/>
      <c r="C577" s="179"/>
      <c r="D577" s="179"/>
      <c r="E577" s="178"/>
      <c r="F577" s="178"/>
      <c r="G577" s="176"/>
      <c r="H577" s="192" t="str">
        <f t="shared" si="141"/>
        <v/>
      </c>
    </row>
    <row r="578" spans="1:9" s="45" customFormat="1" ht="19.5" customHeight="1" thickBot="1">
      <c r="C578" s="180" t="e">
        <f>DATEVALUE("2010-"&amp;$H$1&amp;"-"&amp;INDEX(凭证录入!B:B,H581))</f>
        <v>#VALUE!</v>
      </c>
      <c r="D578" s="181"/>
      <c r="E578" s="182" t="s">
        <v>477</v>
      </c>
      <c r="F578" s="183" t="e">
        <f>N(LEFT((F566),3)+1)</f>
        <v>#VALUE!</v>
      </c>
      <c r="G578" s="176"/>
      <c r="H578" s="192" t="str">
        <f t="shared" si="141"/>
        <v/>
      </c>
      <c r="I578" s="184"/>
    </row>
    <row r="579" spans="1:9" s="45" customFormat="1" ht="19.5" customHeight="1" thickBot="1">
      <c r="A579" s="544" t="s">
        <v>494</v>
      </c>
      <c r="B579" s="545" t="s">
        <v>495</v>
      </c>
      <c r="C579" s="185" t="s">
        <v>496</v>
      </c>
      <c r="D579" s="186"/>
      <c r="E579" s="187"/>
      <c r="F579" s="188"/>
      <c r="G579" s="176"/>
      <c r="H579" s="192" t="str">
        <f t="shared" si="141"/>
        <v/>
      </c>
    </row>
    <row r="580" spans="1:9" s="45" customFormat="1" ht="19.5" customHeight="1" thickBot="1">
      <c r="A580" s="545"/>
      <c r="B580" s="546"/>
      <c r="C580" s="188" t="s">
        <v>497</v>
      </c>
      <c r="D580" s="188" t="s">
        <v>498</v>
      </c>
      <c r="E580" s="188" t="s">
        <v>499</v>
      </c>
      <c r="F580" s="188" t="s">
        <v>500</v>
      </c>
      <c r="G580" s="176"/>
      <c r="H580" s="192" t="str">
        <f t="shared" si="141"/>
        <v/>
      </c>
    </row>
    <row r="581" spans="1:9" s="45" customFormat="1" ht="19.5" customHeight="1" thickBot="1">
      <c r="A581" s="189" t="str">
        <f>IFERROR(INDEX(凭证录入!H:H,$H581),"")</f>
        <v/>
      </c>
      <c r="B581" s="189" t="str">
        <f>IFERROR(INDEX(凭证录入!I:I,$H581),"")</f>
        <v/>
      </c>
      <c r="C581" s="190" t="str">
        <f>IFERROR(VLOOKUP($B581,会计科目表!$A:$C,2,),"")</f>
        <v/>
      </c>
      <c r="D581" s="190" t="str">
        <f>IFERROR(VLOOKUP($B581,会计科目表!$A:$C,3,),"")</f>
        <v/>
      </c>
      <c r="E581" s="191">
        <f>IFERROR(INDEX(凭证录入!K:K,$H581),0)</f>
        <v>0</v>
      </c>
      <c r="F581" s="191">
        <f>IFERROR(INDEX(凭证录入!L:L,$H581),0)</f>
        <v>0</v>
      </c>
      <c r="G581" s="176"/>
      <c r="H581" s="192" t="str">
        <f t="shared" ref="H581:H644" si="142">IFERROR(INDEX(行号,TEXT(MOD(ROW(),12)-4,"[=]A")),"")</f>
        <v/>
      </c>
    </row>
    <row r="582" spans="1:9" s="45" customFormat="1" ht="19.5" customHeight="1" thickBot="1">
      <c r="A582" s="189" t="str">
        <f>IFERROR(INDEX(凭证录入!H:H,$H582),"")</f>
        <v/>
      </c>
      <c r="B582" s="189" t="str">
        <f>IFERROR(INDEX(凭证录入!I:I,$H582),"")</f>
        <v/>
      </c>
      <c r="C582" s="190" t="str">
        <f>IFERROR(VLOOKUP($B582,会计科目表!$A:$C,2,),"")</f>
        <v/>
      </c>
      <c r="D582" s="190" t="str">
        <f>IFERROR(VLOOKUP($B582,会计科目表!$A:$C,3,),"")</f>
        <v/>
      </c>
      <c r="E582" s="191">
        <f>IFERROR(INDEX(凭证录入!K:K,$H582),0)</f>
        <v>0</v>
      </c>
      <c r="F582" s="191">
        <f>IFERROR(INDEX(凭证录入!L:L,$H582),0)</f>
        <v>0</v>
      </c>
      <c r="G582" s="176" t="s">
        <v>490</v>
      </c>
      <c r="H582" s="192" t="str">
        <f t="shared" si="142"/>
        <v/>
      </c>
      <c r="I582" s="176"/>
    </row>
    <row r="583" spans="1:9" s="45" customFormat="1" ht="19.5" customHeight="1" thickBot="1">
      <c r="A583" s="189" t="str">
        <f>IFERROR(INDEX(凭证录入!H:H,$H583),"")</f>
        <v/>
      </c>
      <c r="B583" s="189" t="str">
        <f>IFERROR(INDEX(凭证录入!I:I,$H583),"")</f>
        <v/>
      </c>
      <c r="C583" s="190" t="str">
        <f>IFERROR(VLOOKUP($B583,会计科目表!$A:$C,2,),"")</f>
        <v/>
      </c>
      <c r="D583" s="190" t="str">
        <f>IFERROR(VLOOKUP($B583,会计科目表!$A:$C,3,),"")</f>
        <v/>
      </c>
      <c r="E583" s="191">
        <f>IFERROR(INDEX(凭证录入!K:K,$H583),0)</f>
        <v>0</v>
      </c>
      <c r="F583" s="191">
        <f>IFERROR(INDEX(凭证录入!L:L,$H583),0)</f>
        <v>0</v>
      </c>
      <c r="G583" s="176" t="s">
        <v>491</v>
      </c>
      <c r="H583" s="192" t="str">
        <f t="shared" si="142"/>
        <v/>
      </c>
      <c r="I583" s="176"/>
    </row>
    <row r="584" spans="1:9" s="45" customFormat="1" ht="19.5" customHeight="1" thickBot="1">
      <c r="A584" s="189" t="str">
        <f>IFERROR(INDEX(凭证录入!H:H,$H584),"")</f>
        <v/>
      </c>
      <c r="B584" s="189" t="str">
        <f>IFERROR(INDEX(凭证录入!I:I,$H584),"")</f>
        <v/>
      </c>
      <c r="C584" s="190" t="str">
        <f>IFERROR(VLOOKUP($B584,会计科目表!$A:$C,2,),"")</f>
        <v/>
      </c>
      <c r="D584" s="190" t="str">
        <f>IFERROR(VLOOKUP($B584,会计科目表!$A:$C,3,),"")</f>
        <v/>
      </c>
      <c r="E584" s="191">
        <f>IFERROR(INDEX(凭证录入!K:K,$H584),0)</f>
        <v>0</v>
      </c>
      <c r="F584" s="191">
        <f>IFERROR(INDEX(凭证录入!L:L,$H584),0)</f>
        <v>0</v>
      </c>
      <c r="G584" s="176" t="e">
        <f>INDEX(凭证录入!$D:$D,$H581)</f>
        <v>#VALUE!</v>
      </c>
      <c r="H584" s="192" t="str">
        <f t="shared" si="142"/>
        <v/>
      </c>
      <c r="I584" s="176"/>
    </row>
    <row r="585" spans="1:9" s="45" customFormat="1" ht="19.5" customHeight="1" thickBot="1">
      <c r="A585" s="189" t="str">
        <f>IFERROR(INDEX(凭证录入!H:H,$H585),"")</f>
        <v/>
      </c>
      <c r="B585" s="189" t="str">
        <f>IFERROR(INDEX(凭证录入!I:I,$H585),"")</f>
        <v/>
      </c>
      <c r="C585" s="190" t="str">
        <f>IFERROR(VLOOKUP($B585,会计科目表!$A:$C,2,),"")</f>
        <v/>
      </c>
      <c r="D585" s="190" t="str">
        <f>IFERROR(VLOOKUP($B585,会计科目表!$A:$C,3,),"")</f>
        <v/>
      </c>
      <c r="E585" s="191">
        <f>IFERROR(INDEX(凭证录入!K:K,$H585),0)</f>
        <v>0</v>
      </c>
      <c r="F585" s="191">
        <f>IFERROR(INDEX(凭证录入!L:L,$H585),0)</f>
        <v>0</v>
      </c>
      <c r="G585" s="176" t="s">
        <v>492</v>
      </c>
      <c r="H585" s="192" t="str">
        <f t="shared" si="142"/>
        <v/>
      </c>
    </row>
    <row r="586" spans="1:9" s="45" customFormat="1" ht="19.5" customHeight="1" thickBot="1">
      <c r="A586" s="189" t="str">
        <f>IFERROR(INDEX(凭证录入!H:H,$H586),"")</f>
        <v/>
      </c>
      <c r="B586" s="189" t="str">
        <f>IFERROR(INDEX(凭证录入!I:I,$H586),"")</f>
        <v/>
      </c>
      <c r="C586" s="190" t="str">
        <f>IFERROR(VLOOKUP($B586,会计科目表!$A:$C,2,),"")</f>
        <v/>
      </c>
      <c r="D586" s="190" t="str">
        <f>IFERROR(VLOOKUP($B586,会计科目表!$A:$C,3,),"")</f>
        <v/>
      </c>
      <c r="E586" s="191">
        <f>IFERROR(INDEX(凭证录入!K:K,$H586),0)</f>
        <v>0</v>
      </c>
      <c r="F586" s="191">
        <f>IFERROR(INDEX(凭证录入!L:L,$H586),0)</f>
        <v>0</v>
      </c>
      <c r="G586" s="176"/>
      <c r="H586" s="192" t="str">
        <f t="shared" si="142"/>
        <v/>
      </c>
    </row>
    <row r="587" spans="1:9" s="45" customFormat="1" ht="19.5" customHeight="1" thickBot="1">
      <c r="A587" s="193"/>
      <c r="B587" s="194" t="s">
        <v>485</v>
      </c>
      <c r="C587" s="195" t="str">
        <f>SUBSTITUTE(SUBSTITUTE(IF(-DOLLAR(E587),IF(E587&gt;0,,"负")&amp;TEXT(INT(ABS(E587)+0.5%),"[dbnum2]G/通用格式元;;")&amp;TEXT(RIGHT(DOLLAR(E587),2),"[dbnum2]0角0分;;整"),),"零角",IF(E587^2&lt;1,,"零")),"零分","整")</f>
        <v/>
      </c>
      <c r="D587" s="196"/>
      <c r="E587" s="197">
        <f>SUM(E581:E586)</f>
        <v>0</v>
      </c>
      <c r="F587" s="197">
        <f>SUM(F581:F586)</f>
        <v>0</v>
      </c>
      <c r="G587" s="176"/>
      <c r="H587" s="192" t="str">
        <f t="shared" si="142"/>
        <v/>
      </c>
    </row>
    <row r="588" spans="1:9" s="199" customFormat="1" ht="19.5" customHeight="1">
      <c r="A588" s="45" t="s">
        <v>486</v>
      </c>
      <c r="B588" s="45" t="s">
        <v>487</v>
      </c>
      <c r="C588" s="45" t="s">
        <v>488</v>
      </c>
      <c r="D588" s="45" t="s">
        <v>504</v>
      </c>
      <c r="E588" s="45" t="s">
        <v>489</v>
      </c>
      <c r="F588" s="176" t="str">
        <f>IF($E587&lt;&gt;$F587,"借贷不平","")</f>
        <v/>
      </c>
      <c r="G588" s="183"/>
      <c r="H588" s="198" t="str">
        <f t="shared" si="142"/>
        <v/>
      </c>
    </row>
    <row r="589" spans="1:9" ht="37.5" customHeight="1">
      <c r="A589" s="177" t="s">
        <v>493</v>
      </c>
      <c r="B589" s="178"/>
      <c r="C589" s="179"/>
      <c r="D589" s="179"/>
      <c r="E589" s="178"/>
      <c r="F589" s="178"/>
      <c r="G589" s="176"/>
      <c r="H589" s="192" t="str">
        <f t="shared" si="142"/>
        <v/>
      </c>
    </row>
    <row r="590" spans="1:9" s="45" customFormat="1" ht="19.5" customHeight="1" thickBot="1">
      <c r="C590" s="180" t="e">
        <f>DATEVALUE("2010-"&amp;$H$1&amp;"-"&amp;INDEX(凭证录入!B:B,H593))</f>
        <v>#VALUE!</v>
      </c>
      <c r="D590" s="181"/>
      <c r="E590" s="182" t="s">
        <v>477</v>
      </c>
      <c r="F590" s="183" t="e">
        <f>N(LEFT((F578),3)+1)</f>
        <v>#VALUE!</v>
      </c>
      <c r="G590" s="176"/>
      <c r="H590" s="192" t="str">
        <f t="shared" si="142"/>
        <v/>
      </c>
      <c r="I590" s="184"/>
    </row>
    <row r="591" spans="1:9" s="45" customFormat="1" ht="19.5" customHeight="1" thickBot="1">
      <c r="A591" s="544" t="s">
        <v>494</v>
      </c>
      <c r="B591" s="545" t="s">
        <v>495</v>
      </c>
      <c r="C591" s="185" t="s">
        <v>496</v>
      </c>
      <c r="D591" s="186"/>
      <c r="E591" s="187"/>
      <c r="F591" s="188"/>
      <c r="G591" s="176"/>
      <c r="H591" s="192" t="str">
        <f t="shared" si="142"/>
        <v/>
      </c>
    </row>
    <row r="592" spans="1:9" s="45" customFormat="1" ht="19.5" customHeight="1" thickBot="1">
      <c r="A592" s="545"/>
      <c r="B592" s="546"/>
      <c r="C592" s="188" t="s">
        <v>497</v>
      </c>
      <c r="D592" s="188" t="s">
        <v>498</v>
      </c>
      <c r="E592" s="188" t="s">
        <v>499</v>
      </c>
      <c r="F592" s="188" t="s">
        <v>500</v>
      </c>
      <c r="G592" s="176"/>
      <c r="H592" s="192" t="str">
        <f t="shared" si="142"/>
        <v/>
      </c>
    </row>
    <row r="593" spans="1:9" s="45" customFormat="1" ht="19.5" customHeight="1" thickBot="1">
      <c r="A593" s="189" t="str">
        <f>IFERROR(INDEX(凭证录入!H:H,$H593),"")</f>
        <v/>
      </c>
      <c r="B593" s="189" t="str">
        <f>IFERROR(INDEX(凭证录入!I:I,$H593),"")</f>
        <v/>
      </c>
      <c r="C593" s="190" t="str">
        <f>IFERROR(VLOOKUP($B593,会计科目表!$A:$C,2,),"")</f>
        <v/>
      </c>
      <c r="D593" s="190" t="str">
        <f>IFERROR(VLOOKUP($B593,会计科目表!$A:$C,3,),"")</f>
        <v/>
      </c>
      <c r="E593" s="191">
        <f>IFERROR(INDEX(凭证录入!K:K,$H593),0)</f>
        <v>0</v>
      </c>
      <c r="F593" s="191">
        <f>IFERROR(INDEX(凭证录入!L:L,$H593),0)</f>
        <v>0</v>
      </c>
      <c r="G593" s="176"/>
      <c r="H593" s="192" t="str">
        <f t="shared" si="142"/>
        <v/>
      </c>
    </row>
    <row r="594" spans="1:9" s="45" customFormat="1" ht="19.5" customHeight="1" thickBot="1">
      <c r="A594" s="189" t="str">
        <f>IFERROR(INDEX(凭证录入!H:H,$H594),"")</f>
        <v/>
      </c>
      <c r="B594" s="189" t="str">
        <f>IFERROR(INDEX(凭证录入!I:I,$H594),"")</f>
        <v/>
      </c>
      <c r="C594" s="190" t="str">
        <f>IFERROR(VLOOKUP($B594,会计科目表!$A:$C,2,),"")</f>
        <v/>
      </c>
      <c r="D594" s="190" t="str">
        <f>IFERROR(VLOOKUP($B594,会计科目表!$A:$C,3,),"")</f>
        <v/>
      </c>
      <c r="E594" s="191">
        <f>IFERROR(INDEX(凭证录入!K:K,$H594),0)</f>
        <v>0</v>
      </c>
      <c r="F594" s="191">
        <f>IFERROR(INDEX(凭证录入!L:L,$H594),0)</f>
        <v>0</v>
      </c>
      <c r="G594" s="176" t="s">
        <v>490</v>
      </c>
      <c r="H594" s="192" t="str">
        <f t="shared" si="142"/>
        <v/>
      </c>
      <c r="I594" s="176"/>
    </row>
    <row r="595" spans="1:9" s="45" customFormat="1" ht="19.5" customHeight="1" thickBot="1">
      <c r="A595" s="189" t="str">
        <f>IFERROR(INDEX(凭证录入!H:H,$H595),"")</f>
        <v/>
      </c>
      <c r="B595" s="189" t="str">
        <f>IFERROR(INDEX(凭证录入!I:I,$H595),"")</f>
        <v/>
      </c>
      <c r="C595" s="190" t="str">
        <f>IFERROR(VLOOKUP($B595,会计科目表!$A:$C,2,),"")</f>
        <v/>
      </c>
      <c r="D595" s="190" t="str">
        <f>IFERROR(VLOOKUP($B595,会计科目表!$A:$C,3,),"")</f>
        <v/>
      </c>
      <c r="E595" s="191">
        <f>IFERROR(INDEX(凭证录入!K:K,$H595),0)</f>
        <v>0</v>
      </c>
      <c r="F595" s="191">
        <f>IFERROR(INDEX(凭证录入!L:L,$H595),0)</f>
        <v>0</v>
      </c>
      <c r="G595" s="176" t="s">
        <v>491</v>
      </c>
      <c r="H595" s="192" t="str">
        <f t="shared" si="142"/>
        <v/>
      </c>
      <c r="I595" s="176"/>
    </row>
    <row r="596" spans="1:9" s="45" customFormat="1" ht="19.5" customHeight="1" thickBot="1">
      <c r="A596" s="189" t="str">
        <f>IFERROR(INDEX(凭证录入!H:H,$H596),"")</f>
        <v/>
      </c>
      <c r="B596" s="189" t="str">
        <f>IFERROR(INDEX(凭证录入!I:I,$H596),"")</f>
        <v/>
      </c>
      <c r="C596" s="190" t="str">
        <f>IFERROR(VLOOKUP($B596,会计科目表!$A:$C,2,),"")</f>
        <v/>
      </c>
      <c r="D596" s="190" t="str">
        <f>IFERROR(VLOOKUP($B596,会计科目表!$A:$C,3,),"")</f>
        <v/>
      </c>
      <c r="E596" s="191">
        <f>IFERROR(INDEX(凭证录入!K:K,$H596),0)</f>
        <v>0</v>
      </c>
      <c r="F596" s="191">
        <f>IFERROR(INDEX(凭证录入!L:L,$H596),0)</f>
        <v>0</v>
      </c>
      <c r="G596" s="176" t="e">
        <f>INDEX(凭证录入!$D:$D,$H593)</f>
        <v>#VALUE!</v>
      </c>
      <c r="H596" s="192" t="str">
        <f t="shared" si="142"/>
        <v/>
      </c>
      <c r="I596" s="176"/>
    </row>
    <row r="597" spans="1:9" s="45" customFormat="1" ht="19.5" customHeight="1" thickBot="1">
      <c r="A597" s="189" t="str">
        <f>IFERROR(INDEX(凭证录入!H:H,$H597),"")</f>
        <v/>
      </c>
      <c r="B597" s="189" t="str">
        <f>IFERROR(INDEX(凭证录入!I:I,$H597),"")</f>
        <v/>
      </c>
      <c r="C597" s="190" t="str">
        <f>IFERROR(VLOOKUP($B597,会计科目表!$A:$C,2,),"")</f>
        <v/>
      </c>
      <c r="D597" s="190" t="str">
        <f>IFERROR(VLOOKUP($B597,会计科目表!$A:$C,3,),"")</f>
        <v/>
      </c>
      <c r="E597" s="191">
        <f>IFERROR(INDEX(凭证录入!K:K,$H597),0)</f>
        <v>0</v>
      </c>
      <c r="F597" s="191">
        <f>IFERROR(INDEX(凭证录入!L:L,$H597),0)</f>
        <v>0</v>
      </c>
      <c r="G597" s="176" t="s">
        <v>492</v>
      </c>
      <c r="H597" s="192" t="str">
        <f t="shared" si="142"/>
        <v/>
      </c>
    </row>
    <row r="598" spans="1:9" s="45" customFormat="1" ht="19.5" customHeight="1" thickBot="1">
      <c r="A598" s="189" t="str">
        <f>IFERROR(INDEX(凭证录入!H:H,$H598),"")</f>
        <v/>
      </c>
      <c r="B598" s="189" t="str">
        <f>IFERROR(INDEX(凭证录入!I:I,$H598),"")</f>
        <v/>
      </c>
      <c r="C598" s="190" t="str">
        <f>IFERROR(VLOOKUP($B598,会计科目表!$A:$C,2,),"")</f>
        <v/>
      </c>
      <c r="D598" s="190" t="str">
        <f>IFERROR(VLOOKUP($B598,会计科目表!$A:$C,3,),"")</f>
        <v/>
      </c>
      <c r="E598" s="191">
        <f>IFERROR(INDEX(凭证录入!K:K,$H598),0)</f>
        <v>0</v>
      </c>
      <c r="F598" s="191">
        <f>IFERROR(INDEX(凭证录入!L:L,$H598),0)</f>
        <v>0</v>
      </c>
      <c r="G598" s="176"/>
      <c r="H598" s="192" t="str">
        <f t="shared" si="142"/>
        <v/>
      </c>
    </row>
    <row r="599" spans="1:9" s="45" customFormat="1" ht="19.5" customHeight="1" thickBot="1">
      <c r="A599" s="193"/>
      <c r="B599" s="194" t="s">
        <v>485</v>
      </c>
      <c r="C599" s="195" t="str">
        <f>SUBSTITUTE(SUBSTITUTE(IF(-DOLLAR(E599),IF(E599&gt;0,,"负")&amp;TEXT(INT(ABS(E599)+0.5%),"[dbnum2]G/通用格式元;;")&amp;TEXT(RIGHT(DOLLAR(E599),2),"[dbnum2]0角0分;;整"),),"零角",IF(E599^2&lt;1,,"零")),"零分","整")</f>
        <v/>
      </c>
      <c r="D599" s="196"/>
      <c r="E599" s="197">
        <f>SUM(E593:E598)</f>
        <v>0</v>
      </c>
      <c r="F599" s="197">
        <f>SUM(F593:F598)</f>
        <v>0</v>
      </c>
      <c r="G599" s="176"/>
      <c r="H599" s="192" t="str">
        <f t="shared" si="142"/>
        <v/>
      </c>
    </row>
    <row r="600" spans="1:9" s="199" customFormat="1" ht="19.5" customHeight="1">
      <c r="A600" s="45" t="s">
        <v>486</v>
      </c>
      <c r="B600" s="45" t="s">
        <v>487</v>
      </c>
      <c r="C600" s="45" t="s">
        <v>488</v>
      </c>
      <c r="D600" s="45" t="s">
        <v>504</v>
      </c>
      <c r="E600" s="45" t="s">
        <v>489</v>
      </c>
      <c r="F600" s="176" t="str">
        <f>IF($E599&lt;&gt;$F599,"借贷不平","")</f>
        <v/>
      </c>
      <c r="G600" s="183"/>
      <c r="H600" s="198" t="str">
        <f t="shared" si="142"/>
        <v/>
      </c>
    </row>
    <row r="601" spans="1:9" ht="37.5" customHeight="1">
      <c r="A601" s="177" t="s">
        <v>493</v>
      </c>
      <c r="B601" s="178"/>
      <c r="C601" s="179"/>
      <c r="D601" s="179"/>
      <c r="E601" s="178"/>
      <c r="F601" s="178"/>
      <c r="G601" s="176"/>
      <c r="H601" s="192" t="str">
        <f t="shared" si="142"/>
        <v/>
      </c>
    </row>
    <row r="602" spans="1:9" s="45" customFormat="1" ht="19.5" customHeight="1" thickBot="1">
      <c r="C602" s="180" t="e">
        <f>DATEVALUE("2010-"&amp;$H$1&amp;"-"&amp;INDEX(凭证录入!B:B,H605))</f>
        <v>#VALUE!</v>
      </c>
      <c r="D602" s="181"/>
      <c r="E602" s="182" t="s">
        <v>477</v>
      </c>
      <c r="F602" s="183" t="e">
        <f>N(LEFT((F590),3)+1)</f>
        <v>#VALUE!</v>
      </c>
      <c r="G602" s="176"/>
      <c r="H602" s="192" t="str">
        <f t="shared" si="142"/>
        <v/>
      </c>
      <c r="I602" s="184"/>
    </row>
    <row r="603" spans="1:9" s="45" customFormat="1" ht="19.5" customHeight="1" thickBot="1">
      <c r="A603" s="544" t="s">
        <v>494</v>
      </c>
      <c r="B603" s="545" t="s">
        <v>495</v>
      </c>
      <c r="C603" s="185" t="s">
        <v>496</v>
      </c>
      <c r="D603" s="186"/>
      <c r="E603" s="187"/>
      <c r="F603" s="188"/>
      <c r="G603" s="176"/>
      <c r="H603" s="192" t="str">
        <f t="shared" si="142"/>
        <v/>
      </c>
    </row>
    <row r="604" spans="1:9" s="45" customFormat="1" ht="19.5" customHeight="1" thickBot="1">
      <c r="A604" s="545"/>
      <c r="B604" s="546"/>
      <c r="C604" s="188" t="s">
        <v>497</v>
      </c>
      <c r="D604" s="188" t="s">
        <v>498</v>
      </c>
      <c r="E604" s="188" t="s">
        <v>499</v>
      </c>
      <c r="F604" s="188" t="s">
        <v>500</v>
      </c>
      <c r="G604" s="176"/>
      <c r="H604" s="192" t="str">
        <f t="shared" si="142"/>
        <v/>
      </c>
    </row>
    <row r="605" spans="1:9" s="45" customFormat="1" ht="19.5" customHeight="1" thickBot="1">
      <c r="A605" s="189" t="str">
        <f>IFERROR(INDEX(凭证录入!H:H,$H605),"")</f>
        <v/>
      </c>
      <c r="B605" s="189" t="str">
        <f>IFERROR(INDEX(凭证录入!I:I,$H605),"")</f>
        <v/>
      </c>
      <c r="C605" s="190" t="str">
        <f>IFERROR(VLOOKUP($B605,会计科目表!$A:$C,2,),"")</f>
        <v/>
      </c>
      <c r="D605" s="190" t="str">
        <f>IFERROR(VLOOKUP($B605,会计科目表!$A:$C,3,),"")</f>
        <v/>
      </c>
      <c r="E605" s="191">
        <f>IFERROR(INDEX(凭证录入!K:K,$H605),0)</f>
        <v>0</v>
      </c>
      <c r="F605" s="191">
        <f>IFERROR(INDEX(凭证录入!L:L,$H605),0)</f>
        <v>0</v>
      </c>
      <c r="G605" s="176"/>
      <c r="H605" s="192" t="str">
        <f t="shared" si="142"/>
        <v/>
      </c>
    </row>
    <row r="606" spans="1:9" s="45" customFormat="1" ht="19.5" customHeight="1" thickBot="1">
      <c r="A606" s="189" t="str">
        <f>IFERROR(INDEX(凭证录入!H:H,$H606),"")</f>
        <v/>
      </c>
      <c r="B606" s="189" t="str">
        <f>IFERROR(INDEX(凭证录入!I:I,$H606),"")</f>
        <v/>
      </c>
      <c r="C606" s="190" t="str">
        <f>IFERROR(VLOOKUP($B606,会计科目表!$A:$C,2,),"")</f>
        <v/>
      </c>
      <c r="D606" s="190" t="str">
        <f>IFERROR(VLOOKUP($B606,会计科目表!$A:$C,3,),"")</f>
        <v/>
      </c>
      <c r="E606" s="191">
        <f>IFERROR(INDEX(凭证录入!K:K,$H606),0)</f>
        <v>0</v>
      </c>
      <c r="F606" s="191">
        <f>IFERROR(INDEX(凭证录入!L:L,$H606),0)</f>
        <v>0</v>
      </c>
      <c r="G606" s="176" t="s">
        <v>490</v>
      </c>
      <c r="H606" s="192" t="str">
        <f t="shared" si="142"/>
        <v/>
      </c>
      <c r="I606" s="176"/>
    </row>
    <row r="607" spans="1:9" s="45" customFormat="1" ht="19.5" customHeight="1" thickBot="1">
      <c r="A607" s="189" t="str">
        <f>IFERROR(INDEX(凭证录入!H:H,$H607),"")</f>
        <v/>
      </c>
      <c r="B607" s="189" t="str">
        <f>IFERROR(INDEX(凭证录入!I:I,$H607),"")</f>
        <v/>
      </c>
      <c r="C607" s="190" t="str">
        <f>IFERROR(VLOOKUP($B607,会计科目表!$A:$C,2,),"")</f>
        <v/>
      </c>
      <c r="D607" s="190" t="str">
        <f>IFERROR(VLOOKUP($B607,会计科目表!$A:$C,3,),"")</f>
        <v/>
      </c>
      <c r="E607" s="191">
        <f>IFERROR(INDEX(凭证录入!K:K,$H607),0)</f>
        <v>0</v>
      </c>
      <c r="F607" s="191">
        <f>IFERROR(INDEX(凭证录入!L:L,$H607),0)</f>
        <v>0</v>
      </c>
      <c r="G607" s="176" t="s">
        <v>491</v>
      </c>
      <c r="H607" s="192" t="str">
        <f t="shared" si="142"/>
        <v/>
      </c>
      <c r="I607" s="176"/>
    </row>
    <row r="608" spans="1:9" s="45" customFormat="1" ht="19.5" customHeight="1" thickBot="1">
      <c r="A608" s="189" t="str">
        <f>IFERROR(INDEX(凭证录入!H:H,$H608),"")</f>
        <v/>
      </c>
      <c r="B608" s="189" t="str">
        <f>IFERROR(INDEX(凭证录入!I:I,$H608),"")</f>
        <v/>
      </c>
      <c r="C608" s="190" t="str">
        <f>IFERROR(VLOOKUP($B608,会计科目表!$A:$C,2,),"")</f>
        <v/>
      </c>
      <c r="D608" s="190" t="str">
        <f>IFERROR(VLOOKUP($B608,会计科目表!$A:$C,3,),"")</f>
        <v/>
      </c>
      <c r="E608" s="191">
        <f>IFERROR(INDEX(凭证录入!K:K,$H608),0)</f>
        <v>0</v>
      </c>
      <c r="F608" s="191">
        <f>IFERROR(INDEX(凭证录入!L:L,$H608),0)</f>
        <v>0</v>
      </c>
      <c r="G608" s="176" t="e">
        <f>INDEX(凭证录入!$D:$D,$H605)</f>
        <v>#VALUE!</v>
      </c>
      <c r="H608" s="192" t="str">
        <f t="shared" si="142"/>
        <v/>
      </c>
      <c r="I608" s="176"/>
    </row>
    <row r="609" spans="1:9" s="45" customFormat="1" ht="19.5" customHeight="1" thickBot="1">
      <c r="A609" s="189" t="str">
        <f>IFERROR(INDEX(凭证录入!H:H,$H609),"")</f>
        <v/>
      </c>
      <c r="B609" s="189" t="str">
        <f>IFERROR(INDEX(凭证录入!I:I,$H609),"")</f>
        <v/>
      </c>
      <c r="C609" s="190" t="str">
        <f>IFERROR(VLOOKUP($B609,会计科目表!$A:$C,2,),"")</f>
        <v/>
      </c>
      <c r="D609" s="190" t="str">
        <f>IFERROR(VLOOKUP($B609,会计科目表!$A:$C,3,),"")</f>
        <v/>
      </c>
      <c r="E609" s="191">
        <f>IFERROR(INDEX(凭证录入!K:K,$H609),0)</f>
        <v>0</v>
      </c>
      <c r="F609" s="191">
        <f>IFERROR(INDEX(凭证录入!L:L,$H609),0)</f>
        <v>0</v>
      </c>
      <c r="G609" s="176" t="s">
        <v>492</v>
      </c>
      <c r="H609" s="192" t="str">
        <f t="shared" si="142"/>
        <v/>
      </c>
    </row>
    <row r="610" spans="1:9" s="45" customFormat="1" ht="19.5" customHeight="1" thickBot="1">
      <c r="A610" s="189" t="str">
        <f>IFERROR(INDEX(凭证录入!H:H,$H610),"")</f>
        <v/>
      </c>
      <c r="B610" s="189" t="str">
        <f>IFERROR(INDEX(凭证录入!I:I,$H610),"")</f>
        <v/>
      </c>
      <c r="C610" s="190" t="str">
        <f>IFERROR(VLOOKUP($B610,会计科目表!$A:$C,2,),"")</f>
        <v/>
      </c>
      <c r="D610" s="190" t="str">
        <f>IFERROR(VLOOKUP($B610,会计科目表!$A:$C,3,),"")</f>
        <v/>
      </c>
      <c r="E610" s="191">
        <f>IFERROR(INDEX(凭证录入!K:K,$H610),0)</f>
        <v>0</v>
      </c>
      <c r="F610" s="191">
        <f>IFERROR(INDEX(凭证录入!L:L,$H610),0)</f>
        <v>0</v>
      </c>
      <c r="G610" s="176"/>
      <c r="H610" s="192" t="str">
        <f t="shared" si="142"/>
        <v/>
      </c>
    </row>
    <row r="611" spans="1:9" s="45" customFormat="1" ht="19.5" customHeight="1" thickBot="1">
      <c r="A611" s="193"/>
      <c r="B611" s="194" t="s">
        <v>485</v>
      </c>
      <c r="C611" s="195" t="str">
        <f>SUBSTITUTE(SUBSTITUTE(IF(-DOLLAR(E611),IF(E611&gt;0,,"负")&amp;TEXT(INT(ABS(E611)+0.5%),"[dbnum2]G/通用格式元;;")&amp;TEXT(RIGHT(DOLLAR(E611),2),"[dbnum2]0角0分;;整"),),"零角",IF(E611^2&lt;1,,"零")),"零分","整")</f>
        <v/>
      </c>
      <c r="D611" s="196"/>
      <c r="E611" s="197">
        <f>SUM(E605:E610)</f>
        <v>0</v>
      </c>
      <c r="F611" s="197">
        <f>SUM(F605:F610)</f>
        <v>0</v>
      </c>
      <c r="G611" s="176"/>
      <c r="H611" s="192" t="str">
        <f t="shared" si="142"/>
        <v/>
      </c>
    </row>
    <row r="612" spans="1:9" s="199" customFormat="1" ht="19.5" customHeight="1">
      <c r="A612" s="45" t="s">
        <v>486</v>
      </c>
      <c r="B612" s="45" t="s">
        <v>487</v>
      </c>
      <c r="C612" s="45" t="s">
        <v>488</v>
      </c>
      <c r="D612" s="45" t="s">
        <v>504</v>
      </c>
      <c r="E612" s="45" t="s">
        <v>489</v>
      </c>
      <c r="F612" s="176" t="str">
        <f>IF($E611&lt;&gt;$F611,"借贷不平","")</f>
        <v/>
      </c>
      <c r="G612" s="183"/>
      <c r="H612" s="198" t="str">
        <f t="shared" si="142"/>
        <v/>
      </c>
    </row>
    <row r="613" spans="1:9" ht="37.5" customHeight="1">
      <c r="A613" s="177" t="s">
        <v>493</v>
      </c>
      <c r="B613" s="178"/>
      <c r="C613" s="179"/>
      <c r="D613" s="179"/>
      <c r="E613" s="178"/>
      <c r="F613" s="178"/>
      <c r="G613" s="176"/>
      <c r="H613" s="192" t="str">
        <f t="shared" si="142"/>
        <v/>
      </c>
    </row>
    <row r="614" spans="1:9" s="45" customFormat="1" ht="19.5" customHeight="1" thickBot="1">
      <c r="C614" s="180" t="e">
        <f>DATEVALUE("2010-"&amp;$H$1&amp;"-"&amp;INDEX(凭证录入!B:B,H617))</f>
        <v>#VALUE!</v>
      </c>
      <c r="D614" s="181"/>
      <c r="E614" s="182" t="s">
        <v>477</v>
      </c>
      <c r="F614" s="183" t="e">
        <f>N(LEFT((F602),3)+1)</f>
        <v>#VALUE!</v>
      </c>
      <c r="G614" s="176"/>
      <c r="H614" s="192" t="str">
        <f t="shared" si="142"/>
        <v/>
      </c>
      <c r="I614" s="184"/>
    </row>
    <row r="615" spans="1:9" s="45" customFormat="1" ht="19.5" customHeight="1" thickBot="1">
      <c r="A615" s="544" t="s">
        <v>494</v>
      </c>
      <c r="B615" s="545" t="s">
        <v>495</v>
      </c>
      <c r="C615" s="185" t="s">
        <v>496</v>
      </c>
      <c r="D615" s="186"/>
      <c r="E615" s="187"/>
      <c r="F615" s="188"/>
      <c r="G615" s="176"/>
      <c r="H615" s="192" t="str">
        <f t="shared" si="142"/>
        <v/>
      </c>
    </row>
    <row r="616" spans="1:9" s="45" customFormat="1" ht="19.5" customHeight="1" thickBot="1">
      <c r="A616" s="545"/>
      <c r="B616" s="546"/>
      <c r="C616" s="188" t="s">
        <v>497</v>
      </c>
      <c r="D616" s="188" t="s">
        <v>498</v>
      </c>
      <c r="E616" s="188" t="s">
        <v>499</v>
      </c>
      <c r="F616" s="188" t="s">
        <v>500</v>
      </c>
      <c r="G616" s="176"/>
      <c r="H616" s="192" t="str">
        <f t="shared" si="142"/>
        <v/>
      </c>
    </row>
    <row r="617" spans="1:9" s="45" customFormat="1" ht="19.5" customHeight="1" thickBot="1">
      <c r="A617" s="189" t="str">
        <f>IFERROR(INDEX(凭证录入!H:H,$H617),"")</f>
        <v/>
      </c>
      <c r="B617" s="189" t="str">
        <f>IFERROR(INDEX(凭证录入!I:I,$H617),"")</f>
        <v/>
      </c>
      <c r="C617" s="190" t="str">
        <f>IFERROR(VLOOKUP($B617,会计科目表!$A:$C,2,),"")</f>
        <v/>
      </c>
      <c r="D617" s="190" t="str">
        <f>IFERROR(VLOOKUP($B617,会计科目表!$A:$C,3,),"")</f>
        <v/>
      </c>
      <c r="E617" s="191">
        <f>IFERROR(INDEX(凭证录入!K:K,$H617),0)</f>
        <v>0</v>
      </c>
      <c r="F617" s="191">
        <f>IFERROR(INDEX(凭证录入!L:L,$H617),0)</f>
        <v>0</v>
      </c>
      <c r="G617" s="176"/>
      <c r="H617" s="192" t="str">
        <f t="shared" si="142"/>
        <v/>
      </c>
    </row>
    <row r="618" spans="1:9" s="45" customFormat="1" ht="19.5" customHeight="1" thickBot="1">
      <c r="A618" s="189" t="str">
        <f>IFERROR(INDEX(凭证录入!H:H,$H618),"")</f>
        <v/>
      </c>
      <c r="B618" s="189" t="str">
        <f>IFERROR(INDEX(凭证录入!I:I,$H618),"")</f>
        <v/>
      </c>
      <c r="C618" s="190" t="str">
        <f>IFERROR(VLOOKUP($B618,会计科目表!$A:$C,2,),"")</f>
        <v/>
      </c>
      <c r="D618" s="190" t="str">
        <f>IFERROR(VLOOKUP($B618,会计科目表!$A:$C,3,),"")</f>
        <v/>
      </c>
      <c r="E618" s="191">
        <f>IFERROR(INDEX(凭证录入!K:K,$H618),0)</f>
        <v>0</v>
      </c>
      <c r="F618" s="191">
        <f>IFERROR(INDEX(凭证录入!L:L,$H618),0)</f>
        <v>0</v>
      </c>
      <c r="G618" s="176" t="s">
        <v>490</v>
      </c>
      <c r="H618" s="192" t="str">
        <f t="shared" si="142"/>
        <v/>
      </c>
      <c r="I618" s="176"/>
    </row>
    <row r="619" spans="1:9" s="45" customFormat="1" ht="19.5" customHeight="1" thickBot="1">
      <c r="A619" s="189" t="str">
        <f>IFERROR(INDEX(凭证录入!H:H,$H619),"")</f>
        <v/>
      </c>
      <c r="B619" s="189" t="str">
        <f>IFERROR(INDEX(凭证录入!I:I,$H619),"")</f>
        <v/>
      </c>
      <c r="C619" s="190" t="str">
        <f>IFERROR(VLOOKUP($B619,会计科目表!$A:$C,2,),"")</f>
        <v/>
      </c>
      <c r="D619" s="190" t="str">
        <f>IFERROR(VLOOKUP($B619,会计科目表!$A:$C,3,),"")</f>
        <v/>
      </c>
      <c r="E619" s="191">
        <f>IFERROR(INDEX(凭证录入!K:K,$H619),0)</f>
        <v>0</v>
      </c>
      <c r="F619" s="191">
        <f>IFERROR(INDEX(凭证录入!L:L,$H619),0)</f>
        <v>0</v>
      </c>
      <c r="G619" s="176" t="s">
        <v>491</v>
      </c>
      <c r="H619" s="192" t="str">
        <f t="shared" si="142"/>
        <v/>
      </c>
      <c r="I619" s="176"/>
    </row>
    <row r="620" spans="1:9" s="45" customFormat="1" ht="19.5" customHeight="1" thickBot="1">
      <c r="A620" s="189" t="str">
        <f>IFERROR(INDEX(凭证录入!H:H,$H620),"")</f>
        <v/>
      </c>
      <c r="B620" s="189" t="str">
        <f>IFERROR(INDEX(凭证录入!I:I,$H620),"")</f>
        <v/>
      </c>
      <c r="C620" s="190" t="str">
        <f>IFERROR(VLOOKUP($B620,会计科目表!$A:$C,2,),"")</f>
        <v/>
      </c>
      <c r="D620" s="190" t="str">
        <f>IFERROR(VLOOKUP($B620,会计科目表!$A:$C,3,),"")</f>
        <v/>
      </c>
      <c r="E620" s="191">
        <f>IFERROR(INDEX(凭证录入!K:K,$H620),0)</f>
        <v>0</v>
      </c>
      <c r="F620" s="191">
        <f>IFERROR(INDEX(凭证录入!L:L,$H620),0)</f>
        <v>0</v>
      </c>
      <c r="G620" s="176" t="e">
        <f>INDEX(凭证录入!$D:$D,$H617)</f>
        <v>#VALUE!</v>
      </c>
      <c r="H620" s="192" t="str">
        <f t="shared" si="142"/>
        <v/>
      </c>
      <c r="I620" s="176"/>
    </row>
    <row r="621" spans="1:9" s="45" customFormat="1" ht="19.5" customHeight="1" thickBot="1">
      <c r="A621" s="189" t="str">
        <f>IFERROR(INDEX(凭证录入!H:H,$H621),"")</f>
        <v/>
      </c>
      <c r="B621" s="189" t="str">
        <f>IFERROR(INDEX(凭证录入!I:I,$H621),"")</f>
        <v/>
      </c>
      <c r="C621" s="190" t="str">
        <f>IFERROR(VLOOKUP($B621,会计科目表!$A:$C,2,),"")</f>
        <v/>
      </c>
      <c r="D621" s="190" t="str">
        <f>IFERROR(VLOOKUP($B621,会计科目表!$A:$C,3,),"")</f>
        <v/>
      </c>
      <c r="E621" s="191">
        <f>IFERROR(INDEX(凭证录入!K:K,$H621),0)</f>
        <v>0</v>
      </c>
      <c r="F621" s="191">
        <f>IFERROR(INDEX(凭证录入!L:L,$H621),0)</f>
        <v>0</v>
      </c>
      <c r="G621" s="176" t="s">
        <v>492</v>
      </c>
      <c r="H621" s="192" t="str">
        <f t="shared" si="142"/>
        <v/>
      </c>
    </row>
    <row r="622" spans="1:9" s="45" customFormat="1" ht="19.5" customHeight="1" thickBot="1">
      <c r="A622" s="189" t="str">
        <f>IFERROR(INDEX(凭证录入!H:H,$H622),"")</f>
        <v/>
      </c>
      <c r="B622" s="189" t="str">
        <f>IFERROR(INDEX(凭证录入!I:I,$H622),"")</f>
        <v/>
      </c>
      <c r="C622" s="190" t="str">
        <f>IFERROR(VLOOKUP($B622,会计科目表!$A:$C,2,),"")</f>
        <v/>
      </c>
      <c r="D622" s="190" t="str">
        <f>IFERROR(VLOOKUP($B622,会计科目表!$A:$C,3,),"")</f>
        <v/>
      </c>
      <c r="E622" s="191">
        <f>IFERROR(INDEX(凭证录入!K:K,$H622),0)</f>
        <v>0</v>
      </c>
      <c r="F622" s="191">
        <f>IFERROR(INDEX(凭证录入!L:L,$H622),0)</f>
        <v>0</v>
      </c>
      <c r="G622" s="176"/>
      <c r="H622" s="192" t="str">
        <f t="shared" si="142"/>
        <v/>
      </c>
    </row>
    <row r="623" spans="1:9" s="45" customFormat="1" ht="19.5" customHeight="1" thickBot="1">
      <c r="A623" s="193"/>
      <c r="B623" s="194" t="s">
        <v>485</v>
      </c>
      <c r="C623" s="195" t="str">
        <f>SUBSTITUTE(SUBSTITUTE(IF(-DOLLAR(E623),IF(E623&gt;0,,"负")&amp;TEXT(INT(ABS(E623)+0.5%),"[dbnum2]G/通用格式元;;")&amp;TEXT(RIGHT(DOLLAR(E623),2),"[dbnum2]0角0分;;整"),),"零角",IF(E623^2&lt;1,,"零")),"零分","整")</f>
        <v/>
      </c>
      <c r="D623" s="196"/>
      <c r="E623" s="197">
        <f>SUM(E617:E622)</f>
        <v>0</v>
      </c>
      <c r="F623" s="197">
        <f>SUM(F617:F622)</f>
        <v>0</v>
      </c>
      <c r="G623" s="176"/>
      <c r="H623" s="192" t="str">
        <f t="shared" si="142"/>
        <v/>
      </c>
    </row>
    <row r="624" spans="1:9" s="199" customFormat="1" ht="19.5" customHeight="1">
      <c r="A624" s="45" t="s">
        <v>486</v>
      </c>
      <c r="B624" s="45" t="s">
        <v>487</v>
      </c>
      <c r="C624" s="45" t="s">
        <v>488</v>
      </c>
      <c r="D624" s="45" t="s">
        <v>504</v>
      </c>
      <c r="E624" s="45" t="s">
        <v>489</v>
      </c>
      <c r="F624" s="176" t="str">
        <f>IF($E623&lt;&gt;$F623,"借贷不平","")</f>
        <v/>
      </c>
      <c r="G624" s="183"/>
      <c r="H624" s="198" t="str">
        <f t="shared" si="142"/>
        <v/>
      </c>
    </row>
    <row r="625" spans="1:9" ht="37.5" customHeight="1">
      <c r="A625" s="177" t="s">
        <v>493</v>
      </c>
      <c r="B625" s="178"/>
      <c r="C625" s="179"/>
      <c r="D625" s="179"/>
      <c r="E625" s="178"/>
      <c r="F625" s="178"/>
      <c r="G625" s="176"/>
      <c r="H625" s="192" t="str">
        <f t="shared" si="142"/>
        <v/>
      </c>
    </row>
    <row r="626" spans="1:9" s="45" customFormat="1" ht="19.5" customHeight="1" thickBot="1">
      <c r="C626" s="180" t="e">
        <f>DATEVALUE("2010-"&amp;$H$1&amp;"-"&amp;INDEX(凭证录入!B:B,H629))</f>
        <v>#VALUE!</v>
      </c>
      <c r="D626" s="181"/>
      <c r="E626" s="182" t="s">
        <v>477</v>
      </c>
      <c r="F626" s="183" t="e">
        <f>N(LEFT((F614),3)+1)</f>
        <v>#VALUE!</v>
      </c>
      <c r="G626" s="176"/>
      <c r="H626" s="192" t="str">
        <f t="shared" si="142"/>
        <v/>
      </c>
      <c r="I626" s="184"/>
    </row>
    <row r="627" spans="1:9" s="45" customFormat="1" ht="19.5" customHeight="1" thickBot="1">
      <c r="A627" s="544" t="s">
        <v>494</v>
      </c>
      <c r="B627" s="545" t="s">
        <v>495</v>
      </c>
      <c r="C627" s="185" t="s">
        <v>496</v>
      </c>
      <c r="D627" s="186"/>
      <c r="E627" s="187"/>
      <c r="F627" s="188"/>
      <c r="G627" s="176"/>
      <c r="H627" s="192" t="str">
        <f t="shared" si="142"/>
        <v/>
      </c>
    </row>
    <row r="628" spans="1:9" s="45" customFormat="1" ht="19.5" customHeight="1" thickBot="1">
      <c r="A628" s="545"/>
      <c r="B628" s="546"/>
      <c r="C628" s="188" t="s">
        <v>497</v>
      </c>
      <c r="D628" s="188" t="s">
        <v>498</v>
      </c>
      <c r="E628" s="188" t="s">
        <v>499</v>
      </c>
      <c r="F628" s="188" t="s">
        <v>500</v>
      </c>
      <c r="G628" s="176"/>
      <c r="H628" s="192" t="str">
        <f t="shared" si="142"/>
        <v/>
      </c>
    </row>
    <row r="629" spans="1:9" s="45" customFormat="1" ht="19.5" customHeight="1" thickBot="1">
      <c r="A629" s="189" t="str">
        <f>IFERROR(INDEX(凭证录入!H:H,$H629),"")</f>
        <v/>
      </c>
      <c r="B629" s="189" t="str">
        <f>IFERROR(INDEX(凭证录入!I:I,$H629),"")</f>
        <v/>
      </c>
      <c r="C629" s="190" t="str">
        <f>IFERROR(VLOOKUP($B629,会计科目表!$A:$C,2,),"")</f>
        <v/>
      </c>
      <c r="D629" s="190" t="str">
        <f>IFERROR(VLOOKUP($B629,会计科目表!$A:$C,3,),"")</f>
        <v/>
      </c>
      <c r="E629" s="191">
        <f>IFERROR(INDEX(凭证录入!K:K,$H629),0)</f>
        <v>0</v>
      </c>
      <c r="F629" s="191">
        <f>IFERROR(INDEX(凭证录入!L:L,$H629),0)</f>
        <v>0</v>
      </c>
      <c r="G629" s="176"/>
      <c r="H629" s="192" t="str">
        <f t="shared" si="142"/>
        <v/>
      </c>
    </row>
    <row r="630" spans="1:9" s="45" customFormat="1" ht="19.5" customHeight="1" thickBot="1">
      <c r="A630" s="189" t="str">
        <f>IFERROR(INDEX(凭证录入!H:H,$H630),"")</f>
        <v/>
      </c>
      <c r="B630" s="189" t="str">
        <f>IFERROR(INDEX(凭证录入!I:I,$H630),"")</f>
        <v/>
      </c>
      <c r="C630" s="190" t="str">
        <f>IFERROR(VLOOKUP($B630,会计科目表!$A:$C,2,),"")</f>
        <v/>
      </c>
      <c r="D630" s="190" t="str">
        <f>IFERROR(VLOOKUP($B630,会计科目表!$A:$C,3,),"")</f>
        <v/>
      </c>
      <c r="E630" s="191">
        <f>IFERROR(INDEX(凭证录入!K:K,$H630),0)</f>
        <v>0</v>
      </c>
      <c r="F630" s="191">
        <f>IFERROR(INDEX(凭证录入!L:L,$H630),0)</f>
        <v>0</v>
      </c>
      <c r="G630" s="176" t="s">
        <v>490</v>
      </c>
      <c r="H630" s="192" t="str">
        <f t="shared" si="142"/>
        <v/>
      </c>
      <c r="I630" s="176"/>
    </row>
    <row r="631" spans="1:9" s="45" customFormat="1" ht="19.5" customHeight="1" thickBot="1">
      <c r="A631" s="189" t="str">
        <f>IFERROR(INDEX(凭证录入!H:H,$H631),"")</f>
        <v/>
      </c>
      <c r="B631" s="189" t="str">
        <f>IFERROR(INDEX(凭证录入!I:I,$H631),"")</f>
        <v/>
      </c>
      <c r="C631" s="190" t="str">
        <f>IFERROR(VLOOKUP($B631,会计科目表!$A:$C,2,),"")</f>
        <v/>
      </c>
      <c r="D631" s="190" t="str">
        <f>IFERROR(VLOOKUP($B631,会计科目表!$A:$C,3,),"")</f>
        <v/>
      </c>
      <c r="E631" s="191">
        <f>IFERROR(INDEX(凭证录入!K:K,$H631),0)</f>
        <v>0</v>
      </c>
      <c r="F631" s="191">
        <f>IFERROR(INDEX(凭证录入!L:L,$H631),0)</f>
        <v>0</v>
      </c>
      <c r="G631" s="176" t="s">
        <v>491</v>
      </c>
      <c r="H631" s="192" t="str">
        <f t="shared" si="142"/>
        <v/>
      </c>
      <c r="I631" s="176"/>
    </row>
    <row r="632" spans="1:9" s="45" customFormat="1" ht="19.5" customHeight="1" thickBot="1">
      <c r="A632" s="189" t="str">
        <f>IFERROR(INDEX(凭证录入!H:H,$H632),"")</f>
        <v/>
      </c>
      <c r="B632" s="189" t="str">
        <f>IFERROR(INDEX(凭证录入!I:I,$H632),"")</f>
        <v/>
      </c>
      <c r="C632" s="190" t="str">
        <f>IFERROR(VLOOKUP($B632,会计科目表!$A:$C,2,),"")</f>
        <v/>
      </c>
      <c r="D632" s="190" t="str">
        <f>IFERROR(VLOOKUP($B632,会计科目表!$A:$C,3,),"")</f>
        <v/>
      </c>
      <c r="E632" s="191">
        <f>IFERROR(INDEX(凭证录入!K:K,$H632),0)</f>
        <v>0</v>
      </c>
      <c r="F632" s="191">
        <f>IFERROR(INDEX(凭证录入!L:L,$H632),0)</f>
        <v>0</v>
      </c>
      <c r="G632" s="176" t="e">
        <f>INDEX(凭证录入!$D:$D,$H629)</f>
        <v>#VALUE!</v>
      </c>
      <c r="H632" s="192" t="str">
        <f t="shared" si="142"/>
        <v/>
      </c>
      <c r="I632" s="176"/>
    </row>
    <row r="633" spans="1:9" s="45" customFormat="1" ht="19.5" customHeight="1" thickBot="1">
      <c r="A633" s="189" t="str">
        <f>IFERROR(INDEX(凭证录入!H:H,$H633),"")</f>
        <v/>
      </c>
      <c r="B633" s="189" t="str">
        <f>IFERROR(INDEX(凭证录入!I:I,$H633),"")</f>
        <v/>
      </c>
      <c r="C633" s="190" t="str">
        <f>IFERROR(VLOOKUP($B633,会计科目表!$A:$C,2,),"")</f>
        <v/>
      </c>
      <c r="D633" s="190" t="str">
        <f>IFERROR(VLOOKUP($B633,会计科目表!$A:$C,3,),"")</f>
        <v/>
      </c>
      <c r="E633" s="191">
        <f>IFERROR(INDEX(凭证录入!K:K,$H633),0)</f>
        <v>0</v>
      </c>
      <c r="F633" s="191">
        <f>IFERROR(INDEX(凭证录入!L:L,$H633),0)</f>
        <v>0</v>
      </c>
      <c r="G633" s="176" t="s">
        <v>492</v>
      </c>
      <c r="H633" s="192" t="str">
        <f t="shared" si="142"/>
        <v/>
      </c>
    </row>
    <row r="634" spans="1:9" s="45" customFormat="1" ht="19.5" customHeight="1" thickBot="1">
      <c r="A634" s="189" t="str">
        <f>IFERROR(INDEX(凭证录入!H:H,$H634),"")</f>
        <v/>
      </c>
      <c r="B634" s="189" t="str">
        <f>IFERROR(INDEX(凭证录入!I:I,$H634),"")</f>
        <v/>
      </c>
      <c r="C634" s="190" t="str">
        <f>IFERROR(VLOOKUP($B634,会计科目表!$A:$C,2,),"")</f>
        <v/>
      </c>
      <c r="D634" s="190" t="str">
        <f>IFERROR(VLOOKUP($B634,会计科目表!$A:$C,3,),"")</f>
        <v/>
      </c>
      <c r="E634" s="191">
        <f>IFERROR(INDEX(凭证录入!K:K,$H634),0)</f>
        <v>0</v>
      </c>
      <c r="F634" s="191">
        <f>IFERROR(INDEX(凭证录入!L:L,$H634),0)</f>
        <v>0</v>
      </c>
      <c r="G634" s="176"/>
      <c r="H634" s="192" t="str">
        <f t="shared" si="142"/>
        <v/>
      </c>
    </row>
    <row r="635" spans="1:9" s="45" customFormat="1" ht="19.5" customHeight="1" thickBot="1">
      <c r="A635" s="193"/>
      <c r="B635" s="194" t="s">
        <v>485</v>
      </c>
      <c r="C635" s="195" t="str">
        <f>SUBSTITUTE(SUBSTITUTE(IF(-DOLLAR(E635),IF(E635&gt;0,,"负")&amp;TEXT(INT(ABS(E635)+0.5%),"[dbnum2]G/通用格式元;;")&amp;TEXT(RIGHT(DOLLAR(E635),2),"[dbnum2]0角0分;;整"),),"零角",IF(E635^2&lt;1,,"零")),"零分","整")</f>
        <v/>
      </c>
      <c r="D635" s="196"/>
      <c r="E635" s="197">
        <f>SUM(E629:E634)</f>
        <v>0</v>
      </c>
      <c r="F635" s="197">
        <f>SUM(F629:F634)</f>
        <v>0</v>
      </c>
      <c r="G635" s="176"/>
      <c r="H635" s="192" t="str">
        <f t="shared" si="142"/>
        <v/>
      </c>
    </row>
    <row r="636" spans="1:9" s="199" customFormat="1" ht="19.5" customHeight="1">
      <c r="A636" s="45" t="s">
        <v>486</v>
      </c>
      <c r="B636" s="45" t="s">
        <v>487</v>
      </c>
      <c r="C636" s="45" t="s">
        <v>488</v>
      </c>
      <c r="D636" s="45" t="s">
        <v>504</v>
      </c>
      <c r="E636" s="45" t="s">
        <v>489</v>
      </c>
      <c r="F636" s="176" t="str">
        <f>IF($E635&lt;&gt;$F635,"借贷不平","")</f>
        <v/>
      </c>
      <c r="G636" s="183"/>
      <c r="H636" s="198" t="str">
        <f t="shared" si="142"/>
        <v/>
      </c>
    </row>
    <row r="637" spans="1:9" ht="37.5" customHeight="1">
      <c r="A637" s="177" t="s">
        <v>493</v>
      </c>
      <c r="B637" s="178"/>
      <c r="C637" s="179"/>
      <c r="D637" s="179"/>
      <c r="E637" s="178"/>
      <c r="F637" s="178"/>
      <c r="G637" s="176"/>
      <c r="H637" s="192" t="str">
        <f t="shared" si="142"/>
        <v/>
      </c>
    </row>
    <row r="638" spans="1:9" s="45" customFormat="1" ht="19.5" customHeight="1" thickBot="1">
      <c r="C638" s="180" t="e">
        <f>DATEVALUE("2010-"&amp;$H$1&amp;"-"&amp;INDEX(凭证录入!B:B,H641))</f>
        <v>#VALUE!</v>
      </c>
      <c r="D638" s="181"/>
      <c r="E638" s="182" t="s">
        <v>477</v>
      </c>
      <c r="F638" s="183" t="e">
        <f>N(LEFT((F626),3)+1)</f>
        <v>#VALUE!</v>
      </c>
      <c r="G638" s="176"/>
      <c r="H638" s="192" t="str">
        <f t="shared" si="142"/>
        <v/>
      </c>
      <c r="I638" s="184"/>
    </row>
    <row r="639" spans="1:9" s="45" customFormat="1" ht="19.5" customHeight="1" thickBot="1">
      <c r="A639" s="544" t="s">
        <v>494</v>
      </c>
      <c r="B639" s="545" t="s">
        <v>495</v>
      </c>
      <c r="C639" s="185" t="s">
        <v>496</v>
      </c>
      <c r="D639" s="186"/>
      <c r="E639" s="187"/>
      <c r="F639" s="188"/>
      <c r="G639" s="176"/>
      <c r="H639" s="192" t="str">
        <f t="shared" si="142"/>
        <v/>
      </c>
    </row>
    <row r="640" spans="1:9" s="45" customFormat="1" ht="19.5" customHeight="1" thickBot="1">
      <c r="A640" s="545"/>
      <c r="B640" s="546"/>
      <c r="C640" s="188" t="s">
        <v>497</v>
      </c>
      <c r="D640" s="188" t="s">
        <v>498</v>
      </c>
      <c r="E640" s="188" t="s">
        <v>499</v>
      </c>
      <c r="F640" s="188" t="s">
        <v>500</v>
      </c>
      <c r="G640" s="176"/>
      <c r="H640" s="192" t="str">
        <f t="shared" si="142"/>
        <v/>
      </c>
    </row>
    <row r="641" spans="1:9" s="45" customFormat="1" ht="19.5" customHeight="1" thickBot="1">
      <c r="A641" s="189" t="str">
        <f>IFERROR(INDEX(凭证录入!H:H,$H641),"")</f>
        <v/>
      </c>
      <c r="B641" s="189" t="str">
        <f>IFERROR(INDEX(凭证录入!I:I,$H641),"")</f>
        <v/>
      </c>
      <c r="C641" s="190" t="str">
        <f>IFERROR(VLOOKUP($B641,会计科目表!$A:$C,2,),"")</f>
        <v/>
      </c>
      <c r="D641" s="190" t="str">
        <f>IFERROR(VLOOKUP($B641,会计科目表!$A:$C,3,),"")</f>
        <v/>
      </c>
      <c r="E641" s="191">
        <f>IFERROR(INDEX(凭证录入!K:K,$H641),0)</f>
        <v>0</v>
      </c>
      <c r="F641" s="191">
        <f>IFERROR(INDEX(凭证录入!L:L,$H641),0)</f>
        <v>0</v>
      </c>
      <c r="G641" s="176"/>
      <c r="H641" s="192" t="str">
        <f t="shared" si="142"/>
        <v/>
      </c>
    </row>
    <row r="642" spans="1:9" s="45" customFormat="1" ht="19.5" customHeight="1" thickBot="1">
      <c r="A642" s="189" t="str">
        <f>IFERROR(INDEX(凭证录入!H:H,$H642),"")</f>
        <v/>
      </c>
      <c r="B642" s="189" t="str">
        <f>IFERROR(INDEX(凭证录入!I:I,$H642),"")</f>
        <v/>
      </c>
      <c r="C642" s="190" t="str">
        <f>IFERROR(VLOOKUP($B642,会计科目表!$A:$C,2,),"")</f>
        <v/>
      </c>
      <c r="D642" s="190" t="str">
        <f>IFERROR(VLOOKUP($B642,会计科目表!$A:$C,3,),"")</f>
        <v/>
      </c>
      <c r="E642" s="191">
        <f>IFERROR(INDEX(凭证录入!K:K,$H642),0)</f>
        <v>0</v>
      </c>
      <c r="F642" s="191">
        <f>IFERROR(INDEX(凭证录入!L:L,$H642),0)</f>
        <v>0</v>
      </c>
      <c r="G642" s="176" t="s">
        <v>490</v>
      </c>
      <c r="H642" s="192" t="str">
        <f t="shared" si="142"/>
        <v/>
      </c>
      <c r="I642" s="176"/>
    </row>
    <row r="643" spans="1:9" s="45" customFormat="1" ht="19.5" customHeight="1" thickBot="1">
      <c r="A643" s="189" t="str">
        <f>IFERROR(INDEX(凭证录入!H:H,$H643),"")</f>
        <v/>
      </c>
      <c r="B643" s="189" t="str">
        <f>IFERROR(INDEX(凭证录入!I:I,$H643),"")</f>
        <v/>
      </c>
      <c r="C643" s="190" t="str">
        <f>IFERROR(VLOOKUP($B643,会计科目表!$A:$C,2,),"")</f>
        <v/>
      </c>
      <c r="D643" s="190" t="str">
        <f>IFERROR(VLOOKUP($B643,会计科目表!$A:$C,3,),"")</f>
        <v/>
      </c>
      <c r="E643" s="191">
        <f>IFERROR(INDEX(凭证录入!K:K,$H643),0)</f>
        <v>0</v>
      </c>
      <c r="F643" s="191">
        <f>IFERROR(INDEX(凭证录入!L:L,$H643),0)</f>
        <v>0</v>
      </c>
      <c r="G643" s="176" t="s">
        <v>491</v>
      </c>
      <c r="H643" s="192" t="str">
        <f t="shared" si="142"/>
        <v/>
      </c>
      <c r="I643" s="176"/>
    </row>
    <row r="644" spans="1:9" s="45" customFormat="1" ht="19.5" customHeight="1" thickBot="1">
      <c r="A644" s="189" t="str">
        <f>IFERROR(INDEX(凭证录入!H:H,$H644),"")</f>
        <v/>
      </c>
      <c r="B644" s="189" t="str">
        <f>IFERROR(INDEX(凭证录入!I:I,$H644),"")</f>
        <v/>
      </c>
      <c r="C644" s="190" t="str">
        <f>IFERROR(VLOOKUP($B644,会计科目表!$A:$C,2,),"")</f>
        <v/>
      </c>
      <c r="D644" s="190" t="str">
        <f>IFERROR(VLOOKUP($B644,会计科目表!$A:$C,3,),"")</f>
        <v/>
      </c>
      <c r="E644" s="191">
        <f>IFERROR(INDEX(凭证录入!K:K,$H644),0)</f>
        <v>0</v>
      </c>
      <c r="F644" s="191">
        <f>IFERROR(INDEX(凭证录入!L:L,$H644),0)</f>
        <v>0</v>
      </c>
      <c r="G644" s="176" t="e">
        <f>INDEX(凭证录入!$D:$D,$H641)</f>
        <v>#VALUE!</v>
      </c>
      <c r="H644" s="192" t="str">
        <f t="shared" si="142"/>
        <v/>
      </c>
      <c r="I644" s="176"/>
    </row>
    <row r="645" spans="1:9" s="45" customFormat="1" ht="19.5" customHeight="1" thickBot="1">
      <c r="A645" s="189" t="str">
        <f>IFERROR(INDEX(凭证录入!H:H,$H645),"")</f>
        <v/>
      </c>
      <c r="B645" s="189" t="str">
        <f>IFERROR(INDEX(凭证录入!I:I,$H645),"")</f>
        <v/>
      </c>
      <c r="C645" s="190" t="str">
        <f>IFERROR(VLOOKUP($B645,会计科目表!$A:$C,2,),"")</f>
        <v/>
      </c>
      <c r="D645" s="190" t="str">
        <f>IFERROR(VLOOKUP($B645,会计科目表!$A:$C,3,),"")</f>
        <v/>
      </c>
      <c r="E645" s="191">
        <f>IFERROR(INDEX(凭证录入!K:K,$H645),0)</f>
        <v>0</v>
      </c>
      <c r="F645" s="191">
        <f>IFERROR(INDEX(凭证录入!L:L,$H645),0)</f>
        <v>0</v>
      </c>
      <c r="G645" s="176" t="s">
        <v>492</v>
      </c>
      <c r="H645" s="192" t="str">
        <f t="shared" ref="H645:H708" si="143">IFERROR(INDEX(行号,TEXT(MOD(ROW(),12)-4,"[=]A")),"")</f>
        <v/>
      </c>
    </row>
    <row r="646" spans="1:9" s="45" customFormat="1" ht="19.5" customHeight="1" thickBot="1">
      <c r="A646" s="189" t="str">
        <f>IFERROR(INDEX(凭证录入!H:H,$H646),"")</f>
        <v/>
      </c>
      <c r="B646" s="189" t="str">
        <f>IFERROR(INDEX(凭证录入!I:I,$H646),"")</f>
        <v/>
      </c>
      <c r="C646" s="190" t="str">
        <f>IFERROR(VLOOKUP($B646,会计科目表!$A:$C,2,),"")</f>
        <v/>
      </c>
      <c r="D646" s="190" t="str">
        <f>IFERROR(VLOOKUP($B646,会计科目表!$A:$C,3,),"")</f>
        <v/>
      </c>
      <c r="E646" s="191">
        <f>IFERROR(INDEX(凭证录入!K:K,$H646),0)</f>
        <v>0</v>
      </c>
      <c r="F646" s="191">
        <f>IFERROR(INDEX(凭证录入!L:L,$H646),0)</f>
        <v>0</v>
      </c>
      <c r="G646" s="176"/>
      <c r="H646" s="192" t="str">
        <f t="shared" si="143"/>
        <v/>
      </c>
    </row>
    <row r="647" spans="1:9" s="45" customFormat="1" ht="19.5" customHeight="1" thickBot="1">
      <c r="A647" s="193"/>
      <c r="B647" s="194" t="s">
        <v>485</v>
      </c>
      <c r="C647" s="195" t="str">
        <f>SUBSTITUTE(SUBSTITUTE(IF(-DOLLAR(E647),IF(E647&gt;0,,"负")&amp;TEXT(INT(ABS(E647)+0.5%),"[dbnum2]G/通用格式元;;")&amp;TEXT(RIGHT(DOLLAR(E647),2),"[dbnum2]0角0分;;整"),),"零角",IF(E647^2&lt;1,,"零")),"零分","整")</f>
        <v/>
      </c>
      <c r="D647" s="196"/>
      <c r="E647" s="197">
        <f>SUM(E641:E646)</f>
        <v>0</v>
      </c>
      <c r="F647" s="197">
        <f>SUM(F641:F646)</f>
        <v>0</v>
      </c>
      <c r="G647" s="176"/>
      <c r="H647" s="192" t="str">
        <f t="shared" si="143"/>
        <v/>
      </c>
    </row>
    <row r="648" spans="1:9" s="199" customFormat="1" ht="19.5" customHeight="1">
      <c r="A648" s="45" t="s">
        <v>486</v>
      </c>
      <c r="B648" s="45" t="s">
        <v>487</v>
      </c>
      <c r="C648" s="45" t="s">
        <v>488</v>
      </c>
      <c r="D648" s="45" t="s">
        <v>504</v>
      </c>
      <c r="E648" s="45" t="s">
        <v>489</v>
      </c>
      <c r="F648" s="176" t="str">
        <f>IF($E647&lt;&gt;$F647,"借贷不平","")</f>
        <v/>
      </c>
      <c r="G648" s="183"/>
      <c r="H648" s="198" t="str">
        <f t="shared" si="143"/>
        <v/>
      </c>
    </row>
    <row r="649" spans="1:9" ht="37.5" customHeight="1">
      <c r="A649" s="177" t="s">
        <v>493</v>
      </c>
      <c r="B649" s="178"/>
      <c r="C649" s="179"/>
      <c r="D649" s="179"/>
      <c r="E649" s="178"/>
      <c r="F649" s="178"/>
      <c r="G649" s="176"/>
      <c r="H649" s="192" t="str">
        <f t="shared" si="143"/>
        <v/>
      </c>
    </row>
    <row r="650" spans="1:9" s="45" customFormat="1" ht="19.5" customHeight="1" thickBot="1">
      <c r="C650" s="180" t="e">
        <f>DATEVALUE("2010-"&amp;$H$1&amp;"-"&amp;INDEX(凭证录入!B:B,H653))</f>
        <v>#VALUE!</v>
      </c>
      <c r="D650" s="181"/>
      <c r="E650" s="182" t="s">
        <v>477</v>
      </c>
      <c r="F650" s="183" t="e">
        <f>N(LEFT((F638),3)+1)</f>
        <v>#VALUE!</v>
      </c>
      <c r="G650" s="176"/>
      <c r="H650" s="192" t="str">
        <f t="shared" si="143"/>
        <v/>
      </c>
      <c r="I650" s="184"/>
    </row>
    <row r="651" spans="1:9" s="45" customFormat="1" ht="19.5" customHeight="1" thickBot="1">
      <c r="A651" s="544" t="s">
        <v>494</v>
      </c>
      <c r="B651" s="545" t="s">
        <v>495</v>
      </c>
      <c r="C651" s="185" t="s">
        <v>496</v>
      </c>
      <c r="D651" s="186"/>
      <c r="E651" s="187"/>
      <c r="F651" s="188"/>
      <c r="G651" s="176"/>
      <c r="H651" s="192" t="str">
        <f t="shared" si="143"/>
        <v/>
      </c>
    </row>
    <row r="652" spans="1:9" s="45" customFormat="1" ht="19.5" customHeight="1" thickBot="1">
      <c r="A652" s="545"/>
      <c r="B652" s="546"/>
      <c r="C652" s="188" t="s">
        <v>497</v>
      </c>
      <c r="D652" s="188" t="s">
        <v>498</v>
      </c>
      <c r="E652" s="188" t="s">
        <v>499</v>
      </c>
      <c r="F652" s="188" t="s">
        <v>500</v>
      </c>
      <c r="G652" s="176"/>
      <c r="H652" s="192" t="str">
        <f t="shared" si="143"/>
        <v/>
      </c>
    </row>
    <row r="653" spans="1:9" s="45" customFormat="1" ht="19.5" customHeight="1" thickBot="1">
      <c r="A653" s="189" t="str">
        <f>IFERROR(INDEX(凭证录入!H:H,$H653),"")</f>
        <v/>
      </c>
      <c r="B653" s="189" t="str">
        <f>IFERROR(INDEX(凭证录入!I:I,$H653),"")</f>
        <v/>
      </c>
      <c r="C653" s="190" t="str">
        <f>IFERROR(VLOOKUP($B653,会计科目表!$A:$C,2,),"")</f>
        <v/>
      </c>
      <c r="D653" s="190" t="str">
        <f>IFERROR(VLOOKUP($B653,会计科目表!$A:$C,3,),"")</f>
        <v/>
      </c>
      <c r="E653" s="191">
        <f>IFERROR(INDEX(凭证录入!K:K,$H653),0)</f>
        <v>0</v>
      </c>
      <c r="F653" s="191">
        <f>IFERROR(INDEX(凭证录入!L:L,$H653),0)</f>
        <v>0</v>
      </c>
      <c r="G653" s="176"/>
      <c r="H653" s="192" t="str">
        <f t="shared" si="143"/>
        <v/>
      </c>
    </row>
    <row r="654" spans="1:9" s="45" customFormat="1" ht="19.5" customHeight="1" thickBot="1">
      <c r="A654" s="189" t="str">
        <f>IFERROR(INDEX(凭证录入!H:H,$H654),"")</f>
        <v/>
      </c>
      <c r="B654" s="189" t="str">
        <f>IFERROR(INDEX(凭证录入!I:I,$H654),"")</f>
        <v/>
      </c>
      <c r="C654" s="190" t="str">
        <f>IFERROR(VLOOKUP($B654,会计科目表!$A:$C,2,),"")</f>
        <v/>
      </c>
      <c r="D654" s="190" t="str">
        <f>IFERROR(VLOOKUP($B654,会计科目表!$A:$C,3,),"")</f>
        <v/>
      </c>
      <c r="E654" s="191">
        <f>IFERROR(INDEX(凭证录入!K:K,$H654),0)</f>
        <v>0</v>
      </c>
      <c r="F654" s="191">
        <f>IFERROR(INDEX(凭证录入!L:L,$H654),0)</f>
        <v>0</v>
      </c>
      <c r="G654" s="176" t="s">
        <v>490</v>
      </c>
      <c r="H654" s="192" t="str">
        <f t="shared" si="143"/>
        <v/>
      </c>
      <c r="I654" s="176"/>
    </row>
    <row r="655" spans="1:9" s="45" customFormat="1" ht="19.5" customHeight="1" thickBot="1">
      <c r="A655" s="189" t="str">
        <f>IFERROR(INDEX(凭证录入!H:H,$H655),"")</f>
        <v/>
      </c>
      <c r="B655" s="189" t="str">
        <f>IFERROR(INDEX(凭证录入!I:I,$H655),"")</f>
        <v/>
      </c>
      <c r="C655" s="190" t="str">
        <f>IFERROR(VLOOKUP($B655,会计科目表!$A:$C,2,),"")</f>
        <v/>
      </c>
      <c r="D655" s="190" t="str">
        <f>IFERROR(VLOOKUP($B655,会计科目表!$A:$C,3,),"")</f>
        <v/>
      </c>
      <c r="E655" s="191">
        <f>IFERROR(INDEX(凭证录入!K:K,$H655),0)</f>
        <v>0</v>
      </c>
      <c r="F655" s="191">
        <f>IFERROR(INDEX(凭证录入!L:L,$H655),0)</f>
        <v>0</v>
      </c>
      <c r="G655" s="176" t="s">
        <v>491</v>
      </c>
      <c r="H655" s="192" t="str">
        <f t="shared" si="143"/>
        <v/>
      </c>
      <c r="I655" s="176"/>
    </row>
    <row r="656" spans="1:9" s="45" customFormat="1" ht="19.5" customHeight="1" thickBot="1">
      <c r="A656" s="189" t="str">
        <f>IFERROR(INDEX(凭证录入!H:H,$H656),"")</f>
        <v/>
      </c>
      <c r="B656" s="189" t="str">
        <f>IFERROR(INDEX(凭证录入!I:I,$H656),"")</f>
        <v/>
      </c>
      <c r="C656" s="190" t="str">
        <f>IFERROR(VLOOKUP($B656,会计科目表!$A:$C,2,),"")</f>
        <v/>
      </c>
      <c r="D656" s="190" t="str">
        <f>IFERROR(VLOOKUP($B656,会计科目表!$A:$C,3,),"")</f>
        <v/>
      </c>
      <c r="E656" s="191">
        <f>IFERROR(INDEX(凭证录入!K:K,$H656),0)</f>
        <v>0</v>
      </c>
      <c r="F656" s="191">
        <f>IFERROR(INDEX(凭证录入!L:L,$H656),0)</f>
        <v>0</v>
      </c>
      <c r="G656" s="176" t="e">
        <f>INDEX(凭证录入!$D:$D,$H653)</f>
        <v>#VALUE!</v>
      </c>
      <c r="H656" s="192" t="str">
        <f t="shared" si="143"/>
        <v/>
      </c>
      <c r="I656" s="176"/>
    </row>
    <row r="657" spans="1:9" s="45" customFormat="1" ht="19.5" customHeight="1" thickBot="1">
      <c r="A657" s="189" t="str">
        <f>IFERROR(INDEX(凭证录入!H:H,$H657),"")</f>
        <v/>
      </c>
      <c r="B657" s="189" t="str">
        <f>IFERROR(INDEX(凭证录入!I:I,$H657),"")</f>
        <v/>
      </c>
      <c r="C657" s="190" t="str">
        <f>IFERROR(VLOOKUP($B657,会计科目表!$A:$C,2,),"")</f>
        <v/>
      </c>
      <c r="D657" s="190" t="str">
        <f>IFERROR(VLOOKUP($B657,会计科目表!$A:$C,3,),"")</f>
        <v/>
      </c>
      <c r="E657" s="191">
        <f>IFERROR(INDEX(凭证录入!K:K,$H657),0)</f>
        <v>0</v>
      </c>
      <c r="F657" s="191">
        <f>IFERROR(INDEX(凭证录入!L:L,$H657),0)</f>
        <v>0</v>
      </c>
      <c r="G657" s="176" t="s">
        <v>492</v>
      </c>
      <c r="H657" s="192" t="str">
        <f t="shared" si="143"/>
        <v/>
      </c>
    </row>
    <row r="658" spans="1:9" s="45" customFormat="1" ht="19.5" customHeight="1" thickBot="1">
      <c r="A658" s="189" t="str">
        <f>IFERROR(INDEX(凭证录入!H:H,$H658),"")</f>
        <v/>
      </c>
      <c r="B658" s="189" t="str">
        <f>IFERROR(INDEX(凭证录入!I:I,$H658),"")</f>
        <v/>
      </c>
      <c r="C658" s="190" t="str">
        <f>IFERROR(VLOOKUP($B658,会计科目表!$A:$C,2,),"")</f>
        <v/>
      </c>
      <c r="D658" s="190" t="str">
        <f>IFERROR(VLOOKUP($B658,会计科目表!$A:$C,3,),"")</f>
        <v/>
      </c>
      <c r="E658" s="191">
        <f>IFERROR(INDEX(凭证录入!K:K,$H658),0)</f>
        <v>0</v>
      </c>
      <c r="F658" s="191">
        <f>IFERROR(INDEX(凭证录入!L:L,$H658),0)</f>
        <v>0</v>
      </c>
      <c r="G658" s="176"/>
      <c r="H658" s="192" t="str">
        <f t="shared" si="143"/>
        <v/>
      </c>
    </row>
    <row r="659" spans="1:9" s="45" customFormat="1" ht="19.5" customHeight="1" thickBot="1">
      <c r="A659" s="193"/>
      <c r="B659" s="194" t="s">
        <v>485</v>
      </c>
      <c r="C659" s="195" t="str">
        <f>SUBSTITUTE(SUBSTITUTE(IF(-DOLLAR(E659),IF(E659&gt;0,,"负")&amp;TEXT(INT(ABS(E659)+0.5%),"[dbnum2]G/通用格式元;;")&amp;TEXT(RIGHT(DOLLAR(E659),2),"[dbnum2]0角0分;;整"),),"零角",IF(E659^2&lt;1,,"零")),"零分","整")</f>
        <v/>
      </c>
      <c r="D659" s="196"/>
      <c r="E659" s="197">
        <f>SUM(E653:E658)</f>
        <v>0</v>
      </c>
      <c r="F659" s="197">
        <f>SUM(F653:F658)</f>
        <v>0</v>
      </c>
      <c r="G659" s="176"/>
      <c r="H659" s="192" t="str">
        <f t="shared" si="143"/>
        <v/>
      </c>
    </row>
    <row r="660" spans="1:9" s="199" customFormat="1" ht="19.5" customHeight="1">
      <c r="A660" s="45" t="s">
        <v>486</v>
      </c>
      <c r="B660" s="45" t="s">
        <v>487</v>
      </c>
      <c r="C660" s="45" t="s">
        <v>488</v>
      </c>
      <c r="D660" s="45" t="s">
        <v>504</v>
      </c>
      <c r="E660" s="45" t="s">
        <v>489</v>
      </c>
      <c r="F660" s="176" t="str">
        <f>IF($E659&lt;&gt;$F659,"借贷不平","")</f>
        <v/>
      </c>
      <c r="G660" s="183"/>
      <c r="H660" s="198" t="str">
        <f t="shared" si="143"/>
        <v/>
      </c>
    </row>
    <row r="661" spans="1:9" ht="37.5" customHeight="1">
      <c r="A661" s="177" t="s">
        <v>493</v>
      </c>
      <c r="B661" s="178"/>
      <c r="C661" s="179"/>
      <c r="D661" s="179"/>
      <c r="E661" s="178"/>
      <c r="F661" s="178"/>
      <c r="G661" s="176"/>
      <c r="H661" s="192" t="str">
        <f t="shared" si="143"/>
        <v/>
      </c>
    </row>
    <row r="662" spans="1:9" s="45" customFormat="1" ht="19.5" customHeight="1" thickBot="1">
      <c r="C662" s="180" t="e">
        <f>DATEVALUE("2010-"&amp;$H$1&amp;"-"&amp;INDEX(凭证录入!B:B,H665))</f>
        <v>#VALUE!</v>
      </c>
      <c r="D662" s="181"/>
      <c r="E662" s="182" t="s">
        <v>477</v>
      </c>
      <c r="F662" s="183" t="e">
        <f>N(LEFT((F650),3)+1)</f>
        <v>#VALUE!</v>
      </c>
      <c r="G662" s="176"/>
      <c r="H662" s="192" t="str">
        <f t="shared" si="143"/>
        <v/>
      </c>
      <c r="I662" s="184"/>
    </row>
    <row r="663" spans="1:9" s="45" customFormat="1" ht="19.5" customHeight="1" thickBot="1">
      <c r="A663" s="544" t="s">
        <v>494</v>
      </c>
      <c r="B663" s="545" t="s">
        <v>495</v>
      </c>
      <c r="C663" s="185" t="s">
        <v>496</v>
      </c>
      <c r="D663" s="186"/>
      <c r="E663" s="187"/>
      <c r="F663" s="188"/>
      <c r="G663" s="176"/>
      <c r="H663" s="192" t="str">
        <f t="shared" si="143"/>
        <v/>
      </c>
    </row>
    <row r="664" spans="1:9" s="45" customFormat="1" ht="19.5" customHeight="1" thickBot="1">
      <c r="A664" s="545"/>
      <c r="B664" s="546"/>
      <c r="C664" s="188" t="s">
        <v>497</v>
      </c>
      <c r="D664" s="188" t="s">
        <v>498</v>
      </c>
      <c r="E664" s="188" t="s">
        <v>499</v>
      </c>
      <c r="F664" s="188" t="s">
        <v>500</v>
      </c>
      <c r="G664" s="176"/>
      <c r="H664" s="192" t="str">
        <f t="shared" si="143"/>
        <v/>
      </c>
    </row>
    <row r="665" spans="1:9" s="45" customFormat="1" ht="19.5" customHeight="1" thickBot="1">
      <c r="A665" s="189" t="str">
        <f>IFERROR(INDEX(凭证录入!H:H,$H665),"")</f>
        <v/>
      </c>
      <c r="B665" s="189" t="str">
        <f>IFERROR(INDEX(凭证录入!I:I,$H665),"")</f>
        <v/>
      </c>
      <c r="C665" s="190" t="str">
        <f>IFERROR(VLOOKUP($B665,会计科目表!$A:$C,2,),"")</f>
        <v/>
      </c>
      <c r="D665" s="190" t="str">
        <f>IFERROR(VLOOKUP($B665,会计科目表!$A:$C,3,),"")</f>
        <v/>
      </c>
      <c r="E665" s="191">
        <f>IFERROR(INDEX(凭证录入!K:K,$H665),0)</f>
        <v>0</v>
      </c>
      <c r="F665" s="191">
        <f>IFERROR(INDEX(凭证录入!L:L,$H665),0)</f>
        <v>0</v>
      </c>
      <c r="G665" s="176"/>
      <c r="H665" s="192" t="str">
        <f t="shared" si="143"/>
        <v/>
      </c>
    </row>
    <row r="666" spans="1:9" s="45" customFormat="1" ht="19.5" customHeight="1" thickBot="1">
      <c r="A666" s="189" t="str">
        <f>IFERROR(INDEX(凭证录入!H:H,$H666),"")</f>
        <v/>
      </c>
      <c r="B666" s="189" t="str">
        <f>IFERROR(INDEX(凭证录入!I:I,$H666),"")</f>
        <v/>
      </c>
      <c r="C666" s="190" t="str">
        <f>IFERROR(VLOOKUP($B666,会计科目表!$A:$C,2,),"")</f>
        <v/>
      </c>
      <c r="D666" s="190" t="str">
        <f>IFERROR(VLOOKUP($B666,会计科目表!$A:$C,3,),"")</f>
        <v/>
      </c>
      <c r="E666" s="191">
        <f>IFERROR(INDEX(凭证录入!K:K,$H666),0)</f>
        <v>0</v>
      </c>
      <c r="F666" s="191">
        <f>IFERROR(INDEX(凭证录入!L:L,$H666),0)</f>
        <v>0</v>
      </c>
      <c r="G666" s="176" t="s">
        <v>490</v>
      </c>
      <c r="H666" s="192" t="str">
        <f t="shared" si="143"/>
        <v/>
      </c>
      <c r="I666" s="176"/>
    </row>
    <row r="667" spans="1:9" s="45" customFormat="1" ht="19.5" customHeight="1" thickBot="1">
      <c r="A667" s="189" t="str">
        <f>IFERROR(INDEX(凭证录入!H:H,$H667),"")</f>
        <v/>
      </c>
      <c r="B667" s="189" t="str">
        <f>IFERROR(INDEX(凭证录入!I:I,$H667),"")</f>
        <v/>
      </c>
      <c r="C667" s="190" t="str">
        <f>IFERROR(VLOOKUP($B667,会计科目表!$A:$C,2,),"")</f>
        <v/>
      </c>
      <c r="D667" s="190" t="str">
        <f>IFERROR(VLOOKUP($B667,会计科目表!$A:$C,3,),"")</f>
        <v/>
      </c>
      <c r="E667" s="191">
        <f>IFERROR(INDEX(凭证录入!K:K,$H667),0)</f>
        <v>0</v>
      </c>
      <c r="F667" s="191">
        <f>IFERROR(INDEX(凭证录入!L:L,$H667),0)</f>
        <v>0</v>
      </c>
      <c r="G667" s="176" t="s">
        <v>491</v>
      </c>
      <c r="H667" s="192" t="str">
        <f t="shared" si="143"/>
        <v/>
      </c>
      <c r="I667" s="176"/>
    </row>
    <row r="668" spans="1:9" s="45" customFormat="1" ht="19.5" customHeight="1" thickBot="1">
      <c r="A668" s="189" t="str">
        <f>IFERROR(INDEX(凭证录入!H:H,$H668),"")</f>
        <v/>
      </c>
      <c r="B668" s="189" t="str">
        <f>IFERROR(INDEX(凭证录入!I:I,$H668),"")</f>
        <v/>
      </c>
      <c r="C668" s="190" t="str">
        <f>IFERROR(VLOOKUP($B668,会计科目表!$A:$C,2,),"")</f>
        <v/>
      </c>
      <c r="D668" s="190" t="str">
        <f>IFERROR(VLOOKUP($B668,会计科目表!$A:$C,3,),"")</f>
        <v/>
      </c>
      <c r="E668" s="191">
        <f>IFERROR(INDEX(凭证录入!K:K,$H668),0)</f>
        <v>0</v>
      </c>
      <c r="F668" s="191">
        <f>IFERROR(INDEX(凭证录入!L:L,$H668),0)</f>
        <v>0</v>
      </c>
      <c r="G668" s="176" t="e">
        <f>INDEX(凭证录入!$D:$D,$H665)</f>
        <v>#VALUE!</v>
      </c>
      <c r="H668" s="192" t="str">
        <f t="shared" si="143"/>
        <v/>
      </c>
      <c r="I668" s="176"/>
    </row>
    <row r="669" spans="1:9" s="45" customFormat="1" ht="19.5" customHeight="1" thickBot="1">
      <c r="A669" s="189" t="str">
        <f>IFERROR(INDEX(凭证录入!H:H,$H669),"")</f>
        <v/>
      </c>
      <c r="B669" s="189" t="str">
        <f>IFERROR(INDEX(凭证录入!I:I,$H669),"")</f>
        <v/>
      </c>
      <c r="C669" s="190" t="str">
        <f>IFERROR(VLOOKUP($B669,会计科目表!$A:$C,2,),"")</f>
        <v/>
      </c>
      <c r="D669" s="190" t="str">
        <f>IFERROR(VLOOKUP($B669,会计科目表!$A:$C,3,),"")</f>
        <v/>
      </c>
      <c r="E669" s="191">
        <f>IFERROR(INDEX(凭证录入!K:K,$H669),0)</f>
        <v>0</v>
      </c>
      <c r="F669" s="191">
        <f>IFERROR(INDEX(凭证录入!L:L,$H669),0)</f>
        <v>0</v>
      </c>
      <c r="G669" s="176" t="s">
        <v>492</v>
      </c>
      <c r="H669" s="192" t="str">
        <f t="shared" si="143"/>
        <v/>
      </c>
    </row>
    <row r="670" spans="1:9" s="45" customFormat="1" ht="19.5" customHeight="1" thickBot="1">
      <c r="A670" s="189" t="str">
        <f>IFERROR(INDEX(凭证录入!H:H,$H670),"")</f>
        <v/>
      </c>
      <c r="B670" s="189" t="str">
        <f>IFERROR(INDEX(凭证录入!I:I,$H670),"")</f>
        <v/>
      </c>
      <c r="C670" s="190" t="str">
        <f>IFERROR(VLOOKUP($B670,会计科目表!$A:$C,2,),"")</f>
        <v/>
      </c>
      <c r="D670" s="190" t="str">
        <f>IFERROR(VLOOKUP($B670,会计科目表!$A:$C,3,),"")</f>
        <v/>
      </c>
      <c r="E670" s="191">
        <f>IFERROR(INDEX(凭证录入!K:K,$H670),0)</f>
        <v>0</v>
      </c>
      <c r="F670" s="191">
        <f>IFERROR(INDEX(凭证录入!L:L,$H670),0)</f>
        <v>0</v>
      </c>
      <c r="G670" s="176"/>
      <c r="H670" s="192" t="str">
        <f t="shared" si="143"/>
        <v/>
      </c>
    </row>
    <row r="671" spans="1:9" s="45" customFormat="1" ht="19.5" customHeight="1" thickBot="1">
      <c r="A671" s="193"/>
      <c r="B671" s="194" t="s">
        <v>485</v>
      </c>
      <c r="C671" s="195" t="str">
        <f>SUBSTITUTE(SUBSTITUTE(IF(-DOLLAR(E671),IF(E671&gt;0,,"负")&amp;TEXT(INT(ABS(E671)+0.5%),"[dbnum2]G/通用格式元;;")&amp;TEXT(RIGHT(DOLLAR(E671),2),"[dbnum2]0角0分;;整"),),"零角",IF(E671^2&lt;1,,"零")),"零分","整")</f>
        <v/>
      </c>
      <c r="D671" s="196"/>
      <c r="E671" s="197">
        <f>SUM(E665:E670)</f>
        <v>0</v>
      </c>
      <c r="F671" s="197">
        <f>SUM(F665:F670)</f>
        <v>0</v>
      </c>
      <c r="G671" s="176"/>
      <c r="H671" s="192" t="str">
        <f t="shared" si="143"/>
        <v/>
      </c>
    </row>
    <row r="672" spans="1:9" s="199" customFormat="1" ht="19.5" customHeight="1">
      <c r="A672" s="45" t="s">
        <v>486</v>
      </c>
      <c r="B672" s="45" t="s">
        <v>487</v>
      </c>
      <c r="C672" s="45" t="s">
        <v>488</v>
      </c>
      <c r="D672" s="45" t="s">
        <v>504</v>
      </c>
      <c r="E672" s="45" t="s">
        <v>489</v>
      </c>
      <c r="F672" s="176" t="str">
        <f>IF($E671&lt;&gt;$F671,"借贷不平","")</f>
        <v/>
      </c>
      <c r="G672" s="183"/>
      <c r="H672" s="198" t="str">
        <f t="shared" si="143"/>
        <v/>
      </c>
    </row>
    <row r="673" spans="1:9" ht="37.5" customHeight="1">
      <c r="A673" s="177" t="s">
        <v>493</v>
      </c>
      <c r="B673" s="178"/>
      <c r="C673" s="179"/>
      <c r="D673" s="179"/>
      <c r="E673" s="178"/>
      <c r="F673" s="178"/>
      <c r="G673" s="176"/>
      <c r="H673" s="192" t="str">
        <f t="shared" si="143"/>
        <v/>
      </c>
    </row>
    <row r="674" spans="1:9" s="45" customFormat="1" ht="19.5" customHeight="1" thickBot="1">
      <c r="C674" s="180" t="e">
        <f>DATEVALUE("2010-"&amp;$H$1&amp;"-"&amp;INDEX(凭证录入!B:B,H677))</f>
        <v>#VALUE!</v>
      </c>
      <c r="D674" s="181"/>
      <c r="E674" s="182" t="s">
        <v>477</v>
      </c>
      <c r="F674" s="183" t="e">
        <f>N(LEFT((F662),3)+1)</f>
        <v>#VALUE!</v>
      </c>
      <c r="G674" s="176"/>
      <c r="H674" s="192" t="str">
        <f t="shared" si="143"/>
        <v/>
      </c>
      <c r="I674" s="184"/>
    </row>
    <row r="675" spans="1:9" s="45" customFormat="1" ht="19.5" customHeight="1" thickBot="1">
      <c r="A675" s="544" t="s">
        <v>494</v>
      </c>
      <c r="B675" s="545" t="s">
        <v>495</v>
      </c>
      <c r="C675" s="185" t="s">
        <v>496</v>
      </c>
      <c r="D675" s="186"/>
      <c r="E675" s="187"/>
      <c r="F675" s="188"/>
      <c r="G675" s="176"/>
      <c r="H675" s="192" t="str">
        <f t="shared" si="143"/>
        <v/>
      </c>
    </row>
    <row r="676" spans="1:9" s="45" customFormat="1" ht="19.5" customHeight="1" thickBot="1">
      <c r="A676" s="545"/>
      <c r="B676" s="546"/>
      <c r="C676" s="188" t="s">
        <v>497</v>
      </c>
      <c r="D676" s="188" t="s">
        <v>498</v>
      </c>
      <c r="E676" s="188" t="s">
        <v>499</v>
      </c>
      <c r="F676" s="188" t="s">
        <v>500</v>
      </c>
      <c r="G676" s="176"/>
      <c r="H676" s="192" t="str">
        <f t="shared" si="143"/>
        <v/>
      </c>
    </row>
    <row r="677" spans="1:9" s="45" customFormat="1" ht="19.5" customHeight="1" thickBot="1">
      <c r="A677" s="189" t="str">
        <f>IFERROR(INDEX(凭证录入!H:H,$H677),"")</f>
        <v/>
      </c>
      <c r="B677" s="189" t="str">
        <f>IFERROR(INDEX(凭证录入!I:I,$H677),"")</f>
        <v/>
      </c>
      <c r="C677" s="190" t="str">
        <f>IFERROR(VLOOKUP($B677,会计科目表!$A:$C,2,),"")</f>
        <v/>
      </c>
      <c r="D677" s="190" t="str">
        <f>IFERROR(VLOOKUP($B677,会计科目表!$A:$C,3,),"")</f>
        <v/>
      </c>
      <c r="E677" s="191">
        <f>IFERROR(INDEX(凭证录入!K:K,$H677),0)</f>
        <v>0</v>
      </c>
      <c r="F677" s="191">
        <f>IFERROR(INDEX(凭证录入!L:L,$H677),0)</f>
        <v>0</v>
      </c>
      <c r="G677" s="176"/>
      <c r="H677" s="192" t="str">
        <f t="shared" si="143"/>
        <v/>
      </c>
    </row>
    <row r="678" spans="1:9" s="45" customFormat="1" ht="19.5" customHeight="1" thickBot="1">
      <c r="A678" s="189" t="str">
        <f>IFERROR(INDEX(凭证录入!H:H,$H678),"")</f>
        <v/>
      </c>
      <c r="B678" s="189" t="str">
        <f>IFERROR(INDEX(凭证录入!I:I,$H678),"")</f>
        <v/>
      </c>
      <c r="C678" s="190" t="str">
        <f>IFERROR(VLOOKUP($B678,会计科目表!$A:$C,2,),"")</f>
        <v/>
      </c>
      <c r="D678" s="190" t="str">
        <f>IFERROR(VLOOKUP($B678,会计科目表!$A:$C,3,),"")</f>
        <v/>
      </c>
      <c r="E678" s="191">
        <f>IFERROR(INDEX(凭证录入!K:K,$H678),0)</f>
        <v>0</v>
      </c>
      <c r="F678" s="191">
        <f>IFERROR(INDEX(凭证录入!L:L,$H678),0)</f>
        <v>0</v>
      </c>
      <c r="G678" s="176" t="s">
        <v>490</v>
      </c>
      <c r="H678" s="192" t="str">
        <f t="shared" si="143"/>
        <v/>
      </c>
      <c r="I678" s="176"/>
    </row>
    <row r="679" spans="1:9" s="45" customFormat="1" ht="19.5" customHeight="1" thickBot="1">
      <c r="A679" s="189" t="str">
        <f>IFERROR(INDEX(凭证录入!H:H,$H679),"")</f>
        <v/>
      </c>
      <c r="B679" s="189" t="str">
        <f>IFERROR(INDEX(凭证录入!I:I,$H679),"")</f>
        <v/>
      </c>
      <c r="C679" s="190" t="str">
        <f>IFERROR(VLOOKUP($B679,会计科目表!$A:$C,2,),"")</f>
        <v/>
      </c>
      <c r="D679" s="190" t="str">
        <f>IFERROR(VLOOKUP($B679,会计科目表!$A:$C,3,),"")</f>
        <v/>
      </c>
      <c r="E679" s="191">
        <f>IFERROR(INDEX(凭证录入!K:K,$H679),0)</f>
        <v>0</v>
      </c>
      <c r="F679" s="191">
        <f>IFERROR(INDEX(凭证录入!L:L,$H679),0)</f>
        <v>0</v>
      </c>
      <c r="G679" s="176" t="s">
        <v>491</v>
      </c>
      <c r="H679" s="192" t="str">
        <f t="shared" si="143"/>
        <v/>
      </c>
      <c r="I679" s="176"/>
    </row>
    <row r="680" spans="1:9" s="45" customFormat="1" ht="19.5" customHeight="1" thickBot="1">
      <c r="A680" s="189" t="str">
        <f>IFERROR(INDEX(凭证录入!H:H,$H680),"")</f>
        <v/>
      </c>
      <c r="B680" s="189" t="str">
        <f>IFERROR(INDEX(凭证录入!I:I,$H680),"")</f>
        <v/>
      </c>
      <c r="C680" s="190" t="str">
        <f>IFERROR(VLOOKUP($B680,会计科目表!$A:$C,2,),"")</f>
        <v/>
      </c>
      <c r="D680" s="190" t="str">
        <f>IFERROR(VLOOKUP($B680,会计科目表!$A:$C,3,),"")</f>
        <v/>
      </c>
      <c r="E680" s="191">
        <f>IFERROR(INDEX(凭证录入!K:K,$H680),0)</f>
        <v>0</v>
      </c>
      <c r="F680" s="191">
        <f>IFERROR(INDEX(凭证录入!L:L,$H680),0)</f>
        <v>0</v>
      </c>
      <c r="G680" s="176" t="e">
        <f>INDEX(凭证录入!$D:$D,$H677)</f>
        <v>#VALUE!</v>
      </c>
      <c r="H680" s="192" t="str">
        <f t="shared" si="143"/>
        <v/>
      </c>
      <c r="I680" s="176"/>
    </row>
    <row r="681" spans="1:9" s="45" customFormat="1" ht="19.5" customHeight="1" thickBot="1">
      <c r="A681" s="189" t="str">
        <f>IFERROR(INDEX(凭证录入!H:H,$H681),"")</f>
        <v/>
      </c>
      <c r="B681" s="189" t="str">
        <f>IFERROR(INDEX(凭证录入!I:I,$H681),"")</f>
        <v/>
      </c>
      <c r="C681" s="190" t="str">
        <f>IFERROR(VLOOKUP($B681,会计科目表!$A:$C,2,),"")</f>
        <v/>
      </c>
      <c r="D681" s="190" t="str">
        <f>IFERROR(VLOOKUP($B681,会计科目表!$A:$C,3,),"")</f>
        <v/>
      </c>
      <c r="E681" s="191">
        <f>IFERROR(INDEX(凭证录入!K:K,$H681),0)</f>
        <v>0</v>
      </c>
      <c r="F681" s="191">
        <f>IFERROR(INDEX(凭证录入!L:L,$H681),0)</f>
        <v>0</v>
      </c>
      <c r="G681" s="176" t="s">
        <v>492</v>
      </c>
      <c r="H681" s="192" t="str">
        <f t="shared" si="143"/>
        <v/>
      </c>
    </row>
    <row r="682" spans="1:9" s="45" customFormat="1" ht="19.5" customHeight="1" thickBot="1">
      <c r="A682" s="189" t="str">
        <f>IFERROR(INDEX(凭证录入!H:H,$H682),"")</f>
        <v/>
      </c>
      <c r="B682" s="189" t="str">
        <f>IFERROR(INDEX(凭证录入!I:I,$H682),"")</f>
        <v/>
      </c>
      <c r="C682" s="190" t="str">
        <f>IFERROR(VLOOKUP($B682,会计科目表!$A:$C,2,),"")</f>
        <v/>
      </c>
      <c r="D682" s="190" t="str">
        <f>IFERROR(VLOOKUP($B682,会计科目表!$A:$C,3,),"")</f>
        <v/>
      </c>
      <c r="E682" s="191">
        <f>IFERROR(INDEX(凭证录入!K:K,$H682),0)</f>
        <v>0</v>
      </c>
      <c r="F682" s="191">
        <f>IFERROR(INDEX(凭证录入!L:L,$H682),0)</f>
        <v>0</v>
      </c>
      <c r="G682" s="176"/>
      <c r="H682" s="192" t="str">
        <f t="shared" si="143"/>
        <v/>
      </c>
    </row>
    <row r="683" spans="1:9" s="45" customFormat="1" ht="19.5" customHeight="1" thickBot="1">
      <c r="A683" s="193"/>
      <c r="B683" s="194" t="s">
        <v>485</v>
      </c>
      <c r="C683" s="195" t="str">
        <f>SUBSTITUTE(SUBSTITUTE(IF(-DOLLAR(E683),IF(E683&gt;0,,"负")&amp;TEXT(INT(ABS(E683)+0.5%),"[dbnum2]G/通用格式元;;")&amp;TEXT(RIGHT(DOLLAR(E683),2),"[dbnum2]0角0分;;整"),),"零角",IF(E683^2&lt;1,,"零")),"零分","整")</f>
        <v/>
      </c>
      <c r="D683" s="196"/>
      <c r="E683" s="197">
        <f>SUM(E677:E682)</f>
        <v>0</v>
      </c>
      <c r="F683" s="197">
        <f>SUM(F677:F682)</f>
        <v>0</v>
      </c>
      <c r="G683" s="176"/>
      <c r="H683" s="192" t="str">
        <f t="shared" si="143"/>
        <v/>
      </c>
    </row>
    <row r="684" spans="1:9" s="199" customFormat="1" ht="19.5" customHeight="1">
      <c r="A684" s="45" t="s">
        <v>486</v>
      </c>
      <c r="B684" s="45" t="s">
        <v>487</v>
      </c>
      <c r="C684" s="45" t="s">
        <v>488</v>
      </c>
      <c r="D684" s="45" t="s">
        <v>504</v>
      </c>
      <c r="E684" s="45" t="s">
        <v>489</v>
      </c>
      <c r="F684" s="176" t="str">
        <f>IF($E683&lt;&gt;$F683,"借贷不平","")</f>
        <v/>
      </c>
      <c r="G684" s="183"/>
      <c r="H684" s="198" t="str">
        <f t="shared" si="143"/>
        <v/>
      </c>
    </row>
    <row r="685" spans="1:9" ht="37.5" customHeight="1">
      <c r="A685" s="177" t="s">
        <v>493</v>
      </c>
      <c r="B685" s="178"/>
      <c r="C685" s="179"/>
      <c r="D685" s="179"/>
      <c r="E685" s="178"/>
      <c r="F685" s="178"/>
      <c r="G685" s="176"/>
      <c r="H685" s="192" t="str">
        <f t="shared" si="143"/>
        <v/>
      </c>
    </row>
    <row r="686" spans="1:9" s="45" customFormat="1" ht="19.5" customHeight="1" thickBot="1">
      <c r="C686" s="180" t="e">
        <f>DATEVALUE("2010-"&amp;$H$1&amp;"-"&amp;INDEX(凭证录入!B:B,H689))</f>
        <v>#VALUE!</v>
      </c>
      <c r="D686" s="181"/>
      <c r="E686" s="182" t="s">
        <v>477</v>
      </c>
      <c r="F686" s="183" t="e">
        <f>N(LEFT((F674),3)+1)</f>
        <v>#VALUE!</v>
      </c>
      <c r="G686" s="176"/>
      <c r="H686" s="192" t="str">
        <f t="shared" si="143"/>
        <v/>
      </c>
      <c r="I686" s="184"/>
    </row>
    <row r="687" spans="1:9" s="45" customFormat="1" ht="19.5" customHeight="1" thickBot="1">
      <c r="A687" s="544" t="s">
        <v>494</v>
      </c>
      <c r="B687" s="545" t="s">
        <v>495</v>
      </c>
      <c r="C687" s="185" t="s">
        <v>496</v>
      </c>
      <c r="D687" s="186"/>
      <c r="E687" s="187"/>
      <c r="F687" s="188"/>
      <c r="G687" s="176"/>
      <c r="H687" s="192" t="str">
        <f t="shared" si="143"/>
        <v/>
      </c>
    </row>
    <row r="688" spans="1:9" s="45" customFormat="1" ht="19.5" customHeight="1" thickBot="1">
      <c r="A688" s="545"/>
      <c r="B688" s="546"/>
      <c r="C688" s="188" t="s">
        <v>497</v>
      </c>
      <c r="D688" s="188" t="s">
        <v>498</v>
      </c>
      <c r="E688" s="188" t="s">
        <v>499</v>
      </c>
      <c r="F688" s="188" t="s">
        <v>500</v>
      </c>
      <c r="G688" s="176"/>
      <c r="H688" s="192" t="str">
        <f t="shared" si="143"/>
        <v/>
      </c>
    </row>
    <row r="689" spans="1:9" s="45" customFormat="1" ht="19.5" customHeight="1" thickBot="1">
      <c r="A689" s="189" t="str">
        <f>IFERROR(INDEX(凭证录入!H:H,$H689),"")</f>
        <v/>
      </c>
      <c r="B689" s="189" t="str">
        <f>IFERROR(INDEX(凭证录入!I:I,$H689),"")</f>
        <v/>
      </c>
      <c r="C689" s="190" t="str">
        <f>IFERROR(VLOOKUP($B689,会计科目表!$A:$C,2,),"")</f>
        <v/>
      </c>
      <c r="D689" s="190" t="str">
        <f>IFERROR(VLOOKUP($B689,会计科目表!$A:$C,3,),"")</f>
        <v/>
      </c>
      <c r="E689" s="191">
        <f>IFERROR(INDEX(凭证录入!K:K,$H689),0)</f>
        <v>0</v>
      </c>
      <c r="F689" s="191">
        <f>IFERROR(INDEX(凭证录入!L:L,$H689),0)</f>
        <v>0</v>
      </c>
      <c r="G689" s="176"/>
      <c r="H689" s="192" t="str">
        <f t="shared" si="143"/>
        <v/>
      </c>
    </row>
    <row r="690" spans="1:9" s="45" customFormat="1" ht="19.5" customHeight="1" thickBot="1">
      <c r="A690" s="189" t="str">
        <f>IFERROR(INDEX(凭证录入!H:H,$H690),"")</f>
        <v/>
      </c>
      <c r="B690" s="189" t="str">
        <f>IFERROR(INDEX(凭证录入!I:I,$H690),"")</f>
        <v/>
      </c>
      <c r="C690" s="190" t="str">
        <f>IFERROR(VLOOKUP($B690,会计科目表!$A:$C,2,),"")</f>
        <v/>
      </c>
      <c r="D690" s="190" t="str">
        <f>IFERROR(VLOOKUP($B690,会计科目表!$A:$C,3,),"")</f>
        <v/>
      </c>
      <c r="E690" s="191">
        <f>IFERROR(INDEX(凭证录入!K:K,$H690),0)</f>
        <v>0</v>
      </c>
      <c r="F690" s="191">
        <f>IFERROR(INDEX(凭证录入!L:L,$H690),0)</f>
        <v>0</v>
      </c>
      <c r="G690" s="176" t="s">
        <v>490</v>
      </c>
      <c r="H690" s="192" t="str">
        <f t="shared" si="143"/>
        <v/>
      </c>
      <c r="I690" s="176"/>
    </row>
    <row r="691" spans="1:9" s="45" customFormat="1" ht="19.5" customHeight="1" thickBot="1">
      <c r="A691" s="189" t="str">
        <f>IFERROR(INDEX(凭证录入!H:H,$H691),"")</f>
        <v/>
      </c>
      <c r="B691" s="189" t="str">
        <f>IFERROR(INDEX(凭证录入!I:I,$H691),"")</f>
        <v/>
      </c>
      <c r="C691" s="190" t="str">
        <f>IFERROR(VLOOKUP($B691,会计科目表!$A:$C,2,),"")</f>
        <v/>
      </c>
      <c r="D691" s="190" t="str">
        <f>IFERROR(VLOOKUP($B691,会计科目表!$A:$C,3,),"")</f>
        <v/>
      </c>
      <c r="E691" s="191">
        <f>IFERROR(INDEX(凭证录入!K:K,$H691),0)</f>
        <v>0</v>
      </c>
      <c r="F691" s="191">
        <f>IFERROR(INDEX(凭证录入!L:L,$H691),0)</f>
        <v>0</v>
      </c>
      <c r="G691" s="176" t="s">
        <v>491</v>
      </c>
      <c r="H691" s="192" t="str">
        <f t="shared" si="143"/>
        <v/>
      </c>
      <c r="I691" s="176"/>
    </row>
    <row r="692" spans="1:9" s="45" customFormat="1" ht="19.5" customHeight="1" thickBot="1">
      <c r="A692" s="189" t="str">
        <f>IFERROR(INDEX(凭证录入!H:H,$H692),"")</f>
        <v/>
      </c>
      <c r="B692" s="189" t="str">
        <f>IFERROR(INDEX(凭证录入!I:I,$H692),"")</f>
        <v/>
      </c>
      <c r="C692" s="190" t="str">
        <f>IFERROR(VLOOKUP($B692,会计科目表!$A:$C,2,),"")</f>
        <v/>
      </c>
      <c r="D692" s="190" t="str">
        <f>IFERROR(VLOOKUP($B692,会计科目表!$A:$C,3,),"")</f>
        <v/>
      </c>
      <c r="E692" s="191">
        <f>IFERROR(INDEX(凭证录入!K:K,$H692),0)</f>
        <v>0</v>
      </c>
      <c r="F692" s="191">
        <f>IFERROR(INDEX(凭证录入!L:L,$H692),0)</f>
        <v>0</v>
      </c>
      <c r="G692" s="176" t="e">
        <f>INDEX(凭证录入!$D:$D,$H689)</f>
        <v>#VALUE!</v>
      </c>
      <c r="H692" s="192" t="str">
        <f t="shared" si="143"/>
        <v/>
      </c>
      <c r="I692" s="176"/>
    </row>
    <row r="693" spans="1:9" s="45" customFormat="1" ht="19.5" customHeight="1" thickBot="1">
      <c r="A693" s="189" t="str">
        <f>IFERROR(INDEX(凭证录入!H:H,$H693),"")</f>
        <v/>
      </c>
      <c r="B693" s="189" t="str">
        <f>IFERROR(INDEX(凭证录入!I:I,$H693),"")</f>
        <v/>
      </c>
      <c r="C693" s="190" t="str">
        <f>IFERROR(VLOOKUP($B693,会计科目表!$A:$C,2,),"")</f>
        <v/>
      </c>
      <c r="D693" s="190" t="str">
        <f>IFERROR(VLOOKUP($B693,会计科目表!$A:$C,3,),"")</f>
        <v/>
      </c>
      <c r="E693" s="191">
        <f>IFERROR(INDEX(凭证录入!K:K,$H693),0)</f>
        <v>0</v>
      </c>
      <c r="F693" s="191">
        <f>IFERROR(INDEX(凭证录入!L:L,$H693),0)</f>
        <v>0</v>
      </c>
      <c r="G693" s="176" t="s">
        <v>492</v>
      </c>
      <c r="H693" s="192" t="str">
        <f t="shared" si="143"/>
        <v/>
      </c>
    </row>
    <row r="694" spans="1:9" s="45" customFormat="1" ht="19.5" customHeight="1" thickBot="1">
      <c r="A694" s="189" t="str">
        <f>IFERROR(INDEX(凭证录入!H:H,$H694),"")</f>
        <v/>
      </c>
      <c r="B694" s="189" t="str">
        <f>IFERROR(INDEX(凭证录入!I:I,$H694),"")</f>
        <v/>
      </c>
      <c r="C694" s="190" t="str">
        <f>IFERROR(VLOOKUP($B694,会计科目表!$A:$C,2,),"")</f>
        <v/>
      </c>
      <c r="D694" s="190" t="str">
        <f>IFERROR(VLOOKUP($B694,会计科目表!$A:$C,3,),"")</f>
        <v/>
      </c>
      <c r="E694" s="191">
        <f>IFERROR(INDEX(凭证录入!K:K,$H694),0)</f>
        <v>0</v>
      </c>
      <c r="F694" s="191">
        <f>IFERROR(INDEX(凭证录入!L:L,$H694),0)</f>
        <v>0</v>
      </c>
      <c r="G694" s="176"/>
      <c r="H694" s="192" t="str">
        <f t="shared" si="143"/>
        <v/>
      </c>
    </row>
    <row r="695" spans="1:9" s="45" customFormat="1" ht="19.5" customHeight="1" thickBot="1">
      <c r="A695" s="193"/>
      <c r="B695" s="194" t="s">
        <v>485</v>
      </c>
      <c r="C695" s="195" t="str">
        <f>SUBSTITUTE(SUBSTITUTE(IF(-DOLLAR(E695),IF(E695&gt;0,,"负")&amp;TEXT(INT(ABS(E695)+0.5%),"[dbnum2]G/通用格式元;;")&amp;TEXT(RIGHT(DOLLAR(E695),2),"[dbnum2]0角0分;;整"),),"零角",IF(E695^2&lt;1,,"零")),"零分","整")</f>
        <v/>
      </c>
      <c r="D695" s="196"/>
      <c r="E695" s="197">
        <f>SUM(E689:E694)</f>
        <v>0</v>
      </c>
      <c r="F695" s="197">
        <f>SUM(F689:F694)</f>
        <v>0</v>
      </c>
      <c r="G695" s="176"/>
      <c r="H695" s="192" t="str">
        <f t="shared" si="143"/>
        <v/>
      </c>
    </row>
    <row r="696" spans="1:9" s="199" customFormat="1" ht="19.5" customHeight="1">
      <c r="A696" s="45" t="s">
        <v>486</v>
      </c>
      <c r="B696" s="45" t="s">
        <v>487</v>
      </c>
      <c r="C696" s="45" t="s">
        <v>488</v>
      </c>
      <c r="D696" s="45" t="s">
        <v>504</v>
      </c>
      <c r="E696" s="45" t="s">
        <v>489</v>
      </c>
      <c r="F696" s="176" t="str">
        <f>IF($E695&lt;&gt;$F695,"借贷不平","")</f>
        <v/>
      </c>
      <c r="G696" s="183"/>
      <c r="H696" s="198" t="str">
        <f t="shared" si="143"/>
        <v/>
      </c>
    </row>
    <row r="697" spans="1:9" ht="37.5" customHeight="1">
      <c r="A697" s="177" t="s">
        <v>493</v>
      </c>
      <c r="B697" s="178"/>
      <c r="C697" s="179"/>
      <c r="D697" s="179"/>
      <c r="E697" s="178"/>
      <c r="F697" s="178"/>
      <c r="G697" s="176"/>
      <c r="H697" s="192" t="str">
        <f t="shared" si="143"/>
        <v/>
      </c>
    </row>
    <row r="698" spans="1:9" s="45" customFormat="1" ht="19.5" customHeight="1" thickBot="1">
      <c r="C698" s="180" t="e">
        <f>DATEVALUE("2010-"&amp;$H$1&amp;"-"&amp;INDEX(凭证录入!B:B,H701))</f>
        <v>#VALUE!</v>
      </c>
      <c r="D698" s="181"/>
      <c r="E698" s="182" t="s">
        <v>477</v>
      </c>
      <c r="F698" s="183" t="e">
        <f>N(LEFT((F686),3)+1)</f>
        <v>#VALUE!</v>
      </c>
      <c r="G698" s="176"/>
      <c r="H698" s="192" t="str">
        <f t="shared" si="143"/>
        <v/>
      </c>
      <c r="I698" s="184"/>
    </row>
    <row r="699" spans="1:9" s="45" customFormat="1" ht="19.5" customHeight="1" thickBot="1">
      <c r="A699" s="544" t="s">
        <v>494</v>
      </c>
      <c r="B699" s="545" t="s">
        <v>495</v>
      </c>
      <c r="C699" s="185" t="s">
        <v>496</v>
      </c>
      <c r="D699" s="186"/>
      <c r="E699" s="187"/>
      <c r="F699" s="188"/>
      <c r="G699" s="176"/>
      <c r="H699" s="192" t="str">
        <f t="shared" si="143"/>
        <v/>
      </c>
    </row>
    <row r="700" spans="1:9" s="45" customFormat="1" ht="19.5" customHeight="1" thickBot="1">
      <c r="A700" s="545"/>
      <c r="B700" s="546"/>
      <c r="C700" s="188" t="s">
        <v>497</v>
      </c>
      <c r="D700" s="188" t="s">
        <v>498</v>
      </c>
      <c r="E700" s="188" t="s">
        <v>499</v>
      </c>
      <c r="F700" s="188" t="s">
        <v>500</v>
      </c>
      <c r="G700" s="176"/>
      <c r="H700" s="192" t="str">
        <f t="shared" si="143"/>
        <v/>
      </c>
    </row>
    <row r="701" spans="1:9" s="45" customFormat="1" ht="19.5" customHeight="1" thickBot="1">
      <c r="A701" s="189" t="str">
        <f>IFERROR(INDEX(凭证录入!H:H,$H701),"")</f>
        <v/>
      </c>
      <c r="B701" s="189" t="str">
        <f>IFERROR(INDEX(凭证录入!I:I,$H701),"")</f>
        <v/>
      </c>
      <c r="C701" s="190" t="str">
        <f>IFERROR(VLOOKUP($B701,会计科目表!$A:$C,2,),"")</f>
        <v/>
      </c>
      <c r="D701" s="190" t="str">
        <f>IFERROR(VLOOKUP($B701,会计科目表!$A:$C,3,),"")</f>
        <v/>
      </c>
      <c r="E701" s="191">
        <f>IFERROR(INDEX(凭证录入!K:K,$H701),0)</f>
        <v>0</v>
      </c>
      <c r="F701" s="191">
        <f>IFERROR(INDEX(凭证录入!L:L,$H701),0)</f>
        <v>0</v>
      </c>
      <c r="G701" s="176"/>
      <c r="H701" s="192" t="str">
        <f t="shared" si="143"/>
        <v/>
      </c>
    </row>
    <row r="702" spans="1:9" s="45" customFormat="1" ht="19.5" customHeight="1" thickBot="1">
      <c r="A702" s="189" t="str">
        <f>IFERROR(INDEX(凭证录入!H:H,$H702),"")</f>
        <v/>
      </c>
      <c r="B702" s="189" t="str">
        <f>IFERROR(INDEX(凭证录入!I:I,$H702),"")</f>
        <v/>
      </c>
      <c r="C702" s="190" t="str">
        <f>IFERROR(VLOOKUP($B702,会计科目表!$A:$C,2,),"")</f>
        <v/>
      </c>
      <c r="D702" s="190" t="str">
        <f>IFERROR(VLOOKUP($B702,会计科目表!$A:$C,3,),"")</f>
        <v/>
      </c>
      <c r="E702" s="191">
        <f>IFERROR(INDEX(凭证录入!K:K,$H702),0)</f>
        <v>0</v>
      </c>
      <c r="F702" s="191">
        <f>IFERROR(INDEX(凭证录入!L:L,$H702),0)</f>
        <v>0</v>
      </c>
      <c r="G702" s="176" t="s">
        <v>490</v>
      </c>
      <c r="H702" s="192" t="str">
        <f t="shared" si="143"/>
        <v/>
      </c>
      <c r="I702" s="176"/>
    </row>
    <row r="703" spans="1:9" s="45" customFormat="1" ht="19.5" customHeight="1" thickBot="1">
      <c r="A703" s="189" t="str">
        <f>IFERROR(INDEX(凭证录入!H:H,$H703),"")</f>
        <v/>
      </c>
      <c r="B703" s="189" t="str">
        <f>IFERROR(INDEX(凭证录入!I:I,$H703),"")</f>
        <v/>
      </c>
      <c r="C703" s="190" t="str">
        <f>IFERROR(VLOOKUP($B703,会计科目表!$A:$C,2,),"")</f>
        <v/>
      </c>
      <c r="D703" s="190" t="str">
        <f>IFERROR(VLOOKUP($B703,会计科目表!$A:$C,3,),"")</f>
        <v/>
      </c>
      <c r="E703" s="191">
        <f>IFERROR(INDEX(凭证录入!K:K,$H703),0)</f>
        <v>0</v>
      </c>
      <c r="F703" s="191">
        <f>IFERROR(INDEX(凭证录入!L:L,$H703),0)</f>
        <v>0</v>
      </c>
      <c r="G703" s="176" t="s">
        <v>491</v>
      </c>
      <c r="H703" s="192" t="str">
        <f t="shared" si="143"/>
        <v/>
      </c>
      <c r="I703" s="176"/>
    </row>
    <row r="704" spans="1:9" s="45" customFormat="1" ht="19.5" customHeight="1" thickBot="1">
      <c r="A704" s="189" t="str">
        <f>IFERROR(INDEX(凭证录入!H:H,$H704),"")</f>
        <v/>
      </c>
      <c r="B704" s="189" t="str">
        <f>IFERROR(INDEX(凭证录入!I:I,$H704),"")</f>
        <v/>
      </c>
      <c r="C704" s="190" t="str">
        <f>IFERROR(VLOOKUP($B704,会计科目表!$A:$C,2,),"")</f>
        <v/>
      </c>
      <c r="D704" s="190" t="str">
        <f>IFERROR(VLOOKUP($B704,会计科目表!$A:$C,3,),"")</f>
        <v/>
      </c>
      <c r="E704" s="191">
        <f>IFERROR(INDEX(凭证录入!K:K,$H704),0)</f>
        <v>0</v>
      </c>
      <c r="F704" s="191">
        <f>IFERROR(INDEX(凭证录入!L:L,$H704),0)</f>
        <v>0</v>
      </c>
      <c r="G704" s="176" t="e">
        <f>INDEX(凭证录入!$D:$D,$H701)</f>
        <v>#VALUE!</v>
      </c>
      <c r="H704" s="192" t="str">
        <f t="shared" si="143"/>
        <v/>
      </c>
      <c r="I704" s="176"/>
    </row>
    <row r="705" spans="1:9" s="45" customFormat="1" ht="19.5" customHeight="1" thickBot="1">
      <c r="A705" s="189" t="str">
        <f>IFERROR(INDEX(凭证录入!H:H,$H705),"")</f>
        <v/>
      </c>
      <c r="B705" s="189" t="str">
        <f>IFERROR(INDEX(凭证录入!I:I,$H705),"")</f>
        <v/>
      </c>
      <c r="C705" s="190" t="str">
        <f>IFERROR(VLOOKUP($B705,会计科目表!$A:$C,2,),"")</f>
        <v/>
      </c>
      <c r="D705" s="190" t="str">
        <f>IFERROR(VLOOKUP($B705,会计科目表!$A:$C,3,),"")</f>
        <v/>
      </c>
      <c r="E705" s="191">
        <f>IFERROR(INDEX(凭证录入!K:K,$H705),0)</f>
        <v>0</v>
      </c>
      <c r="F705" s="191">
        <f>IFERROR(INDEX(凭证录入!L:L,$H705),0)</f>
        <v>0</v>
      </c>
      <c r="G705" s="176" t="s">
        <v>492</v>
      </c>
      <c r="H705" s="192" t="str">
        <f t="shared" si="143"/>
        <v/>
      </c>
    </row>
    <row r="706" spans="1:9" s="45" customFormat="1" ht="19.5" customHeight="1" thickBot="1">
      <c r="A706" s="189" t="str">
        <f>IFERROR(INDEX(凭证录入!H:H,$H706),"")</f>
        <v/>
      </c>
      <c r="B706" s="189" t="str">
        <f>IFERROR(INDEX(凭证录入!I:I,$H706),"")</f>
        <v/>
      </c>
      <c r="C706" s="190" t="str">
        <f>IFERROR(VLOOKUP($B706,会计科目表!$A:$C,2,),"")</f>
        <v/>
      </c>
      <c r="D706" s="190" t="str">
        <f>IFERROR(VLOOKUP($B706,会计科目表!$A:$C,3,),"")</f>
        <v/>
      </c>
      <c r="E706" s="191">
        <f>IFERROR(INDEX(凭证录入!K:K,$H706),0)</f>
        <v>0</v>
      </c>
      <c r="F706" s="191">
        <f>IFERROR(INDEX(凭证录入!L:L,$H706),0)</f>
        <v>0</v>
      </c>
      <c r="G706" s="176"/>
      <c r="H706" s="192" t="str">
        <f t="shared" si="143"/>
        <v/>
      </c>
    </row>
    <row r="707" spans="1:9" s="45" customFormat="1" ht="19.5" customHeight="1" thickBot="1">
      <c r="A707" s="193"/>
      <c r="B707" s="194" t="s">
        <v>485</v>
      </c>
      <c r="C707" s="195" t="str">
        <f>SUBSTITUTE(SUBSTITUTE(IF(-DOLLAR(E707),IF(E707&gt;0,,"负")&amp;TEXT(INT(ABS(E707)+0.5%),"[dbnum2]G/通用格式元;;")&amp;TEXT(RIGHT(DOLLAR(E707),2),"[dbnum2]0角0分;;整"),),"零角",IF(E707^2&lt;1,,"零")),"零分","整")</f>
        <v/>
      </c>
      <c r="D707" s="196"/>
      <c r="E707" s="197">
        <f>SUM(E701:E706)</f>
        <v>0</v>
      </c>
      <c r="F707" s="197">
        <f>SUM(F701:F706)</f>
        <v>0</v>
      </c>
      <c r="G707" s="176"/>
      <c r="H707" s="192" t="str">
        <f t="shared" si="143"/>
        <v/>
      </c>
    </row>
    <row r="708" spans="1:9" s="199" customFormat="1" ht="19.5" customHeight="1">
      <c r="A708" s="45" t="s">
        <v>486</v>
      </c>
      <c r="B708" s="45" t="s">
        <v>487</v>
      </c>
      <c r="C708" s="45" t="s">
        <v>488</v>
      </c>
      <c r="D708" s="45" t="s">
        <v>504</v>
      </c>
      <c r="E708" s="45" t="s">
        <v>489</v>
      </c>
      <c r="F708" s="176" t="str">
        <f>IF($E707&lt;&gt;$F707,"借贷不平","")</f>
        <v/>
      </c>
      <c r="G708" s="183"/>
      <c r="H708" s="198" t="str">
        <f t="shared" si="143"/>
        <v/>
      </c>
    </row>
    <row r="709" spans="1:9" ht="37.5" customHeight="1">
      <c r="A709" s="177" t="s">
        <v>493</v>
      </c>
      <c r="B709" s="178"/>
      <c r="C709" s="179"/>
      <c r="D709" s="179"/>
      <c r="E709" s="178"/>
      <c r="F709" s="178"/>
      <c r="G709" s="176"/>
      <c r="H709" s="192" t="str">
        <f t="shared" ref="H709:H772" si="144">IFERROR(INDEX(行号,TEXT(MOD(ROW(),12)-4,"[=]A")),"")</f>
        <v/>
      </c>
    </row>
    <row r="710" spans="1:9" s="45" customFormat="1" ht="19.5" customHeight="1" thickBot="1">
      <c r="C710" s="180" t="e">
        <f>DATEVALUE("2010-"&amp;$H$1&amp;"-"&amp;INDEX(凭证录入!B:B,H713))</f>
        <v>#VALUE!</v>
      </c>
      <c r="D710" s="181"/>
      <c r="E710" s="182" t="s">
        <v>477</v>
      </c>
      <c r="F710" s="183" t="e">
        <f>N(LEFT((F698),3)+1)</f>
        <v>#VALUE!</v>
      </c>
      <c r="G710" s="176"/>
      <c r="H710" s="192" t="str">
        <f t="shared" si="144"/>
        <v/>
      </c>
      <c r="I710" s="184"/>
    </row>
    <row r="711" spans="1:9" s="45" customFormat="1" ht="19.5" customHeight="1" thickBot="1">
      <c r="A711" s="544" t="s">
        <v>494</v>
      </c>
      <c r="B711" s="545" t="s">
        <v>495</v>
      </c>
      <c r="C711" s="185" t="s">
        <v>496</v>
      </c>
      <c r="D711" s="186"/>
      <c r="E711" s="187"/>
      <c r="F711" s="188"/>
      <c r="G711" s="176"/>
      <c r="H711" s="192" t="str">
        <f t="shared" si="144"/>
        <v/>
      </c>
    </row>
    <row r="712" spans="1:9" s="45" customFormat="1" ht="19.5" customHeight="1" thickBot="1">
      <c r="A712" s="545"/>
      <c r="B712" s="546"/>
      <c r="C712" s="188" t="s">
        <v>497</v>
      </c>
      <c r="D712" s="188" t="s">
        <v>498</v>
      </c>
      <c r="E712" s="188" t="s">
        <v>499</v>
      </c>
      <c r="F712" s="188" t="s">
        <v>500</v>
      </c>
      <c r="G712" s="176"/>
      <c r="H712" s="192" t="str">
        <f t="shared" si="144"/>
        <v/>
      </c>
    </row>
    <row r="713" spans="1:9" s="45" customFormat="1" ht="19.5" customHeight="1" thickBot="1">
      <c r="A713" s="189" t="str">
        <f>IFERROR(INDEX(凭证录入!H:H,$H713),"")</f>
        <v/>
      </c>
      <c r="B713" s="189" t="str">
        <f>IFERROR(INDEX(凭证录入!I:I,$H713),"")</f>
        <v/>
      </c>
      <c r="C713" s="190" t="str">
        <f>IFERROR(VLOOKUP($B713,会计科目表!$A:$C,2,),"")</f>
        <v/>
      </c>
      <c r="D713" s="190" t="str">
        <f>IFERROR(VLOOKUP($B713,会计科目表!$A:$C,3,),"")</f>
        <v/>
      </c>
      <c r="E713" s="191">
        <f>IFERROR(INDEX(凭证录入!K:K,$H713),0)</f>
        <v>0</v>
      </c>
      <c r="F713" s="191">
        <f>IFERROR(INDEX(凭证录入!L:L,$H713),0)</f>
        <v>0</v>
      </c>
      <c r="G713" s="176"/>
      <c r="H713" s="192" t="str">
        <f t="shared" si="144"/>
        <v/>
      </c>
    </row>
    <row r="714" spans="1:9" s="45" customFormat="1" ht="19.5" customHeight="1" thickBot="1">
      <c r="A714" s="189" t="str">
        <f>IFERROR(INDEX(凭证录入!H:H,$H714),"")</f>
        <v/>
      </c>
      <c r="B714" s="189" t="str">
        <f>IFERROR(INDEX(凭证录入!I:I,$H714),"")</f>
        <v/>
      </c>
      <c r="C714" s="190" t="str">
        <f>IFERROR(VLOOKUP($B714,会计科目表!$A:$C,2,),"")</f>
        <v/>
      </c>
      <c r="D714" s="190" t="str">
        <f>IFERROR(VLOOKUP($B714,会计科目表!$A:$C,3,),"")</f>
        <v/>
      </c>
      <c r="E714" s="191">
        <f>IFERROR(INDEX(凭证录入!K:K,$H714),0)</f>
        <v>0</v>
      </c>
      <c r="F714" s="191">
        <f>IFERROR(INDEX(凭证录入!L:L,$H714),0)</f>
        <v>0</v>
      </c>
      <c r="G714" s="176" t="s">
        <v>490</v>
      </c>
      <c r="H714" s="192" t="str">
        <f t="shared" si="144"/>
        <v/>
      </c>
      <c r="I714" s="176"/>
    </row>
    <row r="715" spans="1:9" s="45" customFormat="1" ht="19.5" customHeight="1" thickBot="1">
      <c r="A715" s="189" t="str">
        <f>IFERROR(INDEX(凭证录入!H:H,$H715),"")</f>
        <v/>
      </c>
      <c r="B715" s="189" t="str">
        <f>IFERROR(INDEX(凭证录入!I:I,$H715),"")</f>
        <v/>
      </c>
      <c r="C715" s="190" t="str">
        <f>IFERROR(VLOOKUP($B715,会计科目表!$A:$C,2,),"")</f>
        <v/>
      </c>
      <c r="D715" s="190" t="str">
        <f>IFERROR(VLOOKUP($B715,会计科目表!$A:$C,3,),"")</f>
        <v/>
      </c>
      <c r="E715" s="191">
        <f>IFERROR(INDEX(凭证录入!K:K,$H715),0)</f>
        <v>0</v>
      </c>
      <c r="F715" s="191">
        <f>IFERROR(INDEX(凭证录入!L:L,$H715),0)</f>
        <v>0</v>
      </c>
      <c r="G715" s="176" t="s">
        <v>491</v>
      </c>
      <c r="H715" s="192" t="str">
        <f t="shared" si="144"/>
        <v/>
      </c>
      <c r="I715" s="176"/>
    </row>
    <row r="716" spans="1:9" s="45" customFormat="1" ht="19.5" customHeight="1" thickBot="1">
      <c r="A716" s="189" t="str">
        <f>IFERROR(INDEX(凭证录入!H:H,$H716),"")</f>
        <v/>
      </c>
      <c r="B716" s="189" t="str">
        <f>IFERROR(INDEX(凭证录入!I:I,$H716),"")</f>
        <v/>
      </c>
      <c r="C716" s="190" t="str">
        <f>IFERROR(VLOOKUP($B716,会计科目表!$A:$C,2,),"")</f>
        <v/>
      </c>
      <c r="D716" s="190" t="str">
        <f>IFERROR(VLOOKUP($B716,会计科目表!$A:$C,3,),"")</f>
        <v/>
      </c>
      <c r="E716" s="191">
        <f>IFERROR(INDEX(凭证录入!K:K,$H716),0)</f>
        <v>0</v>
      </c>
      <c r="F716" s="191">
        <f>IFERROR(INDEX(凭证录入!L:L,$H716),0)</f>
        <v>0</v>
      </c>
      <c r="G716" s="176" t="e">
        <f>INDEX(凭证录入!$D:$D,$H713)</f>
        <v>#VALUE!</v>
      </c>
      <c r="H716" s="192" t="str">
        <f t="shared" si="144"/>
        <v/>
      </c>
      <c r="I716" s="176"/>
    </row>
    <row r="717" spans="1:9" s="45" customFormat="1" ht="19.5" customHeight="1" thickBot="1">
      <c r="A717" s="189" t="str">
        <f>IFERROR(INDEX(凭证录入!H:H,$H717),"")</f>
        <v/>
      </c>
      <c r="B717" s="189" t="str">
        <f>IFERROR(INDEX(凭证录入!I:I,$H717),"")</f>
        <v/>
      </c>
      <c r="C717" s="190" t="str">
        <f>IFERROR(VLOOKUP($B717,会计科目表!$A:$C,2,),"")</f>
        <v/>
      </c>
      <c r="D717" s="190" t="str">
        <f>IFERROR(VLOOKUP($B717,会计科目表!$A:$C,3,),"")</f>
        <v/>
      </c>
      <c r="E717" s="191">
        <f>IFERROR(INDEX(凭证录入!K:K,$H717),0)</f>
        <v>0</v>
      </c>
      <c r="F717" s="191">
        <f>IFERROR(INDEX(凭证录入!L:L,$H717),0)</f>
        <v>0</v>
      </c>
      <c r="G717" s="176" t="s">
        <v>492</v>
      </c>
      <c r="H717" s="192" t="str">
        <f t="shared" si="144"/>
        <v/>
      </c>
    </row>
    <row r="718" spans="1:9" s="45" customFormat="1" ht="19.5" customHeight="1" thickBot="1">
      <c r="A718" s="189" t="str">
        <f>IFERROR(INDEX(凭证录入!H:H,$H718),"")</f>
        <v/>
      </c>
      <c r="B718" s="189" t="str">
        <f>IFERROR(INDEX(凭证录入!I:I,$H718),"")</f>
        <v/>
      </c>
      <c r="C718" s="190" t="str">
        <f>IFERROR(VLOOKUP($B718,会计科目表!$A:$C,2,),"")</f>
        <v/>
      </c>
      <c r="D718" s="190" t="str">
        <f>IFERROR(VLOOKUP($B718,会计科目表!$A:$C,3,),"")</f>
        <v/>
      </c>
      <c r="E718" s="191">
        <f>IFERROR(INDEX(凭证录入!K:K,$H718),0)</f>
        <v>0</v>
      </c>
      <c r="F718" s="191">
        <f>IFERROR(INDEX(凭证录入!L:L,$H718),0)</f>
        <v>0</v>
      </c>
      <c r="G718" s="176"/>
      <c r="H718" s="192" t="str">
        <f t="shared" si="144"/>
        <v/>
      </c>
    </row>
    <row r="719" spans="1:9" s="45" customFormat="1" ht="19.5" customHeight="1" thickBot="1">
      <c r="A719" s="193"/>
      <c r="B719" s="194" t="s">
        <v>485</v>
      </c>
      <c r="C719" s="195" t="str">
        <f>SUBSTITUTE(SUBSTITUTE(IF(-DOLLAR(E719),IF(E719&gt;0,,"负")&amp;TEXT(INT(ABS(E719)+0.5%),"[dbnum2]G/通用格式元;;")&amp;TEXT(RIGHT(DOLLAR(E719),2),"[dbnum2]0角0分;;整"),),"零角",IF(E719^2&lt;1,,"零")),"零分","整")</f>
        <v/>
      </c>
      <c r="D719" s="196"/>
      <c r="E719" s="197">
        <f>SUM(E713:E718)</f>
        <v>0</v>
      </c>
      <c r="F719" s="197">
        <f>SUM(F713:F718)</f>
        <v>0</v>
      </c>
      <c r="G719" s="176"/>
      <c r="H719" s="192" t="str">
        <f t="shared" si="144"/>
        <v/>
      </c>
    </row>
    <row r="720" spans="1:9" s="199" customFormat="1" ht="19.5" customHeight="1">
      <c r="A720" s="45" t="s">
        <v>486</v>
      </c>
      <c r="B720" s="45" t="s">
        <v>487</v>
      </c>
      <c r="C720" s="45" t="s">
        <v>488</v>
      </c>
      <c r="D720" s="45" t="s">
        <v>504</v>
      </c>
      <c r="E720" s="45" t="s">
        <v>489</v>
      </c>
      <c r="F720" s="176" t="str">
        <f>IF($E719&lt;&gt;$F719,"借贷不平","")</f>
        <v/>
      </c>
      <c r="G720" s="183"/>
      <c r="H720" s="198" t="str">
        <f t="shared" si="144"/>
        <v/>
      </c>
    </row>
    <row r="721" spans="1:9" ht="37.5" customHeight="1">
      <c r="A721" s="177" t="s">
        <v>493</v>
      </c>
      <c r="B721" s="178"/>
      <c r="C721" s="179"/>
      <c r="D721" s="179"/>
      <c r="E721" s="178"/>
      <c r="F721" s="178"/>
      <c r="G721" s="176"/>
      <c r="H721" s="192" t="str">
        <f t="shared" si="144"/>
        <v/>
      </c>
    </row>
    <row r="722" spans="1:9" s="45" customFormat="1" ht="19.5" customHeight="1" thickBot="1">
      <c r="C722" s="180" t="e">
        <f>DATEVALUE("2010-"&amp;$H$1&amp;"-"&amp;INDEX(凭证录入!B:B,H725))</f>
        <v>#VALUE!</v>
      </c>
      <c r="D722" s="181"/>
      <c r="E722" s="182" t="s">
        <v>477</v>
      </c>
      <c r="F722" s="183" t="e">
        <f>N(LEFT((F710),3)+1)</f>
        <v>#VALUE!</v>
      </c>
      <c r="G722" s="176"/>
      <c r="H722" s="192" t="str">
        <f t="shared" si="144"/>
        <v/>
      </c>
      <c r="I722" s="184"/>
    </row>
    <row r="723" spans="1:9" s="45" customFormat="1" ht="19.5" customHeight="1" thickBot="1">
      <c r="A723" s="544" t="s">
        <v>494</v>
      </c>
      <c r="B723" s="545" t="s">
        <v>495</v>
      </c>
      <c r="C723" s="185" t="s">
        <v>496</v>
      </c>
      <c r="D723" s="186"/>
      <c r="E723" s="187"/>
      <c r="F723" s="188"/>
      <c r="G723" s="176"/>
      <c r="H723" s="192" t="str">
        <f t="shared" si="144"/>
        <v/>
      </c>
    </row>
    <row r="724" spans="1:9" s="45" customFormat="1" ht="19.5" customHeight="1" thickBot="1">
      <c r="A724" s="545"/>
      <c r="B724" s="546"/>
      <c r="C724" s="188" t="s">
        <v>497</v>
      </c>
      <c r="D724" s="188" t="s">
        <v>498</v>
      </c>
      <c r="E724" s="188" t="s">
        <v>499</v>
      </c>
      <c r="F724" s="188" t="s">
        <v>500</v>
      </c>
      <c r="G724" s="176"/>
      <c r="H724" s="192" t="str">
        <f t="shared" si="144"/>
        <v/>
      </c>
    </row>
    <row r="725" spans="1:9" s="45" customFormat="1" ht="19.5" customHeight="1" thickBot="1">
      <c r="A725" s="189" t="str">
        <f>IFERROR(INDEX(凭证录入!H:H,$H725),"")</f>
        <v/>
      </c>
      <c r="B725" s="189" t="str">
        <f>IFERROR(INDEX(凭证录入!I:I,$H725),"")</f>
        <v/>
      </c>
      <c r="C725" s="190" t="str">
        <f>IFERROR(VLOOKUP($B725,会计科目表!$A:$C,2,),"")</f>
        <v/>
      </c>
      <c r="D725" s="190" t="str">
        <f>IFERROR(VLOOKUP($B725,会计科目表!$A:$C,3,),"")</f>
        <v/>
      </c>
      <c r="E725" s="191">
        <f>IFERROR(INDEX(凭证录入!K:K,$H725),0)</f>
        <v>0</v>
      </c>
      <c r="F725" s="191">
        <f>IFERROR(INDEX(凭证录入!L:L,$H725),0)</f>
        <v>0</v>
      </c>
      <c r="G725" s="176"/>
      <c r="H725" s="192" t="str">
        <f t="shared" si="144"/>
        <v/>
      </c>
    </row>
    <row r="726" spans="1:9" s="45" customFormat="1" ht="19.5" customHeight="1" thickBot="1">
      <c r="A726" s="189" t="str">
        <f>IFERROR(INDEX(凭证录入!H:H,$H726),"")</f>
        <v/>
      </c>
      <c r="B726" s="189" t="str">
        <f>IFERROR(INDEX(凭证录入!I:I,$H726),"")</f>
        <v/>
      </c>
      <c r="C726" s="190" t="str">
        <f>IFERROR(VLOOKUP($B726,会计科目表!$A:$C,2,),"")</f>
        <v/>
      </c>
      <c r="D726" s="190" t="str">
        <f>IFERROR(VLOOKUP($B726,会计科目表!$A:$C,3,),"")</f>
        <v/>
      </c>
      <c r="E726" s="191">
        <f>IFERROR(INDEX(凭证录入!K:K,$H726),0)</f>
        <v>0</v>
      </c>
      <c r="F726" s="191">
        <f>IFERROR(INDEX(凭证录入!L:L,$H726),0)</f>
        <v>0</v>
      </c>
      <c r="G726" s="176" t="s">
        <v>490</v>
      </c>
      <c r="H726" s="192" t="str">
        <f t="shared" si="144"/>
        <v/>
      </c>
      <c r="I726" s="176"/>
    </row>
    <row r="727" spans="1:9" s="45" customFormat="1" ht="19.5" customHeight="1" thickBot="1">
      <c r="A727" s="189" t="str">
        <f>IFERROR(INDEX(凭证录入!H:H,$H727),"")</f>
        <v/>
      </c>
      <c r="B727" s="189" t="str">
        <f>IFERROR(INDEX(凭证录入!I:I,$H727),"")</f>
        <v/>
      </c>
      <c r="C727" s="190" t="str">
        <f>IFERROR(VLOOKUP($B727,会计科目表!$A:$C,2,),"")</f>
        <v/>
      </c>
      <c r="D727" s="190" t="str">
        <f>IFERROR(VLOOKUP($B727,会计科目表!$A:$C,3,),"")</f>
        <v/>
      </c>
      <c r="E727" s="191">
        <f>IFERROR(INDEX(凭证录入!K:K,$H727),0)</f>
        <v>0</v>
      </c>
      <c r="F727" s="191">
        <f>IFERROR(INDEX(凭证录入!L:L,$H727),0)</f>
        <v>0</v>
      </c>
      <c r="G727" s="176" t="s">
        <v>491</v>
      </c>
      <c r="H727" s="192" t="str">
        <f t="shared" si="144"/>
        <v/>
      </c>
      <c r="I727" s="176"/>
    </row>
    <row r="728" spans="1:9" s="45" customFormat="1" ht="19.5" customHeight="1" thickBot="1">
      <c r="A728" s="189" t="str">
        <f>IFERROR(INDEX(凭证录入!H:H,$H728),"")</f>
        <v/>
      </c>
      <c r="B728" s="189" t="str">
        <f>IFERROR(INDEX(凭证录入!I:I,$H728),"")</f>
        <v/>
      </c>
      <c r="C728" s="190" t="str">
        <f>IFERROR(VLOOKUP($B728,会计科目表!$A:$C,2,),"")</f>
        <v/>
      </c>
      <c r="D728" s="190" t="str">
        <f>IFERROR(VLOOKUP($B728,会计科目表!$A:$C,3,),"")</f>
        <v/>
      </c>
      <c r="E728" s="191">
        <f>IFERROR(INDEX(凭证录入!K:K,$H728),0)</f>
        <v>0</v>
      </c>
      <c r="F728" s="191">
        <f>IFERROR(INDEX(凭证录入!L:L,$H728),0)</f>
        <v>0</v>
      </c>
      <c r="G728" s="176" t="e">
        <f>INDEX(凭证录入!$D:$D,$H725)</f>
        <v>#VALUE!</v>
      </c>
      <c r="H728" s="192" t="str">
        <f t="shared" si="144"/>
        <v/>
      </c>
      <c r="I728" s="176"/>
    </row>
    <row r="729" spans="1:9" s="45" customFormat="1" ht="19.5" customHeight="1" thickBot="1">
      <c r="A729" s="189" t="str">
        <f>IFERROR(INDEX(凭证录入!H:H,$H729),"")</f>
        <v/>
      </c>
      <c r="B729" s="189" t="str">
        <f>IFERROR(INDEX(凭证录入!I:I,$H729),"")</f>
        <v/>
      </c>
      <c r="C729" s="190" t="str">
        <f>IFERROR(VLOOKUP($B729,会计科目表!$A:$C,2,),"")</f>
        <v/>
      </c>
      <c r="D729" s="190" t="str">
        <f>IFERROR(VLOOKUP($B729,会计科目表!$A:$C,3,),"")</f>
        <v/>
      </c>
      <c r="E729" s="191">
        <f>IFERROR(INDEX(凭证录入!K:K,$H729),0)</f>
        <v>0</v>
      </c>
      <c r="F729" s="191">
        <f>IFERROR(INDEX(凭证录入!L:L,$H729),0)</f>
        <v>0</v>
      </c>
      <c r="G729" s="176" t="s">
        <v>492</v>
      </c>
      <c r="H729" s="192" t="str">
        <f t="shared" si="144"/>
        <v/>
      </c>
    </row>
    <row r="730" spans="1:9" s="45" customFormat="1" ht="19.5" customHeight="1" thickBot="1">
      <c r="A730" s="189" t="str">
        <f>IFERROR(INDEX(凭证录入!H:H,$H730),"")</f>
        <v/>
      </c>
      <c r="B730" s="189" t="str">
        <f>IFERROR(INDEX(凭证录入!I:I,$H730),"")</f>
        <v/>
      </c>
      <c r="C730" s="190" t="str">
        <f>IFERROR(VLOOKUP($B730,会计科目表!$A:$C,2,),"")</f>
        <v/>
      </c>
      <c r="D730" s="190" t="str">
        <f>IFERROR(VLOOKUP($B730,会计科目表!$A:$C,3,),"")</f>
        <v/>
      </c>
      <c r="E730" s="191">
        <f>IFERROR(INDEX(凭证录入!K:K,$H730),0)</f>
        <v>0</v>
      </c>
      <c r="F730" s="191">
        <f>IFERROR(INDEX(凭证录入!L:L,$H730),0)</f>
        <v>0</v>
      </c>
      <c r="G730" s="176"/>
      <c r="H730" s="192" t="str">
        <f t="shared" si="144"/>
        <v/>
      </c>
    </row>
    <row r="731" spans="1:9" s="45" customFormat="1" ht="19.5" customHeight="1" thickBot="1">
      <c r="A731" s="193"/>
      <c r="B731" s="194" t="s">
        <v>485</v>
      </c>
      <c r="C731" s="195" t="str">
        <f>SUBSTITUTE(SUBSTITUTE(IF(-DOLLAR(E731),IF(E731&gt;0,,"负")&amp;TEXT(INT(ABS(E731)+0.5%),"[dbnum2]G/通用格式元;;")&amp;TEXT(RIGHT(DOLLAR(E731),2),"[dbnum2]0角0分;;整"),),"零角",IF(E731^2&lt;1,,"零")),"零分","整")</f>
        <v/>
      </c>
      <c r="D731" s="196"/>
      <c r="E731" s="197">
        <f>SUM(E725:E730)</f>
        <v>0</v>
      </c>
      <c r="F731" s="197">
        <f>SUM(F725:F730)</f>
        <v>0</v>
      </c>
      <c r="G731" s="176"/>
      <c r="H731" s="192" t="str">
        <f t="shared" si="144"/>
        <v/>
      </c>
    </row>
    <row r="732" spans="1:9" s="199" customFormat="1" ht="19.5" customHeight="1">
      <c r="A732" s="45" t="s">
        <v>486</v>
      </c>
      <c r="B732" s="45" t="s">
        <v>487</v>
      </c>
      <c r="C732" s="45" t="s">
        <v>488</v>
      </c>
      <c r="D732" s="45" t="s">
        <v>504</v>
      </c>
      <c r="E732" s="45" t="s">
        <v>489</v>
      </c>
      <c r="F732" s="176" t="str">
        <f>IF($E731&lt;&gt;$F731,"借贷不平","")</f>
        <v/>
      </c>
      <c r="G732" s="183"/>
      <c r="H732" s="198" t="str">
        <f t="shared" si="144"/>
        <v/>
      </c>
    </row>
    <row r="733" spans="1:9" ht="37.5" customHeight="1">
      <c r="A733" s="177" t="s">
        <v>493</v>
      </c>
      <c r="B733" s="178"/>
      <c r="C733" s="179"/>
      <c r="D733" s="179"/>
      <c r="E733" s="178"/>
      <c r="F733" s="178"/>
      <c r="G733" s="176"/>
      <c r="H733" s="192" t="str">
        <f t="shared" si="144"/>
        <v/>
      </c>
    </row>
    <row r="734" spans="1:9" s="45" customFormat="1" ht="19.5" customHeight="1" thickBot="1">
      <c r="C734" s="180" t="e">
        <f>DATEVALUE("2010-"&amp;$H$1&amp;"-"&amp;INDEX(凭证录入!B:B,H737))</f>
        <v>#VALUE!</v>
      </c>
      <c r="D734" s="181"/>
      <c r="E734" s="182" t="s">
        <v>477</v>
      </c>
      <c r="F734" s="183" t="e">
        <f>N(LEFT((F722),3)+1)</f>
        <v>#VALUE!</v>
      </c>
      <c r="G734" s="176"/>
      <c r="H734" s="192" t="str">
        <f t="shared" si="144"/>
        <v/>
      </c>
      <c r="I734" s="184"/>
    </row>
    <row r="735" spans="1:9" s="45" customFormat="1" ht="19.5" customHeight="1" thickBot="1">
      <c r="A735" s="544" t="s">
        <v>494</v>
      </c>
      <c r="B735" s="545" t="s">
        <v>495</v>
      </c>
      <c r="C735" s="185" t="s">
        <v>496</v>
      </c>
      <c r="D735" s="186"/>
      <c r="E735" s="187"/>
      <c r="F735" s="188"/>
      <c r="G735" s="176"/>
      <c r="H735" s="192" t="str">
        <f t="shared" si="144"/>
        <v/>
      </c>
    </row>
    <row r="736" spans="1:9" s="45" customFormat="1" ht="19.5" customHeight="1" thickBot="1">
      <c r="A736" s="545"/>
      <c r="B736" s="546"/>
      <c r="C736" s="188" t="s">
        <v>497</v>
      </c>
      <c r="D736" s="188" t="s">
        <v>498</v>
      </c>
      <c r="E736" s="188" t="s">
        <v>499</v>
      </c>
      <c r="F736" s="188" t="s">
        <v>500</v>
      </c>
      <c r="G736" s="176"/>
      <c r="H736" s="192" t="str">
        <f t="shared" si="144"/>
        <v/>
      </c>
    </row>
    <row r="737" spans="1:9" s="45" customFormat="1" ht="19.5" customHeight="1" thickBot="1">
      <c r="A737" s="189" t="str">
        <f>IFERROR(INDEX(凭证录入!H:H,$H737),"")</f>
        <v/>
      </c>
      <c r="B737" s="189" t="str">
        <f>IFERROR(INDEX(凭证录入!I:I,$H737),"")</f>
        <v/>
      </c>
      <c r="C737" s="190" t="str">
        <f>IFERROR(VLOOKUP($B737,会计科目表!$A:$C,2,),"")</f>
        <v/>
      </c>
      <c r="D737" s="190" t="str">
        <f>IFERROR(VLOOKUP($B737,会计科目表!$A:$C,3,),"")</f>
        <v/>
      </c>
      <c r="E737" s="191">
        <f>IFERROR(INDEX(凭证录入!K:K,$H737),0)</f>
        <v>0</v>
      </c>
      <c r="F737" s="191">
        <f>IFERROR(INDEX(凭证录入!L:L,$H737),0)</f>
        <v>0</v>
      </c>
      <c r="G737" s="176"/>
      <c r="H737" s="192" t="str">
        <f t="shared" si="144"/>
        <v/>
      </c>
    </row>
    <row r="738" spans="1:9" s="45" customFormat="1" ht="19.5" customHeight="1" thickBot="1">
      <c r="A738" s="189" t="str">
        <f>IFERROR(INDEX(凭证录入!H:H,$H738),"")</f>
        <v/>
      </c>
      <c r="B738" s="189" t="str">
        <f>IFERROR(INDEX(凭证录入!I:I,$H738),"")</f>
        <v/>
      </c>
      <c r="C738" s="190" t="str">
        <f>IFERROR(VLOOKUP($B738,会计科目表!$A:$C,2,),"")</f>
        <v/>
      </c>
      <c r="D738" s="190" t="str">
        <f>IFERROR(VLOOKUP($B738,会计科目表!$A:$C,3,),"")</f>
        <v/>
      </c>
      <c r="E738" s="191">
        <f>IFERROR(INDEX(凭证录入!K:K,$H738),0)</f>
        <v>0</v>
      </c>
      <c r="F738" s="191">
        <f>IFERROR(INDEX(凭证录入!L:L,$H738),0)</f>
        <v>0</v>
      </c>
      <c r="G738" s="176" t="s">
        <v>490</v>
      </c>
      <c r="H738" s="192" t="str">
        <f t="shared" si="144"/>
        <v/>
      </c>
      <c r="I738" s="176"/>
    </row>
    <row r="739" spans="1:9" s="45" customFormat="1" ht="19.5" customHeight="1" thickBot="1">
      <c r="A739" s="189" t="str">
        <f>IFERROR(INDEX(凭证录入!H:H,$H739),"")</f>
        <v/>
      </c>
      <c r="B739" s="189" t="str">
        <f>IFERROR(INDEX(凭证录入!I:I,$H739),"")</f>
        <v/>
      </c>
      <c r="C739" s="190" t="str">
        <f>IFERROR(VLOOKUP($B739,会计科目表!$A:$C,2,),"")</f>
        <v/>
      </c>
      <c r="D739" s="190" t="str">
        <f>IFERROR(VLOOKUP($B739,会计科目表!$A:$C,3,),"")</f>
        <v/>
      </c>
      <c r="E739" s="191">
        <f>IFERROR(INDEX(凭证录入!K:K,$H739),0)</f>
        <v>0</v>
      </c>
      <c r="F739" s="191">
        <f>IFERROR(INDEX(凭证录入!L:L,$H739),0)</f>
        <v>0</v>
      </c>
      <c r="G739" s="176" t="s">
        <v>491</v>
      </c>
      <c r="H739" s="192" t="str">
        <f t="shared" si="144"/>
        <v/>
      </c>
      <c r="I739" s="176"/>
    </row>
    <row r="740" spans="1:9" s="45" customFormat="1" ht="19.5" customHeight="1" thickBot="1">
      <c r="A740" s="189" t="str">
        <f>IFERROR(INDEX(凭证录入!H:H,$H740),"")</f>
        <v/>
      </c>
      <c r="B740" s="189" t="str">
        <f>IFERROR(INDEX(凭证录入!I:I,$H740),"")</f>
        <v/>
      </c>
      <c r="C740" s="190" t="str">
        <f>IFERROR(VLOOKUP($B740,会计科目表!$A:$C,2,),"")</f>
        <v/>
      </c>
      <c r="D740" s="190" t="str">
        <f>IFERROR(VLOOKUP($B740,会计科目表!$A:$C,3,),"")</f>
        <v/>
      </c>
      <c r="E740" s="191">
        <f>IFERROR(INDEX(凭证录入!K:K,$H740),0)</f>
        <v>0</v>
      </c>
      <c r="F740" s="191">
        <f>IFERROR(INDEX(凭证录入!L:L,$H740),0)</f>
        <v>0</v>
      </c>
      <c r="G740" s="176" t="e">
        <f>INDEX(凭证录入!$D:$D,$H737)</f>
        <v>#VALUE!</v>
      </c>
      <c r="H740" s="192" t="str">
        <f t="shared" si="144"/>
        <v/>
      </c>
      <c r="I740" s="176"/>
    </row>
    <row r="741" spans="1:9" s="45" customFormat="1" ht="19.5" customHeight="1" thickBot="1">
      <c r="A741" s="189" t="str">
        <f>IFERROR(INDEX(凭证录入!H:H,$H741),"")</f>
        <v/>
      </c>
      <c r="B741" s="189" t="str">
        <f>IFERROR(INDEX(凭证录入!I:I,$H741),"")</f>
        <v/>
      </c>
      <c r="C741" s="190" t="str">
        <f>IFERROR(VLOOKUP($B741,会计科目表!$A:$C,2,),"")</f>
        <v/>
      </c>
      <c r="D741" s="190" t="str">
        <f>IFERROR(VLOOKUP($B741,会计科目表!$A:$C,3,),"")</f>
        <v/>
      </c>
      <c r="E741" s="191">
        <f>IFERROR(INDEX(凭证录入!K:K,$H741),0)</f>
        <v>0</v>
      </c>
      <c r="F741" s="191">
        <f>IFERROR(INDEX(凭证录入!L:L,$H741),0)</f>
        <v>0</v>
      </c>
      <c r="G741" s="176" t="s">
        <v>492</v>
      </c>
      <c r="H741" s="192" t="str">
        <f t="shared" si="144"/>
        <v/>
      </c>
    </row>
    <row r="742" spans="1:9" s="45" customFormat="1" ht="19.5" customHeight="1" thickBot="1">
      <c r="A742" s="189" t="str">
        <f>IFERROR(INDEX(凭证录入!H:H,$H742),"")</f>
        <v/>
      </c>
      <c r="B742" s="189" t="str">
        <f>IFERROR(INDEX(凭证录入!I:I,$H742),"")</f>
        <v/>
      </c>
      <c r="C742" s="190" t="str">
        <f>IFERROR(VLOOKUP($B742,会计科目表!$A:$C,2,),"")</f>
        <v/>
      </c>
      <c r="D742" s="190" t="str">
        <f>IFERROR(VLOOKUP($B742,会计科目表!$A:$C,3,),"")</f>
        <v/>
      </c>
      <c r="E742" s="191">
        <f>IFERROR(INDEX(凭证录入!K:K,$H742),0)</f>
        <v>0</v>
      </c>
      <c r="F742" s="191">
        <f>IFERROR(INDEX(凭证录入!L:L,$H742),0)</f>
        <v>0</v>
      </c>
      <c r="G742" s="176"/>
      <c r="H742" s="192" t="str">
        <f t="shared" si="144"/>
        <v/>
      </c>
    </row>
    <row r="743" spans="1:9" s="45" customFormat="1" ht="19.5" customHeight="1" thickBot="1">
      <c r="A743" s="193"/>
      <c r="B743" s="194" t="s">
        <v>485</v>
      </c>
      <c r="C743" s="195" t="str">
        <f>SUBSTITUTE(SUBSTITUTE(IF(-DOLLAR(E743),IF(E743&gt;0,,"负")&amp;TEXT(INT(ABS(E743)+0.5%),"[dbnum2]G/通用格式元;;")&amp;TEXT(RIGHT(DOLLAR(E743),2),"[dbnum2]0角0分;;整"),),"零角",IF(E743^2&lt;1,,"零")),"零分","整")</f>
        <v/>
      </c>
      <c r="D743" s="196"/>
      <c r="E743" s="197">
        <f>SUM(E737:E742)</f>
        <v>0</v>
      </c>
      <c r="F743" s="197">
        <f>SUM(F737:F742)</f>
        <v>0</v>
      </c>
      <c r="G743" s="176"/>
      <c r="H743" s="192" t="str">
        <f t="shared" si="144"/>
        <v/>
      </c>
    </row>
    <row r="744" spans="1:9" s="199" customFormat="1" ht="19.5" customHeight="1">
      <c r="A744" s="45" t="s">
        <v>486</v>
      </c>
      <c r="B744" s="45" t="s">
        <v>487</v>
      </c>
      <c r="C744" s="45" t="s">
        <v>488</v>
      </c>
      <c r="D744" s="45" t="s">
        <v>504</v>
      </c>
      <c r="E744" s="45" t="s">
        <v>489</v>
      </c>
      <c r="F744" s="176" t="str">
        <f>IF($E743&lt;&gt;$F743,"借贷不平","")</f>
        <v/>
      </c>
      <c r="G744" s="183"/>
      <c r="H744" s="198" t="str">
        <f t="shared" si="144"/>
        <v/>
      </c>
    </row>
    <row r="745" spans="1:9" ht="37.5" customHeight="1">
      <c r="A745" s="177" t="s">
        <v>493</v>
      </c>
      <c r="B745" s="178"/>
      <c r="C745" s="179"/>
      <c r="D745" s="179"/>
      <c r="E745" s="178"/>
      <c r="F745" s="178"/>
      <c r="G745" s="176"/>
      <c r="H745" s="192" t="str">
        <f t="shared" si="144"/>
        <v/>
      </c>
    </row>
    <row r="746" spans="1:9" s="45" customFormat="1" ht="19.5" customHeight="1" thickBot="1">
      <c r="C746" s="180" t="e">
        <f>DATEVALUE("2010-"&amp;$H$1&amp;"-"&amp;INDEX(凭证录入!B:B,H749))</f>
        <v>#VALUE!</v>
      </c>
      <c r="D746" s="181"/>
      <c r="E746" s="182" t="s">
        <v>477</v>
      </c>
      <c r="F746" s="183" t="e">
        <f>N(LEFT((F734),3)+1)</f>
        <v>#VALUE!</v>
      </c>
      <c r="G746" s="176"/>
      <c r="H746" s="192" t="str">
        <f t="shared" si="144"/>
        <v/>
      </c>
      <c r="I746" s="184"/>
    </row>
    <row r="747" spans="1:9" s="45" customFormat="1" ht="19.5" customHeight="1" thickBot="1">
      <c r="A747" s="544" t="s">
        <v>494</v>
      </c>
      <c r="B747" s="545" t="s">
        <v>495</v>
      </c>
      <c r="C747" s="185" t="s">
        <v>496</v>
      </c>
      <c r="D747" s="186"/>
      <c r="E747" s="187"/>
      <c r="F747" s="188"/>
      <c r="G747" s="176"/>
      <c r="H747" s="192" t="str">
        <f t="shared" si="144"/>
        <v/>
      </c>
    </row>
    <row r="748" spans="1:9" s="45" customFormat="1" ht="19.5" customHeight="1" thickBot="1">
      <c r="A748" s="545"/>
      <c r="B748" s="546"/>
      <c r="C748" s="188" t="s">
        <v>497</v>
      </c>
      <c r="D748" s="188" t="s">
        <v>498</v>
      </c>
      <c r="E748" s="188" t="s">
        <v>499</v>
      </c>
      <c r="F748" s="188" t="s">
        <v>500</v>
      </c>
      <c r="G748" s="176"/>
      <c r="H748" s="192" t="str">
        <f t="shared" si="144"/>
        <v/>
      </c>
    </row>
    <row r="749" spans="1:9" s="45" customFormat="1" ht="19.5" customHeight="1" thickBot="1">
      <c r="A749" s="189" t="str">
        <f>IFERROR(INDEX(凭证录入!H:H,$H749),"")</f>
        <v/>
      </c>
      <c r="B749" s="189" t="str">
        <f>IFERROR(INDEX(凭证录入!I:I,$H749),"")</f>
        <v/>
      </c>
      <c r="C749" s="190" t="str">
        <f>IFERROR(VLOOKUP($B749,会计科目表!$A:$C,2,),"")</f>
        <v/>
      </c>
      <c r="D749" s="190" t="str">
        <f>IFERROR(VLOOKUP($B749,会计科目表!$A:$C,3,),"")</f>
        <v/>
      </c>
      <c r="E749" s="191">
        <f>IFERROR(INDEX(凭证录入!K:K,$H749),0)</f>
        <v>0</v>
      </c>
      <c r="F749" s="191">
        <f>IFERROR(INDEX(凭证录入!L:L,$H749),0)</f>
        <v>0</v>
      </c>
      <c r="G749" s="176"/>
      <c r="H749" s="192" t="str">
        <f t="shared" si="144"/>
        <v/>
      </c>
    </row>
    <row r="750" spans="1:9" s="45" customFormat="1" ht="19.5" customHeight="1" thickBot="1">
      <c r="A750" s="189" t="str">
        <f>IFERROR(INDEX(凭证录入!H:H,$H750),"")</f>
        <v/>
      </c>
      <c r="B750" s="189" t="str">
        <f>IFERROR(INDEX(凭证录入!I:I,$H750),"")</f>
        <v/>
      </c>
      <c r="C750" s="190" t="str">
        <f>IFERROR(VLOOKUP($B750,会计科目表!$A:$C,2,),"")</f>
        <v/>
      </c>
      <c r="D750" s="190" t="str">
        <f>IFERROR(VLOOKUP($B750,会计科目表!$A:$C,3,),"")</f>
        <v/>
      </c>
      <c r="E750" s="191">
        <f>IFERROR(INDEX(凭证录入!K:K,$H750),0)</f>
        <v>0</v>
      </c>
      <c r="F750" s="191">
        <f>IFERROR(INDEX(凭证录入!L:L,$H750),0)</f>
        <v>0</v>
      </c>
      <c r="G750" s="176" t="s">
        <v>490</v>
      </c>
      <c r="H750" s="192" t="str">
        <f t="shared" si="144"/>
        <v/>
      </c>
      <c r="I750" s="176"/>
    </row>
    <row r="751" spans="1:9" s="45" customFormat="1" ht="19.5" customHeight="1" thickBot="1">
      <c r="A751" s="189" t="str">
        <f>IFERROR(INDEX(凭证录入!H:H,$H751),"")</f>
        <v/>
      </c>
      <c r="B751" s="189" t="str">
        <f>IFERROR(INDEX(凭证录入!I:I,$H751),"")</f>
        <v/>
      </c>
      <c r="C751" s="190" t="str">
        <f>IFERROR(VLOOKUP($B751,会计科目表!$A:$C,2,),"")</f>
        <v/>
      </c>
      <c r="D751" s="190" t="str">
        <f>IFERROR(VLOOKUP($B751,会计科目表!$A:$C,3,),"")</f>
        <v/>
      </c>
      <c r="E751" s="191">
        <f>IFERROR(INDEX(凭证录入!K:K,$H751),0)</f>
        <v>0</v>
      </c>
      <c r="F751" s="191">
        <f>IFERROR(INDEX(凭证录入!L:L,$H751),0)</f>
        <v>0</v>
      </c>
      <c r="G751" s="176" t="s">
        <v>491</v>
      </c>
      <c r="H751" s="192" t="str">
        <f t="shared" si="144"/>
        <v/>
      </c>
      <c r="I751" s="176"/>
    </row>
    <row r="752" spans="1:9" s="45" customFormat="1" ht="19.5" customHeight="1" thickBot="1">
      <c r="A752" s="189" t="str">
        <f>IFERROR(INDEX(凭证录入!H:H,$H752),"")</f>
        <v/>
      </c>
      <c r="B752" s="189" t="str">
        <f>IFERROR(INDEX(凭证录入!I:I,$H752),"")</f>
        <v/>
      </c>
      <c r="C752" s="190" t="str">
        <f>IFERROR(VLOOKUP($B752,会计科目表!$A:$C,2,),"")</f>
        <v/>
      </c>
      <c r="D752" s="190" t="str">
        <f>IFERROR(VLOOKUP($B752,会计科目表!$A:$C,3,),"")</f>
        <v/>
      </c>
      <c r="E752" s="191">
        <f>IFERROR(INDEX(凭证录入!K:K,$H752),0)</f>
        <v>0</v>
      </c>
      <c r="F752" s="191">
        <f>IFERROR(INDEX(凭证录入!L:L,$H752),0)</f>
        <v>0</v>
      </c>
      <c r="G752" s="176" t="e">
        <f>INDEX(凭证录入!$D:$D,$H749)</f>
        <v>#VALUE!</v>
      </c>
      <c r="H752" s="192" t="str">
        <f t="shared" si="144"/>
        <v/>
      </c>
      <c r="I752" s="176"/>
    </row>
    <row r="753" spans="1:9" s="45" customFormat="1" ht="19.5" customHeight="1" thickBot="1">
      <c r="A753" s="189" t="str">
        <f>IFERROR(INDEX(凭证录入!H:H,$H753),"")</f>
        <v/>
      </c>
      <c r="B753" s="189" t="str">
        <f>IFERROR(INDEX(凭证录入!I:I,$H753),"")</f>
        <v/>
      </c>
      <c r="C753" s="190" t="str">
        <f>IFERROR(VLOOKUP($B753,会计科目表!$A:$C,2,),"")</f>
        <v/>
      </c>
      <c r="D753" s="190" t="str">
        <f>IFERROR(VLOOKUP($B753,会计科目表!$A:$C,3,),"")</f>
        <v/>
      </c>
      <c r="E753" s="191">
        <f>IFERROR(INDEX(凭证录入!K:K,$H753),0)</f>
        <v>0</v>
      </c>
      <c r="F753" s="191">
        <f>IFERROR(INDEX(凭证录入!L:L,$H753),0)</f>
        <v>0</v>
      </c>
      <c r="G753" s="176" t="s">
        <v>492</v>
      </c>
      <c r="H753" s="192" t="str">
        <f t="shared" si="144"/>
        <v/>
      </c>
    </row>
    <row r="754" spans="1:9" s="45" customFormat="1" ht="19.5" customHeight="1" thickBot="1">
      <c r="A754" s="189" t="str">
        <f>IFERROR(INDEX(凭证录入!H:H,$H754),"")</f>
        <v/>
      </c>
      <c r="B754" s="189" t="str">
        <f>IFERROR(INDEX(凭证录入!I:I,$H754),"")</f>
        <v/>
      </c>
      <c r="C754" s="190" t="str">
        <f>IFERROR(VLOOKUP($B754,会计科目表!$A:$C,2,),"")</f>
        <v/>
      </c>
      <c r="D754" s="190" t="str">
        <f>IFERROR(VLOOKUP($B754,会计科目表!$A:$C,3,),"")</f>
        <v/>
      </c>
      <c r="E754" s="191">
        <f>IFERROR(INDEX(凭证录入!K:K,$H754),0)</f>
        <v>0</v>
      </c>
      <c r="F754" s="191">
        <f>IFERROR(INDEX(凭证录入!L:L,$H754),0)</f>
        <v>0</v>
      </c>
      <c r="G754" s="176"/>
      <c r="H754" s="192" t="str">
        <f t="shared" si="144"/>
        <v/>
      </c>
    </row>
    <row r="755" spans="1:9" s="45" customFormat="1" ht="19.5" customHeight="1" thickBot="1">
      <c r="A755" s="193"/>
      <c r="B755" s="194" t="s">
        <v>485</v>
      </c>
      <c r="C755" s="195" t="str">
        <f>SUBSTITUTE(SUBSTITUTE(IF(-DOLLAR(E755),IF(E755&gt;0,,"负")&amp;TEXT(INT(ABS(E755)+0.5%),"[dbnum2]G/通用格式元;;")&amp;TEXT(RIGHT(DOLLAR(E755),2),"[dbnum2]0角0分;;整"),),"零角",IF(E755^2&lt;1,,"零")),"零分","整")</f>
        <v/>
      </c>
      <c r="D755" s="196"/>
      <c r="E755" s="197">
        <f>SUM(E749:E754)</f>
        <v>0</v>
      </c>
      <c r="F755" s="197">
        <f>SUM(F749:F754)</f>
        <v>0</v>
      </c>
      <c r="G755" s="176"/>
      <c r="H755" s="192" t="str">
        <f t="shared" si="144"/>
        <v/>
      </c>
    </row>
    <row r="756" spans="1:9" s="199" customFormat="1" ht="19.5" customHeight="1">
      <c r="A756" s="45" t="s">
        <v>486</v>
      </c>
      <c r="B756" s="45" t="s">
        <v>487</v>
      </c>
      <c r="C756" s="45" t="s">
        <v>488</v>
      </c>
      <c r="D756" s="45" t="s">
        <v>504</v>
      </c>
      <c r="E756" s="45" t="s">
        <v>489</v>
      </c>
      <c r="F756" s="176" t="str">
        <f>IF($E755&lt;&gt;$F755,"借贷不平","")</f>
        <v/>
      </c>
      <c r="G756" s="183"/>
      <c r="H756" s="198" t="str">
        <f t="shared" si="144"/>
        <v/>
      </c>
    </row>
    <row r="757" spans="1:9" ht="37.5" customHeight="1">
      <c r="A757" s="177" t="s">
        <v>493</v>
      </c>
      <c r="B757" s="178"/>
      <c r="C757" s="179"/>
      <c r="D757" s="179"/>
      <c r="E757" s="178"/>
      <c r="F757" s="178"/>
      <c r="G757" s="176"/>
      <c r="H757" s="192" t="str">
        <f t="shared" si="144"/>
        <v/>
      </c>
    </row>
    <row r="758" spans="1:9" s="45" customFormat="1" ht="19.5" customHeight="1" thickBot="1">
      <c r="C758" s="180" t="e">
        <f>DATEVALUE("2010-"&amp;$H$1&amp;"-"&amp;INDEX(凭证录入!B:B,H761))</f>
        <v>#VALUE!</v>
      </c>
      <c r="D758" s="181"/>
      <c r="E758" s="182" t="s">
        <v>477</v>
      </c>
      <c r="F758" s="183" t="e">
        <f>N(LEFT((F746),3)+1)</f>
        <v>#VALUE!</v>
      </c>
      <c r="G758" s="176"/>
      <c r="H758" s="192" t="str">
        <f t="shared" si="144"/>
        <v/>
      </c>
      <c r="I758" s="184"/>
    </row>
    <row r="759" spans="1:9" s="45" customFormat="1" ht="19.5" customHeight="1" thickBot="1">
      <c r="A759" s="544" t="s">
        <v>494</v>
      </c>
      <c r="B759" s="545" t="s">
        <v>495</v>
      </c>
      <c r="C759" s="185" t="s">
        <v>496</v>
      </c>
      <c r="D759" s="186"/>
      <c r="E759" s="187"/>
      <c r="F759" s="188"/>
      <c r="G759" s="176"/>
      <c r="H759" s="192" t="str">
        <f t="shared" si="144"/>
        <v/>
      </c>
    </row>
    <row r="760" spans="1:9" s="45" customFormat="1" ht="19.5" customHeight="1" thickBot="1">
      <c r="A760" s="545"/>
      <c r="B760" s="546"/>
      <c r="C760" s="188" t="s">
        <v>497</v>
      </c>
      <c r="D760" s="188" t="s">
        <v>498</v>
      </c>
      <c r="E760" s="188" t="s">
        <v>499</v>
      </c>
      <c r="F760" s="188" t="s">
        <v>500</v>
      </c>
      <c r="G760" s="176"/>
      <c r="H760" s="192" t="str">
        <f t="shared" si="144"/>
        <v/>
      </c>
    </row>
    <row r="761" spans="1:9" s="45" customFormat="1" ht="19.5" customHeight="1" thickBot="1">
      <c r="A761" s="189" t="str">
        <f>IFERROR(INDEX(凭证录入!H:H,$H761),"")</f>
        <v/>
      </c>
      <c r="B761" s="189" t="str">
        <f>IFERROR(INDEX(凭证录入!I:I,$H761),"")</f>
        <v/>
      </c>
      <c r="C761" s="190" t="str">
        <f>IFERROR(VLOOKUP($B761,会计科目表!$A:$C,2,),"")</f>
        <v/>
      </c>
      <c r="D761" s="190" t="str">
        <f>IFERROR(VLOOKUP($B761,会计科目表!$A:$C,3,),"")</f>
        <v/>
      </c>
      <c r="E761" s="191">
        <f>IFERROR(INDEX(凭证录入!K:K,$H761),0)</f>
        <v>0</v>
      </c>
      <c r="F761" s="191">
        <f>IFERROR(INDEX(凭证录入!L:L,$H761),0)</f>
        <v>0</v>
      </c>
      <c r="G761" s="176"/>
      <c r="H761" s="192" t="str">
        <f t="shared" si="144"/>
        <v/>
      </c>
    </row>
    <row r="762" spans="1:9" s="45" customFormat="1" ht="19.5" customHeight="1" thickBot="1">
      <c r="A762" s="189" t="str">
        <f>IFERROR(INDEX(凭证录入!H:H,$H762),"")</f>
        <v/>
      </c>
      <c r="B762" s="189" t="str">
        <f>IFERROR(INDEX(凭证录入!I:I,$H762),"")</f>
        <v/>
      </c>
      <c r="C762" s="190" t="str">
        <f>IFERROR(VLOOKUP($B762,会计科目表!$A:$C,2,),"")</f>
        <v/>
      </c>
      <c r="D762" s="190" t="str">
        <f>IFERROR(VLOOKUP($B762,会计科目表!$A:$C,3,),"")</f>
        <v/>
      </c>
      <c r="E762" s="191">
        <f>IFERROR(INDEX(凭证录入!K:K,$H762),0)</f>
        <v>0</v>
      </c>
      <c r="F762" s="191">
        <f>IFERROR(INDEX(凭证录入!L:L,$H762),0)</f>
        <v>0</v>
      </c>
      <c r="G762" s="176" t="s">
        <v>490</v>
      </c>
      <c r="H762" s="192" t="str">
        <f t="shared" si="144"/>
        <v/>
      </c>
      <c r="I762" s="176"/>
    </row>
    <row r="763" spans="1:9" s="45" customFormat="1" ht="19.5" customHeight="1" thickBot="1">
      <c r="A763" s="189" t="str">
        <f>IFERROR(INDEX(凭证录入!H:H,$H763),"")</f>
        <v/>
      </c>
      <c r="B763" s="189" t="str">
        <f>IFERROR(INDEX(凭证录入!I:I,$H763),"")</f>
        <v/>
      </c>
      <c r="C763" s="190" t="str">
        <f>IFERROR(VLOOKUP($B763,会计科目表!$A:$C,2,),"")</f>
        <v/>
      </c>
      <c r="D763" s="190" t="str">
        <f>IFERROR(VLOOKUP($B763,会计科目表!$A:$C,3,),"")</f>
        <v/>
      </c>
      <c r="E763" s="191">
        <f>IFERROR(INDEX(凭证录入!K:K,$H763),0)</f>
        <v>0</v>
      </c>
      <c r="F763" s="191">
        <f>IFERROR(INDEX(凭证录入!L:L,$H763),0)</f>
        <v>0</v>
      </c>
      <c r="G763" s="176" t="s">
        <v>491</v>
      </c>
      <c r="H763" s="192" t="str">
        <f t="shared" si="144"/>
        <v/>
      </c>
      <c r="I763" s="176"/>
    </row>
    <row r="764" spans="1:9" s="45" customFormat="1" ht="19.5" customHeight="1" thickBot="1">
      <c r="A764" s="189" t="str">
        <f>IFERROR(INDEX(凭证录入!H:H,$H764),"")</f>
        <v/>
      </c>
      <c r="B764" s="189" t="str">
        <f>IFERROR(INDEX(凭证录入!I:I,$H764),"")</f>
        <v/>
      </c>
      <c r="C764" s="190" t="str">
        <f>IFERROR(VLOOKUP($B764,会计科目表!$A:$C,2,),"")</f>
        <v/>
      </c>
      <c r="D764" s="190" t="str">
        <f>IFERROR(VLOOKUP($B764,会计科目表!$A:$C,3,),"")</f>
        <v/>
      </c>
      <c r="E764" s="191">
        <f>IFERROR(INDEX(凭证录入!K:K,$H764),0)</f>
        <v>0</v>
      </c>
      <c r="F764" s="191">
        <f>IFERROR(INDEX(凭证录入!L:L,$H764),0)</f>
        <v>0</v>
      </c>
      <c r="G764" s="176" t="e">
        <f>INDEX(凭证录入!$D:$D,$H761)</f>
        <v>#VALUE!</v>
      </c>
      <c r="H764" s="192" t="str">
        <f t="shared" si="144"/>
        <v/>
      </c>
      <c r="I764" s="176"/>
    </row>
    <row r="765" spans="1:9" s="45" customFormat="1" ht="19.5" customHeight="1" thickBot="1">
      <c r="A765" s="189" t="str">
        <f>IFERROR(INDEX(凭证录入!H:H,$H765),"")</f>
        <v/>
      </c>
      <c r="B765" s="189" t="str">
        <f>IFERROR(INDEX(凭证录入!I:I,$H765),"")</f>
        <v/>
      </c>
      <c r="C765" s="190" t="str">
        <f>IFERROR(VLOOKUP($B765,会计科目表!$A:$C,2,),"")</f>
        <v/>
      </c>
      <c r="D765" s="190" t="str">
        <f>IFERROR(VLOOKUP($B765,会计科目表!$A:$C,3,),"")</f>
        <v/>
      </c>
      <c r="E765" s="191">
        <f>IFERROR(INDEX(凭证录入!K:K,$H765),0)</f>
        <v>0</v>
      </c>
      <c r="F765" s="191">
        <f>IFERROR(INDEX(凭证录入!L:L,$H765),0)</f>
        <v>0</v>
      </c>
      <c r="G765" s="176" t="s">
        <v>492</v>
      </c>
      <c r="H765" s="192" t="str">
        <f t="shared" si="144"/>
        <v/>
      </c>
    </row>
    <row r="766" spans="1:9" s="45" customFormat="1" ht="19.5" customHeight="1" thickBot="1">
      <c r="A766" s="189" t="str">
        <f>IFERROR(INDEX(凭证录入!H:H,$H766),"")</f>
        <v/>
      </c>
      <c r="B766" s="189" t="str">
        <f>IFERROR(INDEX(凭证录入!I:I,$H766),"")</f>
        <v/>
      </c>
      <c r="C766" s="190" t="str">
        <f>IFERROR(VLOOKUP($B766,会计科目表!$A:$C,2,),"")</f>
        <v/>
      </c>
      <c r="D766" s="190" t="str">
        <f>IFERROR(VLOOKUP($B766,会计科目表!$A:$C,3,),"")</f>
        <v/>
      </c>
      <c r="E766" s="191">
        <f>IFERROR(INDEX(凭证录入!K:K,$H766),0)</f>
        <v>0</v>
      </c>
      <c r="F766" s="191">
        <f>IFERROR(INDEX(凭证录入!L:L,$H766),0)</f>
        <v>0</v>
      </c>
      <c r="G766" s="176"/>
      <c r="H766" s="192" t="str">
        <f t="shared" si="144"/>
        <v/>
      </c>
    </row>
    <row r="767" spans="1:9" s="45" customFormat="1" ht="19.5" customHeight="1" thickBot="1">
      <c r="A767" s="193"/>
      <c r="B767" s="194" t="s">
        <v>485</v>
      </c>
      <c r="C767" s="195" t="str">
        <f>SUBSTITUTE(SUBSTITUTE(IF(-DOLLAR(E767),IF(E767&gt;0,,"负")&amp;TEXT(INT(ABS(E767)+0.5%),"[dbnum2]G/通用格式元;;")&amp;TEXT(RIGHT(DOLLAR(E767),2),"[dbnum2]0角0分;;整"),),"零角",IF(E767^2&lt;1,,"零")),"零分","整")</f>
        <v/>
      </c>
      <c r="D767" s="196"/>
      <c r="E767" s="197">
        <f>SUM(E761:E766)</f>
        <v>0</v>
      </c>
      <c r="F767" s="197">
        <f>SUM(F761:F766)</f>
        <v>0</v>
      </c>
      <c r="G767" s="176"/>
      <c r="H767" s="192" t="str">
        <f t="shared" si="144"/>
        <v/>
      </c>
    </row>
    <row r="768" spans="1:9" s="199" customFormat="1" ht="19.5" customHeight="1">
      <c r="A768" s="45" t="s">
        <v>486</v>
      </c>
      <c r="B768" s="45" t="s">
        <v>487</v>
      </c>
      <c r="C768" s="45" t="s">
        <v>488</v>
      </c>
      <c r="D768" s="45" t="s">
        <v>504</v>
      </c>
      <c r="E768" s="45" t="s">
        <v>489</v>
      </c>
      <c r="F768" s="176" t="str">
        <f>IF($E767&lt;&gt;$F767,"借贷不平","")</f>
        <v/>
      </c>
      <c r="G768" s="183"/>
      <c r="H768" s="198" t="str">
        <f t="shared" si="144"/>
        <v/>
      </c>
    </row>
    <row r="769" spans="1:9" ht="37.5" customHeight="1">
      <c r="A769" s="177" t="s">
        <v>493</v>
      </c>
      <c r="B769" s="178"/>
      <c r="C769" s="179"/>
      <c r="D769" s="179"/>
      <c r="E769" s="178"/>
      <c r="F769" s="178"/>
      <c r="G769" s="176"/>
      <c r="H769" s="192" t="str">
        <f t="shared" si="144"/>
        <v/>
      </c>
    </row>
    <row r="770" spans="1:9" s="45" customFormat="1" ht="19.5" customHeight="1" thickBot="1">
      <c r="C770" s="180" t="e">
        <f>DATEVALUE("2010-"&amp;$H$1&amp;"-"&amp;INDEX(凭证录入!B:B,H773))</f>
        <v>#VALUE!</v>
      </c>
      <c r="D770" s="181"/>
      <c r="E770" s="182" t="s">
        <v>477</v>
      </c>
      <c r="F770" s="183" t="e">
        <f>N(LEFT((F758),3)+1)</f>
        <v>#VALUE!</v>
      </c>
      <c r="G770" s="176"/>
      <c r="H770" s="192" t="str">
        <f t="shared" si="144"/>
        <v/>
      </c>
      <c r="I770" s="184"/>
    </row>
    <row r="771" spans="1:9" s="45" customFormat="1" ht="19.5" customHeight="1" thickBot="1">
      <c r="A771" s="544" t="s">
        <v>494</v>
      </c>
      <c r="B771" s="545" t="s">
        <v>495</v>
      </c>
      <c r="C771" s="185" t="s">
        <v>496</v>
      </c>
      <c r="D771" s="186"/>
      <c r="E771" s="187"/>
      <c r="F771" s="188"/>
      <c r="G771" s="176"/>
      <c r="H771" s="192" t="str">
        <f t="shared" si="144"/>
        <v/>
      </c>
    </row>
    <row r="772" spans="1:9" s="45" customFormat="1" ht="19.5" customHeight="1" thickBot="1">
      <c r="A772" s="545"/>
      <c r="B772" s="546"/>
      <c r="C772" s="188" t="s">
        <v>497</v>
      </c>
      <c r="D772" s="188" t="s">
        <v>498</v>
      </c>
      <c r="E772" s="188" t="s">
        <v>499</v>
      </c>
      <c r="F772" s="188" t="s">
        <v>500</v>
      </c>
      <c r="G772" s="176"/>
      <c r="H772" s="192" t="str">
        <f t="shared" si="144"/>
        <v/>
      </c>
    </row>
    <row r="773" spans="1:9" s="45" customFormat="1" ht="19.5" customHeight="1" thickBot="1">
      <c r="A773" s="189" t="str">
        <f>IFERROR(INDEX(凭证录入!H:H,$H773),"")</f>
        <v/>
      </c>
      <c r="B773" s="189" t="str">
        <f>IFERROR(INDEX(凭证录入!I:I,$H773),"")</f>
        <v/>
      </c>
      <c r="C773" s="190" t="str">
        <f>IFERROR(VLOOKUP($B773,会计科目表!$A:$C,2,),"")</f>
        <v/>
      </c>
      <c r="D773" s="190" t="str">
        <f>IFERROR(VLOOKUP($B773,会计科目表!$A:$C,3,),"")</f>
        <v/>
      </c>
      <c r="E773" s="191">
        <f>IFERROR(INDEX(凭证录入!K:K,$H773),0)</f>
        <v>0</v>
      </c>
      <c r="F773" s="191">
        <f>IFERROR(INDEX(凭证录入!L:L,$H773),0)</f>
        <v>0</v>
      </c>
      <c r="G773" s="176"/>
      <c r="H773" s="192" t="str">
        <f t="shared" ref="H773:H836" si="145">IFERROR(INDEX(行号,TEXT(MOD(ROW(),12)-4,"[=]A")),"")</f>
        <v/>
      </c>
    </row>
    <row r="774" spans="1:9" s="45" customFormat="1" ht="19.5" customHeight="1" thickBot="1">
      <c r="A774" s="189" t="str">
        <f>IFERROR(INDEX(凭证录入!H:H,$H774),"")</f>
        <v/>
      </c>
      <c r="B774" s="189" t="str">
        <f>IFERROR(INDEX(凭证录入!I:I,$H774),"")</f>
        <v/>
      </c>
      <c r="C774" s="190" t="str">
        <f>IFERROR(VLOOKUP($B774,会计科目表!$A:$C,2,),"")</f>
        <v/>
      </c>
      <c r="D774" s="190" t="str">
        <f>IFERROR(VLOOKUP($B774,会计科目表!$A:$C,3,),"")</f>
        <v/>
      </c>
      <c r="E774" s="191">
        <f>IFERROR(INDEX(凭证录入!K:K,$H774),0)</f>
        <v>0</v>
      </c>
      <c r="F774" s="191">
        <f>IFERROR(INDEX(凭证录入!L:L,$H774),0)</f>
        <v>0</v>
      </c>
      <c r="G774" s="176" t="s">
        <v>490</v>
      </c>
      <c r="H774" s="192" t="str">
        <f t="shared" si="145"/>
        <v/>
      </c>
      <c r="I774" s="176"/>
    </row>
    <row r="775" spans="1:9" s="45" customFormat="1" ht="19.5" customHeight="1" thickBot="1">
      <c r="A775" s="189" t="str">
        <f>IFERROR(INDEX(凭证录入!H:H,$H775),"")</f>
        <v/>
      </c>
      <c r="B775" s="189" t="str">
        <f>IFERROR(INDEX(凭证录入!I:I,$H775),"")</f>
        <v/>
      </c>
      <c r="C775" s="190" t="str">
        <f>IFERROR(VLOOKUP($B775,会计科目表!$A:$C,2,),"")</f>
        <v/>
      </c>
      <c r="D775" s="190" t="str">
        <f>IFERROR(VLOOKUP($B775,会计科目表!$A:$C,3,),"")</f>
        <v/>
      </c>
      <c r="E775" s="191">
        <f>IFERROR(INDEX(凭证录入!K:K,$H775),0)</f>
        <v>0</v>
      </c>
      <c r="F775" s="191">
        <f>IFERROR(INDEX(凭证录入!L:L,$H775),0)</f>
        <v>0</v>
      </c>
      <c r="G775" s="176" t="s">
        <v>491</v>
      </c>
      <c r="H775" s="192" t="str">
        <f t="shared" si="145"/>
        <v/>
      </c>
      <c r="I775" s="176"/>
    </row>
    <row r="776" spans="1:9" s="45" customFormat="1" ht="19.5" customHeight="1" thickBot="1">
      <c r="A776" s="189" t="str">
        <f>IFERROR(INDEX(凭证录入!H:H,$H776),"")</f>
        <v/>
      </c>
      <c r="B776" s="189" t="str">
        <f>IFERROR(INDEX(凭证录入!I:I,$H776),"")</f>
        <v/>
      </c>
      <c r="C776" s="190" t="str">
        <f>IFERROR(VLOOKUP($B776,会计科目表!$A:$C,2,),"")</f>
        <v/>
      </c>
      <c r="D776" s="190" t="str">
        <f>IFERROR(VLOOKUP($B776,会计科目表!$A:$C,3,),"")</f>
        <v/>
      </c>
      <c r="E776" s="191">
        <f>IFERROR(INDEX(凭证录入!K:K,$H776),0)</f>
        <v>0</v>
      </c>
      <c r="F776" s="191">
        <f>IFERROR(INDEX(凭证录入!L:L,$H776),0)</f>
        <v>0</v>
      </c>
      <c r="G776" s="176" t="e">
        <f>INDEX(凭证录入!$D:$D,$H773)</f>
        <v>#VALUE!</v>
      </c>
      <c r="H776" s="192" t="str">
        <f t="shared" si="145"/>
        <v/>
      </c>
      <c r="I776" s="176"/>
    </row>
    <row r="777" spans="1:9" s="45" customFormat="1" ht="19.5" customHeight="1" thickBot="1">
      <c r="A777" s="189" t="str">
        <f>IFERROR(INDEX(凭证录入!H:H,$H777),"")</f>
        <v/>
      </c>
      <c r="B777" s="189" t="str">
        <f>IFERROR(INDEX(凭证录入!I:I,$H777),"")</f>
        <v/>
      </c>
      <c r="C777" s="190" t="str">
        <f>IFERROR(VLOOKUP($B777,会计科目表!$A:$C,2,),"")</f>
        <v/>
      </c>
      <c r="D777" s="190" t="str">
        <f>IFERROR(VLOOKUP($B777,会计科目表!$A:$C,3,),"")</f>
        <v/>
      </c>
      <c r="E777" s="191">
        <f>IFERROR(INDEX(凭证录入!K:K,$H777),0)</f>
        <v>0</v>
      </c>
      <c r="F777" s="191">
        <f>IFERROR(INDEX(凭证录入!L:L,$H777),0)</f>
        <v>0</v>
      </c>
      <c r="G777" s="176" t="s">
        <v>492</v>
      </c>
      <c r="H777" s="192" t="str">
        <f t="shared" si="145"/>
        <v/>
      </c>
    </row>
    <row r="778" spans="1:9" s="45" customFormat="1" ht="19.5" customHeight="1" thickBot="1">
      <c r="A778" s="189" t="str">
        <f>IFERROR(INDEX(凭证录入!H:H,$H778),"")</f>
        <v/>
      </c>
      <c r="B778" s="189" t="str">
        <f>IFERROR(INDEX(凭证录入!I:I,$H778),"")</f>
        <v/>
      </c>
      <c r="C778" s="190" t="str">
        <f>IFERROR(VLOOKUP($B778,会计科目表!$A:$C,2,),"")</f>
        <v/>
      </c>
      <c r="D778" s="190" t="str">
        <f>IFERROR(VLOOKUP($B778,会计科目表!$A:$C,3,),"")</f>
        <v/>
      </c>
      <c r="E778" s="191">
        <f>IFERROR(INDEX(凭证录入!K:K,$H778),0)</f>
        <v>0</v>
      </c>
      <c r="F778" s="191">
        <f>IFERROR(INDEX(凭证录入!L:L,$H778),0)</f>
        <v>0</v>
      </c>
      <c r="G778" s="176"/>
      <c r="H778" s="192" t="str">
        <f t="shared" si="145"/>
        <v/>
      </c>
    </row>
    <row r="779" spans="1:9" s="45" customFormat="1" ht="19.5" customHeight="1" thickBot="1">
      <c r="A779" s="193"/>
      <c r="B779" s="194" t="s">
        <v>485</v>
      </c>
      <c r="C779" s="195" t="str">
        <f>SUBSTITUTE(SUBSTITUTE(IF(-DOLLAR(E779),IF(E779&gt;0,,"负")&amp;TEXT(INT(ABS(E779)+0.5%),"[dbnum2]G/通用格式元;;")&amp;TEXT(RIGHT(DOLLAR(E779),2),"[dbnum2]0角0分;;整"),),"零角",IF(E779^2&lt;1,,"零")),"零分","整")</f>
        <v/>
      </c>
      <c r="D779" s="196"/>
      <c r="E779" s="197">
        <f>SUM(E773:E778)</f>
        <v>0</v>
      </c>
      <c r="F779" s="197">
        <f>SUM(F773:F778)</f>
        <v>0</v>
      </c>
      <c r="G779" s="176"/>
      <c r="H779" s="192" t="str">
        <f t="shared" si="145"/>
        <v/>
      </c>
    </row>
    <row r="780" spans="1:9" s="199" customFormat="1" ht="19.5" customHeight="1">
      <c r="A780" s="45" t="s">
        <v>486</v>
      </c>
      <c r="B780" s="45" t="s">
        <v>487</v>
      </c>
      <c r="C780" s="45" t="s">
        <v>488</v>
      </c>
      <c r="D780" s="45" t="s">
        <v>504</v>
      </c>
      <c r="E780" s="45" t="s">
        <v>489</v>
      </c>
      <c r="F780" s="176" t="str">
        <f>IF($E779&lt;&gt;$F779,"借贷不平","")</f>
        <v/>
      </c>
      <c r="G780" s="183"/>
      <c r="H780" s="198" t="str">
        <f t="shared" si="145"/>
        <v/>
      </c>
    </row>
    <row r="781" spans="1:9" ht="37.5" customHeight="1">
      <c r="A781" s="177" t="s">
        <v>493</v>
      </c>
      <c r="B781" s="178"/>
      <c r="C781" s="179"/>
      <c r="D781" s="179"/>
      <c r="E781" s="178"/>
      <c r="F781" s="178"/>
      <c r="G781" s="176"/>
      <c r="H781" s="192" t="str">
        <f t="shared" si="145"/>
        <v/>
      </c>
    </row>
    <row r="782" spans="1:9" s="45" customFormat="1" ht="19.5" customHeight="1" thickBot="1">
      <c r="C782" s="180" t="e">
        <f>DATEVALUE("2010-"&amp;$H$1&amp;"-"&amp;INDEX(凭证录入!B:B,H785))</f>
        <v>#VALUE!</v>
      </c>
      <c r="D782" s="181"/>
      <c r="E782" s="182" t="s">
        <v>477</v>
      </c>
      <c r="F782" s="183" t="e">
        <f>N(LEFT((F770),3)+1)</f>
        <v>#VALUE!</v>
      </c>
      <c r="G782" s="176"/>
      <c r="H782" s="192" t="str">
        <f t="shared" si="145"/>
        <v/>
      </c>
      <c r="I782" s="184"/>
    </row>
    <row r="783" spans="1:9" s="45" customFormat="1" ht="19.5" customHeight="1" thickBot="1">
      <c r="A783" s="544" t="s">
        <v>494</v>
      </c>
      <c r="B783" s="545" t="s">
        <v>495</v>
      </c>
      <c r="C783" s="185" t="s">
        <v>496</v>
      </c>
      <c r="D783" s="186"/>
      <c r="E783" s="187"/>
      <c r="F783" s="188"/>
      <c r="G783" s="176"/>
      <c r="H783" s="192" t="str">
        <f t="shared" si="145"/>
        <v/>
      </c>
    </row>
    <row r="784" spans="1:9" s="45" customFormat="1" ht="19.5" customHeight="1" thickBot="1">
      <c r="A784" s="545"/>
      <c r="B784" s="546"/>
      <c r="C784" s="188" t="s">
        <v>497</v>
      </c>
      <c r="D784" s="188" t="s">
        <v>498</v>
      </c>
      <c r="E784" s="188" t="s">
        <v>499</v>
      </c>
      <c r="F784" s="188" t="s">
        <v>500</v>
      </c>
      <c r="G784" s="176"/>
      <c r="H784" s="192" t="str">
        <f t="shared" si="145"/>
        <v/>
      </c>
    </row>
    <row r="785" spans="1:9" s="45" customFormat="1" ht="19.5" customHeight="1" thickBot="1">
      <c r="A785" s="189" t="str">
        <f>IFERROR(INDEX(凭证录入!H:H,$H785),"")</f>
        <v/>
      </c>
      <c r="B785" s="189" t="str">
        <f>IFERROR(INDEX(凭证录入!I:I,$H785),"")</f>
        <v/>
      </c>
      <c r="C785" s="190" t="str">
        <f>IFERROR(VLOOKUP($B785,会计科目表!$A:$C,2,),"")</f>
        <v/>
      </c>
      <c r="D785" s="190" t="str">
        <f>IFERROR(VLOOKUP($B785,会计科目表!$A:$C,3,),"")</f>
        <v/>
      </c>
      <c r="E785" s="191">
        <f>IFERROR(INDEX(凭证录入!K:K,$H785),0)</f>
        <v>0</v>
      </c>
      <c r="F785" s="191">
        <f>IFERROR(INDEX(凭证录入!L:L,$H785),0)</f>
        <v>0</v>
      </c>
      <c r="G785" s="176"/>
      <c r="H785" s="192" t="str">
        <f t="shared" si="145"/>
        <v/>
      </c>
    </row>
    <row r="786" spans="1:9" s="45" customFormat="1" ht="19.5" customHeight="1" thickBot="1">
      <c r="A786" s="189" t="str">
        <f>IFERROR(INDEX(凭证录入!H:H,$H786),"")</f>
        <v/>
      </c>
      <c r="B786" s="189" t="str">
        <f>IFERROR(INDEX(凭证录入!I:I,$H786),"")</f>
        <v/>
      </c>
      <c r="C786" s="190" t="str">
        <f>IFERROR(VLOOKUP($B786,会计科目表!$A:$C,2,),"")</f>
        <v/>
      </c>
      <c r="D786" s="190" t="str">
        <f>IFERROR(VLOOKUP($B786,会计科目表!$A:$C,3,),"")</f>
        <v/>
      </c>
      <c r="E786" s="191">
        <f>IFERROR(INDEX(凭证录入!K:K,$H786),0)</f>
        <v>0</v>
      </c>
      <c r="F786" s="191">
        <f>IFERROR(INDEX(凭证录入!L:L,$H786),0)</f>
        <v>0</v>
      </c>
      <c r="G786" s="176" t="s">
        <v>490</v>
      </c>
      <c r="H786" s="192" t="str">
        <f t="shared" si="145"/>
        <v/>
      </c>
      <c r="I786" s="176"/>
    </row>
    <row r="787" spans="1:9" s="45" customFormat="1" ht="19.5" customHeight="1" thickBot="1">
      <c r="A787" s="189" t="str">
        <f>IFERROR(INDEX(凭证录入!H:H,$H787),"")</f>
        <v/>
      </c>
      <c r="B787" s="189" t="str">
        <f>IFERROR(INDEX(凭证录入!I:I,$H787),"")</f>
        <v/>
      </c>
      <c r="C787" s="190" t="str">
        <f>IFERROR(VLOOKUP($B787,会计科目表!$A:$C,2,),"")</f>
        <v/>
      </c>
      <c r="D787" s="190" t="str">
        <f>IFERROR(VLOOKUP($B787,会计科目表!$A:$C,3,),"")</f>
        <v/>
      </c>
      <c r="E787" s="191">
        <f>IFERROR(INDEX(凭证录入!K:K,$H787),0)</f>
        <v>0</v>
      </c>
      <c r="F787" s="191">
        <f>IFERROR(INDEX(凭证录入!L:L,$H787),0)</f>
        <v>0</v>
      </c>
      <c r="G787" s="176" t="s">
        <v>491</v>
      </c>
      <c r="H787" s="192" t="str">
        <f t="shared" si="145"/>
        <v/>
      </c>
      <c r="I787" s="176"/>
    </row>
    <row r="788" spans="1:9" s="45" customFormat="1" ht="19.5" customHeight="1" thickBot="1">
      <c r="A788" s="189" t="str">
        <f>IFERROR(INDEX(凭证录入!H:H,$H788),"")</f>
        <v/>
      </c>
      <c r="B788" s="189" t="str">
        <f>IFERROR(INDEX(凭证录入!I:I,$H788),"")</f>
        <v/>
      </c>
      <c r="C788" s="190" t="str">
        <f>IFERROR(VLOOKUP($B788,会计科目表!$A:$C,2,),"")</f>
        <v/>
      </c>
      <c r="D788" s="190" t="str">
        <f>IFERROR(VLOOKUP($B788,会计科目表!$A:$C,3,),"")</f>
        <v/>
      </c>
      <c r="E788" s="191">
        <f>IFERROR(INDEX(凭证录入!K:K,$H788),0)</f>
        <v>0</v>
      </c>
      <c r="F788" s="191">
        <f>IFERROR(INDEX(凭证录入!L:L,$H788),0)</f>
        <v>0</v>
      </c>
      <c r="G788" s="176" t="e">
        <f>INDEX(凭证录入!$D:$D,$H785)</f>
        <v>#VALUE!</v>
      </c>
      <c r="H788" s="192" t="str">
        <f t="shared" si="145"/>
        <v/>
      </c>
      <c r="I788" s="176"/>
    </row>
    <row r="789" spans="1:9" s="45" customFormat="1" ht="19.5" customHeight="1" thickBot="1">
      <c r="A789" s="189" t="str">
        <f>IFERROR(INDEX(凭证录入!H:H,$H789),"")</f>
        <v/>
      </c>
      <c r="B789" s="189" t="str">
        <f>IFERROR(INDEX(凭证录入!I:I,$H789),"")</f>
        <v/>
      </c>
      <c r="C789" s="190" t="str">
        <f>IFERROR(VLOOKUP($B789,会计科目表!$A:$C,2,),"")</f>
        <v/>
      </c>
      <c r="D789" s="190" t="str">
        <f>IFERROR(VLOOKUP($B789,会计科目表!$A:$C,3,),"")</f>
        <v/>
      </c>
      <c r="E789" s="191">
        <f>IFERROR(INDEX(凭证录入!K:K,$H789),0)</f>
        <v>0</v>
      </c>
      <c r="F789" s="191">
        <f>IFERROR(INDEX(凭证录入!L:L,$H789),0)</f>
        <v>0</v>
      </c>
      <c r="G789" s="176" t="s">
        <v>492</v>
      </c>
      <c r="H789" s="192" t="str">
        <f t="shared" si="145"/>
        <v/>
      </c>
    </row>
    <row r="790" spans="1:9" s="45" customFormat="1" ht="19.5" customHeight="1" thickBot="1">
      <c r="A790" s="189" t="str">
        <f>IFERROR(INDEX(凭证录入!H:H,$H790),"")</f>
        <v/>
      </c>
      <c r="B790" s="189" t="str">
        <f>IFERROR(INDEX(凭证录入!I:I,$H790),"")</f>
        <v/>
      </c>
      <c r="C790" s="190" t="str">
        <f>IFERROR(VLOOKUP($B790,会计科目表!$A:$C,2,),"")</f>
        <v/>
      </c>
      <c r="D790" s="190" t="str">
        <f>IFERROR(VLOOKUP($B790,会计科目表!$A:$C,3,),"")</f>
        <v/>
      </c>
      <c r="E790" s="191">
        <f>IFERROR(INDEX(凭证录入!K:K,$H790),0)</f>
        <v>0</v>
      </c>
      <c r="F790" s="191">
        <f>IFERROR(INDEX(凭证录入!L:L,$H790),0)</f>
        <v>0</v>
      </c>
      <c r="G790" s="176"/>
      <c r="H790" s="192" t="str">
        <f t="shared" si="145"/>
        <v/>
      </c>
    </row>
    <row r="791" spans="1:9" s="45" customFormat="1" ht="19.5" customHeight="1" thickBot="1">
      <c r="A791" s="193"/>
      <c r="B791" s="194" t="s">
        <v>485</v>
      </c>
      <c r="C791" s="195" t="str">
        <f>SUBSTITUTE(SUBSTITUTE(IF(-DOLLAR(E791),IF(E791&gt;0,,"负")&amp;TEXT(INT(ABS(E791)+0.5%),"[dbnum2]G/通用格式元;;")&amp;TEXT(RIGHT(DOLLAR(E791),2),"[dbnum2]0角0分;;整"),),"零角",IF(E791^2&lt;1,,"零")),"零分","整")</f>
        <v/>
      </c>
      <c r="D791" s="196"/>
      <c r="E791" s="197">
        <f>SUM(E785:E790)</f>
        <v>0</v>
      </c>
      <c r="F791" s="197">
        <f>SUM(F785:F790)</f>
        <v>0</v>
      </c>
      <c r="G791" s="176"/>
      <c r="H791" s="192" t="str">
        <f t="shared" si="145"/>
        <v/>
      </c>
    </row>
    <row r="792" spans="1:9" s="199" customFormat="1" ht="19.5" customHeight="1">
      <c r="A792" s="45" t="s">
        <v>486</v>
      </c>
      <c r="B792" s="45" t="s">
        <v>487</v>
      </c>
      <c r="C792" s="45" t="s">
        <v>488</v>
      </c>
      <c r="D792" s="45" t="s">
        <v>504</v>
      </c>
      <c r="E792" s="45" t="s">
        <v>489</v>
      </c>
      <c r="F792" s="176" t="str">
        <f>IF($E791&lt;&gt;$F791,"借贷不平","")</f>
        <v/>
      </c>
      <c r="G792" s="183"/>
      <c r="H792" s="198" t="str">
        <f t="shared" si="145"/>
        <v/>
      </c>
    </row>
    <row r="793" spans="1:9" ht="37.5" customHeight="1">
      <c r="A793" s="177" t="s">
        <v>493</v>
      </c>
      <c r="B793" s="178"/>
      <c r="C793" s="179"/>
      <c r="D793" s="179"/>
      <c r="E793" s="178"/>
      <c r="F793" s="178"/>
      <c r="G793" s="176"/>
      <c r="H793" s="192" t="str">
        <f t="shared" si="145"/>
        <v/>
      </c>
    </row>
    <row r="794" spans="1:9" s="45" customFormat="1" ht="19.5" customHeight="1" thickBot="1">
      <c r="C794" s="180" t="e">
        <f>DATEVALUE("2010-"&amp;$H$1&amp;"-"&amp;INDEX(凭证录入!B:B,H797))</f>
        <v>#VALUE!</v>
      </c>
      <c r="D794" s="181"/>
      <c r="E794" s="182" t="s">
        <v>477</v>
      </c>
      <c r="F794" s="183" t="e">
        <f>N(LEFT((F782),3)+1)</f>
        <v>#VALUE!</v>
      </c>
      <c r="G794" s="176"/>
      <c r="H794" s="192" t="str">
        <f t="shared" si="145"/>
        <v/>
      </c>
      <c r="I794" s="184"/>
    </row>
    <row r="795" spans="1:9" s="45" customFormat="1" ht="19.5" customHeight="1" thickBot="1">
      <c r="A795" s="544" t="s">
        <v>494</v>
      </c>
      <c r="B795" s="545" t="s">
        <v>495</v>
      </c>
      <c r="C795" s="185" t="s">
        <v>496</v>
      </c>
      <c r="D795" s="186"/>
      <c r="E795" s="187"/>
      <c r="F795" s="188"/>
      <c r="G795" s="176"/>
      <c r="H795" s="192" t="str">
        <f t="shared" si="145"/>
        <v/>
      </c>
    </row>
    <row r="796" spans="1:9" s="45" customFormat="1" ht="19.5" customHeight="1" thickBot="1">
      <c r="A796" s="545"/>
      <c r="B796" s="546"/>
      <c r="C796" s="188" t="s">
        <v>497</v>
      </c>
      <c r="D796" s="188" t="s">
        <v>498</v>
      </c>
      <c r="E796" s="188" t="s">
        <v>499</v>
      </c>
      <c r="F796" s="188" t="s">
        <v>500</v>
      </c>
      <c r="G796" s="176"/>
      <c r="H796" s="192" t="str">
        <f t="shared" si="145"/>
        <v/>
      </c>
    </row>
    <row r="797" spans="1:9" s="45" customFormat="1" ht="19.5" customHeight="1" thickBot="1">
      <c r="A797" s="189" t="str">
        <f>IFERROR(INDEX(凭证录入!H:H,$H797),"")</f>
        <v/>
      </c>
      <c r="B797" s="189" t="str">
        <f>IFERROR(INDEX(凭证录入!I:I,$H797),"")</f>
        <v/>
      </c>
      <c r="C797" s="190" t="str">
        <f>IFERROR(VLOOKUP($B797,会计科目表!$A:$C,2,),"")</f>
        <v/>
      </c>
      <c r="D797" s="190" t="str">
        <f>IFERROR(VLOOKUP($B797,会计科目表!$A:$C,3,),"")</f>
        <v/>
      </c>
      <c r="E797" s="191">
        <f>IFERROR(INDEX(凭证录入!K:K,$H797),0)</f>
        <v>0</v>
      </c>
      <c r="F797" s="191">
        <f>IFERROR(INDEX(凭证录入!L:L,$H797),0)</f>
        <v>0</v>
      </c>
      <c r="G797" s="176"/>
      <c r="H797" s="192" t="str">
        <f t="shared" si="145"/>
        <v/>
      </c>
    </row>
    <row r="798" spans="1:9" s="45" customFormat="1" ht="19.5" customHeight="1" thickBot="1">
      <c r="A798" s="189" t="str">
        <f>IFERROR(INDEX(凭证录入!H:H,$H798),"")</f>
        <v/>
      </c>
      <c r="B798" s="189" t="str">
        <f>IFERROR(INDEX(凭证录入!I:I,$H798),"")</f>
        <v/>
      </c>
      <c r="C798" s="190" t="str">
        <f>IFERROR(VLOOKUP($B798,会计科目表!$A:$C,2,),"")</f>
        <v/>
      </c>
      <c r="D798" s="190" t="str">
        <f>IFERROR(VLOOKUP($B798,会计科目表!$A:$C,3,),"")</f>
        <v/>
      </c>
      <c r="E798" s="191">
        <f>IFERROR(INDEX(凭证录入!K:K,$H798),0)</f>
        <v>0</v>
      </c>
      <c r="F798" s="191">
        <f>IFERROR(INDEX(凭证录入!L:L,$H798),0)</f>
        <v>0</v>
      </c>
      <c r="G798" s="176" t="s">
        <v>490</v>
      </c>
      <c r="H798" s="192" t="str">
        <f t="shared" si="145"/>
        <v/>
      </c>
      <c r="I798" s="176"/>
    </row>
    <row r="799" spans="1:9" s="45" customFormat="1" ht="19.5" customHeight="1" thickBot="1">
      <c r="A799" s="189" t="str">
        <f>IFERROR(INDEX(凭证录入!H:H,$H799),"")</f>
        <v/>
      </c>
      <c r="B799" s="189" t="str">
        <f>IFERROR(INDEX(凭证录入!I:I,$H799),"")</f>
        <v/>
      </c>
      <c r="C799" s="190" t="str">
        <f>IFERROR(VLOOKUP($B799,会计科目表!$A:$C,2,),"")</f>
        <v/>
      </c>
      <c r="D799" s="190" t="str">
        <f>IFERROR(VLOOKUP($B799,会计科目表!$A:$C,3,),"")</f>
        <v/>
      </c>
      <c r="E799" s="191">
        <f>IFERROR(INDEX(凭证录入!K:K,$H799),0)</f>
        <v>0</v>
      </c>
      <c r="F799" s="191">
        <f>IFERROR(INDEX(凭证录入!L:L,$H799),0)</f>
        <v>0</v>
      </c>
      <c r="G799" s="176" t="s">
        <v>491</v>
      </c>
      <c r="H799" s="192" t="str">
        <f t="shared" si="145"/>
        <v/>
      </c>
      <c r="I799" s="176"/>
    </row>
    <row r="800" spans="1:9" s="45" customFormat="1" ht="19.5" customHeight="1" thickBot="1">
      <c r="A800" s="189" t="str">
        <f>IFERROR(INDEX(凭证录入!H:H,$H800),"")</f>
        <v/>
      </c>
      <c r="B800" s="189" t="str">
        <f>IFERROR(INDEX(凭证录入!I:I,$H800),"")</f>
        <v/>
      </c>
      <c r="C800" s="190" t="str">
        <f>IFERROR(VLOOKUP($B800,会计科目表!$A:$C,2,),"")</f>
        <v/>
      </c>
      <c r="D800" s="190" t="str">
        <f>IFERROR(VLOOKUP($B800,会计科目表!$A:$C,3,),"")</f>
        <v/>
      </c>
      <c r="E800" s="191">
        <f>IFERROR(INDEX(凭证录入!K:K,$H800),0)</f>
        <v>0</v>
      </c>
      <c r="F800" s="191">
        <f>IFERROR(INDEX(凭证录入!L:L,$H800),0)</f>
        <v>0</v>
      </c>
      <c r="G800" s="176" t="e">
        <f>INDEX(凭证录入!$D:$D,$H797)</f>
        <v>#VALUE!</v>
      </c>
      <c r="H800" s="192" t="str">
        <f t="shared" si="145"/>
        <v/>
      </c>
      <c r="I800" s="176"/>
    </row>
    <row r="801" spans="1:9" s="45" customFormat="1" ht="19.5" customHeight="1" thickBot="1">
      <c r="A801" s="189" t="str">
        <f>IFERROR(INDEX(凭证录入!H:H,$H801),"")</f>
        <v/>
      </c>
      <c r="B801" s="189" t="str">
        <f>IFERROR(INDEX(凭证录入!I:I,$H801),"")</f>
        <v/>
      </c>
      <c r="C801" s="190" t="str">
        <f>IFERROR(VLOOKUP($B801,会计科目表!$A:$C,2,),"")</f>
        <v/>
      </c>
      <c r="D801" s="190" t="str">
        <f>IFERROR(VLOOKUP($B801,会计科目表!$A:$C,3,),"")</f>
        <v/>
      </c>
      <c r="E801" s="191">
        <f>IFERROR(INDEX(凭证录入!K:K,$H801),0)</f>
        <v>0</v>
      </c>
      <c r="F801" s="191">
        <f>IFERROR(INDEX(凭证录入!L:L,$H801),0)</f>
        <v>0</v>
      </c>
      <c r="G801" s="176" t="s">
        <v>492</v>
      </c>
      <c r="H801" s="192" t="str">
        <f t="shared" si="145"/>
        <v/>
      </c>
    </row>
    <row r="802" spans="1:9" s="45" customFormat="1" ht="19.5" customHeight="1" thickBot="1">
      <c r="A802" s="189" t="str">
        <f>IFERROR(INDEX(凭证录入!H:H,$H802),"")</f>
        <v/>
      </c>
      <c r="B802" s="189" t="str">
        <f>IFERROR(INDEX(凭证录入!I:I,$H802),"")</f>
        <v/>
      </c>
      <c r="C802" s="190" t="str">
        <f>IFERROR(VLOOKUP($B802,会计科目表!$A:$C,2,),"")</f>
        <v/>
      </c>
      <c r="D802" s="190" t="str">
        <f>IFERROR(VLOOKUP($B802,会计科目表!$A:$C,3,),"")</f>
        <v/>
      </c>
      <c r="E802" s="191">
        <f>IFERROR(INDEX(凭证录入!K:K,$H802),0)</f>
        <v>0</v>
      </c>
      <c r="F802" s="191">
        <f>IFERROR(INDEX(凭证录入!L:L,$H802),0)</f>
        <v>0</v>
      </c>
      <c r="G802" s="176"/>
      <c r="H802" s="192" t="str">
        <f t="shared" si="145"/>
        <v/>
      </c>
    </row>
    <row r="803" spans="1:9" s="45" customFormat="1" ht="19.5" customHeight="1" thickBot="1">
      <c r="A803" s="193"/>
      <c r="B803" s="194" t="s">
        <v>485</v>
      </c>
      <c r="C803" s="195" t="str">
        <f>SUBSTITUTE(SUBSTITUTE(IF(-DOLLAR(E803),IF(E803&gt;0,,"负")&amp;TEXT(INT(ABS(E803)+0.5%),"[dbnum2]G/通用格式元;;")&amp;TEXT(RIGHT(DOLLAR(E803),2),"[dbnum2]0角0分;;整"),),"零角",IF(E803^2&lt;1,,"零")),"零分","整")</f>
        <v/>
      </c>
      <c r="D803" s="196"/>
      <c r="E803" s="197">
        <f>SUM(E797:E802)</f>
        <v>0</v>
      </c>
      <c r="F803" s="197">
        <f>SUM(F797:F802)</f>
        <v>0</v>
      </c>
      <c r="G803" s="176"/>
      <c r="H803" s="192" t="str">
        <f t="shared" si="145"/>
        <v/>
      </c>
    </row>
    <row r="804" spans="1:9" s="199" customFormat="1" ht="19.5" customHeight="1">
      <c r="A804" s="45" t="s">
        <v>486</v>
      </c>
      <c r="B804" s="45" t="s">
        <v>487</v>
      </c>
      <c r="C804" s="45" t="s">
        <v>488</v>
      </c>
      <c r="D804" s="45" t="s">
        <v>504</v>
      </c>
      <c r="E804" s="45" t="s">
        <v>489</v>
      </c>
      <c r="F804" s="176" t="str">
        <f>IF($E803&lt;&gt;$F803,"借贷不平","")</f>
        <v/>
      </c>
      <c r="G804" s="183"/>
      <c r="H804" s="198" t="str">
        <f t="shared" si="145"/>
        <v/>
      </c>
    </row>
    <row r="805" spans="1:9" ht="37.5" customHeight="1">
      <c r="A805" s="177" t="s">
        <v>493</v>
      </c>
      <c r="B805" s="178"/>
      <c r="C805" s="179"/>
      <c r="D805" s="179"/>
      <c r="E805" s="178"/>
      <c r="F805" s="178"/>
      <c r="G805" s="176"/>
      <c r="H805" s="192" t="str">
        <f t="shared" si="145"/>
        <v/>
      </c>
    </row>
    <row r="806" spans="1:9" s="45" customFormat="1" ht="19.5" customHeight="1" thickBot="1">
      <c r="C806" s="180" t="e">
        <f>DATEVALUE("2010-"&amp;$H$1&amp;"-"&amp;INDEX(凭证录入!B:B,H809))</f>
        <v>#VALUE!</v>
      </c>
      <c r="D806" s="181"/>
      <c r="E806" s="182" t="s">
        <v>477</v>
      </c>
      <c r="F806" s="183" t="e">
        <f>N(LEFT((F794),3)+1)</f>
        <v>#VALUE!</v>
      </c>
      <c r="G806" s="176"/>
      <c r="H806" s="192" t="str">
        <f t="shared" si="145"/>
        <v/>
      </c>
      <c r="I806" s="184"/>
    </row>
    <row r="807" spans="1:9" s="45" customFormat="1" ht="19.5" customHeight="1" thickBot="1">
      <c r="A807" s="544" t="s">
        <v>494</v>
      </c>
      <c r="B807" s="545" t="s">
        <v>495</v>
      </c>
      <c r="C807" s="185" t="s">
        <v>496</v>
      </c>
      <c r="D807" s="186"/>
      <c r="E807" s="187"/>
      <c r="F807" s="188"/>
      <c r="G807" s="176"/>
      <c r="H807" s="192" t="str">
        <f t="shared" si="145"/>
        <v/>
      </c>
    </row>
    <row r="808" spans="1:9" s="45" customFormat="1" ht="19.5" customHeight="1" thickBot="1">
      <c r="A808" s="545"/>
      <c r="B808" s="546"/>
      <c r="C808" s="188" t="s">
        <v>497</v>
      </c>
      <c r="D808" s="188" t="s">
        <v>498</v>
      </c>
      <c r="E808" s="188" t="s">
        <v>499</v>
      </c>
      <c r="F808" s="188" t="s">
        <v>500</v>
      </c>
      <c r="G808" s="176"/>
      <c r="H808" s="192" t="str">
        <f t="shared" si="145"/>
        <v/>
      </c>
    </row>
    <row r="809" spans="1:9" s="45" customFormat="1" ht="19.5" customHeight="1" thickBot="1">
      <c r="A809" s="189" t="str">
        <f>IFERROR(INDEX(凭证录入!H:H,$H809),"")</f>
        <v/>
      </c>
      <c r="B809" s="189" t="str">
        <f>IFERROR(INDEX(凭证录入!I:I,$H809),"")</f>
        <v/>
      </c>
      <c r="C809" s="190" t="str">
        <f>IFERROR(VLOOKUP($B809,会计科目表!$A:$C,2,),"")</f>
        <v/>
      </c>
      <c r="D809" s="190" t="str">
        <f>IFERROR(VLOOKUP($B809,会计科目表!$A:$C,3,),"")</f>
        <v/>
      </c>
      <c r="E809" s="191">
        <f>IFERROR(INDEX(凭证录入!K:K,$H809),0)</f>
        <v>0</v>
      </c>
      <c r="F809" s="191">
        <f>IFERROR(INDEX(凭证录入!L:L,$H809),0)</f>
        <v>0</v>
      </c>
      <c r="G809" s="176"/>
      <c r="H809" s="192" t="str">
        <f t="shared" si="145"/>
        <v/>
      </c>
    </row>
    <row r="810" spans="1:9" s="45" customFormat="1" ht="19.5" customHeight="1" thickBot="1">
      <c r="A810" s="189" t="str">
        <f>IFERROR(INDEX(凭证录入!H:H,$H810),"")</f>
        <v/>
      </c>
      <c r="B810" s="189" t="str">
        <f>IFERROR(INDEX(凭证录入!I:I,$H810),"")</f>
        <v/>
      </c>
      <c r="C810" s="190" t="str">
        <f>IFERROR(VLOOKUP($B810,会计科目表!$A:$C,2,),"")</f>
        <v/>
      </c>
      <c r="D810" s="190" t="str">
        <f>IFERROR(VLOOKUP($B810,会计科目表!$A:$C,3,),"")</f>
        <v/>
      </c>
      <c r="E810" s="191">
        <f>IFERROR(INDEX(凭证录入!K:K,$H810),0)</f>
        <v>0</v>
      </c>
      <c r="F810" s="191">
        <f>IFERROR(INDEX(凭证录入!L:L,$H810),0)</f>
        <v>0</v>
      </c>
      <c r="G810" s="176" t="s">
        <v>490</v>
      </c>
      <c r="H810" s="192" t="str">
        <f t="shared" si="145"/>
        <v/>
      </c>
      <c r="I810" s="176"/>
    </row>
    <row r="811" spans="1:9" s="45" customFormat="1" ht="19.5" customHeight="1" thickBot="1">
      <c r="A811" s="189" t="str">
        <f>IFERROR(INDEX(凭证录入!H:H,$H811),"")</f>
        <v/>
      </c>
      <c r="B811" s="189" t="str">
        <f>IFERROR(INDEX(凭证录入!I:I,$H811),"")</f>
        <v/>
      </c>
      <c r="C811" s="190" t="str">
        <f>IFERROR(VLOOKUP($B811,会计科目表!$A:$C,2,),"")</f>
        <v/>
      </c>
      <c r="D811" s="190" t="str">
        <f>IFERROR(VLOOKUP($B811,会计科目表!$A:$C,3,),"")</f>
        <v/>
      </c>
      <c r="E811" s="191">
        <f>IFERROR(INDEX(凭证录入!K:K,$H811),0)</f>
        <v>0</v>
      </c>
      <c r="F811" s="191">
        <f>IFERROR(INDEX(凭证录入!L:L,$H811),0)</f>
        <v>0</v>
      </c>
      <c r="G811" s="176" t="s">
        <v>491</v>
      </c>
      <c r="H811" s="192" t="str">
        <f t="shared" si="145"/>
        <v/>
      </c>
      <c r="I811" s="176"/>
    </row>
    <row r="812" spans="1:9" s="45" customFormat="1" ht="19.5" customHeight="1" thickBot="1">
      <c r="A812" s="189" t="str">
        <f>IFERROR(INDEX(凭证录入!H:H,$H812),"")</f>
        <v/>
      </c>
      <c r="B812" s="189" t="str">
        <f>IFERROR(INDEX(凭证录入!I:I,$H812),"")</f>
        <v/>
      </c>
      <c r="C812" s="190" t="str">
        <f>IFERROR(VLOOKUP($B812,会计科目表!$A:$C,2,),"")</f>
        <v/>
      </c>
      <c r="D812" s="190" t="str">
        <f>IFERROR(VLOOKUP($B812,会计科目表!$A:$C,3,),"")</f>
        <v/>
      </c>
      <c r="E812" s="191">
        <f>IFERROR(INDEX(凭证录入!K:K,$H812),0)</f>
        <v>0</v>
      </c>
      <c r="F812" s="191">
        <f>IFERROR(INDEX(凭证录入!L:L,$H812),0)</f>
        <v>0</v>
      </c>
      <c r="G812" s="176" t="e">
        <f>INDEX(凭证录入!$D:$D,$H809)</f>
        <v>#VALUE!</v>
      </c>
      <c r="H812" s="192" t="str">
        <f t="shared" si="145"/>
        <v/>
      </c>
      <c r="I812" s="176"/>
    </row>
    <row r="813" spans="1:9" s="45" customFormat="1" ht="19.5" customHeight="1" thickBot="1">
      <c r="A813" s="189" t="str">
        <f>IFERROR(INDEX(凭证录入!H:H,$H813),"")</f>
        <v/>
      </c>
      <c r="B813" s="189" t="str">
        <f>IFERROR(INDEX(凭证录入!I:I,$H813),"")</f>
        <v/>
      </c>
      <c r="C813" s="190" t="str">
        <f>IFERROR(VLOOKUP($B813,会计科目表!$A:$C,2,),"")</f>
        <v/>
      </c>
      <c r="D813" s="190" t="str">
        <f>IFERROR(VLOOKUP($B813,会计科目表!$A:$C,3,),"")</f>
        <v/>
      </c>
      <c r="E813" s="191">
        <f>IFERROR(INDEX(凭证录入!K:K,$H813),0)</f>
        <v>0</v>
      </c>
      <c r="F813" s="191">
        <f>IFERROR(INDEX(凭证录入!L:L,$H813),0)</f>
        <v>0</v>
      </c>
      <c r="G813" s="176" t="s">
        <v>492</v>
      </c>
      <c r="H813" s="192" t="str">
        <f t="shared" si="145"/>
        <v/>
      </c>
    </row>
    <row r="814" spans="1:9" s="45" customFormat="1" ht="19.5" customHeight="1" thickBot="1">
      <c r="A814" s="189" t="str">
        <f>IFERROR(INDEX(凭证录入!H:H,$H814),"")</f>
        <v/>
      </c>
      <c r="B814" s="189" t="str">
        <f>IFERROR(INDEX(凭证录入!I:I,$H814),"")</f>
        <v/>
      </c>
      <c r="C814" s="190" t="str">
        <f>IFERROR(VLOOKUP($B814,会计科目表!$A:$C,2,),"")</f>
        <v/>
      </c>
      <c r="D814" s="190" t="str">
        <f>IFERROR(VLOOKUP($B814,会计科目表!$A:$C,3,),"")</f>
        <v/>
      </c>
      <c r="E814" s="191">
        <f>IFERROR(INDEX(凭证录入!K:K,$H814),0)</f>
        <v>0</v>
      </c>
      <c r="F814" s="191">
        <f>IFERROR(INDEX(凭证录入!L:L,$H814),0)</f>
        <v>0</v>
      </c>
      <c r="G814" s="176"/>
      <c r="H814" s="192" t="str">
        <f t="shared" si="145"/>
        <v/>
      </c>
    </row>
    <row r="815" spans="1:9" s="45" customFormat="1" ht="19.5" customHeight="1" thickBot="1">
      <c r="A815" s="193"/>
      <c r="B815" s="194" t="s">
        <v>485</v>
      </c>
      <c r="C815" s="195" t="str">
        <f>SUBSTITUTE(SUBSTITUTE(IF(-DOLLAR(E815),IF(E815&gt;0,,"负")&amp;TEXT(INT(ABS(E815)+0.5%),"[dbnum2]G/通用格式元;;")&amp;TEXT(RIGHT(DOLLAR(E815),2),"[dbnum2]0角0分;;整"),),"零角",IF(E815^2&lt;1,,"零")),"零分","整")</f>
        <v/>
      </c>
      <c r="D815" s="196"/>
      <c r="E815" s="197">
        <f>SUM(E809:E814)</f>
        <v>0</v>
      </c>
      <c r="F815" s="197">
        <f>SUM(F809:F814)</f>
        <v>0</v>
      </c>
      <c r="G815" s="176"/>
      <c r="H815" s="192" t="str">
        <f t="shared" si="145"/>
        <v/>
      </c>
    </row>
    <row r="816" spans="1:9" s="199" customFormat="1" ht="19.5" customHeight="1">
      <c r="A816" s="45" t="s">
        <v>486</v>
      </c>
      <c r="B816" s="45" t="s">
        <v>487</v>
      </c>
      <c r="C816" s="45" t="s">
        <v>488</v>
      </c>
      <c r="D816" s="45" t="s">
        <v>504</v>
      </c>
      <c r="E816" s="45" t="s">
        <v>489</v>
      </c>
      <c r="F816" s="176" t="str">
        <f>IF($E815&lt;&gt;$F815,"借贷不平","")</f>
        <v/>
      </c>
      <c r="G816" s="183"/>
      <c r="H816" s="198" t="str">
        <f t="shared" si="145"/>
        <v/>
      </c>
    </row>
    <row r="817" spans="1:9" ht="37.5" customHeight="1">
      <c r="A817" s="177" t="s">
        <v>493</v>
      </c>
      <c r="B817" s="178"/>
      <c r="C817" s="179"/>
      <c r="D817" s="179"/>
      <c r="E817" s="178"/>
      <c r="F817" s="178"/>
      <c r="G817" s="176"/>
      <c r="H817" s="192" t="str">
        <f t="shared" si="145"/>
        <v/>
      </c>
    </row>
    <row r="818" spans="1:9" s="45" customFormat="1" ht="19.5" customHeight="1" thickBot="1">
      <c r="C818" s="180" t="e">
        <f>DATEVALUE("2010-"&amp;$H$1&amp;"-"&amp;INDEX(凭证录入!B:B,H821))</f>
        <v>#VALUE!</v>
      </c>
      <c r="D818" s="181"/>
      <c r="E818" s="182" t="s">
        <v>477</v>
      </c>
      <c r="F818" s="183" t="e">
        <f>N(LEFT((F806),3)+1)</f>
        <v>#VALUE!</v>
      </c>
      <c r="G818" s="176"/>
      <c r="H818" s="192" t="str">
        <f t="shared" si="145"/>
        <v/>
      </c>
      <c r="I818" s="184"/>
    </row>
    <row r="819" spans="1:9" s="45" customFormat="1" ht="19.5" customHeight="1" thickBot="1">
      <c r="A819" s="544" t="s">
        <v>494</v>
      </c>
      <c r="B819" s="545" t="s">
        <v>495</v>
      </c>
      <c r="C819" s="185" t="s">
        <v>496</v>
      </c>
      <c r="D819" s="186"/>
      <c r="E819" s="187"/>
      <c r="F819" s="188"/>
      <c r="G819" s="176"/>
      <c r="H819" s="192" t="str">
        <f t="shared" si="145"/>
        <v/>
      </c>
    </row>
    <row r="820" spans="1:9" s="45" customFormat="1" ht="19.5" customHeight="1" thickBot="1">
      <c r="A820" s="545"/>
      <c r="B820" s="546"/>
      <c r="C820" s="188" t="s">
        <v>497</v>
      </c>
      <c r="D820" s="188" t="s">
        <v>498</v>
      </c>
      <c r="E820" s="188" t="s">
        <v>499</v>
      </c>
      <c r="F820" s="188" t="s">
        <v>500</v>
      </c>
      <c r="G820" s="176"/>
      <c r="H820" s="192" t="str">
        <f t="shared" si="145"/>
        <v/>
      </c>
    </row>
    <row r="821" spans="1:9" s="45" customFormat="1" ht="19.5" customHeight="1" thickBot="1">
      <c r="A821" s="189" t="str">
        <f>IFERROR(INDEX(凭证录入!H:H,$H821),"")</f>
        <v/>
      </c>
      <c r="B821" s="189" t="str">
        <f>IFERROR(INDEX(凭证录入!I:I,$H821),"")</f>
        <v/>
      </c>
      <c r="C821" s="190" t="str">
        <f>IFERROR(VLOOKUP($B821,会计科目表!$A:$C,2,),"")</f>
        <v/>
      </c>
      <c r="D821" s="190" t="str">
        <f>IFERROR(VLOOKUP($B821,会计科目表!$A:$C,3,),"")</f>
        <v/>
      </c>
      <c r="E821" s="191">
        <f>IFERROR(INDEX(凭证录入!K:K,$H821),0)</f>
        <v>0</v>
      </c>
      <c r="F821" s="191">
        <f>IFERROR(INDEX(凭证录入!L:L,$H821),0)</f>
        <v>0</v>
      </c>
      <c r="G821" s="176"/>
      <c r="H821" s="192" t="str">
        <f t="shared" si="145"/>
        <v/>
      </c>
    </row>
    <row r="822" spans="1:9" s="45" customFormat="1" ht="19.5" customHeight="1" thickBot="1">
      <c r="A822" s="189" t="str">
        <f>IFERROR(INDEX(凭证录入!H:H,$H822),"")</f>
        <v/>
      </c>
      <c r="B822" s="189" t="str">
        <f>IFERROR(INDEX(凭证录入!I:I,$H822),"")</f>
        <v/>
      </c>
      <c r="C822" s="190" t="str">
        <f>IFERROR(VLOOKUP($B822,会计科目表!$A:$C,2,),"")</f>
        <v/>
      </c>
      <c r="D822" s="190" t="str">
        <f>IFERROR(VLOOKUP($B822,会计科目表!$A:$C,3,),"")</f>
        <v/>
      </c>
      <c r="E822" s="191">
        <f>IFERROR(INDEX(凭证录入!K:K,$H822),0)</f>
        <v>0</v>
      </c>
      <c r="F822" s="191">
        <f>IFERROR(INDEX(凭证录入!L:L,$H822),0)</f>
        <v>0</v>
      </c>
      <c r="G822" s="176" t="s">
        <v>490</v>
      </c>
      <c r="H822" s="192" t="str">
        <f t="shared" si="145"/>
        <v/>
      </c>
      <c r="I822" s="176"/>
    </row>
    <row r="823" spans="1:9" s="45" customFormat="1" ht="19.5" customHeight="1" thickBot="1">
      <c r="A823" s="189" t="str">
        <f>IFERROR(INDEX(凭证录入!H:H,$H823),"")</f>
        <v/>
      </c>
      <c r="B823" s="189" t="str">
        <f>IFERROR(INDEX(凭证录入!I:I,$H823),"")</f>
        <v/>
      </c>
      <c r="C823" s="190" t="str">
        <f>IFERROR(VLOOKUP($B823,会计科目表!$A:$C,2,),"")</f>
        <v/>
      </c>
      <c r="D823" s="190" t="str">
        <f>IFERROR(VLOOKUP($B823,会计科目表!$A:$C,3,),"")</f>
        <v/>
      </c>
      <c r="E823" s="191">
        <f>IFERROR(INDEX(凭证录入!K:K,$H823),0)</f>
        <v>0</v>
      </c>
      <c r="F823" s="191">
        <f>IFERROR(INDEX(凭证录入!L:L,$H823),0)</f>
        <v>0</v>
      </c>
      <c r="G823" s="176" t="s">
        <v>491</v>
      </c>
      <c r="H823" s="192" t="str">
        <f t="shared" si="145"/>
        <v/>
      </c>
      <c r="I823" s="176"/>
    </row>
    <row r="824" spans="1:9" s="45" customFormat="1" ht="19.5" customHeight="1" thickBot="1">
      <c r="A824" s="189" t="str">
        <f>IFERROR(INDEX(凭证录入!H:H,$H824),"")</f>
        <v/>
      </c>
      <c r="B824" s="189" t="str">
        <f>IFERROR(INDEX(凭证录入!I:I,$H824),"")</f>
        <v/>
      </c>
      <c r="C824" s="190" t="str">
        <f>IFERROR(VLOOKUP($B824,会计科目表!$A:$C,2,),"")</f>
        <v/>
      </c>
      <c r="D824" s="190" t="str">
        <f>IFERROR(VLOOKUP($B824,会计科目表!$A:$C,3,),"")</f>
        <v/>
      </c>
      <c r="E824" s="191">
        <f>IFERROR(INDEX(凭证录入!K:K,$H824),0)</f>
        <v>0</v>
      </c>
      <c r="F824" s="191">
        <f>IFERROR(INDEX(凭证录入!L:L,$H824),0)</f>
        <v>0</v>
      </c>
      <c r="G824" s="176" t="e">
        <f>INDEX(凭证录入!$D:$D,$H821)</f>
        <v>#VALUE!</v>
      </c>
      <c r="H824" s="192" t="str">
        <f t="shared" si="145"/>
        <v/>
      </c>
      <c r="I824" s="176"/>
    </row>
    <row r="825" spans="1:9" s="45" customFormat="1" ht="19.5" customHeight="1" thickBot="1">
      <c r="A825" s="189" t="str">
        <f>IFERROR(INDEX(凭证录入!H:H,$H825),"")</f>
        <v/>
      </c>
      <c r="B825" s="189" t="str">
        <f>IFERROR(INDEX(凭证录入!I:I,$H825),"")</f>
        <v/>
      </c>
      <c r="C825" s="190" t="str">
        <f>IFERROR(VLOOKUP($B825,会计科目表!$A:$C,2,),"")</f>
        <v/>
      </c>
      <c r="D825" s="190" t="str">
        <f>IFERROR(VLOOKUP($B825,会计科目表!$A:$C,3,),"")</f>
        <v/>
      </c>
      <c r="E825" s="191">
        <f>IFERROR(INDEX(凭证录入!K:K,$H825),0)</f>
        <v>0</v>
      </c>
      <c r="F825" s="191">
        <f>IFERROR(INDEX(凭证录入!L:L,$H825),0)</f>
        <v>0</v>
      </c>
      <c r="G825" s="176" t="s">
        <v>492</v>
      </c>
      <c r="H825" s="192" t="str">
        <f t="shared" si="145"/>
        <v/>
      </c>
    </row>
    <row r="826" spans="1:9" s="45" customFormat="1" ht="19.5" customHeight="1" thickBot="1">
      <c r="A826" s="189" t="str">
        <f>IFERROR(INDEX(凭证录入!H:H,$H826),"")</f>
        <v/>
      </c>
      <c r="B826" s="189" t="str">
        <f>IFERROR(INDEX(凭证录入!I:I,$H826),"")</f>
        <v/>
      </c>
      <c r="C826" s="190" t="str">
        <f>IFERROR(VLOOKUP($B826,会计科目表!$A:$C,2,),"")</f>
        <v/>
      </c>
      <c r="D826" s="190" t="str">
        <f>IFERROR(VLOOKUP($B826,会计科目表!$A:$C,3,),"")</f>
        <v/>
      </c>
      <c r="E826" s="191">
        <f>IFERROR(INDEX(凭证录入!K:K,$H826),0)</f>
        <v>0</v>
      </c>
      <c r="F826" s="191">
        <f>IFERROR(INDEX(凭证录入!L:L,$H826),0)</f>
        <v>0</v>
      </c>
      <c r="G826" s="176"/>
      <c r="H826" s="192" t="str">
        <f t="shared" si="145"/>
        <v/>
      </c>
    </row>
    <row r="827" spans="1:9" s="45" customFormat="1" ht="19.5" customHeight="1" thickBot="1">
      <c r="A827" s="193"/>
      <c r="B827" s="194" t="s">
        <v>485</v>
      </c>
      <c r="C827" s="195" t="str">
        <f>SUBSTITUTE(SUBSTITUTE(IF(-DOLLAR(E827),IF(E827&gt;0,,"负")&amp;TEXT(INT(ABS(E827)+0.5%),"[dbnum2]G/通用格式元;;")&amp;TEXT(RIGHT(DOLLAR(E827),2),"[dbnum2]0角0分;;整"),),"零角",IF(E827^2&lt;1,,"零")),"零分","整")</f>
        <v/>
      </c>
      <c r="D827" s="196"/>
      <c r="E827" s="197">
        <f>SUM(E821:E826)</f>
        <v>0</v>
      </c>
      <c r="F827" s="197">
        <f>SUM(F821:F826)</f>
        <v>0</v>
      </c>
      <c r="G827" s="176"/>
      <c r="H827" s="192" t="str">
        <f t="shared" si="145"/>
        <v/>
      </c>
    </row>
    <row r="828" spans="1:9" s="199" customFormat="1" ht="19.5" customHeight="1">
      <c r="A828" s="45" t="s">
        <v>486</v>
      </c>
      <c r="B828" s="45" t="s">
        <v>487</v>
      </c>
      <c r="C828" s="45" t="s">
        <v>488</v>
      </c>
      <c r="D828" s="45" t="s">
        <v>504</v>
      </c>
      <c r="E828" s="45" t="s">
        <v>489</v>
      </c>
      <c r="F828" s="176" t="str">
        <f>IF($E827&lt;&gt;$F827,"借贷不平","")</f>
        <v/>
      </c>
      <c r="G828" s="183"/>
      <c r="H828" s="198" t="str">
        <f t="shared" si="145"/>
        <v/>
      </c>
    </row>
    <row r="829" spans="1:9" ht="37.5" customHeight="1">
      <c r="A829" s="177" t="s">
        <v>493</v>
      </c>
      <c r="B829" s="178"/>
      <c r="C829" s="179"/>
      <c r="D829" s="179"/>
      <c r="E829" s="178"/>
      <c r="F829" s="178"/>
      <c r="G829" s="176"/>
      <c r="H829" s="192" t="str">
        <f t="shared" si="145"/>
        <v/>
      </c>
    </row>
    <row r="830" spans="1:9" s="45" customFormat="1" ht="19.5" customHeight="1" thickBot="1">
      <c r="C830" s="180" t="e">
        <f>DATEVALUE("2010-"&amp;$H$1&amp;"-"&amp;INDEX(凭证录入!B:B,H833))</f>
        <v>#VALUE!</v>
      </c>
      <c r="D830" s="181"/>
      <c r="E830" s="182" t="s">
        <v>477</v>
      </c>
      <c r="F830" s="183" t="e">
        <f>N(LEFT((F818),3)+1)</f>
        <v>#VALUE!</v>
      </c>
      <c r="G830" s="176"/>
      <c r="H830" s="192" t="str">
        <f t="shared" si="145"/>
        <v/>
      </c>
      <c r="I830" s="184"/>
    </row>
    <row r="831" spans="1:9" s="45" customFormat="1" ht="19.5" customHeight="1" thickBot="1">
      <c r="A831" s="544" t="s">
        <v>494</v>
      </c>
      <c r="B831" s="545" t="s">
        <v>495</v>
      </c>
      <c r="C831" s="185" t="s">
        <v>496</v>
      </c>
      <c r="D831" s="186"/>
      <c r="E831" s="187"/>
      <c r="F831" s="188"/>
      <c r="G831" s="176"/>
      <c r="H831" s="192" t="str">
        <f t="shared" si="145"/>
        <v/>
      </c>
    </row>
    <row r="832" spans="1:9" s="45" customFormat="1" ht="19.5" customHeight="1" thickBot="1">
      <c r="A832" s="545"/>
      <c r="B832" s="546"/>
      <c r="C832" s="188" t="s">
        <v>497</v>
      </c>
      <c r="D832" s="188" t="s">
        <v>498</v>
      </c>
      <c r="E832" s="188" t="s">
        <v>499</v>
      </c>
      <c r="F832" s="188" t="s">
        <v>500</v>
      </c>
      <c r="G832" s="176"/>
      <c r="H832" s="192" t="str">
        <f t="shared" si="145"/>
        <v/>
      </c>
    </row>
    <row r="833" spans="1:9" s="45" customFormat="1" ht="19.5" customHeight="1" thickBot="1">
      <c r="A833" s="189" t="str">
        <f>IFERROR(INDEX(凭证录入!H:H,$H833),"")</f>
        <v/>
      </c>
      <c r="B833" s="189" t="str">
        <f>IFERROR(INDEX(凭证录入!I:I,$H833),"")</f>
        <v/>
      </c>
      <c r="C833" s="190" t="str">
        <f>IFERROR(VLOOKUP($B833,会计科目表!$A:$C,2,),"")</f>
        <v/>
      </c>
      <c r="D833" s="190" t="str">
        <f>IFERROR(VLOOKUP($B833,会计科目表!$A:$C,3,),"")</f>
        <v/>
      </c>
      <c r="E833" s="191">
        <f>IFERROR(INDEX(凭证录入!K:K,$H833),0)</f>
        <v>0</v>
      </c>
      <c r="F833" s="191">
        <f>IFERROR(INDEX(凭证录入!L:L,$H833),0)</f>
        <v>0</v>
      </c>
      <c r="G833" s="176"/>
      <c r="H833" s="192" t="str">
        <f t="shared" si="145"/>
        <v/>
      </c>
    </row>
    <row r="834" spans="1:9" s="45" customFormat="1" ht="19.5" customHeight="1" thickBot="1">
      <c r="A834" s="189" t="str">
        <f>IFERROR(INDEX(凭证录入!H:H,$H834),"")</f>
        <v/>
      </c>
      <c r="B834" s="189" t="str">
        <f>IFERROR(INDEX(凭证录入!I:I,$H834),"")</f>
        <v/>
      </c>
      <c r="C834" s="190" t="str">
        <f>IFERROR(VLOOKUP($B834,会计科目表!$A:$C,2,),"")</f>
        <v/>
      </c>
      <c r="D834" s="190" t="str">
        <f>IFERROR(VLOOKUP($B834,会计科目表!$A:$C,3,),"")</f>
        <v/>
      </c>
      <c r="E834" s="191">
        <f>IFERROR(INDEX(凭证录入!K:K,$H834),0)</f>
        <v>0</v>
      </c>
      <c r="F834" s="191">
        <f>IFERROR(INDEX(凭证录入!L:L,$H834),0)</f>
        <v>0</v>
      </c>
      <c r="G834" s="176" t="s">
        <v>490</v>
      </c>
      <c r="H834" s="192" t="str">
        <f t="shared" si="145"/>
        <v/>
      </c>
      <c r="I834" s="176"/>
    </row>
    <row r="835" spans="1:9" s="45" customFormat="1" ht="19.5" customHeight="1" thickBot="1">
      <c r="A835" s="189" t="str">
        <f>IFERROR(INDEX(凭证录入!H:H,$H835),"")</f>
        <v/>
      </c>
      <c r="B835" s="189" t="str">
        <f>IFERROR(INDEX(凭证录入!I:I,$H835),"")</f>
        <v/>
      </c>
      <c r="C835" s="190" t="str">
        <f>IFERROR(VLOOKUP($B835,会计科目表!$A:$C,2,),"")</f>
        <v/>
      </c>
      <c r="D835" s="190" t="str">
        <f>IFERROR(VLOOKUP($B835,会计科目表!$A:$C,3,),"")</f>
        <v/>
      </c>
      <c r="E835" s="191">
        <f>IFERROR(INDEX(凭证录入!K:K,$H835),0)</f>
        <v>0</v>
      </c>
      <c r="F835" s="191">
        <f>IFERROR(INDEX(凭证录入!L:L,$H835),0)</f>
        <v>0</v>
      </c>
      <c r="G835" s="176" t="s">
        <v>491</v>
      </c>
      <c r="H835" s="192" t="str">
        <f t="shared" si="145"/>
        <v/>
      </c>
      <c r="I835" s="176"/>
    </row>
    <row r="836" spans="1:9" s="45" customFormat="1" ht="19.5" customHeight="1" thickBot="1">
      <c r="A836" s="189" t="str">
        <f>IFERROR(INDEX(凭证录入!H:H,$H836),"")</f>
        <v/>
      </c>
      <c r="B836" s="189" t="str">
        <f>IFERROR(INDEX(凭证录入!I:I,$H836),"")</f>
        <v/>
      </c>
      <c r="C836" s="190" t="str">
        <f>IFERROR(VLOOKUP($B836,会计科目表!$A:$C,2,),"")</f>
        <v/>
      </c>
      <c r="D836" s="190" t="str">
        <f>IFERROR(VLOOKUP($B836,会计科目表!$A:$C,3,),"")</f>
        <v/>
      </c>
      <c r="E836" s="191">
        <f>IFERROR(INDEX(凭证录入!K:K,$H836),0)</f>
        <v>0</v>
      </c>
      <c r="F836" s="191">
        <f>IFERROR(INDEX(凭证录入!L:L,$H836),0)</f>
        <v>0</v>
      </c>
      <c r="G836" s="176" t="e">
        <f>INDEX(凭证录入!$D:$D,$H833)</f>
        <v>#VALUE!</v>
      </c>
      <c r="H836" s="192" t="str">
        <f t="shared" si="145"/>
        <v/>
      </c>
      <c r="I836" s="176"/>
    </row>
    <row r="837" spans="1:9" s="45" customFormat="1" ht="19.5" customHeight="1" thickBot="1">
      <c r="A837" s="189" t="str">
        <f>IFERROR(INDEX(凭证录入!H:H,$H837),"")</f>
        <v/>
      </c>
      <c r="B837" s="189" t="str">
        <f>IFERROR(INDEX(凭证录入!I:I,$H837),"")</f>
        <v/>
      </c>
      <c r="C837" s="190" t="str">
        <f>IFERROR(VLOOKUP($B837,会计科目表!$A:$C,2,),"")</f>
        <v/>
      </c>
      <c r="D837" s="190" t="str">
        <f>IFERROR(VLOOKUP($B837,会计科目表!$A:$C,3,),"")</f>
        <v/>
      </c>
      <c r="E837" s="191">
        <f>IFERROR(INDEX(凭证录入!K:K,$H837),0)</f>
        <v>0</v>
      </c>
      <c r="F837" s="191">
        <f>IFERROR(INDEX(凭证录入!L:L,$H837),0)</f>
        <v>0</v>
      </c>
      <c r="G837" s="176" t="s">
        <v>492</v>
      </c>
      <c r="H837" s="192" t="str">
        <f t="shared" ref="H837:H900" si="146">IFERROR(INDEX(行号,TEXT(MOD(ROW(),12)-4,"[=]A")),"")</f>
        <v/>
      </c>
    </row>
    <row r="838" spans="1:9" s="45" customFormat="1" ht="19.5" customHeight="1" thickBot="1">
      <c r="A838" s="189" t="str">
        <f>IFERROR(INDEX(凭证录入!H:H,$H838),"")</f>
        <v/>
      </c>
      <c r="B838" s="189" t="str">
        <f>IFERROR(INDEX(凭证录入!I:I,$H838),"")</f>
        <v/>
      </c>
      <c r="C838" s="190" t="str">
        <f>IFERROR(VLOOKUP($B838,会计科目表!$A:$C,2,),"")</f>
        <v/>
      </c>
      <c r="D838" s="190" t="str">
        <f>IFERROR(VLOOKUP($B838,会计科目表!$A:$C,3,),"")</f>
        <v/>
      </c>
      <c r="E838" s="191">
        <f>IFERROR(INDEX(凭证录入!K:K,$H838),0)</f>
        <v>0</v>
      </c>
      <c r="F838" s="191">
        <f>IFERROR(INDEX(凭证录入!L:L,$H838),0)</f>
        <v>0</v>
      </c>
      <c r="G838" s="176"/>
      <c r="H838" s="192" t="str">
        <f t="shared" si="146"/>
        <v/>
      </c>
    </row>
    <row r="839" spans="1:9" s="45" customFormat="1" ht="19.5" customHeight="1" thickBot="1">
      <c r="A839" s="193"/>
      <c r="B839" s="194" t="s">
        <v>485</v>
      </c>
      <c r="C839" s="195" t="str">
        <f>SUBSTITUTE(SUBSTITUTE(IF(-DOLLAR(E839),IF(E839&gt;0,,"负")&amp;TEXT(INT(ABS(E839)+0.5%),"[dbnum2]G/通用格式元;;")&amp;TEXT(RIGHT(DOLLAR(E839),2),"[dbnum2]0角0分;;整"),),"零角",IF(E839^2&lt;1,,"零")),"零分","整")</f>
        <v/>
      </c>
      <c r="D839" s="196"/>
      <c r="E839" s="197">
        <f>SUM(E833:E838)</f>
        <v>0</v>
      </c>
      <c r="F839" s="197">
        <f>SUM(F833:F838)</f>
        <v>0</v>
      </c>
      <c r="G839" s="176"/>
      <c r="H839" s="192" t="str">
        <f t="shared" si="146"/>
        <v/>
      </c>
    </row>
    <row r="840" spans="1:9" s="199" customFormat="1" ht="19.5" customHeight="1">
      <c r="A840" s="45" t="s">
        <v>486</v>
      </c>
      <c r="B840" s="45" t="s">
        <v>487</v>
      </c>
      <c r="C840" s="45" t="s">
        <v>488</v>
      </c>
      <c r="D840" s="45" t="s">
        <v>504</v>
      </c>
      <c r="E840" s="45" t="s">
        <v>489</v>
      </c>
      <c r="F840" s="176" t="str">
        <f>IF($E839&lt;&gt;$F839,"借贷不平","")</f>
        <v/>
      </c>
      <c r="G840" s="183"/>
      <c r="H840" s="198" t="str">
        <f t="shared" si="146"/>
        <v/>
      </c>
    </row>
    <row r="841" spans="1:9" ht="37.5" customHeight="1">
      <c r="A841" s="177" t="s">
        <v>493</v>
      </c>
      <c r="B841" s="178"/>
      <c r="C841" s="179"/>
      <c r="D841" s="179"/>
      <c r="E841" s="178"/>
      <c r="F841" s="178"/>
      <c r="G841" s="176"/>
      <c r="H841" s="192" t="str">
        <f t="shared" si="146"/>
        <v/>
      </c>
    </row>
    <row r="842" spans="1:9" s="45" customFormat="1" ht="19.5" customHeight="1" thickBot="1">
      <c r="C842" s="180" t="e">
        <f>DATEVALUE("2010-"&amp;$H$1&amp;"-"&amp;INDEX(凭证录入!B:B,H845))</f>
        <v>#VALUE!</v>
      </c>
      <c r="D842" s="181"/>
      <c r="E842" s="182" t="s">
        <v>477</v>
      </c>
      <c r="F842" s="183" t="e">
        <f>N(LEFT((F830),3)+1)</f>
        <v>#VALUE!</v>
      </c>
      <c r="G842" s="176"/>
      <c r="H842" s="192" t="str">
        <f t="shared" si="146"/>
        <v/>
      </c>
      <c r="I842" s="184"/>
    </row>
    <row r="843" spans="1:9" s="45" customFormat="1" ht="19.5" customHeight="1" thickBot="1">
      <c r="A843" s="544" t="s">
        <v>494</v>
      </c>
      <c r="B843" s="545" t="s">
        <v>495</v>
      </c>
      <c r="C843" s="185" t="s">
        <v>496</v>
      </c>
      <c r="D843" s="186"/>
      <c r="E843" s="187"/>
      <c r="F843" s="188"/>
      <c r="G843" s="176"/>
      <c r="H843" s="192" t="str">
        <f t="shared" si="146"/>
        <v/>
      </c>
    </row>
    <row r="844" spans="1:9" s="45" customFormat="1" ht="19.5" customHeight="1" thickBot="1">
      <c r="A844" s="545"/>
      <c r="B844" s="546"/>
      <c r="C844" s="188" t="s">
        <v>497</v>
      </c>
      <c r="D844" s="188" t="s">
        <v>498</v>
      </c>
      <c r="E844" s="188" t="s">
        <v>499</v>
      </c>
      <c r="F844" s="188" t="s">
        <v>500</v>
      </c>
      <c r="G844" s="176"/>
      <c r="H844" s="192" t="str">
        <f t="shared" si="146"/>
        <v/>
      </c>
    </row>
    <row r="845" spans="1:9" s="45" customFormat="1" ht="19.5" customHeight="1" thickBot="1">
      <c r="A845" s="189" t="str">
        <f>IFERROR(INDEX(凭证录入!H:H,$H845),"")</f>
        <v/>
      </c>
      <c r="B845" s="189" t="str">
        <f>IFERROR(INDEX(凭证录入!I:I,$H845),"")</f>
        <v/>
      </c>
      <c r="C845" s="190" t="str">
        <f>IFERROR(VLOOKUP($B845,会计科目表!$A:$C,2,),"")</f>
        <v/>
      </c>
      <c r="D845" s="190" t="str">
        <f>IFERROR(VLOOKUP($B845,会计科目表!$A:$C,3,),"")</f>
        <v/>
      </c>
      <c r="E845" s="191">
        <f>IFERROR(INDEX(凭证录入!K:K,$H845),0)</f>
        <v>0</v>
      </c>
      <c r="F845" s="191">
        <f>IFERROR(INDEX(凭证录入!L:L,$H845),0)</f>
        <v>0</v>
      </c>
      <c r="G845" s="176"/>
      <c r="H845" s="192" t="str">
        <f t="shared" si="146"/>
        <v/>
      </c>
    </row>
    <row r="846" spans="1:9" s="45" customFormat="1" ht="19.5" customHeight="1" thickBot="1">
      <c r="A846" s="189" t="str">
        <f>IFERROR(INDEX(凭证录入!H:H,$H846),"")</f>
        <v/>
      </c>
      <c r="B846" s="189" t="str">
        <f>IFERROR(INDEX(凭证录入!I:I,$H846),"")</f>
        <v/>
      </c>
      <c r="C846" s="190" t="str">
        <f>IFERROR(VLOOKUP($B846,会计科目表!$A:$C,2,),"")</f>
        <v/>
      </c>
      <c r="D846" s="190" t="str">
        <f>IFERROR(VLOOKUP($B846,会计科目表!$A:$C,3,),"")</f>
        <v/>
      </c>
      <c r="E846" s="191">
        <f>IFERROR(INDEX(凭证录入!K:K,$H846),0)</f>
        <v>0</v>
      </c>
      <c r="F846" s="191">
        <f>IFERROR(INDEX(凭证录入!L:L,$H846),0)</f>
        <v>0</v>
      </c>
      <c r="G846" s="176" t="s">
        <v>490</v>
      </c>
      <c r="H846" s="192" t="str">
        <f t="shared" si="146"/>
        <v/>
      </c>
      <c r="I846" s="176"/>
    </row>
    <row r="847" spans="1:9" s="45" customFormat="1" ht="19.5" customHeight="1" thickBot="1">
      <c r="A847" s="189" t="str">
        <f>IFERROR(INDEX(凭证录入!H:H,$H847),"")</f>
        <v/>
      </c>
      <c r="B847" s="189" t="str">
        <f>IFERROR(INDEX(凭证录入!I:I,$H847),"")</f>
        <v/>
      </c>
      <c r="C847" s="190" t="str">
        <f>IFERROR(VLOOKUP($B847,会计科目表!$A:$C,2,),"")</f>
        <v/>
      </c>
      <c r="D847" s="190" t="str">
        <f>IFERROR(VLOOKUP($B847,会计科目表!$A:$C,3,),"")</f>
        <v/>
      </c>
      <c r="E847" s="191">
        <f>IFERROR(INDEX(凭证录入!K:K,$H847),0)</f>
        <v>0</v>
      </c>
      <c r="F847" s="191">
        <f>IFERROR(INDEX(凭证录入!L:L,$H847),0)</f>
        <v>0</v>
      </c>
      <c r="G847" s="176" t="s">
        <v>491</v>
      </c>
      <c r="H847" s="192" t="str">
        <f t="shared" si="146"/>
        <v/>
      </c>
      <c r="I847" s="176"/>
    </row>
    <row r="848" spans="1:9" s="45" customFormat="1" ht="19.5" customHeight="1" thickBot="1">
      <c r="A848" s="189" t="str">
        <f>IFERROR(INDEX(凭证录入!H:H,$H848),"")</f>
        <v/>
      </c>
      <c r="B848" s="189" t="str">
        <f>IFERROR(INDEX(凭证录入!I:I,$H848),"")</f>
        <v/>
      </c>
      <c r="C848" s="190" t="str">
        <f>IFERROR(VLOOKUP($B848,会计科目表!$A:$C,2,),"")</f>
        <v/>
      </c>
      <c r="D848" s="190" t="str">
        <f>IFERROR(VLOOKUP($B848,会计科目表!$A:$C,3,),"")</f>
        <v/>
      </c>
      <c r="E848" s="191">
        <f>IFERROR(INDEX(凭证录入!K:K,$H848),0)</f>
        <v>0</v>
      </c>
      <c r="F848" s="191">
        <f>IFERROR(INDEX(凭证录入!L:L,$H848),0)</f>
        <v>0</v>
      </c>
      <c r="G848" s="176" t="e">
        <f>INDEX(凭证录入!$D:$D,$H845)</f>
        <v>#VALUE!</v>
      </c>
      <c r="H848" s="192" t="str">
        <f t="shared" si="146"/>
        <v/>
      </c>
      <c r="I848" s="176"/>
    </row>
    <row r="849" spans="1:9" s="45" customFormat="1" ht="19.5" customHeight="1" thickBot="1">
      <c r="A849" s="189" t="str">
        <f>IFERROR(INDEX(凭证录入!H:H,$H849),"")</f>
        <v/>
      </c>
      <c r="B849" s="189" t="str">
        <f>IFERROR(INDEX(凭证录入!I:I,$H849),"")</f>
        <v/>
      </c>
      <c r="C849" s="190" t="str">
        <f>IFERROR(VLOOKUP($B849,会计科目表!$A:$C,2,),"")</f>
        <v/>
      </c>
      <c r="D849" s="190" t="str">
        <f>IFERROR(VLOOKUP($B849,会计科目表!$A:$C,3,),"")</f>
        <v/>
      </c>
      <c r="E849" s="191">
        <f>IFERROR(INDEX(凭证录入!K:K,$H849),0)</f>
        <v>0</v>
      </c>
      <c r="F849" s="191">
        <f>IFERROR(INDEX(凭证录入!L:L,$H849),0)</f>
        <v>0</v>
      </c>
      <c r="G849" s="176" t="s">
        <v>492</v>
      </c>
      <c r="H849" s="192" t="str">
        <f t="shared" si="146"/>
        <v/>
      </c>
    </row>
    <row r="850" spans="1:9" s="45" customFormat="1" ht="19.5" customHeight="1" thickBot="1">
      <c r="A850" s="189" t="str">
        <f>IFERROR(INDEX(凭证录入!H:H,$H850),"")</f>
        <v/>
      </c>
      <c r="B850" s="189" t="str">
        <f>IFERROR(INDEX(凭证录入!I:I,$H850),"")</f>
        <v/>
      </c>
      <c r="C850" s="190" t="str">
        <f>IFERROR(VLOOKUP($B850,会计科目表!$A:$C,2,),"")</f>
        <v/>
      </c>
      <c r="D850" s="190" t="str">
        <f>IFERROR(VLOOKUP($B850,会计科目表!$A:$C,3,),"")</f>
        <v/>
      </c>
      <c r="E850" s="191">
        <f>IFERROR(INDEX(凭证录入!K:K,$H850),0)</f>
        <v>0</v>
      </c>
      <c r="F850" s="191">
        <f>IFERROR(INDEX(凭证录入!L:L,$H850),0)</f>
        <v>0</v>
      </c>
      <c r="G850" s="176"/>
      <c r="H850" s="192" t="str">
        <f t="shared" si="146"/>
        <v/>
      </c>
    </row>
    <row r="851" spans="1:9" s="45" customFormat="1" ht="19.5" customHeight="1" thickBot="1">
      <c r="A851" s="193"/>
      <c r="B851" s="194" t="s">
        <v>485</v>
      </c>
      <c r="C851" s="195" t="str">
        <f>SUBSTITUTE(SUBSTITUTE(IF(-DOLLAR(E851),IF(E851&gt;0,,"负")&amp;TEXT(INT(ABS(E851)+0.5%),"[dbnum2]G/通用格式元;;")&amp;TEXT(RIGHT(DOLLAR(E851),2),"[dbnum2]0角0分;;整"),),"零角",IF(E851^2&lt;1,,"零")),"零分","整")</f>
        <v/>
      </c>
      <c r="D851" s="196"/>
      <c r="E851" s="197">
        <f>SUM(E845:E850)</f>
        <v>0</v>
      </c>
      <c r="F851" s="197">
        <f>SUM(F845:F850)</f>
        <v>0</v>
      </c>
      <c r="G851" s="176"/>
      <c r="H851" s="192" t="str">
        <f t="shared" si="146"/>
        <v/>
      </c>
    </row>
    <row r="852" spans="1:9" s="199" customFormat="1" ht="19.5" customHeight="1">
      <c r="A852" s="45" t="s">
        <v>486</v>
      </c>
      <c r="B852" s="45" t="s">
        <v>487</v>
      </c>
      <c r="C852" s="45" t="s">
        <v>488</v>
      </c>
      <c r="D852" s="45" t="s">
        <v>504</v>
      </c>
      <c r="E852" s="45" t="s">
        <v>489</v>
      </c>
      <c r="F852" s="176" t="str">
        <f>IF($E851&lt;&gt;$F851,"借贷不平","")</f>
        <v/>
      </c>
      <c r="G852" s="183"/>
      <c r="H852" s="198" t="str">
        <f t="shared" si="146"/>
        <v/>
      </c>
    </row>
    <row r="853" spans="1:9" ht="37.5" customHeight="1">
      <c r="A853" s="177" t="s">
        <v>493</v>
      </c>
      <c r="B853" s="178"/>
      <c r="C853" s="179"/>
      <c r="D853" s="179"/>
      <c r="E853" s="178"/>
      <c r="F853" s="178"/>
      <c r="G853" s="176"/>
      <c r="H853" s="192" t="str">
        <f t="shared" si="146"/>
        <v/>
      </c>
    </row>
    <row r="854" spans="1:9" s="45" customFormat="1" ht="19.5" customHeight="1" thickBot="1">
      <c r="C854" s="180" t="e">
        <f>DATEVALUE("2010-"&amp;$H$1&amp;"-"&amp;INDEX(凭证录入!B:B,H857))</f>
        <v>#VALUE!</v>
      </c>
      <c r="D854" s="181"/>
      <c r="E854" s="182" t="s">
        <v>477</v>
      </c>
      <c r="F854" s="183" t="e">
        <f>N(LEFT((F842),3)+1)</f>
        <v>#VALUE!</v>
      </c>
      <c r="G854" s="176"/>
      <c r="H854" s="192" t="str">
        <f t="shared" si="146"/>
        <v/>
      </c>
      <c r="I854" s="184"/>
    </row>
    <row r="855" spans="1:9" s="45" customFormat="1" ht="19.5" customHeight="1" thickBot="1">
      <c r="A855" s="544" t="s">
        <v>494</v>
      </c>
      <c r="B855" s="545" t="s">
        <v>495</v>
      </c>
      <c r="C855" s="185" t="s">
        <v>496</v>
      </c>
      <c r="D855" s="186"/>
      <c r="E855" s="187"/>
      <c r="F855" s="188"/>
      <c r="G855" s="176"/>
      <c r="H855" s="192" t="str">
        <f t="shared" si="146"/>
        <v/>
      </c>
    </row>
    <row r="856" spans="1:9" s="45" customFormat="1" ht="19.5" customHeight="1" thickBot="1">
      <c r="A856" s="545"/>
      <c r="B856" s="546"/>
      <c r="C856" s="188" t="s">
        <v>497</v>
      </c>
      <c r="D856" s="188" t="s">
        <v>498</v>
      </c>
      <c r="E856" s="188" t="s">
        <v>499</v>
      </c>
      <c r="F856" s="188" t="s">
        <v>500</v>
      </c>
      <c r="G856" s="176"/>
      <c r="H856" s="192" t="str">
        <f t="shared" si="146"/>
        <v/>
      </c>
    </row>
    <row r="857" spans="1:9" s="45" customFormat="1" ht="19.5" customHeight="1" thickBot="1">
      <c r="A857" s="189" t="str">
        <f>IFERROR(INDEX(凭证录入!H:H,$H857),"")</f>
        <v/>
      </c>
      <c r="B857" s="189" t="str">
        <f>IFERROR(INDEX(凭证录入!I:I,$H857),"")</f>
        <v/>
      </c>
      <c r="C857" s="190" t="str">
        <f>IFERROR(VLOOKUP($B857,会计科目表!$A:$C,2,),"")</f>
        <v/>
      </c>
      <c r="D857" s="190" t="str">
        <f>IFERROR(VLOOKUP($B857,会计科目表!$A:$C,3,),"")</f>
        <v/>
      </c>
      <c r="E857" s="191">
        <f>IFERROR(INDEX(凭证录入!K:K,$H857),0)</f>
        <v>0</v>
      </c>
      <c r="F857" s="191">
        <f>IFERROR(INDEX(凭证录入!L:L,$H857),0)</f>
        <v>0</v>
      </c>
      <c r="G857" s="176"/>
      <c r="H857" s="192" t="str">
        <f t="shared" si="146"/>
        <v/>
      </c>
    </row>
    <row r="858" spans="1:9" s="45" customFormat="1" ht="19.5" customHeight="1" thickBot="1">
      <c r="A858" s="189" t="str">
        <f>IFERROR(INDEX(凭证录入!H:H,$H858),"")</f>
        <v/>
      </c>
      <c r="B858" s="189" t="str">
        <f>IFERROR(INDEX(凭证录入!I:I,$H858),"")</f>
        <v/>
      </c>
      <c r="C858" s="190" t="str">
        <f>IFERROR(VLOOKUP($B858,会计科目表!$A:$C,2,),"")</f>
        <v/>
      </c>
      <c r="D858" s="190" t="str">
        <f>IFERROR(VLOOKUP($B858,会计科目表!$A:$C,3,),"")</f>
        <v/>
      </c>
      <c r="E858" s="191">
        <f>IFERROR(INDEX(凭证录入!K:K,$H858),0)</f>
        <v>0</v>
      </c>
      <c r="F858" s="191">
        <f>IFERROR(INDEX(凭证录入!L:L,$H858),0)</f>
        <v>0</v>
      </c>
      <c r="G858" s="176" t="s">
        <v>490</v>
      </c>
      <c r="H858" s="192" t="str">
        <f t="shared" si="146"/>
        <v/>
      </c>
      <c r="I858" s="176"/>
    </row>
    <row r="859" spans="1:9" s="45" customFormat="1" ht="19.5" customHeight="1" thickBot="1">
      <c r="A859" s="189" t="str">
        <f>IFERROR(INDEX(凭证录入!H:H,$H859),"")</f>
        <v/>
      </c>
      <c r="B859" s="189" t="str">
        <f>IFERROR(INDEX(凭证录入!I:I,$H859),"")</f>
        <v/>
      </c>
      <c r="C859" s="190" t="str">
        <f>IFERROR(VLOOKUP($B859,会计科目表!$A:$C,2,),"")</f>
        <v/>
      </c>
      <c r="D859" s="190" t="str">
        <f>IFERROR(VLOOKUP($B859,会计科目表!$A:$C,3,),"")</f>
        <v/>
      </c>
      <c r="E859" s="191">
        <f>IFERROR(INDEX(凭证录入!K:K,$H859),0)</f>
        <v>0</v>
      </c>
      <c r="F859" s="191">
        <f>IFERROR(INDEX(凭证录入!L:L,$H859),0)</f>
        <v>0</v>
      </c>
      <c r="G859" s="176" t="s">
        <v>491</v>
      </c>
      <c r="H859" s="192" t="str">
        <f t="shared" si="146"/>
        <v/>
      </c>
      <c r="I859" s="176"/>
    </row>
    <row r="860" spans="1:9" s="45" customFormat="1" ht="19.5" customHeight="1" thickBot="1">
      <c r="A860" s="189" t="str">
        <f>IFERROR(INDEX(凭证录入!H:H,$H860),"")</f>
        <v/>
      </c>
      <c r="B860" s="189" t="str">
        <f>IFERROR(INDEX(凭证录入!I:I,$H860),"")</f>
        <v/>
      </c>
      <c r="C860" s="190" t="str">
        <f>IFERROR(VLOOKUP($B860,会计科目表!$A:$C,2,),"")</f>
        <v/>
      </c>
      <c r="D860" s="190" t="str">
        <f>IFERROR(VLOOKUP($B860,会计科目表!$A:$C,3,),"")</f>
        <v/>
      </c>
      <c r="E860" s="191">
        <f>IFERROR(INDEX(凭证录入!K:K,$H860),0)</f>
        <v>0</v>
      </c>
      <c r="F860" s="191">
        <f>IFERROR(INDEX(凭证录入!L:L,$H860),0)</f>
        <v>0</v>
      </c>
      <c r="G860" s="176" t="e">
        <f>INDEX(凭证录入!$D:$D,$H857)</f>
        <v>#VALUE!</v>
      </c>
      <c r="H860" s="192" t="str">
        <f t="shared" si="146"/>
        <v/>
      </c>
      <c r="I860" s="176"/>
    </row>
    <row r="861" spans="1:9" s="45" customFormat="1" ht="19.5" customHeight="1" thickBot="1">
      <c r="A861" s="189" t="str">
        <f>IFERROR(INDEX(凭证录入!H:H,$H861),"")</f>
        <v/>
      </c>
      <c r="B861" s="189" t="str">
        <f>IFERROR(INDEX(凭证录入!I:I,$H861),"")</f>
        <v/>
      </c>
      <c r="C861" s="190" t="str">
        <f>IFERROR(VLOOKUP($B861,会计科目表!$A:$C,2,),"")</f>
        <v/>
      </c>
      <c r="D861" s="190" t="str">
        <f>IFERROR(VLOOKUP($B861,会计科目表!$A:$C,3,),"")</f>
        <v/>
      </c>
      <c r="E861" s="191">
        <f>IFERROR(INDEX(凭证录入!K:K,$H861),0)</f>
        <v>0</v>
      </c>
      <c r="F861" s="191">
        <f>IFERROR(INDEX(凭证录入!L:L,$H861),0)</f>
        <v>0</v>
      </c>
      <c r="G861" s="176" t="s">
        <v>492</v>
      </c>
      <c r="H861" s="192" t="str">
        <f t="shared" si="146"/>
        <v/>
      </c>
    </row>
    <row r="862" spans="1:9" s="45" customFormat="1" ht="19.5" customHeight="1" thickBot="1">
      <c r="A862" s="189" t="str">
        <f>IFERROR(INDEX(凭证录入!H:H,$H862),"")</f>
        <v/>
      </c>
      <c r="B862" s="189" t="str">
        <f>IFERROR(INDEX(凭证录入!I:I,$H862),"")</f>
        <v/>
      </c>
      <c r="C862" s="190" t="str">
        <f>IFERROR(VLOOKUP($B862,会计科目表!$A:$C,2,),"")</f>
        <v/>
      </c>
      <c r="D862" s="190" t="str">
        <f>IFERROR(VLOOKUP($B862,会计科目表!$A:$C,3,),"")</f>
        <v/>
      </c>
      <c r="E862" s="191">
        <f>IFERROR(INDEX(凭证录入!K:K,$H862),0)</f>
        <v>0</v>
      </c>
      <c r="F862" s="191">
        <f>IFERROR(INDEX(凭证录入!L:L,$H862),0)</f>
        <v>0</v>
      </c>
      <c r="G862" s="176"/>
      <c r="H862" s="192" t="str">
        <f t="shared" si="146"/>
        <v/>
      </c>
    </row>
    <row r="863" spans="1:9" s="45" customFormat="1" ht="19.5" customHeight="1" thickBot="1">
      <c r="A863" s="193"/>
      <c r="B863" s="194" t="s">
        <v>485</v>
      </c>
      <c r="C863" s="195" t="str">
        <f>SUBSTITUTE(SUBSTITUTE(IF(-DOLLAR(E863),IF(E863&gt;0,,"负")&amp;TEXT(INT(ABS(E863)+0.5%),"[dbnum2]G/通用格式元;;")&amp;TEXT(RIGHT(DOLLAR(E863),2),"[dbnum2]0角0分;;整"),),"零角",IF(E863^2&lt;1,,"零")),"零分","整")</f>
        <v/>
      </c>
      <c r="D863" s="196"/>
      <c r="E863" s="197">
        <f>SUM(E857:E862)</f>
        <v>0</v>
      </c>
      <c r="F863" s="197">
        <f>SUM(F857:F862)</f>
        <v>0</v>
      </c>
      <c r="G863" s="176"/>
      <c r="H863" s="192" t="str">
        <f t="shared" si="146"/>
        <v/>
      </c>
    </row>
    <row r="864" spans="1:9" s="199" customFormat="1" ht="19.5" customHeight="1">
      <c r="A864" s="45" t="s">
        <v>486</v>
      </c>
      <c r="B864" s="45" t="s">
        <v>487</v>
      </c>
      <c r="C864" s="45" t="s">
        <v>488</v>
      </c>
      <c r="D864" s="45" t="s">
        <v>504</v>
      </c>
      <c r="E864" s="45" t="s">
        <v>489</v>
      </c>
      <c r="F864" s="176" t="str">
        <f>IF($E863&lt;&gt;$F863,"借贷不平","")</f>
        <v/>
      </c>
      <c r="G864" s="183"/>
      <c r="H864" s="198" t="str">
        <f t="shared" si="146"/>
        <v/>
      </c>
    </row>
    <row r="865" spans="1:9" ht="37.5" customHeight="1">
      <c r="A865" s="177" t="s">
        <v>493</v>
      </c>
      <c r="B865" s="178"/>
      <c r="C865" s="179"/>
      <c r="D865" s="179"/>
      <c r="E865" s="178"/>
      <c r="F865" s="178"/>
      <c r="G865" s="176"/>
      <c r="H865" s="192" t="str">
        <f t="shared" si="146"/>
        <v/>
      </c>
    </row>
    <row r="866" spans="1:9" s="45" customFormat="1" ht="19.5" customHeight="1" thickBot="1">
      <c r="C866" s="180" t="e">
        <f>DATEVALUE("2010-"&amp;$H$1&amp;"-"&amp;INDEX(凭证录入!B:B,H869))</f>
        <v>#VALUE!</v>
      </c>
      <c r="D866" s="181"/>
      <c r="E866" s="182" t="s">
        <v>477</v>
      </c>
      <c r="F866" s="183" t="e">
        <f>N(LEFT((F854),3)+1)</f>
        <v>#VALUE!</v>
      </c>
      <c r="G866" s="176"/>
      <c r="H866" s="192" t="str">
        <f t="shared" si="146"/>
        <v/>
      </c>
      <c r="I866" s="184"/>
    </row>
    <row r="867" spans="1:9" s="45" customFormat="1" ht="19.5" customHeight="1" thickBot="1">
      <c r="A867" s="544" t="s">
        <v>494</v>
      </c>
      <c r="B867" s="545" t="s">
        <v>495</v>
      </c>
      <c r="C867" s="185" t="s">
        <v>496</v>
      </c>
      <c r="D867" s="186"/>
      <c r="E867" s="187"/>
      <c r="F867" s="188"/>
      <c r="G867" s="176"/>
      <c r="H867" s="192" t="str">
        <f t="shared" si="146"/>
        <v/>
      </c>
    </row>
    <row r="868" spans="1:9" s="45" customFormat="1" ht="19.5" customHeight="1" thickBot="1">
      <c r="A868" s="545"/>
      <c r="B868" s="546"/>
      <c r="C868" s="188" t="s">
        <v>497</v>
      </c>
      <c r="D868" s="188" t="s">
        <v>498</v>
      </c>
      <c r="E868" s="188" t="s">
        <v>499</v>
      </c>
      <c r="F868" s="188" t="s">
        <v>500</v>
      </c>
      <c r="G868" s="176"/>
      <c r="H868" s="192" t="str">
        <f t="shared" si="146"/>
        <v/>
      </c>
    </row>
    <row r="869" spans="1:9" s="45" customFormat="1" ht="19.5" customHeight="1" thickBot="1">
      <c r="A869" s="189" t="str">
        <f>IFERROR(INDEX(凭证录入!H:H,$H869),"")</f>
        <v/>
      </c>
      <c r="B869" s="189" t="str">
        <f>IFERROR(INDEX(凭证录入!I:I,$H869),"")</f>
        <v/>
      </c>
      <c r="C869" s="190" t="str">
        <f>IFERROR(VLOOKUP($B869,会计科目表!$A:$C,2,),"")</f>
        <v/>
      </c>
      <c r="D869" s="190" t="str">
        <f>IFERROR(VLOOKUP($B869,会计科目表!$A:$C,3,),"")</f>
        <v/>
      </c>
      <c r="E869" s="191">
        <f>IFERROR(INDEX(凭证录入!K:K,$H869),0)</f>
        <v>0</v>
      </c>
      <c r="F869" s="191">
        <f>IFERROR(INDEX(凭证录入!L:L,$H869),0)</f>
        <v>0</v>
      </c>
      <c r="G869" s="176"/>
      <c r="H869" s="192" t="str">
        <f t="shared" si="146"/>
        <v/>
      </c>
    </row>
    <row r="870" spans="1:9" s="45" customFormat="1" ht="19.5" customHeight="1" thickBot="1">
      <c r="A870" s="189" t="str">
        <f>IFERROR(INDEX(凭证录入!H:H,$H870),"")</f>
        <v/>
      </c>
      <c r="B870" s="189" t="str">
        <f>IFERROR(INDEX(凭证录入!I:I,$H870),"")</f>
        <v/>
      </c>
      <c r="C870" s="190" t="str">
        <f>IFERROR(VLOOKUP($B870,会计科目表!$A:$C,2,),"")</f>
        <v/>
      </c>
      <c r="D870" s="190" t="str">
        <f>IFERROR(VLOOKUP($B870,会计科目表!$A:$C,3,),"")</f>
        <v/>
      </c>
      <c r="E870" s="191">
        <f>IFERROR(INDEX(凭证录入!K:K,$H870),0)</f>
        <v>0</v>
      </c>
      <c r="F870" s="191">
        <f>IFERROR(INDEX(凭证录入!L:L,$H870),0)</f>
        <v>0</v>
      </c>
      <c r="G870" s="176" t="s">
        <v>490</v>
      </c>
      <c r="H870" s="192" t="str">
        <f t="shared" si="146"/>
        <v/>
      </c>
      <c r="I870" s="176"/>
    </row>
    <row r="871" spans="1:9" s="45" customFormat="1" ht="19.5" customHeight="1" thickBot="1">
      <c r="A871" s="189" t="str">
        <f>IFERROR(INDEX(凭证录入!H:H,$H871),"")</f>
        <v/>
      </c>
      <c r="B871" s="189" t="str">
        <f>IFERROR(INDEX(凭证录入!I:I,$H871),"")</f>
        <v/>
      </c>
      <c r="C871" s="190" t="str">
        <f>IFERROR(VLOOKUP($B871,会计科目表!$A:$C,2,),"")</f>
        <v/>
      </c>
      <c r="D871" s="190" t="str">
        <f>IFERROR(VLOOKUP($B871,会计科目表!$A:$C,3,),"")</f>
        <v/>
      </c>
      <c r="E871" s="191">
        <f>IFERROR(INDEX(凭证录入!K:K,$H871),0)</f>
        <v>0</v>
      </c>
      <c r="F871" s="191">
        <f>IFERROR(INDEX(凭证录入!L:L,$H871),0)</f>
        <v>0</v>
      </c>
      <c r="G871" s="176" t="s">
        <v>491</v>
      </c>
      <c r="H871" s="192" t="str">
        <f t="shared" si="146"/>
        <v/>
      </c>
      <c r="I871" s="176"/>
    </row>
    <row r="872" spans="1:9" s="45" customFormat="1" ht="19.5" customHeight="1" thickBot="1">
      <c r="A872" s="189" t="str">
        <f>IFERROR(INDEX(凭证录入!H:H,$H872),"")</f>
        <v/>
      </c>
      <c r="B872" s="189" t="str">
        <f>IFERROR(INDEX(凭证录入!I:I,$H872),"")</f>
        <v/>
      </c>
      <c r="C872" s="190" t="str">
        <f>IFERROR(VLOOKUP($B872,会计科目表!$A:$C,2,),"")</f>
        <v/>
      </c>
      <c r="D872" s="190" t="str">
        <f>IFERROR(VLOOKUP($B872,会计科目表!$A:$C,3,),"")</f>
        <v/>
      </c>
      <c r="E872" s="191">
        <f>IFERROR(INDEX(凭证录入!K:K,$H872),0)</f>
        <v>0</v>
      </c>
      <c r="F872" s="191">
        <f>IFERROR(INDEX(凭证录入!L:L,$H872),0)</f>
        <v>0</v>
      </c>
      <c r="G872" s="176" t="e">
        <f>INDEX(凭证录入!$D:$D,$H869)</f>
        <v>#VALUE!</v>
      </c>
      <c r="H872" s="192" t="str">
        <f t="shared" si="146"/>
        <v/>
      </c>
      <c r="I872" s="176"/>
    </row>
    <row r="873" spans="1:9" s="45" customFormat="1" ht="19.5" customHeight="1" thickBot="1">
      <c r="A873" s="189" t="str">
        <f>IFERROR(INDEX(凭证录入!H:H,$H873),"")</f>
        <v/>
      </c>
      <c r="B873" s="189" t="str">
        <f>IFERROR(INDEX(凭证录入!I:I,$H873),"")</f>
        <v/>
      </c>
      <c r="C873" s="190" t="str">
        <f>IFERROR(VLOOKUP($B873,会计科目表!$A:$C,2,),"")</f>
        <v/>
      </c>
      <c r="D873" s="190" t="str">
        <f>IFERROR(VLOOKUP($B873,会计科目表!$A:$C,3,),"")</f>
        <v/>
      </c>
      <c r="E873" s="191">
        <f>IFERROR(INDEX(凭证录入!K:K,$H873),0)</f>
        <v>0</v>
      </c>
      <c r="F873" s="191">
        <f>IFERROR(INDEX(凭证录入!L:L,$H873),0)</f>
        <v>0</v>
      </c>
      <c r="G873" s="176" t="s">
        <v>492</v>
      </c>
      <c r="H873" s="192" t="str">
        <f t="shared" si="146"/>
        <v/>
      </c>
    </row>
    <row r="874" spans="1:9" s="45" customFormat="1" ht="19.5" customHeight="1" thickBot="1">
      <c r="A874" s="189" t="str">
        <f>IFERROR(INDEX(凭证录入!H:H,$H874),"")</f>
        <v/>
      </c>
      <c r="B874" s="189" t="str">
        <f>IFERROR(INDEX(凭证录入!I:I,$H874),"")</f>
        <v/>
      </c>
      <c r="C874" s="190" t="str">
        <f>IFERROR(VLOOKUP($B874,会计科目表!$A:$C,2,),"")</f>
        <v/>
      </c>
      <c r="D874" s="190" t="str">
        <f>IFERROR(VLOOKUP($B874,会计科目表!$A:$C,3,),"")</f>
        <v/>
      </c>
      <c r="E874" s="191">
        <f>IFERROR(INDEX(凭证录入!K:K,$H874),0)</f>
        <v>0</v>
      </c>
      <c r="F874" s="191">
        <f>IFERROR(INDEX(凭证录入!L:L,$H874),0)</f>
        <v>0</v>
      </c>
      <c r="G874" s="176"/>
      <c r="H874" s="192" t="str">
        <f t="shared" si="146"/>
        <v/>
      </c>
    </row>
    <row r="875" spans="1:9" s="45" customFormat="1" ht="19.5" customHeight="1" thickBot="1">
      <c r="A875" s="193"/>
      <c r="B875" s="194" t="s">
        <v>485</v>
      </c>
      <c r="C875" s="195" t="str">
        <f>SUBSTITUTE(SUBSTITUTE(IF(-DOLLAR(E875),IF(E875&gt;0,,"负")&amp;TEXT(INT(ABS(E875)+0.5%),"[dbnum2]G/通用格式元;;")&amp;TEXT(RIGHT(DOLLAR(E875),2),"[dbnum2]0角0分;;整"),),"零角",IF(E875^2&lt;1,,"零")),"零分","整")</f>
        <v/>
      </c>
      <c r="D875" s="196"/>
      <c r="E875" s="197">
        <f>SUM(E869:E874)</f>
        <v>0</v>
      </c>
      <c r="F875" s="197">
        <f>SUM(F869:F874)</f>
        <v>0</v>
      </c>
      <c r="G875" s="176"/>
      <c r="H875" s="192" t="str">
        <f t="shared" si="146"/>
        <v/>
      </c>
    </row>
    <row r="876" spans="1:9" s="199" customFormat="1" ht="19.5" customHeight="1">
      <c r="A876" s="45" t="s">
        <v>486</v>
      </c>
      <c r="B876" s="45" t="s">
        <v>487</v>
      </c>
      <c r="C876" s="45" t="s">
        <v>488</v>
      </c>
      <c r="D876" s="45" t="s">
        <v>504</v>
      </c>
      <c r="E876" s="45" t="s">
        <v>489</v>
      </c>
      <c r="F876" s="176" t="str">
        <f>IF($E875&lt;&gt;$F875,"借贷不平","")</f>
        <v/>
      </c>
      <c r="G876" s="183"/>
      <c r="H876" s="198" t="str">
        <f t="shared" si="146"/>
        <v/>
      </c>
    </row>
    <row r="877" spans="1:9" ht="37.5" customHeight="1">
      <c r="A877" s="177" t="s">
        <v>493</v>
      </c>
      <c r="B877" s="178"/>
      <c r="C877" s="179"/>
      <c r="D877" s="179"/>
      <c r="E877" s="178"/>
      <c r="F877" s="178"/>
      <c r="G877" s="176"/>
      <c r="H877" s="192" t="str">
        <f t="shared" si="146"/>
        <v/>
      </c>
    </row>
    <row r="878" spans="1:9" s="45" customFormat="1" ht="19.5" customHeight="1" thickBot="1">
      <c r="C878" s="180" t="e">
        <f>DATEVALUE("2010-"&amp;$H$1&amp;"-"&amp;INDEX(凭证录入!B:B,H881))</f>
        <v>#VALUE!</v>
      </c>
      <c r="D878" s="181"/>
      <c r="E878" s="182" t="s">
        <v>477</v>
      </c>
      <c r="F878" s="183" t="e">
        <f>N(LEFT((F866),3)+1)</f>
        <v>#VALUE!</v>
      </c>
      <c r="G878" s="176"/>
      <c r="H878" s="192" t="str">
        <f t="shared" si="146"/>
        <v/>
      </c>
      <c r="I878" s="184"/>
    </row>
    <row r="879" spans="1:9" s="45" customFormat="1" ht="19.5" customHeight="1" thickBot="1">
      <c r="A879" s="544" t="s">
        <v>494</v>
      </c>
      <c r="B879" s="545" t="s">
        <v>495</v>
      </c>
      <c r="C879" s="185" t="s">
        <v>496</v>
      </c>
      <c r="D879" s="186"/>
      <c r="E879" s="187"/>
      <c r="F879" s="188"/>
      <c r="G879" s="176"/>
      <c r="H879" s="192" t="str">
        <f t="shared" si="146"/>
        <v/>
      </c>
    </row>
    <row r="880" spans="1:9" s="45" customFormat="1" ht="19.5" customHeight="1" thickBot="1">
      <c r="A880" s="545"/>
      <c r="B880" s="546"/>
      <c r="C880" s="188" t="s">
        <v>497</v>
      </c>
      <c r="D880" s="188" t="s">
        <v>498</v>
      </c>
      <c r="E880" s="188" t="s">
        <v>499</v>
      </c>
      <c r="F880" s="188" t="s">
        <v>500</v>
      </c>
      <c r="G880" s="176"/>
      <c r="H880" s="192" t="str">
        <f t="shared" si="146"/>
        <v/>
      </c>
    </row>
    <row r="881" spans="1:9" s="45" customFormat="1" ht="19.5" customHeight="1" thickBot="1">
      <c r="A881" s="189" t="str">
        <f>IFERROR(INDEX(凭证录入!H:H,$H881),"")</f>
        <v/>
      </c>
      <c r="B881" s="189" t="str">
        <f>IFERROR(INDEX(凭证录入!I:I,$H881),"")</f>
        <v/>
      </c>
      <c r="C881" s="190" t="str">
        <f>IFERROR(VLOOKUP($B881,会计科目表!$A:$C,2,),"")</f>
        <v/>
      </c>
      <c r="D881" s="190" t="str">
        <f>IFERROR(VLOOKUP($B881,会计科目表!$A:$C,3,),"")</f>
        <v/>
      </c>
      <c r="E881" s="191">
        <f>IFERROR(INDEX(凭证录入!K:K,$H881),0)</f>
        <v>0</v>
      </c>
      <c r="F881" s="191">
        <f>IFERROR(INDEX(凭证录入!L:L,$H881),0)</f>
        <v>0</v>
      </c>
      <c r="G881" s="176"/>
      <c r="H881" s="192" t="str">
        <f t="shared" si="146"/>
        <v/>
      </c>
    </row>
    <row r="882" spans="1:9" s="45" customFormat="1" ht="19.5" customHeight="1" thickBot="1">
      <c r="A882" s="189" t="str">
        <f>IFERROR(INDEX(凭证录入!H:H,$H882),"")</f>
        <v/>
      </c>
      <c r="B882" s="189" t="str">
        <f>IFERROR(INDEX(凭证录入!I:I,$H882),"")</f>
        <v/>
      </c>
      <c r="C882" s="190" t="str">
        <f>IFERROR(VLOOKUP($B882,会计科目表!$A:$C,2,),"")</f>
        <v/>
      </c>
      <c r="D882" s="190" t="str">
        <f>IFERROR(VLOOKUP($B882,会计科目表!$A:$C,3,),"")</f>
        <v/>
      </c>
      <c r="E882" s="191">
        <f>IFERROR(INDEX(凭证录入!K:K,$H882),0)</f>
        <v>0</v>
      </c>
      <c r="F882" s="191">
        <f>IFERROR(INDEX(凭证录入!L:L,$H882),0)</f>
        <v>0</v>
      </c>
      <c r="G882" s="176" t="s">
        <v>490</v>
      </c>
      <c r="H882" s="192" t="str">
        <f t="shared" si="146"/>
        <v/>
      </c>
      <c r="I882" s="176"/>
    </row>
    <row r="883" spans="1:9" s="45" customFormat="1" ht="19.5" customHeight="1" thickBot="1">
      <c r="A883" s="189" t="str">
        <f>IFERROR(INDEX(凭证录入!H:H,$H883),"")</f>
        <v/>
      </c>
      <c r="B883" s="189" t="str">
        <f>IFERROR(INDEX(凭证录入!I:I,$H883),"")</f>
        <v/>
      </c>
      <c r="C883" s="190" t="str">
        <f>IFERROR(VLOOKUP($B883,会计科目表!$A:$C,2,),"")</f>
        <v/>
      </c>
      <c r="D883" s="190" t="str">
        <f>IFERROR(VLOOKUP($B883,会计科目表!$A:$C,3,),"")</f>
        <v/>
      </c>
      <c r="E883" s="191">
        <f>IFERROR(INDEX(凭证录入!K:K,$H883),0)</f>
        <v>0</v>
      </c>
      <c r="F883" s="191">
        <f>IFERROR(INDEX(凭证录入!L:L,$H883),0)</f>
        <v>0</v>
      </c>
      <c r="G883" s="176" t="s">
        <v>491</v>
      </c>
      <c r="H883" s="192" t="str">
        <f t="shared" si="146"/>
        <v/>
      </c>
      <c r="I883" s="176"/>
    </row>
    <row r="884" spans="1:9" s="45" customFormat="1" ht="19.5" customHeight="1" thickBot="1">
      <c r="A884" s="189" t="str">
        <f>IFERROR(INDEX(凭证录入!H:H,$H884),"")</f>
        <v/>
      </c>
      <c r="B884" s="189" t="str">
        <f>IFERROR(INDEX(凭证录入!I:I,$H884),"")</f>
        <v/>
      </c>
      <c r="C884" s="190" t="str">
        <f>IFERROR(VLOOKUP($B884,会计科目表!$A:$C,2,),"")</f>
        <v/>
      </c>
      <c r="D884" s="190" t="str">
        <f>IFERROR(VLOOKUP($B884,会计科目表!$A:$C,3,),"")</f>
        <v/>
      </c>
      <c r="E884" s="191">
        <f>IFERROR(INDEX(凭证录入!K:K,$H884),0)</f>
        <v>0</v>
      </c>
      <c r="F884" s="191">
        <f>IFERROR(INDEX(凭证录入!L:L,$H884),0)</f>
        <v>0</v>
      </c>
      <c r="G884" s="176" t="e">
        <f>INDEX(凭证录入!$D:$D,$H881)</f>
        <v>#VALUE!</v>
      </c>
      <c r="H884" s="192" t="str">
        <f t="shared" si="146"/>
        <v/>
      </c>
      <c r="I884" s="176"/>
    </row>
    <row r="885" spans="1:9" s="45" customFormat="1" ht="19.5" customHeight="1" thickBot="1">
      <c r="A885" s="189" t="str">
        <f>IFERROR(INDEX(凭证录入!H:H,$H885),"")</f>
        <v/>
      </c>
      <c r="B885" s="189" t="str">
        <f>IFERROR(INDEX(凭证录入!I:I,$H885),"")</f>
        <v/>
      </c>
      <c r="C885" s="190" t="str">
        <f>IFERROR(VLOOKUP($B885,会计科目表!$A:$C,2,),"")</f>
        <v/>
      </c>
      <c r="D885" s="190" t="str">
        <f>IFERROR(VLOOKUP($B885,会计科目表!$A:$C,3,),"")</f>
        <v/>
      </c>
      <c r="E885" s="191">
        <f>IFERROR(INDEX(凭证录入!K:K,$H885),0)</f>
        <v>0</v>
      </c>
      <c r="F885" s="191">
        <f>IFERROR(INDEX(凭证录入!L:L,$H885),0)</f>
        <v>0</v>
      </c>
      <c r="G885" s="176" t="s">
        <v>492</v>
      </c>
      <c r="H885" s="192" t="str">
        <f t="shared" si="146"/>
        <v/>
      </c>
    </row>
    <row r="886" spans="1:9" s="45" customFormat="1" ht="19.5" customHeight="1" thickBot="1">
      <c r="A886" s="189" t="str">
        <f>IFERROR(INDEX(凭证录入!H:H,$H886),"")</f>
        <v/>
      </c>
      <c r="B886" s="189" t="str">
        <f>IFERROR(INDEX(凭证录入!I:I,$H886),"")</f>
        <v/>
      </c>
      <c r="C886" s="190" t="str">
        <f>IFERROR(VLOOKUP($B886,会计科目表!$A:$C,2,),"")</f>
        <v/>
      </c>
      <c r="D886" s="190" t="str">
        <f>IFERROR(VLOOKUP($B886,会计科目表!$A:$C,3,),"")</f>
        <v/>
      </c>
      <c r="E886" s="191">
        <f>IFERROR(INDEX(凭证录入!K:K,$H886),0)</f>
        <v>0</v>
      </c>
      <c r="F886" s="191">
        <f>IFERROR(INDEX(凭证录入!L:L,$H886),0)</f>
        <v>0</v>
      </c>
      <c r="G886" s="176"/>
      <c r="H886" s="192" t="str">
        <f t="shared" si="146"/>
        <v/>
      </c>
    </row>
    <row r="887" spans="1:9" s="45" customFormat="1" ht="19.5" customHeight="1" thickBot="1">
      <c r="A887" s="193"/>
      <c r="B887" s="194" t="s">
        <v>485</v>
      </c>
      <c r="C887" s="195" t="str">
        <f>SUBSTITUTE(SUBSTITUTE(IF(-DOLLAR(E887),IF(E887&gt;0,,"负")&amp;TEXT(INT(ABS(E887)+0.5%),"[dbnum2]G/通用格式元;;")&amp;TEXT(RIGHT(DOLLAR(E887),2),"[dbnum2]0角0分;;整"),),"零角",IF(E887^2&lt;1,,"零")),"零分","整")</f>
        <v/>
      </c>
      <c r="D887" s="196"/>
      <c r="E887" s="197">
        <f>SUM(E881:E886)</f>
        <v>0</v>
      </c>
      <c r="F887" s="197">
        <f>SUM(F881:F886)</f>
        <v>0</v>
      </c>
      <c r="G887" s="176"/>
      <c r="H887" s="192" t="str">
        <f t="shared" si="146"/>
        <v/>
      </c>
    </row>
    <row r="888" spans="1:9" s="199" customFormat="1" ht="19.5" customHeight="1">
      <c r="A888" s="45" t="s">
        <v>486</v>
      </c>
      <c r="B888" s="45" t="s">
        <v>487</v>
      </c>
      <c r="C888" s="45" t="s">
        <v>488</v>
      </c>
      <c r="D888" s="45" t="s">
        <v>504</v>
      </c>
      <c r="E888" s="45" t="s">
        <v>489</v>
      </c>
      <c r="F888" s="176" t="str">
        <f>IF($E887&lt;&gt;$F887,"借贷不平","")</f>
        <v/>
      </c>
      <c r="G888" s="183"/>
      <c r="H888" s="198" t="str">
        <f t="shared" si="146"/>
        <v/>
      </c>
    </row>
    <row r="889" spans="1:9" ht="37.5" customHeight="1">
      <c r="A889" s="177" t="s">
        <v>493</v>
      </c>
      <c r="B889" s="178"/>
      <c r="C889" s="179"/>
      <c r="D889" s="179"/>
      <c r="E889" s="178"/>
      <c r="F889" s="178"/>
      <c r="G889" s="176"/>
      <c r="H889" s="192" t="str">
        <f t="shared" si="146"/>
        <v/>
      </c>
    </row>
    <row r="890" spans="1:9" s="45" customFormat="1" ht="19.5" customHeight="1" thickBot="1">
      <c r="C890" s="180" t="e">
        <f>DATEVALUE("2010-"&amp;$H$1&amp;"-"&amp;INDEX(凭证录入!B:B,H893))</f>
        <v>#VALUE!</v>
      </c>
      <c r="D890" s="181"/>
      <c r="E890" s="182" t="s">
        <v>477</v>
      </c>
      <c r="F890" s="183" t="e">
        <f>N(LEFT((F878),3)+1)</f>
        <v>#VALUE!</v>
      </c>
      <c r="G890" s="176"/>
      <c r="H890" s="192" t="str">
        <f t="shared" si="146"/>
        <v/>
      </c>
      <c r="I890" s="184"/>
    </row>
    <row r="891" spans="1:9" s="45" customFormat="1" ht="19.5" customHeight="1" thickBot="1">
      <c r="A891" s="544" t="s">
        <v>494</v>
      </c>
      <c r="B891" s="545" t="s">
        <v>495</v>
      </c>
      <c r="C891" s="185" t="s">
        <v>496</v>
      </c>
      <c r="D891" s="186"/>
      <c r="E891" s="187"/>
      <c r="F891" s="188"/>
      <c r="G891" s="176"/>
      <c r="H891" s="192" t="str">
        <f t="shared" si="146"/>
        <v/>
      </c>
    </row>
    <row r="892" spans="1:9" s="45" customFormat="1" ht="19.5" customHeight="1" thickBot="1">
      <c r="A892" s="545"/>
      <c r="B892" s="546"/>
      <c r="C892" s="188" t="s">
        <v>497</v>
      </c>
      <c r="D892" s="188" t="s">
        <v>498</v>
      </c>
      <c r="E892" s="188" t="s">
        <v>499</v>
      </c>
      <c r="F892" s="188" t="s">
        <v>500</v>
      </c>
      <c r="G892" s="176"/>
      <c r="H892" s="192" t="str">
        <f t="shared" si="146"/>
        <v/>
      </c>
    </row>
    <row r="893" spans="1:9" s="45" customFormat="1" ht="19.5" customHeight="1" thickBot="1">
      <c r="A893" s="189" t="str">
        <f>IFERROR(INDEX(凭证录入!H:H,$H893),"")</f>
        <v/>
      </c>
      <c r="B893" s="189" t="str">
        <f>IFERROR(INDEX(凭证录入!I:I,$H893),"")</f>
        <v/>
      </c>
      <c r="C893" s="190" t="str">
        <f>IFERROR(VLOOKUP($B893,会计科目表!$A:$C,2,),"")</f>
        <v/>
      </c>
      <c r="D893" s="190" t="str">
        <f>IFERROR(VLOOKUP($B893,会计科目表!$A:$C,3,),"")</f>
        <v/>
      </c>
      <c r="E893" s="191">
        <f>IFERROR(INDEX(凭证录入!K:K,$H893),0)</f>
        <v>0</v>
      </c>
      <c r="F893" s="191">
        <f>IFERROR(INDEX(凭证录入!L:L,$H893),0)</f>
        <v>0</v>
      </c>
      <c r="G893" s="176"/>
      <c r="H893" s="192" t="str">
        <f t="shared" si="146"/>
        <v/>
      </c>
    </row>
    <row r="894" spans="1:9" s="45" customFormat="1" ht="19.5" customHeight="1" thickBot="1">
      <c r="A894" s="189" t="str">
        <f>IFERROR(INDEX(凭证录入!H:H,$H894),"")</f>
        <v/>
      </c>
      <c r="B894" s="189" t="str">
        <f>IFERROR(INDEX(凭证录入!I:I,$H894),"")</f>
        <v/>
      </c>
      <c r="C894" s="190" t="str">
        <f>IFERROR(VLOOKUP($B894,会计科目表!$A:$C,2,),"")</f>
        <v/>
      </c>
      <c r="D894" s="190" t="str">
        <f>IFERROR(VLOOKUP($B894,会计科目表!$A:$C,3,),"")</f>
        <v/>
      </c>
      <c r="E894" s="191">
        <f>IFERROR(INDEX(凭证录入!K:K,$H894),0)</f>
        <v>0</v>
      </c>
      <c r="F894" s="191">
        <f>IFERROR(INDEX(凭证录入!L:L,$H894),0)</f>
        <v>0</v>
      </c>
      <c r="G894" s="176" t="s">
        <v>490</v>
      </c>
      <c r="H894" s="192" t="str">
        <f t="shared" si="146"/>
        <v/>
      </c>
      <c r="I894" s="176"/>
    </row>
    <row r="895" spans="1:9" s="45" customFormat="1" ht="19.5" customHeight="1" thickBot="1">
      <c r="A895" s="189" t="str">
        <f>IFERROR(INDEX(凭证录入!H:H,$H895),"")</f>
        <v/>
      </c>
      <c r="B895" s="189" t="str">
        <f>IFERROR(INDEX(凭证录入!I:I,$H895),"")</f>
        <v/>
      </c>
      <c r="C895" s="190" t="str">
        <f>IFERROR(VLOOKUP($B895,会计科目表!$A:$C,2,),"")</f>
        <v/>
      </c>
      <c r="D895" s="190" t="str">
        <f>IFERROR(VLOOKUP($B895,会计科目表!$A:$C,3,),"")</f>
        <v/>
      </c>
      <c r="E895" s="191">
        <f>IFERROR(INDEX(凭证录入!K:K,$H895),0)</f>
        <v>0</v>
      </c>
      <c r="F895" s="191">
        <f>IFERROR(INDEX(凭证录入!L:L,$H895),0)</f>
        <v>0</v>
      </c>
      <c r="G895" s="176" t="s">
        <v>491</v>
      </c>
      <c r="H895" s="192" t="str">
        <f t="shared" si="146"/>
        <v/>
      </c>
      <c r="I895" s="176"/>
    </row>
    <row r="896" spans="1:9" s="45" customFormat="1" ht="19.5" customHeight="1" thickBot="1">
      <c r="A896" s="189" t="str">
        <f>IFERROR(INDEX(凭证录入!H:H,$H896),"")</f>
        <v/>
      </c>
      <c r="B896" s="189" t="str">
        <f>IFERROR(INDEX(凭证录入!I:I,$H896),"")</f>
        <v/>
      </c>
      <c r="C896" s="190" t="str">
        <f>IFERROR(VLOOKUP($B896,会计科目表!$A:$C,2,),"")</f>
        <v/>
      </c>
      <c r="D896" s="190" t="str">
        <f>IFERROR(VLOOKUP($B896,会计科目表!$A:$C,3,),"")</f>
        <v/>
      </c>
      <c r="E896" s="191">
        <f>IFERROR(INDEX(凭证录入!K:K,$H896),0)</f>
        <v>0</v>
      </c>
      <c r="F896" s="191">
        <f>IFERROR(INDEX(凭证录入!L:L,$H896),0)</f>
        <v>0</v>
      </c>
      <c r="G896" s="176" t="e">
        <f>INDEX(凭证录入!$D:$D,$H893)</f>
        <v>#VALUE!</v>
      </c>
      <c r="H896" s="192" t="str">
        <f t="shared" si="146"/>
        <v/>
      </c>
      <c r="I896" s="176"/>
    </row>
    <row r="897" spans="1:9" s="45" customFormat="1" ht="19.5" customHeight="1" thickBot="1">
      <c r="A897" s="189" t="str">
        <f>IFERROR(INDEX(凭证录入!H:H,$H897),"")</f>
        <v/>
      </c>
      <c r="B897" s="189" t="str">
        <f>IFERROR(INDEX(凭证录入!I:I,$H897),"")</f>
        <v/>
      </c>
      <c r="C897" s="190" t="str">
        <f>IFERROR(VLOOKUP($B897,会计科目表!$A:$C,2,),"")</f>
        <v/>
      </c>
      <c r="D897" s="190" t="str">
        <f>IFERROR(VLOOKUP($B897,会计科目表!$A:$C,3,),"")</f>
        <v/>
      </c>
      <c r="E897" s="191">
        <f>IFERROR(INDEX(凭证录入!K:K,$H897),0)</f>
        <v>0</v>
      </c>
      <c r="F897" s="191">
        <f>IFERROR(INDEX(凭证录入!L:L,$H897),0)</f>
        <v>0</v>
      </c>
      <c r="G897" s="176" t="s">
        <v>492</v>
      </c>
      <c r="H897" s="192" t="str">
        <f t="shared" si="146"/>
        <v/>
      </c>
    </row>
    <row r="898" spans="1:9" s="45" customFormat="1" ht="19.5" customHeight="1" thickBot="1">
      <c r="A898" s="189" t="str">
        <f>IFERROR(INDEX(凭证录入!H:H,$H898),"")</f>
        <v/>
      </c>
      <c r="B898" s="189" t="str">
        <f>IFERROR(INDEX(凭证录入!I:I,$H898),"")</f>
        <v/>
      </c>
      <c r="C898" s="190" t="str">
        <f>IFERROR(VLOOKUP($B898,会计科目表!$A:$C,2,),"")</f>
        <v/>
      </c>
      <c r="D898" s="190" t="str">
        <f>IFERROR(VLOOKUP($B898,会计科目表!$A:$C,3,),"")</f>
        <v/>
      </c>
      <c r="E898" s="191">
        <f>IFERROR(INDEX(凭证录入!K:K,$H898),0)</f>
        <v>0</v>
      </c>
      <c r="F898" s="191">
        <f>IFERROR(INDEX(凭证录入!L:L,$H898),0)</f>
        <v>0</v>
      </c>
      <c r="G898" s="176"/>
      <c r="H898" s="192" t="str">
        <f t="shared" si="146"/>
        <v/>
      </c>
    </row>
    <row r="899" spans="1:9" s="45" customFormat="1" ht="19.5" customHeight="1" thickBot="1">
      <c r="A899" s="193"/>
      <c r="B899" s="194" t="s">
        <v>485</v>
      </c>
      <c r="C899" s="195" t="str">
        <f>SUBSTITUTE(SUBSTITUTE(IF(-DOLLAR(E899),IF(E899&gt;0,,"负")&amp;TEXT(INT(ABS(E899)+0.5%),"[dbnum2]G/通用格式元;;")&amp;TEXT(RIGHT(DOLLAR(E899),2),"[dbnum2]0角0分;;整"),),"零角",IF(E899^2&lt;1,,"零")),"零分","整")</f>
        <v/>
      </c>
      <c r="D899" s="196"/>
      <c r="E899" s="197">
        <f>SUM(E893:E898)</f>
        <v>0</v>
      </c>
      <c r="F899" s="197">
        <f>SUM(F893:F898)</f>
        <v>0</v>
      </c>
      <c r="G899" s="176"/>
      <c r="H899" s="192" t="str">
        <f t="shared" si="146"/>
        <v/>
      </c>
    </row>
    <row r="900" spans="1:9" s="199" customFormat="1" ht="19.5" customHeight="1">
      <c r="A900" s="45" t="s">
        <v>486</v>
      </c>
      <c r="B900" s="45" t="s">
        <v>487</v>
      </c>
      <c r="C900" s="45" t="s">
        <v>488</v>
      </c>
      <c r="D900" s="45" t="s">
        <v>504</v>
      </c>
      <c r="E900" s="45" t="s">
        <v>489</v>
      </c>
      <c r="F900" s="176" t="str">
        <f>IF($E899&lt;&gt;$F899,"借贷不平","")</f>
        <v/>
      </c>
      <c r="G900" s="183"/>
      <c r="H900" s="198" t="str">
        <f t="shared" si="146"/>
        <v/>
      </c>
    </row>
    <row r="901" spans="1:9" ht="37.5" customHeight="1">
      <c r="A901" s="177" t="s">
        <v>493</v>
      </c>
      <c r="B901" s="178"/>
      <c r="C901" s="179"/>
      <c r="D901" s="179"/>
      <c r="E901" s="178"/>
      <c r="F901" s="178"/>
      <c r="G901" s="176"/>
      <c r="H901" s="192" t="str">
        <f t="shared" ref="H901:H964" si="147">IFERROR(INDEX(行号,TEXT(MOD(ROW(),12)-4,"[=]A")),"")</f>
        <v/>
      </c>
    </row>
    <row r="902" spans="1:9" s="45" customFormat="1" ht="19.5" customHeight="1" thickBot="1">
      <c r="C902" s="180" t="e">
        <f>DATEVALUE("2010-"&amp;$H$1&amp;"-"&amp;INDEX(凭证录入!B:B,H905))</f>
        <v>#VALUE!</v>
      </c>
      <c r="D902" s="181"/>
      <c r="E902" s="182" t="s">
        <v>477</v>
      </c>
      <c r="F902" s="183" t="e">
        <f>N(LEFT((F890),3)+1)</f>
        <v>#VALUE!</v>
      </c>
      <c r="G902" s="176"/>
      <c r="H902" s="192" t="str">
        <f t="shared" si="147"/>
        <v/>
      </c>
      <c r="I902" s="184"/>
    </row>
    <row r="903" spans="1:9" s="45" customFormat="1" ht="19.5" customHeight="1" thickBot="1">
      <c r="A903" s="544" t="s">
        <v>494</v>
      </c>
      <c r="B903" s="545" t="s">
        <v>495</v>
      </c>
      <c r="C903" s="185" t="s">
        <v>496</v>
      </c>
      <c r="D903" s="186"/>
      <c r="E903" s="187"/>
      <c r="F903" s="188"/>
      <c r="G903" s="176"/>
      <c r="H903" s="192" t="str">
        <f t="shared" si="147"/>
        <v/>
      </c>
    </row>
    <row r="904" spans="1:9" s="45" customFormat="1" ht="19.5" customHeight="1" thickBot="1">
      <c r="A904" s="545"/>
      <c r="B904" s="546"/>
      <c r="C904" s="188" t="s">
        <v>497</v>
      </c>
      <c r="D904" s="188" t="s">
        <v>498</v>
      </c>
      <c r="E904" s="188" t="s">
        <v>499</v>
      </c>
      <c r="F904" s="188" t="s">
        <v>500</v>
      </c>
      <c r="G904" s="176"/>
      <c r="H904" s="192" t="str">
        <f t="shared" si="147"/>
        <v/>
      </c>
    </row>
    <row r="905" spans="1:9" s="45" customFormat="1" ht="19.5" customHeight="1" thickBot="1">
      <c r="A905" s="189" t="str">
        <f>IFERROR(INDEX(凭证录入!H:H,$H905),"")</f>
        <v/>
      </c>
      <c r="B905" s="189" t="str">
        <f>IFERROR(INDEX(凭证录入!I:I,$H905),"")</f>
        <v/>
      </c>
      <c r="C905" s="190" t="str">
        <f>IFERROR(VLOOKUP($B905,会计科目表!$A:$C,2,),"")</f>
        <v/>
      </c>
      <c r="D905" s="190" t="str">
        <f>IFERROR(VLOOKUP($B905,会计科目表!$A:$C,3,),"")</f>
        <v/>
      </c>
      <c r="E905" s="191">
        <f>IFERROR(INDEX(凭证录入!K:K,$H905),0)</f>
        <v>0</v>
      </c>
      <c r="F905" s="191">
        <f>IFERROR(INDEX(凭证录入!L:L,$H905),0)</f>
        <v>0</v>
      </c>
      <c r="G905" s="176"/>
      <c r="H905" s="192" t="str">
        <f t="shared" si="147"/>
        <v/>
      </c>
    </row>
    <row r="906" spans="1:9" s="45" customFormat="1" ht="19.5" customHeight="1" thickBot="1">
      <c r="A906" s="189" t="str">
        <f>IFERROR(INDEX(凭证录入!H:H,$H906),"")</f>
        <v/>
      </c>
      <c r="B906" s="189" t="str">
        <f>IFERROR(INDEX(凭证录入!I:I,$H906),"")</f>
        <v/>
      </c>
      <c r="C906" s="190" t="str">
        <f>IFERROR(VLOOKUP($B906,会计科目表!$A:$C,2,),"")</f>
        <v/>
      </c>
      <c r="D906" s="190" t="str">
        <f>IFERROR(VLOOKUP($B906,会计科目表!$A:$C,3,),"")</f>
        <v/>
      </c>
      <c r="E906" s="191">
        <f>IFERROR(INDEX(凭证录入!K:K,$H906),0)</f>
        <v>0</v>
      </c>
      <c r="F906" s="191">
        <f>IFERROR(INDEX(凭证录入!L:L,$H906),0)</f>
        <v>0</v>
      </c>
      <c r="G906" s="176" t="s">
        <v>490</v>
      </c>
      <c r="H906" s="192" t="str">
        <f t="shared" si="147"/>
        <v/>
      </c>
      <c r="I906" s="176"/>
    </row>
    <row r="907" spans="1:9" s="45" customFormat="1" ht="19.5" customHeight="1" thickBot="1">
      <c r="A907" s="189" t="str">
        <f>IFERROR(INDEX(凭证录入!H:H,$H907),"")</f>
        <v/>
      </c>
      <c r="B907" s="189" t="str">
        <f>IFERROR(INDEX(凭证录入!I:I,$H907),"")</f>
        <v/>
      </c>
      <c r="C907" s="190" t="str">
        <f>IFERROR(VLOOKUP($B907,会计科目表!$A:$C,2,),"")</f>
        <v/>
      </c>
      <c r="D907" s="190" t="str">
        <f>IFERROR(VLOOKUP($B907,会计科目表!$A:$C,3,),"")</f>
        <v/>
      </c>
      <c r="E907" s="191">
        <f>IFERROR(INDEX(凭证录入!K:K,$H907),0)</f>
        <v>0</v>
      </c>
      <c r="F907" s="191">
        <f>IFERROR(INDEX(凭证录入!L:L,$H907),0)</f>
        <v>0</v>
      </c>
      <c r="G907" s="176" t="s">
        <v>491</v>
      </c>
      <c r="H907" s="192" t="str">
        <f t="shared" si="147"/>
        <v/>
      </c>
      <c r="I907" s="176"/>
    </row>
    <row r="908" spans="1:9" s="45" customFormat="1" ht="19.5" customHeight="1" thickBot="1">
      <c r="A908" s="189" t="str">
        <f>IFERROR(INDEX(凭证录入!H:H,$H908),"")</f>
        <v/>
      </c>
      <c r="B908" s="189" t="str">
        <f>IFERROR(INDEX(凭证录入!I:I,$H908),"")</f>
        <v/>
      </c>
      <c r="C908" s="190" t="str">
        <f>IFERROR(VLOOKUP($B908,会计科目表!$A:$C,2,),"")</f>
        <v/>
      </c>
      <c r="D908" s="190" t="str">
        <f>IFERROR(VLOOKUP($B908,会计科目表!$A:$C,3,),"")</f>
        <v/>
      </c>
      <c r="E908" s="191">
        <f>IFERROR(INDEX(凭证录入!K:K,$H908),0)</f>
        <v>0</v>
      </c>
      <c r="F908" s="191">
        <f>IFERROR(INDEX(凭证录入!L:L,$H908),0)</f>
        <v>0</v>
      </c>
      <c r="G908" s="176" t="e">
        <f>INDEX(凭证录入!$D:$D,$H905)</f>
        <v>#VALUE!</v>
      </c>
      <c r="H908" s="192" t="str">
        <f t="shared" si="147"/>
        <v/>
      </c>
      <c r="I908" s="176"/>
    </row>
    <row r="909" spans="1:9" s="45" customFormat="1" ht="19.5" customHeight="1" thickBot="1">
      <c r="A909" s="189" t="str">
        <f>IFERROR(INDEX(凭证录入!H:H,$H909),"")</f>
        <v/>
      </c>
      <c r="B909" s="189" t="str">
        <f>IFERROR(INDEX(凭证录入!I:I,$H909),"")</f>
        <v/>
      </c>
      <c r="C909" s="190" t="str">
        <f>IFERROR(VLOOKUP($B909,会计科目表!$A:$C,2,),"")</f>
        <v/>
      </c>
      <c r="D909" s="190" t="str">
        <f>IFERROR(VLOOKUP($B909,会计科目表!$A:$C,3,),"")</f>
        <v/>
      </c>
      <c r="E909" s="191">
        <f>IFERROR(INDEX(凭证录入!K:K,$H909),0)</f>
        <v>0</v>
      </c>
      <c r="F909" s="191">
        <f>IFERROR(INDEX(凭证录入!L:L,$H909),0)</f>
        <v>0</v>
      </c>
      <c r="G909" s="176" t="s">
        <v>492</v>
      </c>
      <c r="H909" s="192" t="str">
        <f t="shared" si="147"/>
        <v/>
      </c>
    </row>
    <row r="910" spans="1:9" s="45" customFormat="1" ht="19.5" customHeight="1" thickBot="1">
      <c r="A910" s="189" t="str">
        <f>IFERROR(INDEX(凭证录入!H:H,$H910),"")</f>
        <v/>
      </c>
      <c r="B910" s="189" t="str">
        <f>IFERROR(INDEX(凭证录入!I:I,$H910),"")</f>
        <v/>
      </c>
      <c r="C910" s="190" t="str">
        <f>IFERROR(VLOOKUP($B910,会计科目表!$A:$C,2,),"")</f>
        <v/>
      </c>
      <c r="D910" s="190" t="str">
        <f>IFERROR(VLOOKUP($B910,会计科目表!$A:$C,3,),"")</f>
        <v/>
      </c>
      <c r="E910" s="191">
        <f>IFERROR(INDEX(凭证录入!K:K,$H910),0)</f>
        <v>0</v>
      </c>
      <c r="F910" s="191">
        <f>IFERROR(INDEX(凭证录入!L:L,$H910),0)</f>
        <v>0</v>
      </c>
      <c r="G910" s="176"/>
      <c r="H910" s="192" t="str">
        <f t="shared" si="147"/>
        <v/>
      </c>
    </row>
    <row r="911" spans="1:9" s="45" customFormat="1" ht="19.5" customHeight="1" thickBot="1">
      <c r="A911" s="193"/>
      <c r="B911" s="194" t="s">
        <v>485</v>
      </c>
      <c r="C911" s="195" t="str">
        <f>SUBSTITUTE(SUBSTITUTE(IF(-DOLLAR(E911),IF(E911&gt;0,,"负")&amp;TEXT(INT(ABS(E911)+0.5%),"[dbnum2]G/通用格式元;;")&amp;TEXT(RIGHT(DOLLAR(E911),2),"[dbnum2]0角0分;;整"),),"零角",IF(E911^2&lt;1,,"零")),"零分","整")</f>
        <v/>
      </c>
      <c r="D911" s="196"/>
      <c r="E911" s="197">
        <f>SUM(E905:E910)</f>
        <v>0</v>
      </c>
      <c r="F911" s="197">
        <f>SUM(F905:F910)</f>
        <v>0</v>
      </c>
      <c r="G911" s="176"/>
      <c r="H911" s="192" t="str">
        <f t="shared" si="147"/>
        <v/>
      </c>
    </row>
    <row r="912" spans="1:9" s="199" customFormat="1" ht="19.5" customHeight="1">
      <c r="A912" s="45" t="s">
        <v>486</v>
      </c>
      <c r="B912" s="45" t="s">
        <v>487</v>
      </c>
      <c r="C912" s="45" t="s">
        <v>488</v>
      </c>
      <c r="D912" s="45" t="s">
        <v>504</v>
      </c>
      <c r="E912" s="45" t="s">
        <v>489</v>
      </c>
      <c r="F912" s="176" t="str">
        <f>IF($E911&lt;&gt;$F911,"借贷不平","")</f>
        <v/>
      </c>
      <c r="G912" s="183"/>
      <c r="H912" s="198" t="str">
        <f t="shared" si="147"/>
        <v/>
      </c>
    </row>
    <row r="913" spans="1:9" ht="37.5" customHeight="1">
      <c r="A913" s="177" t="s">
        <v>493</v>
      </c>
      <c r="B913" s="178"/>
      <c r="C913" s="179"/>
      <c r="D913" s="179"/>
      <c r="E913" s="178"/>
      <c r="F913" s="178"/>
      <c r="G913" s="176"/>
      <c r="H913" s="192" t="str">
        <f t="shared" si="147"/>
        <v/>
      </c>
    </row>
    <row r="914" spans="1:9" s="45" customFormat="1" ht="19.5" customHeight="1" thickBot="1">
      <c r="C914" s="180" t="e">
        <f>DATEVALUE("2010-"&amp;$H$1&amp;"-"&amp;INDEX(凭证录入!B:B,H917))</f>
        <v>#VALUE!</v>
      </c>
      <c r="D914" s="181"/>
      <c r="E914" s="182" t="s">
        <v>477</v>
      </c>
      <c r="F914" s="183" t="e">
        <f>N(LEFT((F902),3)+1)</f>
        <v>#VALUE!</v>
      </c>
      <c r="G914" s="176"/>
      <c r="H914" s="192" t="str">
        <f t="shared" si="147"/>
        <v/>
      </c>
      <c r="I914" s="184"/>
    </row>
    <row r="915" spans="1:9" s="45" customFormat="1" ht="19.5" customHeight="1" thickBot="1">
      <c r="A915" s="544" t="s">
        <v>494</v>
      </c>
      <c r="B915" s="545" t="s">
        <v>495</v>
      </c>
      <c r="C915" s="185" t="s">
        <v>496</v>
      </c>
      <c r="D915" s="186"/>
      <c r="E915" s="187"/>
      <c r="F915" s="188"/>
      <c r="G915" s="176"/>
      <c r="H915" s="192" t="str">
        <f t="shared" si="147"/>
        <v/>
      </c>
    </row>
    <row r="916" spans="1:9" s="45" customFormat="1" ht="19.5" customHeight="1" thickBot="1">
      <c r="A916" s="545"/>
      <c r="B916" s="546"/>
      <c r="C916" s="188" t="s">
        <v>497</v>
      </c>
      <c r="D916" s="188" t="s">
        <v>498</v>
      </c>
      <c r="E916" s="188" t="s">
        <v>499</v>
      </c>
      <c r="F916" s="188" t="s">
        <v>500</v>
      </c>
      <c r="G916" s="176"/>
      <c r="H916" s="192" t="str">
        <f t="shared" si="147"/>
        <v/>
      </c>
    </row>
    <row r="917" spans="1:9" s="45" customFormat="1" ht="19.5" customHeight="1" thickBot="1">
      <c r="A917" s="189" t="str">
        <f>IFERROR(INDEX(凭证录入!H:H,$H917),"")</f>
        <v/>
      </c>
      <c r="B917" s="189" t="str">
        <f>IFERROR(INDEX(凭证录入!I:I,$H917),"")</f>
        <v/>
      </c>
      <c r="C917" s="190" t="str">
        <f>IFERROR(VLOOKUP($B917,会计科目表!$A:$C,2,),"")</f>
        <v/>
      </c>
      <c r="D917" s="190" t="str">
        <f>IFERROR(VLOOKUP($B917,会计科目表!$A:$C,3,),"")</f>
        <v/>
      </c>
      <c r="E917" s="191">
        <f>IFERROR(INDEX(凭证录入!K:K,$H917),0)</f>
        <v>0</v>
      </c>
      <c r="F917" s="191">
        <f>IFERROR(INDEX(凭证录入!L:L,$H917),0)</f>
        <v>0</v>
      </c>
      <c r="G917" s="176"/>
      <c r="H917" s="192" t="str">
        <f t="shared" si="147"/>
        <v/>
      </c>
    </row>
    <row r="918" spans="1:9" s="45" customFormat="1" ht="19.5" customHeight="1" thickBot="1">
      <c r="A918" s="189" t="str">
        <f>IFERROR(INDEX(凭证录入!H:H,$H918),"")</f>
        <v/>
      </c>
      <c r="B918" s="189" t="str">
        <f>IFERROR(INDEX(凭证录入!I:I,$H918),"")</f>
        <v/>
      </c>
      <c r="C918" s="190" t="str">
        <f>IFERROR(VLOOKUP($B918,会计科目表!$A:$C,2,),"")</f>
        <v/>
      </c>
      <c r="D918" s="190" t="str">
        <f>IFERROR(VLOOKUP($B918,会计科目表!$A:$C,3,),"")</f>
        <v/>
      </c>
      <c r="E918" s="191">
        <f>IFERROR(INDEX(凭证录入!K:K,$H918),0)</f>
        <v>0</v>
      </c>
      <c r="F918" s="191">
        <f>IFERROR(INDEX(凭证录入!L:L,$H918),0)</f>
        <v>0</v>
      </c>
      <c r="G918" s="176" t="s">
        <v>490</v>
      </c>
      <c r="H918" s="192" t="str">
        <f t="shared" si="147"/>
        <v/>
      </c>
      <c r="I918" s="176"/>
    </row>
    <row r="919" spans="1:9" s="45" customFormat="1" ht="19.5" customHeight="1" thickBot="1">
      <c r="A919" s="189" t="str">
        <f>IFERROR(INDEX(凭证录入!H:H,$H919),"")</f>
        <v/>
      </c>
      <c r="B919" s="189" t="str">
        <f>IFERROR(INDEX(凭证录入!I:I,$H919),"")</f>
        <v/>
      </c>
      <c r="C919" s="190" t="str">
        <f>IFERROR(VLOOKUP($B919,会计科目表!$A:$C,2,),"")</f>
        <v/>
      </c>
      <c r="D919" s="190" t="str">
        <f>IFERROR(VLOOKUP($B919,会计科目表!$A:$C,3,),"")</f>
        <v/>
      </c>
      <c r="E919" s="191">
        <f>IFERROR(INDEX(凭证录入!K:K,$H919),0)</f>
        <v>0</v>
      </c>
      <c r="F919" s="191">
        <f>IFERROR(INDEX(凭证录入!L:L,$H919),0)</f>
        <v>0</v>
      </c>
      <c r="G919" s="176" t="s">
        <v>491</v>
      </c>
      <c r="H919" s="192" t="str">
        <f t="shared" si="147"/>
        <v/>
      </c>
      <c r="I919" s="176"/>
    </row>
    <row r="920" spans="1:9" s="45" customFormat="1" ht="19.5" customHeight="1" thickBot="1">
      <c r="A920" s="189" t="str">
        <f>IFERROR(INDEX(凭证录入!H:H,$H920),"")</f>
        <v/>
      </c>
      <c r="B920" s="189" t="str">
        <f>IFERROR(INDEX(凭证录入!I:I,$H920),"")</f>
        <v/>
      </c>
      <c r="C920" s="190" t="str">
        <f>IFERROR(VLOOKUP($B920,会计科目表!$A:$C,2,),"")</f>
        <v/>
      </c>
      <c r="D920" s="190" t="str">
        <f>IFERROR(VLOOKUP($B920,会计科目表!$A:$C,3,),"")</f>
        <v/>
      </c>
      <c r="E920" s="191">
        <f>IFERROR(INDEX(凭证录入!K:K,$H920),0)</f>
        <v>0</v>
      </c>
      <c r="F920" s="191">
        <f>IFERROR(INDEX(凭证录入!L:L,$H920),0)</f>
        <v>0</v>
      </c>
      <c r="G920" s="176" t="e">
        <f>INDEX(凭证录入!$D:$D,$H917)</f>
        <v>#VALUE!</v>
      </c>
      <c r="H920" s="192" t="str">
        <f t="shared" si="147"/>
        <v/>
      </c>
      <c r="I920" s="176"/>
    </row>
    <row r="921" spans="1:9" s="45" customFormat="1" ht="19.5" customHeight="1" thickBot="1">
      <c r="A921" s="189" t="str">
        <f>IFERROR(INDEX(凭证录入!H:H,$H921),"")</f>
        <v/>
      </c>
      <c r="B921" s="189" t="str">
        <f>IFERROR(INDEX(凭证录入!I:I,$H921),"")</f>
        <v/>
      </c>
      <c r="C921" s="190" t="str">
        <f>IFERROR(VLOOKUP($B921,会计科目表!$A:$C,2,),"")</f>
        <v/>
      </c>
      <c r="D921" s="190" t="str">
        <f>IFERROR(VLOOKUP($B921,会计科目表!$A:$C,3,),"")</f>
        <v/>
      </c>
      <c r="E921" s="191">
        <f>IFERROR(INDEX(凭证录入!K:K,$H921),0)</f>
        <v>0</v>
      </c>
      <c r="F921" s="191">
        <f>IFERROR(INDEX(凭证录入!L:L,$H921),0)</f>
        <v>0</v>
      </c>
      <c r="G921" s="176" t="s">
        <v>492</v>
      </c>
      <c r="H921" s="192" t="str">
        <f t="shared" si="147"/>
        <v/>
      </c>
    </row>
    <row r="922" spans="1:9" s="45" customFormat="1" ht="19.5" customHeight="1" thickBot="1">
      <c r="A922" s="189" t="str">
        <f>IFERROR(INDEX(凭证录入!H:H,$H922),"")</f>
        <v/>
      </c>
      <c r="B922" s="189" t="str">
        <f>IFERROR(INDEX(凭证录入!I:I,$H922),"")</f>
        <v/>
      </c>
      <c r="C922" s="190" t="str">
        <f>IFERROR(VLOOKUP($B922,会计科目表!$A:$C,2,),"")</f>
        <v/>
      </c>
      <c r="D922" s="190" t="str">
        <f>IFERROR(VLOOKUP($B922,会计科目表!$A:$C,3,),"")</f>
        <v/>
      </c>
      <c r="E922" s="191">
        <f>IFERROR(INDEX(凭证录入!K:K,$H922),0)</f>
        <v>0</v>
      </c>
      <c r="F922" s="191">
        <f>IFERROR(INDEX(凭证录入!L:L,$H922),0)</f>
        <v>0</v>
      </c>
      <c r="G922" s="176"/>
      <c r="H922" s="192" t="str">
        <f t="shared" si="147"/>
        <v/>
      </c>
    </row>
    <row r="923" spans="1:9" s="45" customFormat="1" ht="19.5" customHeight="1" thickBot="1">
      <c r="A923" s="193"/>
      <c r="B923" s="194" t="s">
        <v>485</v>
      </c>
      <c r="C923" s="195" t="str">
        <f>SUBSTITUTE(SUBSTITUTE(IF(-DOLLAR(E923),IF(E923&gt;0,,"负")&amp;TEXT(INT(ABS(E923)+0.5%),"[dbnum2]G/通用格式元;;")&amp;TEXT(RIGHT(DOLLAR(E923),2),"[dbnum2]0角0分;;整"),),"零角",IF(E923^2&lt;1,,"零")),"零分","整")</f>
        <v/>
      </c>
      <c r="D923" s="196"/>
      <c r="E923" s="197">
        <f>SUM(E917:E922)</f>
        <v>0</v>
      </c>
      <c r="F923" s="197">
        <f>SUM(F917:F922)</f>
        <v>0</v>
      </c>
      <c r="G923" s="176"/>
      <c r="H923" s="192" t="str">
        <f t="shared" si="147"/>
        <v/>
      </c>
    </row>
    <row r="924" spans="1:9" s="199" customFormat="1" ht="19.5" customHeight="1">
      <c r="A924" s="45" t="s">
        <v>486</v>
      </c>
      <c r="B924" s="45" t="s">
        <v>487</v>
      </c>
      <c r="C924" s="45" t="s">
        <v>488</v>
      </c>
      <c r="D924" s="45" t="s">
        <v>504</v>
      </c>
      <c r="E924" s="45" t="s">
        <v>489</v>
      </c>
      <c r="F924" s="176" t="str">
        <f>IF($E923&lt;&gt;$F923,"借贷不平","")</f>
        <v/>
      </c>
      <c r="G924" s="183"/>
      <c r="H924" s="198" t="str">
        <f t="shared" si="147"/>
        <v/>
      </c>
    </row>
    <row r="925" spans="1:9" ht="37.5" customHeight="1">
      <c r="A925" s="177" t="s">
        <v>493</v>
      </c>
      <c r="B925" s="178"/>
      <c r="C925" s="179"/>
      <c r="D925" s="179"/>
      <c r="E925" s="178"/>
      <c r="F925" s="178"/>
      <c r="G925" s="176"/>
      <c r="H925" s="192" t="str">
        <f t="shared" si="147"/>
        <v/>
      </c>
    </row>
    <row r="926" spans="1:9" s="45" customFormat="1" ht="19.5" customHeight="1" thickBot="1">
      <c r="C926" s="180" t="e">
        <f>DATEVALUE("2010-"&amp;$H$1&amp;"-"&amp;INDEX(凭证录入!B:B,H929))</f>
        <v>#VALUE!</v>
      </c>
      <c r="D926" s="181"/>
      <c r="E926" s="182" t="s">
        <v>477</v>
      </c>
      <c r="F926" s="183" t="e">
        <f>N(LEFT((F914),3)+1)</f>
        <v>#VALUE!</v>
      </c>
      <c r="G926" s="176"/>
      <c r="H926" s="192" t="str">
        <f t="shared" si="147"/>
        <v/>
      </c>
      <c r="I926" s="184"/>
    </row>
    <row r="927" spans="1:9" s="45" customFormat="1" ht="19.5" customHeight="1" thickBot="1">
      <c r="A927" s="544" t="s">
        <v>494</v>
      </c>
      <c r="B927" s="545" t="s">
        <v>495</v>
      </c>
      <c r="C927" s="185" t="s">
        <v>496</v>
      </c>
      <c r="D927" s="186"/>
      <c r="E927" s="187"/>
      <c r="F927" s="188"/>
      <c r="G927" s="176"/>
      <c r="H927" s="192" t="str">
        <f t="shared" si="147"/>
        <v/>
      </c>
    </row>
    <row r="928" spans="1:9" s="45" customFormat="1" ht="19.5" customHeight="1" thickBot="1">
      <c r="A928" s="545"/>
      <c r="B928" s="546"/>
      <c r="C928" s="188" t="s">
        <v>497</v>
      </c>
      <c r="D928" s="188" t="s">
        <v>498</v>
      </c>
      <c r="E928" s="188" t="s">
        <v>499</v>
      </c>
      <c r="F928" s="188" t="s">
        <v>500</v>
      </c>
      <c r="G928" s="176"/>
      <c r="H928" s="192" t="str">
        <f t="shared" si="147"/>
        <v/>
      </c>
    </row>
    <row r="929" spans="1:9" s="45" customFormat="1" ht="19.5" customHeight="1" thickBot="1">
      <c r="A929" s="189" t="str">
        <f>IFERROR(INDEX(凭证录入!H:H,$H929),"")</f>
        <v/>
      </c>
      <c r="B929" s="189" t="str">
        <f>IFERROR(INDEX(凭证录入!I:I,$H929),"")</f>
        <v/>
      </c>
      <c r="C929" s="190" t="str">
        <f>IFERROR(VLOOKUP($B929,会计科目表!$A:$C,2,),"")</f>
        <v/>
      </c>
      <c r="D929" s="190" t="str">
        <f>IFERROR(VLOOKUP($B929,会计科目表!$A:$C,3,),"")</f>
        <v/>
      </c>
      <c r="E929" s="191">
        <f>IFERROR(INDEX(凭证录入!K:K,$H929),0)</f>
        <v>0</v>
      </c>
      <c r="F929" s="191">
        <f>IFERROR(INDEX(凭证录入!L:L,$H929),0)</f>
        <v>0</v>
      </c>
      <c r="G929" s="176"/>
      <c r="H929" s="192" t="str">
        <f t="shared" si="147"/>
        <v/>
      </c>
    </row>
    <row r="930" spans="1:9" s="45" customFormat="1" ht="19.5" customHeight="1" thickBot="1">
      <c r="A930" s="189" t="str">
        <f>IFERROR(INDEX(凭证录入!H:H,$H930),"")</f>
        <v/>
      </c>
      <c r="B930" s="189" t="str">
        <f>IFERROR(INDEX(凭证录入!I:I,$H930),"")</f>
        <v/>
      </c>
      <c r="C930" s="190" t="str">
        <f>IFERROR(VLOOKUP($B930,会计科目表!$A:$C,2,),"")</f>
        <v/>
      </c>
      <c r="D930" s="190" t="str">
        <f>IFERROR(VLOOKUP($B930,会计科目表!$A:$C,3,),"")</f>
        <v/>
      </c>
      <c r="E930" s="191">
        <f>IFERROR(INDEX(凭证录入!K:K,$H930),0)</f>
        <v>0</v>
      </c>
      <c r="F930" s="191">
        <f>IFERROR(INDEX(凭证录入!L:L,$H930),0)</f>
        <v>0</v>
      </c>
      <c r="G930" s="176" t="s">
        <v>490</v>
      </c>
      <c r="H930" s="192" t="str">
        <f t="shared" si="147"/>
        <v/>
      </c>
      <c r="I930" s="176"/>
    </row>
    <row r="931" spans="1:9" s="45" customFormat="1" ht="19.5" customHeight="1" thickBot="1">
      <c r="A931" s="189" t="str">
        <f>IFERROR(INDEX(凭证录入!H:H,$H931),"")</f>
        <v/>
      </c>
      <c r="B931" s="189" t="str">
        <f>IFERROR(INDEX(凭证录入!I:I,$H931),"")</f>
        <v/>
      </c>
      <c r="C931" s="190" t="str">
        <f>IFERROR(VLOOKUP($B931,会计科目表!$A:$C,2,),"")</f>
        <v/>
      </c>
      <c r="D931" s="190" t="str">
        <f>IFERROR(VLOOKUP($B931,会计科目表!$A:$C,3,),"")</f>
        <v/>
      </c>
      <c r="E931" s="191">
        <f>IFERROR(INDEX(凭证录入!K:K,$H931),0)</f>
        <v>0</v>
      </c>
      <c r="F931" s="191">
        <f>IFERROR(INDEX(凭证录入!L:L,$H931),0)</f>
        <v>0</v>
      </c>
      <c r="G931" s="176" t="s">
        <v>491</v>
      </c>
      <c r="H931" s="192" t="str">
        <f t="shared" si="147"/>
        <v/>
      </c>
      <c r="I931" s="176"/>
    </row>
    <row r="932" spans="1:9" s="45" customFormat="1" ht="19.5" customHeight="1" thickBot="1">
      <c r="A932" s="189" t="str">
        <f>IFERROR(INDEX(凭证录入!H:H,$H932),"")</f>
        <v/>
      </c>
      <c r="B932" s="189" t="str">
        <f>IFERROR(INDEX(凭证录入!I:I,$H932),"")</f>
        <v/>
      </c>
      <c r="C932" s="190" t="str">
        <f>IFERROR(VLOOKUP($B932,会计科目表!$A:$C,2,),"")</f>
        <v/>
      </c>
      <c r="D932" s="190" t="str">
        <f>IFERROR(VLOOKUP($B932,会计科目表!$A:$C,3,),"")</f>
        <v/>
      </c>
      <c r="E932" s="191">
        <f>IFERROR(INDEX(凭证录入!K:K,$H932),0)</f>
        <v>0</v>
      </c>
      <c r="F932" s="191">
        <f>IFERROR(INDEX(凭证录入!L:L,$H932),0)</f>
        <v>0</v>
      </c>
      <c r="G932" s="176" t="e">
        <f>INDEX(凭证录入!$D:$D,$H929)</f>
        <v>#VALUE!</v>
      </c>
      <c r="H932" s="192" t="str">
        <f t="shared" si="147"/>
        <v/>
      </c>
      <c r="I932" s="176"/>
    </row>
    <row r="933" spans="1:9" s="45" customFormat="1" ht="19.5" customHeight="1" thickBot="1">
      <c r="A933" s="189" t="str">
        <f>IFERROR(INDEX(凭证录入!H:H,$H933),"")</f>
        <v/>
      </c>
      <c r="B933" s="189" t="str">
        <f>IFERROR(INDEX(凭证录入!I:I,$H933),"")</f>
        <v/>
      </c>
      <c r="C933" s="190" t="str">
        <f>IFERROR(VLOOKUP($B933,会计科目表!$A:$C,2,),"")</f>
        <v/>
      </c>
      <c r="D933" s="190" t="str">
        <f>IFERROR(VLOOKUP($B933,会计科目表!$A:$C,3,),"")</f>
        <v/>
      </c>
      <c r="E933" s="191">
        <f>IFERROR(INDEX(凭证录入!K:K,$H933),0)</f>
        <v>0</v>
      </c>
      <c r="F933" s="191">
        <f>IFERROR(INDEX(凭证录入!L:L,$H933),0)</f>
        <v>0</v>
      </c>
      <c r="G933" s="176" t="s">
        <v>492</v>
      </c>
      <c r="H933" s="192" t="str">
        <f t="shared" si="147"/>
        <v/>
      </c>
    </row>
    <row r="934" spans="1:9" s="45" customFormat="1" ht="19.5" customHeight="1" thickBot="1">
      <c r="A934" s="189" t="str">
        <f>IFERROR(INDEX(凭证录入!H:H,$H934),"")</f>
        <v/>
      </c>
      <c r="B934" s="189" t="str">
        <f>IFERROR(INDEX(凭证录入!I:I,$H934),"")</f>
        <v/>
      </c>
      <c r="C934" s="190" t="str">
        <f>IFERROR(VLOOKUP($B934,会计科目表!$A:$C,2,),"")</f>
        <v/>
      </c>
      <c r="D934" s="190" t="str">
        <f>IFERROR(VLOOKUP($B934,会计科目表!$A:$C,3,),"")</f>
        <v/>
      </c>
      <c r="E934" s="191">
        <f>IFERROR(INDEX(凭证录入!K:K,$H934),0)</f>
        <v>0</v>
      </c>
      <c r="F934" s="191">
        <f>IFERROR(INDEX(凭证录入!L:L,$H934),0)</f>
        <v>0</v>
      </c>
      <c r="G934" s="176"/>
      <c r="H934" s="192" t="str">
        <f t="shared" si="147"/>
        <v/>
      </c>
    </row>
    <row r="935" spans="1:9" s="45" customFormat="1" ht="19.5" customHeight="1" thickBot="1">
      <c r="A935" s="193"/>
      <c r="B935" s="194" t="s">
        <v>485</v>
      </c>
      <c r="C935" s="195" t="str">
        <f>SUBSTITUTE(SUBSTITUTE(IF(-DOLLAR(E935),IF(E935&gt;0,,"负")&amp;TEXT(INT(ABS(E935)+0.5%),"[dbnum2]G/通用格式元;;")&amp;TEXT(RIGHT(DOLLAR(E935),2),"[dbnum2]0角0分;;整"),),"零角",IF(E935^2&lt;1,,"零")),"零分","整")</f>
        <v/>
      </c>
      <c r="D935" s="196"/>
      <c r="E935" s="197">
        <f>SUM(E929:E934)</f>
        <v>0</v>
      </c>
      <c r="F935" s="197">
        <f>SUM(F929:F934)</f>
        <v>0</v>
      </c>
      <c r="G935" s="176"/>
      <c r="H935" s="192" t="str">
        <f t="shared" si="147"/>
        <v/>
      </c>
    </row>
    <row r="936" spans="1:9" s="199" customFormat="1" ht="19.5" customHeight="1">
      <c r="A936" s="45" t="s">
        <v>486</v>
      </c>
      <c r="B936" s="45" t="s">
        <v>487</v>
      </c>
      <c r="C936" s="45" t="s">
        <v>488</v>
      </c>
      <c r="D936" s="45" t="s">
        <v>504</v>
      </c>
      <c r="E936" s="45" t="s">
        <v>489</v>
      </c>
      <c r="F936" s="176" t="str">
        <f>IF($E935&lt;&gt;$F935,"借贷不平","")</f>
        <v/>
      </c>
      <c r="G936" s="183"/>
      <c r="H936" s="198" t="str">
        <f t="shared" si="147"/>
        <v/>
      </c>
    </row>
    <row r="937" spans="1:9" ht="37.5" customHeight="1">
      <c r="A937" s="177" t="s">
        <v>493</v>
      </c>
      <c r="B937" s="178"/>
      <c r="C937" s="179"/>
      <c r="D937" s="179"/>
      <c r="E937" s="178"/>
      <c r="F937" s="178"/>
      <c r="G937" s="176"/>
      <c r="H937" s="192" t="str">
        <f t="shared" si="147"/>
        <v/>
      </c>
    </row>
    <row r="938" spans="1:9" s="45" customFormat="1" ht="19.5" customHeight="1" thickBot="1">
      <c r="C938" s="180" t="e">
        <f>DATEVALUE("2010-"&amp;$H$1&amp;"-"&amp;INDEX(凭证录入!B:B,H941))</f>
        <v>#VALUE!</v>
      </c>
      <c r="D938" s="181"/>
      <c r="E938" s="182" t="s">
        <v>477</v>
      </c>
      <c r="F938" s="183" t="e">
        <f>N(LEFT((F926),3)+1)</f>
        <v>#VALUE!</v>
      </c>
      <c r="G938" s="176"/>
      <c r="H938" s="192" t="str">
        <f t="shared" si="147"/>
        <v/>
      </c>
      <c r="I938" s="184"/>
    </row>
    <row r="939" spans="1:9" s="45" customFormat="1" ht="19.5" customHeight="1" thickBot="1">
      <c r="A939" s="544" t="s">
        <v>494</v>
      </c>
      <c r="B939" s="545" t="s">
        <v>495</v>
      </c>
      <c r="C939" s="185" t="s">
        <v>496</v>
      </c>
      <c r="D939" s="186"/>
      <c r="E939" s="187"/>
      <c r="F939" s="188"/>
      <c r="G939" s="176"/>
      <c r="H939" s="192" t="str">
        <f t="shared" si="147"/>
        <v/>
      </c>
    </row>
    <row r="940" spans="1:9" s="45" customFormat="1" ht="19.5" customHeight="1" thickBot="1">
      <c r="A940" s="545"/>
      <c r="B940" s="546"/>
      <c r="C940" s="188" t="s">
        <v>497</v>
      </c>
      <c r="D940" s="188" t="s">
        <v>498</v>
      </c>
      <c r="E940" s="188" t="s">
        <v>499</v>
      </c>
      <c r="F940" s="188" t="s">
        <v>500</v>
      </c>
      <c r="G940" s="176"/>
      <c r="H940" s="192" t="str">
        <f t="shared" si="147"/>
        <v/>
      </c>
    </row>
    <row r="941" spans="1:9" s="45" customFormat="1" ht="19.5" customHeight="1" thickBot="1">
      <c r="A941" s="189" t="str">
        <f>IFERROR(INDEX(凭证录入!H:H,$H941),"")</f>
        <v/>
      </c>
      <c r="B941" s="189" t="str">
        <f>IFERROR(INDEX(凭证录入!I:I,$H941),"")</f>
        <v/>
      </c>
      <c r="C941" s="190" t="str">
        <f>IFERROR(VLOOKUP($B941,会计科目表!$A:$C,2,),"")</f>
        <v/>
      </c>
      <c r="D941" s="190" t="str">
        <f>IFERROR(VLOOKUP($B941,会计科目表!$A:$C,3,),"")</f>
        <v/>
      </c>
      <c r="E941" s="191">
        <f>IFERROR(INDEX(凭证录入!K:K,$H941),0)</f>
        <v>0</v>
      </c>
      <c r="F941" s="191">
        <f>IFERROR(INDEX(凭证录入!L:L,$H941),0)</f>
        <v>0</v>
      </c>
      <c r="G941" s="176"/>
      <c r="H941" s="192" t="str">
        <f t="shared" si="147"/>
        <v/>
      </c>
    </row>
    <row r="942" spans="1:9" s="45" customFormat="1" ht="19.5" customHeight="1" thickBot="1">
      <c r="A942" s="189" t="str">
        <f>IFERROR(INDEX(凭证录入!H:H,$H942),"")</f>
        <v/>
      </c>
      <c r="B942" s="189" t="str">
        <f>IFERROR(INDEX(凭证录入!I:I,$H942),"")</f>
        <v/>
      </c>
      <c r="C942" s="190" t="str">
        <f>IFERROR(VLOOKUP($B942,会计科目表!$A:$C,2,),"")</f>
        <v/>
      </c>
      <c r="D942" s="190" t="str">
        <f>IFERROR(VLOOKUP($B942,会计科目表!$A:$C,3,),"")</f>
        <v/>
      </c>
      <c r="E942" s="191">
        <f>IFERROR(INDEX(凭证录入!K:K,$H942),0)</f>
        <v>0</v>
      </c>
      <c r="F942" s="191">
        <f>IFERROR(INDEX(凭证录入!L:L,$H942),0)</f>
        <v>0</v>
      </c>
      <c r="G942" s="176" t="s">
        <v>490</v>
      </c>
      <c r="H942" s="192" t="str">
        <f t="shared" si="147"/>
        <v/>
      </c>
      <c r="I942" s="176"/>
    </row>
    <row r="943" spans="1:9" s="45" customFormat="1" ht="19.5" customHeight="1" thickBot="1">
      <c r="A943" s="189" t="str">
        <f>IFERROR(INDEX(凭证录入!H:H,$H943),"")</f>
        <v/>
      </c>
      <c r="B943" s="189" t="str">
        <f>IFERROR(INDEX(凭证录入!I:I,$H943),"")</f>
        <v/>
      </c>
      <c r="C943" s="190" t="str">
        <f>IFERROR(VLOOKUP($B943,会计科目表!$A:$C,2,),"")</f>
        <v/>
      </c>
      <c r="D943" s="190" t="str">
        <f>IFERROR(VLOOKUP($B943,会计科目表!$A:$C,3,),"")</f>
        <v/>
      </c>
      <c r="E943" s="191">
        <f>IFERROR(INDEX(凭证录入!K:K,$H943),0)</f>
        <v>0</v>
      </c>
      <c r="F943" s="191">
        <f>IFERROR(INDEX(凭证录入!L:L,$H943),0)</f>
        <v>0</v>
      </c>
      <c r="G943" s="176" t="s">
        <v>491</v>
      </c>
      <c r="H943" s="192" t="str">
        <f t="shared" si="147"/>
        <v/>
      </c>
      <c r="I943" s="176"/>
    </row>
    <row r="944" spans="1:9" s="45" customFormat="1" ht="19.5" customHeight="1" thickBot="1">
      <c r="A944" s="189" t="str">
        <f>IFERROR(INDEX(凭证录入!H:H,$H944),"")</f>
        <v/>
      </c>
      <c r="B944" s="189" t="str">
        <f>IFERROR(INDEX(凭证录入!I:I,$H944),"")</f>
        <v/>
      </c>
      <c r="C944" s="190" t="str">
        <f>IFERROR(VLOOKUP($B944,会计科目表!$A:$C,2,),"")</f>
        <v/>
      </c>
      <c r="D944" s="190" t="str">
        <f>IFERROR(VLOOKUP($B944,会计科目表!$A:$C,3,),"")</f>
        <v/>
      </c>
      <c r="E944" s="191">
        <f>IFERROR(INDEX(凭证录入!K:K,$H944),0)</f>
        <v>0</v>
      </c>
      <c r="F944" s="191">
        <f>IFERROR(INDEX(凭证录入!L:L,$H944),0)</f>
        <v>0</v>
      </c>
      <c r="G944" s="176" t="e">
        <f>INDEX(凭证录入!$D:$D,$H941)</f>
        <v>#VALUE!</v>
      </c>
      <c r="H944" s="192" t="str">
        <f t="shared" si="147"/>
        <v/>
      </c>
      <c r="I944" s="176"/>
    </row>
    <row r="945" spans="1:9" s="45" customFormat="1" ht="19.5" customHeight="1" thickBot="1">
      <c r="A945" s="189" t="str">
        <f>IFERROR(INDEX(凭证录入!H:H,$H945),"")</f>
        <v/>
      </c>
      <c r="B945" s="189" t="str">
        <f>IFERROR(INDEX(凭证录入!I:I,$H945),"")</f>
        <v/>
      </c>
      <c r="C945" s="190" t="str">
        <f>IFERROR(VLOOKUP($B945,会计科目表!$A:$C,2,),"")</f>
        <v/>
      </c>
      <c r="D945" s="190" t="str">
        <f>IFERROR(VLOOKUP($B945,会计科目表!$A:$C,3,),"")</f>
        <v/>
      </c>
      <c r="E945" s="191">
        <f>IFERROR(INDEX(凭证录入!K:K,$H945),0)</f>
        <v>0</v>
      </c>
      <c r="F945" s="191">
        <f>IFERROR(INDEX(凭证录入!L:L,$H945),0)</f>
        <v>0</v>
      </c>
      <c r="G945" s="176" t="s">
        <v>492</v>
      </c>
      <c r="H945" s="192" t="str">
        <f t="shared" si="147"/>
        <v/>
      </c>
    </row>
    <row r="946" spans="1:9" s="45" customFormat="1" ht="19.5" customHeight="1" thickBot="1">
      <c r="A946" s="189" t="str">
        <f>IFERROR(INDEX(凭证录入!H:H,$H946),"")</f>
        <v/>
      </c>
      <c r="B946" s="189" t="str">
        <f>IFERROR(INDEX(凭证录入!I:I,$H946),"")</f>
        <v/>
      </c>
      <c r="C946" s="190" t="str">
        <f>IFERROR(VLOOKUP($B946,会计科目表!$A:$C,2,),"")</f>
        <v/>
      </c>
      <c r="D946" s="190" t="str">
        <f>IFERROR(VLOOKUP($B946,会计科目表!$A:$C,3,),"")</f>
        <v/>
      </c>
      <c r="E946" s="191">
        <f>IFERROR(INDEX(凭证录入!K:K,$H946),0)</f>
        <v>0</v>
      </c>
      <c r="F946" s="191">
        <f>IFERROR(INDEX(凭证录入!L:L,$H946),0)</f>
        <v>0</v>
      </c>
      <c r="G946" s="176"/>
      <c r="H946" s="192" t="str">
        <f t="shared" si="147"/>
        <v/>
      </c>
    </row>
    <row r="947" spans="1:9" s="45" customFormat="1" ht="19.5" customHeight="1" thickBot="1">
      <c r="A947" s="193"/>
      <c r="B947" s="194" t="s">
        <v>485</v>
      </c>
      <c r="C947" s="195" t="str">
        <f>SUBSTITUTE(SUBSTITUTE(IF(-DOLLAR(E947),IF(E947&gt;0,,"负")&amp;TEXT(INT(ABS(E947)+0.5%),"[dbnum2]G/通用格式元;;")&amp;TEXT(RIGHT(DOLLAR(E947),2),"[dbnum2]0角0分;;整"),),"零角",IF(E947^2&lt;1,,"零")),"零分","整")</f>
        <v/>
      </c>
      <c r="D947" s="196"/>
      <c r="E947" s="197">
        <f>SUM(E941:E946)</f>
        <v>0</v>
      </c>
      <c r="F947" s="197">
        <f>SUM(F941:F946)</f>
        <v>0</v>
      </c>
      <c r="G947" s="176"/>
      <c r="H947" s="192" t="str">
        <f t="shared" si="147"/>
        <v/>
      </c>
    </row>
    <row r="948" spans="1:9" s="199" customFormat="1" ht="19.5" customHeight="1">
      <c r="A948" s="45" t="s">
        <v>486</v>
      </c>
      <c r="B948" s="45" t="s">
        <v>487</v>
      </c>
      <c r="C948" s="45" t="s">
        <v>488</v>
      </c>
      <c r="D948" s="45" t="s">
        <v>504</v>
      </c>
      <c r="E948" s="45" t="s">
        <v>489</v>
      </c>
      <c r="F948" s="176" t="str">
        <f>IF($E947&lt;&gt;$F947,"借贷不平","")</f>
        <v/>
      </c>
      <c r="G948" s="183"/>
      <c r="H948" s="198" t="str">
        <f t="shared" si="147"/>
        <v/>
      </c>
    </row>
    <row r="949" spans="1:9" ht="37.5" customHeight="1">
      <c r="A949" s="177" t="s">
        <v>493</v>
      </c>
      <c r="B949" s="178"/>
      <c r="C949" s="179"/>
      <c r="D949" s="179"/>
      <c r="E949" s="178"/>
      <c r="F949" s="178"/>
      <c r="G949" s="176"/>
      <c r="H949" s="192" t="str">
        <f t="shared" si="147"/>
        <v/>
      </c>
    </row>
    <row r="950" spans="1:9" s="45" customFormat="1" ht="19.5" customHeight="1" thickBot="1">
      <c r="C950" s="180" t="e">
        <f>DATEVALUE("2010-"&amp;$H$1&amp;"-"&amp;INDEX(凭证录入!B:B,H953))</f>
        <v>#VALUE!</v>
      </c>
      <c r="D950" s="181"/>
      <c r="E950" s="182" t="s">
        <v>477</v>
      </c>
      <c r="F950" s="183" t="e">
        <f>N(LEFT((F938),3)+1)</f>
        <v>#VALUE!</v>
      </c>
      <c r="G950" s="176"/>
      <c r="H950" s="192" t="str">
        <f t="shared" si="147"/>
        <v/>
      </c>
      <c r="I950" s="184"/>
    </row>
    <row r="951" spans="1:9" s="45" customFormat="1" ht="19.5" customHeight="1" thickBot="1">
      <c r="A951" s="544" t="s">
        <v>494</v>
      </c>
      <c r="B951" s="545" t="s">
        <v>495</v>
      </c>
      <c r="C951" s="185" t="s">
        <v>496</v>
      </c>
      <c r="D951" s="186"/>
      <c r="E951" s="187"/>
      <c r="F951" s="188"/>
      <c r="G951" s="176"/>
      <c r="H951" s="192" t="str">
        <f t="shared" si="147"/>
        <v/>
      </c>
    </row>
    <row r="952" spans="1:9" s="45" customFormat="1" ht="19.5" customHeight="1" thickBot="1">
      <c r="A952" s="545"/>
      <c r="B952" s="546"/>
      <c r="C952" s="188" t="s">
        <v>497</v>
      </c>
      <c r="D952" s="188" t="s">
        <v>498</v>
      </c>
      <c r="E952" s="188" t="s">
        <v>499</v>
      </c>
      <c r="F952" s="188" t="s">
        <v>500</v>
      </c>
      <c r="G952" s="176"/>
      <c r="H952" s="192" t="str">
        <f t="shared" si="147"/>
        <v/>
      </c>
    </row>
    <row r="953" spans="1:9" s="45" customFormat="1" ht="19.5" customHeight="1" thickBot="1">
      <c r="A953" s="189" t="str">
        <f>IFERROR(INDEX(凭证录入!H:H,$H953),"")</f>
        <v/>
      </c>
      <c r="B953" s="189" t="str">
        <f>IFERROR(INDEX(凭证录入!I:I,$H953),"")</f>
        <v/>
      </c>
      <c r="C953" s="190" t="str">
        <f>IFERROR(VLOOKUP($B953,会计科目表!$A:$C,2,),"")</f>
        <v/>
      </c>
      <c r="D953" s="190" t="str">
        <f>IFERROR(VLOOKUP($B953,会计科目表!$A:$C,3,),"")</f>
        <v/>
      </c>
      <c r="E953" s="191">
        <f>IFERROR(INDEX(凭证录入!K:K,$H953),0)</f>
        <v>0</v>
      </c>
      <c r="F953" s="191">
        <f>IFERROR(INDEX(凭证录入!L:L,$H953),0)</f>
        <v>0</v>
      </c>
      <c r="G953" s="176"/>
      <c r="H953" s="192" t="str">
        <f t="shared" si="147"/>
        <v/>
      </c>
    </row>
    <row r="954" spans="1:9" s="45" customFormat="1" ht="19.5" customHeight="1" thickBot="1">
      <c r="A954" s="189" t="str">
        <f>IFERROR(INDEX(凭证录入!H:H,$H954),"")</f>
        <v/>
      </c>
      <c r="B954" s="189" t="str">
        <f>IFERROR(INDEX(凭证录入!I:I,$H954),"")</f>
        <v/>
      </c>
      <c r="C954" s="190" t="str">
        <f>IFERROR(VLOOKUP($B954,会计科目表!$A:$C,2,),"")</f>
        <v/>
      </c>
      <c r="D954" s="190" t="str">
        <f>IFERROR(VLOOKUP($B954,会计科目表!$A:$C,3,),"")</f>
        <v/>
      </c>
      <c r="E954" s="191">
        <f>IFERROR(INDEX(凭证录入!K:K,$H954),0)</f>
        <v>0</v>
      </c>
      <c r="F954" s="191">
        <f>IFERROR(INDEX(凭证录入!L:L,$H954),0)</f>
        <v>0</v>
      </c>
      <c r="G954" s="176" t="s">
        <v>490</v>
      </c>
      <c r="H954" s="192" t="str">
        <f t="shared" si="147"/>
        <v/>
      </c>
      <c r="I954" s="176"/>
    </row>
    <row r="955" spans="1:9" s="45" customFormat="1" ht="19.5" customHeight="1" thickBot="1">
      <c r="A955" s="189" t="str">
        <f>IFERROR(INDEX(凭证录入!H:H,$H955),"")</f>
        <v/>
      </c>
      <c r="B955" s="189" t="str">
        <f>IFERROR(INDEX(凭证录入!I:I,$H955),"")</f>
        <v/>
      </c>
      <c r="C955" s="190" t="str">
        <f>IFERROR(VLOOKUP($B955,会计科目表!$A:$C,2,),"")</f>
        <v/>
      </c>
      <c r="D955" s="190" t="str">
        <f>IFERROR(VLOOKUP($B955,会计科目表!$A:$C,3,),"")</f>
        <v/>
      </c>
      <c r="E955" s="191">
        <f>IFERROR(INDEX(凭证录入!K:K,$H955),0)</f>
        <v>0</v>
      </c>
      <c r="F955" s="191">
        <f>IFERROR(INDEX(凭证录入!L:L,$H955),0)</f>
        <v>0</v>
      </c>
      <c r="G955" s="176" t="s">
        <v>491</v>
      </c>
      <c r="H955" s="192" t="str">
        <f t="shared" si="147"/>
        <v/>
      </c>
      <c r="I955" s="176"/>
    </row>
    <row r="956" spans="1:9" s="45" customFormat="1" ht="19.5" customHeight="1" thickBot="1">
      <c r="A956" s="189" t="str">
        <f>IFERROR(INDEX(凭证录入!H:H,$H956),"")</f>
        <v/>
      </c>
      <c r="B956" s="189" t="str">
        <f>IFERROR(INDEX(凭证录入!I:I,$H956),"")</f>
        <v/>
      </c>
      <c r="C956" s="190" t="str">
        <f>IFERROR(VLOOKUP($B956,会计科目表!$A:$C,2,),"")</f>
        <v/>
      </c>
      <c r="D956" s="190" t="str">
        <f>IFERROR(VLOOKUP($B956,会计科目表!$A:$C,3,),"")</f>
        <v/>
      </c>
      <c r="E956" s="191">
        <f>IFERROR(INDEX(凭证录入!K:K,$H956),0)</f>
        <v>0</v>
      </c>
      <c r="F956" s="191">
        <f>IFERROR(INDEX(凭证录入!L:L,$H956),0)</f>
        <v>0</v>
      </c>
      <c r="G956" s="176" t="e">
        <f>INDEX(凭证录入!$D:$D,$H953)</f>
        <v>#VALUE!</v>
      </c>
      <c r="H956" s="192" t="str">
        <f t="shared" si="147"/>
        <v/>
      </c>
      <c r="I956" s="176"/>
    </row>
    <row r="957" spans="1:9" s="45" customFormat="1" ht="19.5" customHeight="1" thickBot="1">
      <c r="A957" s="189" t="str">
        <f>IFERROR(INDEX(凭证录入!H:H,$H957),"")</f>
        <v/>
      </c>
      <c r="B957" s="189" t="str">
        <f>IFERROR(INDEX(凭证录入!I:I,$H957),"")</f>
        <v/>
      </c>
      <c r="C957" s="190" t="str">
        <f>IFERROR(VLOOKUP($B957,会计科目表!$A:$C,2,),"")</f>
        <v/>
      </c>
      <c r="D957" s="190" t="str">
        <f>IFERROR(VLOOKUP($B957,会计科目表!$A:$C,3,),"")</f>
        <v/>
      </c>
      <c r="E957" s="191">
        <f>IFERROR(INDEX(凭证录入!K:K,$H957),0)</f>
        <v>0</v>
      </c>
      <c r="F957" s="191">
        <f>IFERROR(INDEX(凭证录入!L:L,$H957),0)</f>
        <v>0</v>
      </c>
      <c r="G957" s="176" t="s">
        <v>492</v>
      </c>
      <c r="H957" s="192" t="str">
        <f t="shared" si="147"/>
        <v/>
      </c>
    </row>
    <row r="958" spans="1:9" s="45" customFormat="1" ht="19.5" customHeight="1" thickBot="1">
      <c r="A958" s="189" t="str">
        <f>IFERROR(INDEX(凭证录入!H:H,$H958),"")</f>
        <v/>
      </c>
      <c r="B958" s="189" t="str">
        <f>IFERROR(INDEX(凭证录入!I:I,$H958),"")</f>
        <v/>
      </c>
      <c r="C958" s="190" t="str">
        <f>IFERROR(VLOOKUP($B958,会计科目表!$A:$C,2,),"")</f>
        <v/>
      </c>
      <c r="D958" s="190" t="str">
        <f>IFERROR(VLOOKUP($B958,会计科目表!$A:$C,3,),"")</f>
        <v/>
      </c>
      <c r="E958" s="191">
        <f>IFERROR(INDEX(凭证录入!K:K,$H958),0)</f>
        <v>0</v>
      </c>
      <c r="F958" s="191">
        <f>IFERROR(INDEX(凭证录入!L:L,$H958),0)</f>
        <v>0</v>
      </c>
      <c r="G958" s="176"/>
      <c r="H958" s="192" t="str">
        <f t="shared" si="147"/>
        <v/>
      </c>
    </row>
    <row r="959" spans="1:9" s="45" customFormat="1" ht="19.5" customHeight="1" thickBot="1">
      <c r="A959" s="193"/>
      <c r="B959" s="194" t="s">
        <v>485</v>
      </c>
      <c r="C959" s="195" t="str">
        <f>SUBSTITUTE(SUBSTITUTE(IF(-DOLLAR(E959),IF(E959&gt;0,,"负")&amp;TEXT(INT(ABS(E959)+0.5%),"[dbnum2]G/通用格式元;;")&amp;TEXT(RIGHT(DOLLAR(E959),2),"[dbnum2]0角0分;;整"),),"零角",IF(E959^2&lt;1,,"零")),"零分","整")</f>
        <v/>
      </c>
      <c r="D959" s="196"/>
      <c r="E959" s="197">
        <f>SUM(E953:E958)</f>
        <v>0</v>
      </c>
      <c r="F959" s="197">
        <f>SUM(F953:F958)</f>
        <v>0</v>
      </c>
      <c r="G959" s="176"/>
      <c r="H959" s="192" t="str">
        <f t="shared" si="147"/>
        <v/>
      </c>
    </row>
    <row r="960" spans="1:9" s="199" customFormat="1" ht="19.5" customHeight="1">
      <c r="A960" s="45" t="s">
        <v>486</v>
      </c>
      <c r="B960" s="45" t="s">
        <v>487</v>
      </c>
      <c r="C960" s="45" t="s">
        <v>488</v>
      </c>
      <c r="D960" s="45" t="s">
        <v>504</v>
      </c>
      <c r="E960" s="45" t="s">
        <v>489</v>
      </c>
      <c r="F960" s="176" t="str">
        <f>IF($E959&lt;&gt;$F959,"借贷不平","")</f>
        <v/>
      </c>
      <c r="G960" s="183"/>
      <c r="H960" s="198" t="str">
        <f t="shared" si="147"/>
        <v/>
      </c>
    </row>
    <row r="961" spans="1:9" ht="37.5" customHeight="1">
      <c r="A961" s="177" t="s">
        <v>493</v>
      </c>
      <c r="B961" s="178"/>
      <c r="C961" s="179"/>
      <c r="D961" s="179"/>
      <c r="E961" s="178"/>
      <c r="F961" s="178"/>
      <c r="G961" s="176"/>
      <c r="H961" s="192" t="str">
        <f t="shared" si="147"/>
        <v/>
      </c>
    </row>
    <row r="962" spans="1:9" s="45" customFormat="1" ht="19.5" customHeight="1" thickBot="1">
      <c r="C962" s="180" t="e">
        <f>DATEVALUE("2010-"&amp;$H$1&amp;"-"&amp;INDEX(凭证录入!B:B,H965))</f>
        <v>#VALUE!</v>
      </c>
      <c r="D962" s="181"/>
      <c r="E962" s="182" t="s">
        <v>477</v>
      </c>
      <c r="F962" s="183" t="e">
        <f>N(LEFT((F950),3)+1)</f>
        <v>#VALUE!</v>
      </c>
      <c r="G962" s="176"/>
      <c r="H962" s="192" t="str">
        <f t="shared" si="147"/>
        <v/>
      </c>
      <c r="I962" s="184"/>
    </row>
    <row r="963" spans="1:9" s="45" customFormat="1" ht="19.5" customHeight="1" thickBot="1">
      <c r="A963" s="544" t="s">
        <v>494</v>
      </c>
      <c r="B963" s="545" t="s">
        <v>495</v>
      </c>
      <c r="C963" s="185" t="s">
        <v>496</v>
      </c>
      <c r="D963" s="186"/>
      <c r="E963" s="187"/>
      <c r="F963" s="188"/>
      <c r="G963" s="176"/>
      <c r="H963" s="192" t="str">
        <f t="shared" si="147"/>
        <v/>
      </c>
    </row>
    <row r="964" spans="1:9" s="45" customFormat="1" ht="19.5" customHeight="1" thickBot="1">
      <c r="A964" s="545"/>
      <c r="B964" s="546"/>
      <c r="C964" s="188" t="s">
        <v>497</v>
      </c>
      <c r="D964" s="188" t="s">
        <v>498</v>
      </c>
      <c r="E964" s="188" t="s">
        <v>499</v>
      </c>
      <c r="F964" s="188" t="s">
        <v>500</v>
      </c>
      <c r="G964" s="176"/>
      <c r="H964" s="192" t="str">
        <f t="shared" si="147"/>
        <v/>
      </c>
    </row>
    <row r="965" spans="1:9" s="45" customFormat="1" ht="19.5" customHeight="1" thickBot="1">
      <c r="A965" s="189" t="str">
        <f>IFERROR(INDEX(凭证录入!H:H,$H965),"")</f>
        <v/>
      </c>
      <c r="B965" s="189" t="str">
        <f>IFERROR(INDEX(凭证录入!I:I,$H965),"")</f>
        <v/>
      </c>
      <c r="C965" s="190" t="str">
        <f>IFERROR(VLOOKUP($B965,会计科目表!$A:$C,2,),"")</f>
        <v/>
      </c>
      <c r="D965" s="190" t="str">
        <f>IFERROR(VLOOKUP($B965,会计科目表!$A:$C,3,),"")</f>
        <v/>
      </c>
      <c r="E965" s="191">
        <f>IFERROR(INDEX(凭证录入!K:K,$H965),0)</f>
        <v>0</v>
      </c>
      <c r="F965" s="191">
        <f>IFERROR(INDEX(凭证录入!L:L,$H965),0)</f>
        <v>0</v>
      </c>
      <c r="G965" s="176"/>
      <c r="H965" s="192" t="str">
        <f t="shared" ref="H965:H1028" si="148">IFERROR(INDEX(行号,TEXT(MOD(ROW(),12)-4,"[=]A")),"")</f>
        <v/>
      </c>
    </row>
    <row r="966" spans="1:9" s="45" customFormat="1" ht="19.5" customHeight="1" thickBot="1">
      <c r="A966" s="189" t="str">
        <f>IFERROR(INDEX(凭证录入!H:H,$H966),"")</f>
        <v/>
      </c>
      <c r="B966" s="189" t="str">
        <f>IFERROR(INDEX(凭证录入!I:I,$H966),"")</f>
        <v/>
      </c>
      <c r="C966" s="190" t="str">
        <f>IFERROR(VLOOKUP($B966,会计科目表!$A:$C,2,),"")</f>
        <v/>
      </c>
      <c r="D966" s="190" t="str">
        <f>IFERROR(VLOOKUP($B966,会计科目表!$A:$C,3,),"")</f>
        <v/>
      </c>
      <c r="E966" s="191">
        <f>IFERROR(INDEX(凭证录入!K:K,$H966),0)</f>
        <v>0</v>
      </c>
      <c r="F966" s="191">
        <f>IFERROR(INDEX(凭证录入!L:L,$H966),0)</f>
        <v>0</v>
      </c>
      <c r="G966" s="176" t="s">
        <v>490</v>
      </c>
      <c r="H966" s="192" t="str">
        <f t="shared" si="148"/>
        <v/>
      </c>
      <c r="I966" s="176"/>
    </row>
    <row r="967" spans="1:9" s="45" customFormat="1" ht="19.5" customHeight="1" thickBot="1">
      <c r="A967" s="189" t="str">
        <f>IFERROR(INDEX(凭证录入!H:H,$H967),"")</f>
        <v/>
      </c>
      <c r="B967" s="189" t="str">
        <f>IFERROR(INDEX(凭证录入!I:I,$H967),"")</f>
        <v/>
      </c>
      <c r="C967" s="190" t="str">
        <f>IFERROR(VLOOKUP($B967,会计科目表!$A:$C,2,),"")</f>
        <v/>
      </c>
      <c r="D967" s="190" t="str">
        <f>IFERROR(VLOOKUP($B967,会计科目表!$A:$C,3,),"")</f>
        <v/>
      </c>
      <c r="E967" s="191">
        <f>IFERROR(INDEX(凭证录入!K:K,$H967),0)</f>
        <v>0</v>
      </c>
      <c r="F967" s="191">
        <f>IFERROR(INDEX(凭证录入!L:L,$H967),0)</f>
        <v>0</v>
      </c>
      <c r="G967" s="176" t="s">
        <v>491</v>
      </c>
      <c r="H967" s="192" t="str">
        <f t="shared" si="148"/>
        <v/>
      </c>
      <c r="I967" s="176"/>
    </row>
    <row r="968" spans="1:9" s="45" customFormat="1" ht="19.5" customHeight="1" thickBot="1">
      <c r="A968" s="189" t="str">
        <f>IFERROR(INDEX(凭证录入!H:H,$H968),"")</f>
        <v/>
      </c>
      <c r="B968" s="189" t="str">
        <f>IFERROR(INDEX(凭证录入!I:I,$H968),"")</f>
        <v/>
      </c>
      <c r="C968" s="190" t="str">
        <f>IFERROR(VLOOKUP($B968,会计科目表!$A:$C,2,),"")</f>
        <v/>
      </c>
      <c r="D968" s="190" t="str">
        <f>IFERROR(VLOOKUP($B968,会计科目表!$A:$C,3,),"")</f>
        <v/>
      </c>
      <c r="E968" s="191">
        <f>IFERROR(INDEX(凭证录入!K:K,$H968),0)</f>
        <v>0</v>
      </c>
      <c r="F968" s="191">
        <f>IFERROR(INDEX(凭证录入!L:L,$H968),0)</f>
        <v>0</v>
      </c>
      <c r="G968" s="176" t="e">
        <f>INDEX(凭证录入!$D:$D,$H965)</f>
        <v>#VALUE!</v>
      </c>
      <c r="H968" s="192" t="str">
        <f t="shared" si="148"/>
        <v/>
      </c>
      <c r="I968" s="176"/>
    </row>
    <row r="969" spans="1:9" s="45" customFormat="1" ht="19.5" customHeight="1" thickBot="1">
      <c r="A969" s="189" t="str">
        <f>IFERROR(INDEX(凭证录入!H:H,$H969),"")</f>
        <v/>
      </c>
      <c r="B969" s="189" t="str">
        <f>IFERROR(INDEX(凭证录入!I:I,$H969),"")</f>
        <v/>
      </c>
      <c r="C969" s="190" t="str">
        <f>IFERROR(VLOOKUP($B969,会计科目表!$A:$C,2,),"")</f>
        <v/>
      </c>
      <c r="D969" s="190" t="str">
        <f>IFERROR(VLOOKUP($B969,会计科目表!$A:$C,3,),"")</f>
        <v/>
      </c>
      <c r="E969" s="191">
        <f>IFERROR(INDEX(凭证录入!K:K,$H969),0)</f>
        <v>0</v>
      </c>
      <c r="F969" s="191">
        <f>IFERROR(INDEX(凭证录入!L:L,$H969),0)</f>
        <v>0</v>
      </c>
      <c r="G969" s="176" t="s">
        <v>492</v>
      </c>
      <c r="H969" s="192" t="str">
        <f t="shared" si="148"/>
        <v/>
      </c>
    </row>
    <row r="970" spans="1:9" s="45" customFormat="1" ht="19.5" customHeight="1" thickBot="1">
      <c r="A970" s="189" t="str">
        <f>IFERROR(INDEX(凭证录入!H:H,$H970),"")</f>
        <v/>
      </c>
      <c r="B970" s="189" t="str">
        <f>IFERROR(INDEX(凭证录入!I:I,$H970),"")</f>
        <v/>
      </c>
      <c r="C970" s="190" t="str">
        <f>IFERROR(VLOOKUP($B970,会计科目表!$A:$C,2,),"")</f>
        <v/>
      </c>
      <c r="D970" s="190" t="str">
        <f>IFERROR(VLOOKUP($B970,会计科目表!$A:$C,3,),"")</f>
        <v/>
      </c>
      <c r="E970" s="191">
        <f>IFERROR(INDEX(凭证录入!K:K,$H970),0)</f>
        <v>0</v>
      </c>
      <c r="F970" s="191">
        <f>IFERROR(INDEX(凭证录入!L:L,$H970),0)</f>
        <v>0</v>
      </c>
      <c r="G970" s="176"/>
      <c r="H970" s="192" t="str">
        <f t="shared" si="148"/>
        <v/>
      </c>
    </row>
    <row r="971" spans="1:9" s="45" customFormat="1" ht="19.5" customHeight="1" thickBot="1">
      <c r="A971" s="193"/>
      <c r="B971" s="194" t="s">
        <v>485</v>
      </c>
      <c r="C971" s="195" t="str">
        <f>SUBSTITUTE(SUBSTITUTE(IF(-DOLLAR(E971),IF(E971&gt;0,,"负")&amp;TEXT(INT(ABS(E971)+0.5%),"[dbnum2]G/通用格式元;;")&amp;TEXT(RIGHT(DOLLAR(E971),2),"[dbnum2]0角0分;;整"),),"零角",IF(E971^2&lt;1,,"零")),"零分","整")</f>
        <v/>
      </c>
      <c r="D971" s="196"/>
      <c r="E971" s="197">
        <f>SUM(E965:E970)</f>
        <v>0</v>
      </c>
      <c r="F971" s="197">
        <f>SUM(F965:F970)</f>
        <v>0</v>
      </c>
      <c r="G971" s="176"/>
      <c r="H971" s="192" t="str">
        <f t="shared" si="148"/>
        <v/>
      </c>
    </row>
    <row r="972" spans="1:9" s="199" customFormat="1" ht="19.5" customHeight="1">
      <c r="A972" s="45" t="s">
        <v>486</v>
      </c>
      <c r="B972" s="45" t="s">
        <v>487</v>
      </c>
      <c r="C972" s="45" t="s">
        <v>488</v>
      </c>
      <c r="D972" s="45" t="s">
        <v>504</v>
      </c>
      <c r="E972" s="45" t="s">
        <v>489</v>
      </c>
      <c r="F972" s="176" t="str">
        <f>IF($E971&lt;&gt;$F971,"借贷不平","")</f>
        <v/>
      </c>
      <c r="G972" s="183"/>
      <c r="H972" s="198" t="str">
        <f t="shared" si="148"/>
        <v/>
      </c>
    </row>
    <row r="973" spans="1:9" ht="37.5" customHeight="1">
      <c r="A973" s="177" t="s">
        <v>493</v>
      </c>
      <c r="B973" s="178"/>
      <c r="C973" s="179"/>
      <c r="D973" s="179"/>
      <c r="E973" s="178"/>
      <c r="F973" s="178"/>
      <c r="G973" s="176"/>
      <c r="H973" s="192" t="str">
        <f t="shared" si="148"/>
        <v/>
      </c>
    </row>
    <row r="974" spans="1:9" s="45" customFormat="1" ht="19.5" customHeight="1" thickBot="1">
      <c r="C974" s="180" t="e">
        <f>DATEVALUE("2010-"&amp;$H$1&amp;"-"&amp;INDEX(凭证录入!B:B,H977))</f>
        <v>#VALUE!</v>
      </c>
      <c r="D974" s="181"/>
      <c r="E974" s="182" t="s">
        <v>477</v>
      </c>
      <c r="F974" s="183" t="e">
        <f>N(LEFT((F962),3)+1)</f>
        <v>#VALUE!</v>
      </c>
      <c r="G974" s="176"/>
      <c r="H974" s="192" t="str">
        <f t="shared" si="148"/>
        <v/>
      </c>
      <c r="I974" s="184"/>
    </row>
    <row r="975" spans="1:9" s="45" customFormat="1" ht="19.5" customHeight="1" thickBot="1">
      <c r="A975" s="544" t="s">
        <v>494</v>
      </c>
      <c r="B975" s="545" t="s">
        <v>495</v>
      </c>
      <c r="C975" s="185" t="s">
        <v>496</v>
      </c>
      <c r="D975" s="186"/>
      <c r="E975" s="187"/>
      <c r="F975" s="188"/>
      <c r="G975" s="176"/>
      <c r="H975" s="192" t="str">
        <f t="shared" si="148"/>
        <v/>
      </c>
    </row>
    <row r="976" spans="1:9" s="45" customFormat="1" ht="19.5" customHeight="1" thickBot="1">
      <c r="A976" s="545"/>
      <c r="B976" s="546"/>
      <c r="C976" s="188" t="s">
        <v>497</v>
      </c>
      <c r="D976" s="188" t="s">
        <v>498</v>
      </c>
      <c r="E976" s="188" t="s">
        <v>499</v>
      </c>
      <c r="F976" s="188" t="s">
        <v>500</v>
      </c>
      <c r="G976" s="176"/>
      <c r="H976" s="192" t="str">
        <f t="shared" si="148"/>
        <v/>
      </c>
    </row>
    <row r="977" spans="1:9" s="45" customFormat="1" ht="19.5" customHeight="1" thickBot="1">
      <c r="A977" s="189" t="str">
        <f>IFERROR(INDEX(凭证录入!H:H,$H977),"")</f>
        <v/>
      </c>
      <c r="B977" s="189" t="str">
        <f>IFERROR(INDEX(凭证录入!I:I,$H977),"")</f>
        <v/>
      </c>
      <c r="C977" s="190" t="str">
        <f>IFERROR(VLOOKUP($B977,会计科目表!$A:$C,2,),"")</f>
        <v/>
      </c>
      <c r="D977" s="190" t="str">
        <f>IFERROR(VLOOKUP($B977,会计科目表!$A:$C,3,),"")</f>
        <v/>
      </c>
      <c r="E977" s="191">
        <f>IFERROR(INDEX(凭证录入!K:K,$H977),0)</f>
        <v>0</v>
      </c>
      <c r="F977" s="191">
        <f>IFERROR(INDEX(凭证录入!L:L,$H977),0)</f>
        <v>0</v>
      </c>
      <c r="G977" s="176"/>
      <c r="H977" s="192" t="str">
        <f t="shared" si="148"/>
        <v/>
      </c>
    </row>
    <row r="978" spans="1:9" s="45" customFormat="1" ht="19.5" customHeight="1" thickBot="1">
      <c r="A978" s="189" t="str">
        <f>IFERROR(INDEX(凭证录入!H:H,$H978),"")</f>
        <v/>
      </c>
      <c r="B978" s="189" t="str">
        <f>IFERROR(INDEX(凭证录入!I:I,$H978),"")</f>
        <v/>
      </c>
      <c r="C978" s="190" t="str">
        <f>IFERROR(VLOOKUP($B978,会计科目表!$A:$C,2,),"")</f>
        <v/>
      </c>
      <c r="D978" s="190" t="str">
        <f>IFERROR(VLOOKUP($B978,会计科目表!$A:$C,3,),"")</f>
        <v/>
      </c>
      <c r="E978" s="191">
        <f>IFERROR(INDEX(凭证录入!K:K,$H978),0)</f>
        <v>0</v>
      </c>
      <c r="F978" s="191">
        <f>IFERROR(INDEX(凭证录入!L:L,$H978),0)</f>
        <v>0</v>
      </c>
      <c r="G978" s="176" t="s">
        <v>490</v>
      </c>
      <c r="H978" s="192" t="str">
        <f t="shared" si="148"/>
        <v/>
      </c>
      <c r="I978" s="176"/>
    </row>
    <row r="979" spans="1:9" s="45" customFormat="1" ht="19.5" customHeight="1" thickBot="1">
      <c r="A979" s="189" t="str">
        <f>IFERROR(INDEX(凭证录入!H:H,$H979),"")</f>
        <v/>
      </c>
      <c r="B979" s="189" t="str">
        <f>IFERROR(INDEX(凭证录入!I:I,$H979),"")</f>
        <v/>
      </c>
      <c r="C979" s="190" t="str">
        <f>IFERROR(VLOOKUP($B979,会计科目表!$A:$C,2,),"")</f>
        <v/>
      </c>
      <c r="D979" s="190" t="str">
        <f>IFERROR(VLOOKUP($B979,会计科目表!$A:$C,3,),"")</f>
        <v/>
      </c>
      <c r="E979" s="191">
        <f>IFERROR(INDEX(凭证录入!K:K,$H979),0)</f>
        <v>0</v>
      </c>
      <c r="F979" s="191">
        <f>IFERROR(INDEX(凭证录入!L:L,$H979),0)</f>
        <v>0</v>
      </c>
      <c r="G979" s="176" t="s">
        <v>491</v>
      </c>
      <c r="H979" s="192" t="str">
        <f t="shared" si="148"/>
        <v/>
      </c>
      <c r="I979" s="176"/>
    </row>
    <row r="980" spans="1:9" s="45" customFormat="1" ht="19.5" customHeight="1" thickBot="1">
      <c r="A980" s="189" t="str">
        <f>IFERROR(INDEX(凭证录入!H:H,$H980),"")</f>
        <v/>
      </c>
      <c r="B980" s="189" t="str">
        <f>IFERROR(INDEX(凭证录入!I:I,$H980),"")</f>
        <v/>
      </c>
      <c r="C980" s="190" t="str">
        <f>IFERROR(VLOOKUP($B980,会计科目表!$A:$C,2,),"")</f>
        <v/>
      </c>
      <c r="D980" s="190" t="str">
        <f>IFERROR(VLOOKUP($B980,会计科目表!$A:$C,3,),"")</f>
        <v/>
      </c>
      <c r="E980" s="191">
        <f>IFERROR(INDEX(凭证录入!K:K,$H980),0)</f>
        <v>0</v>
      </c>
      <c r="F980" s="191">
        <f>IFERROR(INDEX(凭证录入!L:L,$H980),0)</f>
        <v>0</v>
      </c>
      <c r="G980" s="176" t="e">
        <f>INDEX(凭证录入!$D:$D,$H977)</f>
        <v>#VALUE!</v>
      </c>
      <c r="H980" s="192" t="str">
        <f t="shared" si="148"/>
        <v/>
      </c>
      <c r="I980" s="176"/>
    </row>
    <row r="981" spans="1:9" s="45" customFormat="1" ht="19.5" customHeight="1" thickBot="1">
      <c r="A981" s="189" t="str">
        <f>IFERROR(INDEX(凭证录入!H:H,$H981),"")</f>
        <v/>
      </c>
      <c r="B981" s="189" t="str">
        <f>IFERROR(INDEX(凭证录入!I:I,$H981),"")</f>
        <v/>
      </c>
      <c r="C981" s="190" t="str">
        <f>IFERROR(VLOOKUP($B981,会计科目表!$A:$C,2,),"")</f>
        <v/>
      </c>
      <c r="D981" s="190" t="str">
        <f>IFERROR(VLOOKUP($B981,会计科目表!$A:$C,3,),"")</f>
        <v/>
      </c>
      <c r="E981" s="191">
        <f>IFERROR(INDEX(凭证录入!K:K,$H981),0)</f>
        <v>0</v>
      </c>
      <c r="F981" s="191">
        <f>IFERROR(INDEX(凭证录入!L:L,$H981),0)</f>
        <v>0</v>
      </c>
      <c r="G981" s="176" t="s">
        <v>492</v>
      </c>
      <c r="H981" s="192" t="str">
        <f t="shared" si="148"/>
        <v/>
      </c>
    </row>
    <row r="982" spans="1:9" s="45" customFormat="1" ht="19.5" customHeight="1" thickBot="1">
      <c r="A982" s="189" t="str">
        <f>IFERROR(INDEX(凭证录入!H:H,$H982),"")</f>
        <v/>
      </c>
      <c r="B982" s="189" t="str">
        <f>IFERROR(INDEX(凭证录入!I:I,$H982),"")</f>
        <v/>
      </c>
      <c r="C982" s="190" t="str">
        <f>IFERROR(VLOOKUP($B982,会计科目表!$A:$C,2,),"")</f>
        <v/>
      </c>
      <c r="D982" s="190" t="str">
        <f>IFERROR(VLOOKUP($B982,会计科目表!$A:$C,3,),"")</f>
        <v/>
      </c>
      <c r="E982" s="191">
        <f>IFERROR(INDEX(凭证录入!K:K,$H982),0)</f>
        <v>0</v>
      </c>
      <c r="F982" s="191">
        <f>IFERROR(INDEX(凭证录入!L:L,$H982),0)</f>
        <v>0</v>
      </c>
      <c r="G982" s="176"/>
      <c r="H982" s="192" t="str">
        <f t="shared" si="148"/>
        <v/>
      </c>
    </row>
    <row r="983" spans="1:9" s="45" customFormat="1" ht="19.5" customHeight="1" thickBot="1">
      <c r="A983" s="193"/>
      <c r="B983" s="194" t="s">
        <v>485</v>
      </c>
      <c r="C983" s="195" t="str">
        <f>SUBSTITUTE(SUBSTITUTE(IF(-DOLLAR(E983),IF(E983&gt;0,,"负")&amp;TEXT(INT(ABS(E983)+0.5%),"[dbnum2]G/通用格式元;;")&amp;TEXT(RIGHT(DOLLAR(E983),2),"[dbnum2]0角0分;;整"),),"零角",IF(E983^2&lt;1,,"零")),"零分","整")</f>
        <v/>
      </c>
      <c r="D983" s="196"/>
      <c r="E983" s="197">
        <f>SUM(E977:E982)</f>
        <v>0</v>
      </c>
      <c r="F983" s="197">
        <f>SUM(F977:F982)</f>
        <v>0</v>
      </c>
      <c r="G983" s="176"/>
      <c r="H983" s="192" t="str">
        <f t="shared" si="148"/>
        <v/>
      </c>
    </row>
    <row r="984" spans="1:9" s="199" customFormat="1" ht="19.5" customHeight="1">
      <c r="A984" s="45" t="s">
        <v>486</v>
      </c>
      <c r="B984" s="45" t="s">
        <v>487</v>
      </c>
      <c r="C984" s="45" t="s">
        <v>488</v>
      </c>
      <c r="D984" s="45" t="s">
        <v>504</v>
      </c>
      <c r="E984" s="45" t="s">
        <v>489</v>
      </c>
      <c r="F984" s="176" t="str">
        <f>IF($E983&lt;&gt;$F983,"借贷不平","")</f>
        <v/>
      </c>
      <c r="G984" s="183"/>
      <c r="H984" s="198" t="str">
        <f t="shared" si="148"/>
        <v/>
      </c>
    </row>
    <row r="985" spans="1:9" ht="37.5" customHeight="1">
      <c r="A985" s="177" t="s">
        <v>493</v>
      </c>
      <c r="B985" s="178"/>
      <c r="C985" s="179"/>
      <c r="D985" s="179"/>
      <c r="E985" s="178"/>
      <c r="F985" s="178"/>
      <c r="G985" s="176"/>
      <c r="H985" s="192" t="str">
        <f t="shared" si="148"/>
        <v/>
      </c>
    </row>
    <row r="986" spans="1:9" s="45" customFormat="1" ht="19.5" customHeight="1" thickBot="1">
      <c r="C986" s="180" t="e">
        <f>DATEVALUE("2010-"&amp;$H$1&amp;"-"&amp;INDEX(凭证录入!B:B,H989))</f>
        <v>#VALUE!</v>
      </c>
      <c r="D986" s="181"/>
      <c r="E986" s="182" t="s">
        <v>477</v>
      </c>
      <c r="F986" s="183" t="e">
        <f>N(LEFT((F974),3)+1)</f>
        <v>#VALUE!</v>
      </c>
      <c r="G986" s="176"/>
      <c r="H986" s="192" t="str">
        <f t="shared" si="148"/>
        <v/>
      </c>
      <c r="I986" s="184"/>
    </row>
    <row r="987" spans="1:9" s="45" customFormat="1" ht="19.5" customHeight="1" thickBot="1">
      <c r="A987" s="544" t="s">
        <v>494</v>
      </c>
      <c r="B987" s="545" t="s">
        <v>495</v>
      </c>
      <c r="C987" s="185" t="s">
        <v>496</v>
      </c>
      <c r="D987" s="186"/>
      <c r="E987" s="187"/>
      <c r="F987" s="188"/>
      <c r="G987" s="176"/>
      <c r="H987" s="192" t="str">
        <f t="shared" si="148"/>
        <v/>
      </c>
    </row>
    <row r="988" spans="1:9" s="45" customFormat="1" ht="19.5" customHeight="1" thickBot="1">
      <c r="A988" s="545"/>
      <c r="B988" s="546"/>
      <c r="C988" s="188" t="s">
        <v>497</v>
      </c>
      <c r="D988" s="188" t="s">
        <v>498</v>
      </c>
      <c r="E988" s="188" t="s">
        <v>499</v>
      </c>
      <c r="F988" s="188" t="s">
        <v>500</v>
      </c>
      <c r="G988" s="176"/>
      <c r="H988" s="192" t="str">
        <f t="shared" si="148"/>
        <v/>
      </c>
    </row>
    <row r="989" spans="1:9" s="45" customFormat="1" ht="19.5" customHeight="1" thickBot="1">
      <c r="A989" s="189" t="str">
        <f>IFERROR(INDEX(凭证录入!H:H,$H989),"")</f>
        <v/>
      </c>
      <c r="B989" s="189" t="str">
        <f>IFERROR(INDEX(凭证录入!I:I,$H989),"")</f>
        <v/>
      </c>
      <c r="C989" s="190" t="str">
        <f>IFERROR(VLOOKUP($B989,会计科目表!$A:$C,2,),"")</f>
        <v/>
      </c>
      <c r="D989" s="190" t="str">
        <f>IFERROR(VLOOKUP($B989,会计科目表!$A:$C,3,),"")</f>
        <v/>
      </c>
      <c r="E989" s="191">
        <f>IFERROR(INDEX(凭证录入!K:K,$H989),0)</f>
        <v>0</v>
      </c>
      <c r="F989" s="191">
        <f>IFERROR(INDEX(凭证录入!L:L,$H989),0)</f>
        <v>0</v>
      </c>
      <c r="G989" s="176"/>
      <c r="H989" s="192" t="str">
        <f t="shared" si="148"/>
        <v/>
      </c>
    </row>
    <row r="990" spans="1:9" s="45" customFormat="1" ht="19.5" customHeight="1" thickBot="1">
      <c r="A990" s="189" t="str">
        <f>IFERROR(INDEX(凭证录入!H:H,$H990),"")</f>
        <v/>
      </c>
      <c r="B990" s="189" t="str">
        <f>IFERROR(INDEX(凭证录入!I:I,$H990),"")</f>
        <v/>
      </c>
      <c r="C990" s="190" t="str">
        <f>IFERROR(VLOOKUP($B990,会计科目表!$A:$C,2,),"")</f>
        <v/>
      </c>
      <c r="D990" s="190" t="str">
        <f>IFERROR(VLOOKUP($B990,会计科目表!$A:$C,3,),"")</f>
        <v/>
      </c>
      <c r="E990" s="191">
        <f>IFERROR(INDEX(凭证录入!K:K,$H990),0)</f>
        <v>0</v>
      </c>
      <c r="F990" s="191">
        <f>IFERROR(INDEX(凭证录入!L:L,$H990),0)</f>
        <v>0</v>
      </c>
      <c r="G990" s="176" t="s">
        <v>490</v>
      </c>
      <c r="H990" s="192" t="str">
        <f t="shared" si="148"/>
        <v/>
      </c>
      <c r="I990" s="176"/>
    </row>
    <row r="991" spans="1:9" s="45" customFormat="1" ht="19.5" customHeight="1" thickBot="1">
      <c r="A991" s="189" t="str">
        <f>IFERROR(INDEX(凭证录入!H:H,$H991),"")</f>
        <v/>
      </c>
      <c r="B991" s="189" t="str">
        <f>IFERROR(INDEX(凭证录入!I:I,$H991),"")</f>
        <v/>
      </c>
      <c r="C991" s="190" t="str">
        <f>IFERROR(VLOOKUP($B991,会计科目表!$A:$C,2,),"")</f>
        <v/>
      </c>
      <c r="D991" s="190" t="str">
        <f>IFERROR(VLOOKUP($B991,会计科目表!$A:$C,3,),"")</f>
        <v/>
      </c>
      <c r="E991" s="191">
        <f>IFERROR(INDEX(凭证录入!K:K,$H991),0)</f>
        <v>0</v>
      </c>
      <c r="F991" s="191">
        <f>IFERROR(INDEX(凭证录入!L:L,$H991),0)</f>
        <v>0</v>
      </c>
      <c r="G991" s="176" t="s">
        <v>491</v>
      </c>
      <c r="H991" s="192" t="str">
        <f t="shared" si="148"/>
        <v/>
      </c>
      <c r="I991" s="176"/>
    </row>
    <row r="992" spans="1:9" s="45" customFormat="1" ht="19.5" customHeight="1" thickBot="1">
      <c r="A992" s="189" t="str">
        <f>IFERROR(INDEX(凭证录入!H:H,$H992),"")</f>
        <v/>
      </c>
      <c r="B992" s="189" t="str">
        <f>IFERROR(INDEX(凭证录入!I:I,$H992),"")</f>
        <v/>
      </c>
      <c r="C992" s="190" t="str">
        <f>IFERROR(VLOOKUP($B992,会计科目表!$A:$C,2,),"")</f>
        <v/>
      </c>
      <c r="D992" s="190" t="str">
        <f>IFERROR(VLOOKUP($B992,会计科目表!$A:$C,3,),"")</f>
        <v/>
      </c>
      <c r="E992" s="191">
        <f>IFERROR(INDEX(凭证录入!K:K,$H992),0)</f>
        <v>0</v>
      </c>
      <c r="F992" s="191">
        <f>IFERROR(INDEX(凭证录入!L:L,$H992),0)</f>
        <v>0</v>
      </c>
      <c r="G992" s="176" t="e">
        <f>INDEX(凭证录入!$D:$D,$H989)</f>
        <v>#VALUE!</v>
      </c>
      <c r="H992" s="192" t="str">
        <f t="shared" si="148"/>
        <v/>
      </c>
      <c r="I992" s="176"/>
    </row>
    <row r="993" spans="1:9" s="45" customFormat="1" ht="19.5" customHeight="1" thickBot="1">
      <c r="A993" s="189" t="str">
        <f>IFERROR(INDEX(凭证录入!H:H,$H993),"")</f>
        <v/>
      </c>
      <c r="B993" s="189" t="str">
        <f>IFERROR(INDEX(凭证录入!I:I,$H993),"")</f>
        <v/>
      </c>
      <c r="C993" s="190" t="str">
        <f>IFERROR(VLOOKUP($B993,会计科目表!$A:$C,2,),"")</f>
        <v/>
      </c>
      <c r="D993" s="190" t="str">
        <f>IFERROR(VLOOKUP($B993,会计科目表!$A:$C,3,),"")</f>
        <v/>
      </c>
      <c r="E993" s="191">
        <f>IFERROR(INDEX(凭证录入!K:K,$H993),0)</f>
        <v>0</v>
      </c>
      <c r="F993" s="191">
        <f>IFERROR(INDEX(凭证录入!L:L,$H993),0)</f>
        <v>0</v>
      </c>
      <c r="G993" s="176" t="s">
        <v>492</v>
      </c>
      <c r="H993" s="192" t="str">
        <f t="shared" si="148"/>
        <v/>
      </c>
    </row>
    <row r="994" spans="1:9" s="45" customFormat="1" ht="19.5" customHeight="1" thickBot="1">
      <c r="A994" s="189" t="str">
        <f>IFERROR(INDEX(凭证录入!H:H,$H994),"")</f>
        <v/>
      </c>
      <c r="B994" s="189" t="str">
        <f>IFERROR(INDEX(凭证录入!I:I,$H994),"")</f>
        <v/>
      </c>
      <c r="C994" s="190" t="str">
        <f>IFERROR(VLOOKUP($B994,会计科目表!$A:$C,2,),"")</f>
        <v/>
      </c>
      <c r="D994" s="190" t="str">
        <f>IFERROR(VLOOKUP($B994,会计科目表!$A:$C,3,),"")</f>
        <v/>
      </c>
      <c r="E994" s="191">
        <f>IFERROR(INDEX(凭证录入!K:K,$H994),0)</f>
        <v>0</v>
      </c>
      <c r="F994" s="191">
        <f>IFERROR(INDEX(凭证录入!L:L,$H994),0)</f>
        <v>0</v>
      </c>
      <c r="G994" s="176"/>
      <c r="H994" s="192" t="str">
        <f t="shared" si="148"/>
        <v/>
      </c>
    </row>
    <row r="995" spans="1:9" s="45" customFormat="1" ht="19.5" customHeight="1" thickBot="1">
      <c r="A995" s="193"/>
      <c r="B995" s="194" t="s">
        <v>485</v>
      </c>
      <c r="C995" s="195" t="str">
        <f>SUBSTITUTE(SUBSTITUTE(IF(-DOLLAR(E995),IF(E995&gt;0,,"负")&amp;TEXT(INT(ABS(E995)+0.5%),"[dbnum2]G/通用格式元;;")&amp;TEXT(RIGHT(DOLLAR(E995),2),"[dbnum2]0角0分;;整"),),"零角",IF(E995^2&lt;1,,"零")),"零分","整")</f>
        <v/>
      </c>
      <c r="D995" s="196"/>
      <c r="E995" s="197">
        <f>SUM(E989:E994)</f>
        <v>0</v>
      </c>
      <c r="F995" s="197">
        <f>SUM(F989:F994)</f>
        <v>0</v>
      </c>
      <c r="G995" s="176"/>
      <c r="H995" s="192" t="str">
        <f t="shared" si="148"/>
        <v/>
      </c>
    </row>
    <row r="996" spans="1:9" s="199" customFormat="1" ht="19.5" customHeight="1">
      <c r="A996" s="45" t="s">
        <v>486</v>
      </c>
      <c r="B996" s="45" t="s">
        <v>487</v>
      </c>
      <c r="C996" s="45" t="s">
        <v>488</v>
      </c>
      <c r="D996" s="45" t="s">
        <v>504</v>
      </c>
      <c r="E996" s="45" t="s">
        <v>489</v>
      </c>
      <c r="F996" s="176" t="str">
        <f>IF($E995&lt;&gt;$F995,"借贷不平","")</f>
        <v/>
      </c>
      <c r="G996" s="183"/>
      <c r="H996" s="198" t="str">
        <f t="shared" si="148"/>
        <v/>
      </c>
    </row>
    <row r="997" spans="1:9" ht="37.5" customHeight="1">
      <c r="A997" s="177" t="s">
        <v>493</v>
      </c>
      <c r="B997" s="178"/>
      <c r="C997" s="179"/>
      <c r="D997" s="179"/>
      <c r="E997" s="178"/>
      <c r="F997" s="178"/>
      <c r="G997" s="176"/>
      <c r="H997" s="192" t="str">
        <f t="shared" si="148"/>
        <v/>
      </c>
    </row>
    <row r="998" spans="1:9" s="45" customFormat="1" ht="19.5" customHeight="1" thickBot="1">
      <c r="C998" s="180" t="e">
        <f>DATEVALUE("2010-"&amp;$H$1&amp;"-"&amp;INDEX(凭证录入!B:B,H1001))</f>
        <v>#VALUE!</v>
      </c>
      <c r="D998" s="181"/>
      <c r="E998" s="182" t="s">
        <v>477</v>
      </c>
      <c r="F998" s="183" t="e">
        <f>N(LEFT((F986),3)+1)</f>
        <v>#VALUE!</v>
      </c>
      <c r="G998" s="176"/>
      <c r="H998" s="192" t="str">
        <f t="shared" si="148"/>
        <v/>
      </c>
      <c r="I998" s="184"/>
    </row>
    <row r="999" spans="1:9" s="45" customFormat="1" ht="19.5" customHeight="1" thickBot="1">
      <c r="A999" s="544" t="s">
        <v>494</v>
      </c>
      <c r="B999" s="545" t="s">
        <v>495</v>
      </c>
      <c r="C999" s="185" t="s">
        <v>496</v>
      </c>
      <c r="D999" s="186"/>
      <c r="E999" s="187"/>
      <c r="F999" s="188"/>
      <c r="G999" s="176"/>
      <c r="H999" s="192" t="str">
        <f t="shared" si="148"/>
        <v/>
      </c>
    </row>
    <row r="1000" spans="1:9" s="45" customFormat="1" ht="19.5" customHeight="1" thickBot="1">
      <c r="A1000" s="545"/>
      <c r="B1000" s="546"/>
      <c r="C1000" s="188" t="s">
        <v>497</v>
      </c>
      <c r="D1000" s="188" t="s">
        <v>498</v>
      </c>
      <c r="E1000" s="188" t="s">
        <v>499</v>
      </c>
      <c r="F1000" s="188" t="s">
        <v>500</v>
      </c>
      <c r="G1000" s="176"/>
      <c r="H1000" s="192" t="str">
        <f t="shared" si="148"/>
        <v/>
      </c>
    </row>
    <row r="1001" spans="1:9" s="45" customFormat="1" ht="19.5" customHeight="1" thickBot="1">
      <c r="A1001" s="189" t="str">
        <f>IFERROR(INDEX(凭证录入!H:H,$H1001),"")</f>
        <v/>
      </c>
      <c r="B1001" s="189" t="str">
        <f>IFERROR(INDEX(凭证录入!I:I,$H1001),"")</f>
        <v/>
      </c>
      <c r="C1001" s="190" t="str">
        <f>IFERROR(VLOOKUP($B1001,会计科目表!$A:$C,2,),"")</f>
        <v/>
      </c>
      <c r="D1001" s="190" t="str">
        <f>IFERROR(VLOOKUP($B1001,会计科目表!$A:$C,3,),"")</f>
        <v/>
      </c>
      <c r="E1001" s="191">
        <f>IFERROR(INDEX(凭证录入!K:K,$H1001),0)</f>
        <v>0</v>
      </c>
      <c r="F1001" s="191">
        <f>IFERROR(INDEX(凭证录入!L:L,$H1001),0)</f>
        <v>0</v>
      </c>
      <c r="G1001" s="176"/>
      <c r="H1001" s="192" t="str">
        <f t="shared" si="148"/>
        <v/>
      </c>
    </row>
    <row r="1002" spans="1:9" s="45" customFormat="1" ht="19.5" customHeight="1" thickBot="1">
      <c r="A1002" s="189" t="str">
        <f>IFERROR(INDEX(凭证录入!H:H,$H1002),"")</f>
        <v/>
      </c>
      <c r="B1002" s="189" t="str">
        <f>IFERROR(INDEX(凭证录入!I:I,$H1002),"")</f>
        <v/>
      </c>
      <c r="C1002" s="190" t="str">
        <f>IFERROR(VLOOKUP($B1002,会计科目表!$A:$C,2,),"")</f>
        <v/>
      </c>
      <c r="D1002" s="190" t="str">
        <f>IFERROR(VLOOKUP($B1002,会计科目表!$A:$C,3,),"")</f>
        <v/>
      </c>
      <c r="E1002" s="191">
        <f>IFERROR(INDEX(凭证录入!K:K,$H1002),0)</f>
        <v>0</v>
      </c>
      <c r="F1002" s="191">
        <f>IFERROR(INDEX(凭证录入!L:L,$H1002),0)</f>
        <v>0</v>
      </c>
      <c r="G1002" s="176" t="s">
        <v>490</v>
      </c>
      <c r="H1002" s="192" t="str">
        <f t="shared" si="148"/>
        <v/>
      </c>
      <c r="I1002" s="176"/>
    </row>
    <row r="1003" spans="1:9" s="45" customFormat="1" ht="19.5" customHeight="1" thickBot="1">
      <c r="A1003" s="189" t="str">
        <f>IFERROR(INDEX(凭证录入!H:H,$H1003),"")</f>
        <v/>
      </c>
      <c r="B1003" s="189" t="str">
        <f>IFERROR(INDEX(凭证录入!I:I,$H1003),"")</f>
        <v/>
      </c>
      <c r="C1003" s="190" t="str">
        <f>IFERROR(VLOOKUP($B1003,会计科目表!$A:$C,2,),"")</f>
        <v/>
      </c>
      <c r="D1003" s="190" t="str">
        <f>IFERROR(VLOOKUP($B1003,会计科目表!$A:$C,3,),"")</f>
        <v/>
      </c>
      <c r="E1003" s="191">
        <f>IFERROR(INDEX(凭证录入!K:K,$H1003),0)</f>
        <v>0</v>
      </c>
      <c r="F1003" s="191">
        <f>IFERROR(INDEX(凭证录入!L:L,$H1003),0)</f>
        <v>0</v>
      </c>
      <c r="G1003" s="176" t="s">
        <v>491</v>
      </c>
      <c r="H1003" s="192" t="str">
        <f t="shared" si="148"/>
        <v/>
      </c>
      <c r="I1003" s="176"/>
    </row>
    <row r="1004" spans="1:9" s="45" customFormat="1" ht="19.5" customHeight="1" thickBot="1">
      <c r="A1004" s="189" t="str">
        <f>IFERROR(INDEX(凭证录入!H:H,$H1004),"")</f>
        <v/>
      </c>
      <c r="B1004" s="189" t="str">
        <f>IFERROR(INDEX(凭证录入!I:I,$H1004),"")</f>
        <v/>
      </c>
      <c r="C1004" s="190" t="str">
        <f>IFERROR(VLOOKUP($B1004,会计科目表!$A:$C,2,),"")</f>
        <v/>
      </c>
      <c r="D1004" s="190" t="str">
        <f>IFERROR(VLOOKUP($B1004,会计科目表!$A:$C,3,),"")</f>
        <v/>
      </c>
      <c r="E1004" s="191">
        <f>IFERROR(INDEX(凭证录入!K:K,$H1004),0)</f>
        <v>0</v>
      </c>
      <c r="F1004" s="191">
        <f>IFERROR(INDEX(凭证录入!L:L,$H1004),0)</f>
        <v>0</v>
      </c>
      <c r="G1004" s="176" t="e">
        <f>INDEX(凭证录入!$D:$D,$H1001)</f>
        <v>#VALUE!</v>
      </c>
      <c r="H1004" s="192" t="str">
        <f t="shared" si="148"/>
        <v/>
      </c>
      <c r="I1004" s="176"/>
    </row>
    <row r="1005" spans="1:9" s="45" customFormat="1" ht="19.5" customHeight="1" thickBot="1">
      <c r="A1005" s="189" t="str">
        <f>IFERROR(INDEX(凭证录入!H:H,$H1005),"")</f>
        <v/>
      </c>
      <c r="B1005" s="189" t="str">
        <f>IFERROR(INDEX(凭证录入!I:I,$H1005),"")</f>
        <v/>
      </c>
      <c r="C1005" s="190" t="str">
        <f>IFERROR(VLOOKUP($B1005,会计科目表!$A:$C,2,),"")</f>
        <v/>
      </c>
      <c r="D1005" s="190" t="str">
        <f>IFERROR(VLOOKUP($B1005,会计科目表!$A:$C,3,),"")</f>
        <v/>
      </c>
      <c r="E1005" s="191">
        <f>IFERROR(INDEX(凭证录入!K:K,$H1005),0)</f>
        <v>0</v>
      </c>
      <c r="F1005" s="191">
        <f>IFERROR(INDEX(凭证录入!L:L,$H1005),0)</f>
        <v>0</v>
      </c>
      <c r="G1005" s="176" t="s">
        <v>492</v>
      </c>
      <c r="H1005" s="192" t="str">
        <f t="shared" si="148"/>
        <v/>
      </c>
    </row>
    <row r="1006" spans="1:9" s="45" customFormat="1" ht="19.5" customHeight="1" thickBot="1">
      <c r="A1006" s="189" t="str">
        <f>IFERROR(INDEX(凭证录入!H:H,$H1006),"")</f>
        <v/>
      </c>
      <c r="B1006" s="189" t="str">
        <f>IFERROR(INDEX(凭证录入!I:I,$H1006),"")</f>
        <v/>
      </c>
      <c r="C1006" s="190" t="str">
        <f>IFERROR(VLOOKUP($B1006,会计科目表!$A:$C,2,),"")</f>
        <v/>
      </c>
      <c r="D1006" s="190" t="str">
        <f>IFERROR(VLOOKUP($B1006,会计科目表!$A:$C,3,),"")</f>
        <v/>
      </c>
      <c r="E1006" s="191">
        <f>IFERROR(INDEX(凭证录入!K:K,$H1006),0)</f>
        <v>0</v>
      </c>
      <c r="F1006" s="191">
        <f>IFERROR(INDEX(凭证录入!L:L,$H1006),0)</f>
        <v>0</v>
      </c>
      <c r="G1006" s="176"/>
      <c r="H1006" s="192" t="str">
        <f t="shared" si="148"/>
        <v/>
      </c>
    </row>
    <row r="1007" spans="1:9" s="45" customFormat="1" ht="19.5" customHeight="1" thickBot="1">
      <c r="A1007" s="193"/>
      <c r="B1007" s="194" t="s">
        <v>485</v>
      </c>
      <c r="C1007" s="195" t="str">
        <f>SUBSTITUTE(SUBSTITUTE(IF(-DOLLAR(E1007),IF(E1007&gt;0,,"负")&amp;TEXT(INT(ABS(E1007)+0.5%),"[dbnum2]G/通用格式元;;")&amp;TEXT(RIGHT(DOLLAR(E1007),2),"[dbnum2]0角0分;;整"),),"零角",IF(E1007^2&lt;1,,"零")),"零分","整")</f>
        <v/>
      </c>
      <c r="D1007" s="196"/>
      <c r="E1007" s="197">
        <f>SUM(E1001:E1006)</f>
        <v>0</v>
      </c>
      <c r="F1007" s="197">
        <f>SUM(F1001:F1006)</f>
        <v>0</v>
      </c>
      <c r="G1007" s="176"/>
      <c r="H1007" s="192" t="str">
        <f t="shared" si="148"/>
        <v/>
      </c>
    </row>
    <row r="1008" spans="1:9" s="199" customFormat="1" ht="19.5" customHeight="1">
      <c r="A1008" s="45" t="s">
        <v>486</v>
      </c>
      <c r="B1008" s="45" t="s">
        <v>487</v>
      </c>
      <c r="C1008" s="45" t="s">
        <v>488</v>
      </c>
      <c r="D1008" s="45" t="s">
        <v>504</v>
      </c>
      <c r="E1008" s="45" t="s">
        <v>489</v>
      </c>
      <c r="F1008" s="176" t="str">
        <f>IF($E1007&lt;&gt;$F1007,"借贷不平","")</f>
        <v/>
      </c>
      <c r="G1008" s="183"/>
      <c r="H1008" s="198" t="str">
        <f t="shared" si="148"/>
        <v/>
      </c>
    </row>
    <row r="1009" spans="1:9" ht="37.5" customHeight="1">
      <c r="A1009" s="177" t="s">
        <v>493</v>
      </c>
      <c r="B1009" s="178"/>
      <c r="C1009" s="179"/>
      <c r="D1009" s="179"/>
      <c r="E1009" s="178"/>
      <c r="F1009" s="178"/>
      <c r="G1009" s="176"/>
      <c r="H1009" s="192" t="str">
        <f t="shared" si="148"/>
        <v/>
      </c>
    </row>
    <row r="1010" spans="1:9" s="45" customFormat="1" ht="19.5" customHeight="1" thickBot="1">
      <c r="C1010" s="180" t="e">
        <f>DATEVALUE("2010-"&amp;$H$1&amp;"-"&amp;INDEX(凭证录入!B:B,H1013))</f>
        <v>#VALUE!</v>
      </c>
      <c r="D1010" s="181"/>
      <c r="E1010" s="182" t="s">
        <v>477</v>
      </c>
      <c r="F1010" s="183" t="e">
        <f>N(LEFT((F998),3)+1)</f>
        <v>#VALUE!</v>
      </c>
      <c r="G1010" s="176"/>
      <c r="H1010" s="192" t="str">
        <f t="shared" si="148"/>
        <v/>
      </c>
      <c r="I1010" s="184"/>
    </row>
    <row r="1011" spans="1:9" s="45" customFormat="1" ht="19.5" customHeight="1" thickBot="1">
      <c r="A1011" s="544" t="s">
        <v>494</v>
      </c>
      <c r="B1011" s="545" t="s">
        <v>495</v>
      </c>
      <c r="C1011" s="185" t="s">
        <v>496</v>
      </c>
      <c r="D1011" s="186"/>
      <c r="E1011" s="187"/>
      <c r="F1011" s="188"/>
      <c r="G1011" s="176"/>
      <c r="H1011" s="192" t="str">
        <f t="shared" si="148"/>
        <v/>
      </c>
    </row>
    <row r="1012" spans="1:9" s="45" customFormat="1" ht="19.5" customHeight="1" thickBot="1">
      <c r="A1012" s="545"/>
      <c r="B1012" s="546"/>
      <c r="C1012" s="188" t="s">
        <v>497</v>
      </c>
      <c r="D1012" s="188" t="s">
        <v>498</v>
      </c>
      <c r="E1012" s="188" t="s">
        <v>499</v>
      </c>
      <c r="F1012" s="188" t="s">
        <v>500</v>
      </c>
      <c r="G1012" s="176"/>
      <c r="H1012" s="192" t="str">
        <f t="shared" si="148"/>
        <v/>
      </c>
    </row>
    <row r="1013" spans="1:9" s="45" customFormat="1" ht="19.5" customHeight="1" thickBot="1">
      <c r="A1013" s="189" t="str">
        <f>IFERROR(INDEX(凭证录入!H:H,$H1013),"")</f>
        <v/>
      </c>
      <c r="B1013" s="189" t="str">
        <f>IFERROR(INDEX(凭证录入!I:I,$H1013),"")</f>
        <v/>
      </c>
      <c r="C1013" s="190" t="str">
        <f>IFERROR(VLOOKUP($B1013,会计科目表!$A:$C,2,),"")</f>
        <v/>
      </c>
      <c r="D1013" s="190" t="str">
        <f>IFERROR(VLOOKUP($B1013,会计科目表!$A:$C,3,),"")</f>
        <v/>
      </c>
      <c r="E1013" s="191">
        <f>IFERROR(INDEX(凭证录入!K:K,$H1013),0)</f>
        <v>0</v>
      </c>
      <c r="F1013" s="191">
        <f>IFERROR(INDEX(凭证录入!L:L,$H1013),0)</f>
        <v>0</v>
      </c>
      <c r="G1013" s="176"/>
      <c r="H1013" s="192" t="str">
        <f t="shared" si="148"/>
        <v/>
      </c>
    </row>
    <row r="1014" spans="1:9" s="45" customFormat="1" ht="19.5" customHeight="1" thickBot="1">
      <c r="A1014" s="189" t="str">
        <f>IFERROR(INDEX(凭证录入!H:H,$H1014),"")</f>
        <v/>
      </c>
      <c r="B1014" s="189" t="str">
        <f>IFERROR(INDEX(凭证录入!I:I,$H1014),"")</f>
        <v/>
      </c>
      <c r="C1014" s="190" t="str">
        <f>IFERROR(VLOOKUP($B1014,会计科目表!$A:$C,2,),"")</f>
        <v/>
      </c>
      <c r="D1014" s="190" t="str">
        <f>IFERROR(VLOOKUP($B1014,会计科目表!$A:$C,3,),"")</f>
        <v/>
      </c>
      <c r="E1014" s="191">
        <f>IFERROR(INDEX(凭证录入!K:K,$H1014),0)</f>
        <v>0</v>
      </c>
      <c r="F1014" s="191">
        <f>IFERROR(INDEX(凭证录入!L:L,$H1014),0)</f>
        <v>0</v>
      </c>
      <c r="G1014" s="176" t="s">
        <v>490</v>
      </c>
      <c r="H1014" s="192" t="str">
        <f t="shared" si="148"/>
        <v/>
      </c>
      <c r="I1014" s="176"/>
    </row>
    <row r="1015" spans="1:9" s="45" customFormat="1" ht="19.5" customHeight="1" thickBot="1">
      <c r="A1015" s="189" t="str">
        <f>IFERROR(INDEX(凭证录入!H:H,$H1015),"")</f>
        <v/>
      </c>
      <c r="B1015" s="189" t="str">
        <f>IFERROR(INDEX(凭证录入!I:I,$H1015),"")</f>
        <v/>
      </c>
      <c r="C1015" s="190" t="str">
        <f>IFERROR(VLOOKUP($B1015,会计科目表!$A:$C,2,),"")</f>
        <v/>
      </c>
      <c r="D1015" s="190" t="str">
        <f>IFERROR(VLOOKUP($B1015,会计科目表!$A:$C,3,),"")</f>
        <v/>
      </c>
      <c r="E1015" s="191">
        <f>IFERROR(INDEX(凭证录入!K:K,$H1015),0)</f>
        <v>0</v>
      </c>
      <c r="F1015" s="191">
        <f>IFERROR(INDEX(凭证录入!L:L,$H1015),0)</f>
        <v>0</v>
      </c>
      <c r="G1015" s="176" t="s">
        <v>491</v>
      </c>
      <c r="H1015" s="192" t="str">
        <f t="shared" si="148"/>
        <v/>
      </c>
      <c r="I1015" s="176"/>
    </row>
    <row r="1016" spans="1:9" s="45" customFormat="1" ht="19.5" customHeight="1" thickBot="1">
      <c r="A1016" s="189" t="str">
        <f>IFERROR(INDEX(凭证录入!H:H,$H1016),"")</f>
        <v/>
      </c>
      <c r="B1016" s="189" t="str">
        <f>IFERROR(INDEX(凭证录入!I:I,$H1016),"")</f>
        <v/>
      </c>
      <c r="C1016" s="190" t="str">
        <f>IFERROR(VLOOKUP($B1016,会计科目表!$A:$C,2,),"")</f>
        <v/>
      </c>
      <c r="D1016" s="190" t="str">
        <f>IFERROR(VLOOKUP($B1016,会计科目表!$A:$C,3,),"")</f>
        <v/>
      </c>
      <c r="E1016" s="191">
        <f>IFERROR(INDEX(凭证录入!K:K,$H1016),0)</f>
        <v>0</v>
      </c>
      <c r="F1016" s="191">
        <f>IFERROR(INDEX(凭证录入!L:L,$H1016),0)</f>
        <v>0</v>
      </c>
      <c r="G1016" s="176" t="e">
        <f>INDEX(凭证录入!$D:$D,$H1013)</f>
        <v>#VALUE!</v>
      </c>
      <c r="H1016" s="192" t="str">
        <f t="shared" si="148"/>
        <v/>
      </c>
      <c r="I1016" s="176"/>
    </row>
    <row r="1017" spans="1:9" s="45" customFormat="1" ht="19.5" customHeight="1" thickBot="1">
      <c r="A1017" s="189" t="str">
        <f>IFERROR(INDEX(凭证录入!H:H,$H1017),"")</f>
        <v/>
      </c>
      <c r="B1017" s="189" t="str">
        <f>IFERROR(INDEX(凭证录入!I:I,$H1017),"")</f>
        <v/>
      </c>
      <c r="C1017" s="190" t="str">
        <f>IFERROR(VLOOKUP($B1017,会计科目表!$A:$C,2,),"")</f>
        <v/>
      </c>
      <c r="D1017" s="190" t="str">
        <f>IFERROR(VLOOKUP($B1017,会计科目表!$A:$C,3,),"")</f>
        <v/>
      </c>
      <c r="E1017" s="191">
        <f>IFERROR(INDEX(凭证录入!K:K,$H1017),0)</f>
        <v>0</v>
      </c>
      <c r="F1017" s="191">
        <f>IFERROR(INDEX(凭证录入!L:L,$H1017),0)</f>
        <v>0</v>
      </c>
      <c r="G1017" s="176" t="s">
        <v>492</v>
      </c>
      <c r="H1017" s="192" t="str">
        <f t="shared" si="148"/>
        <v/>
      </c>
    </row>
    <row r="1018" spans="1:9" s="45" customFormat="1" ht="19.5" customHeight="1" thickBot="1">
      <c r="A1018" s="189" t="str">
        <f>IFERROR(INDEX(凭证录入!H:H,$H1018),"")</f>
        <v/>
      </c>
      <c r="B1018" s="189" t="str">
        <f>IFERROR(INDEX(凭证录入!I:I,$H1018),"")</f>
        <v/>
      </c>
      <c r="C1018" s="190" t="str">
        <f>IFERROR(VLOOKUP($B1018,会计科目表!$A:$C,2,),"")</f>
        <v/>
      </c>
      <c r="D1018" s="190" t="str">
        <f>IFERROR(VLOOKUP($B1018,会计科目表!$A:$C,3,),"")</f>
        <v/>
      </c>
      <c r="E1018" s="191">
        <f>IFERROR(INDEX(凭证录入!K:K,$H1018),0)</f>
        <v>0</v>
      </c>
      <c r="F1018" s="191">
        <f>IFERROR(INDEX(凭证录入!L:L,$H1018),0)</f>
        <v>0</v>
      </c>
      <c r="G1018" s="176"/>
      <c r="H1018" s="192" t="str">
        <f t="shared" si="148"/>
        <v/>
      </c>
    </row>
    <row r="1019" spans="1:9" s="45" customFormat="1" ht="19.5" customHeight="1" thickBot="1">
      <c r="A1019" s="193"/>
      <c r="B1019" s="194" t="s">
        <v>485</v>
      </c>
      <c r="C1019" s="195" t="str">
        <f>SUBSTITUTE(SUBSTITUTE(IF(-DOLLAR(E1019),IF(E1019&gt;0,,"负")&amp;TEXT(INT(ABS(E1019)+0.5%),"[dbnum2]G/通用格式元;;")&amp;TEXT(RIGHT(DOLLAR(E1019),2),"[dbnum2]0角0分;;整"),),"零角",IF(E1019^2&lt;1,,"零")),"零分","整")</f>
        <v/>
      </c>
      <c r="D1019" s="196"/>
      <c r="E1019" s="197">
        <f>SUM(E1013:E1018)</f>
        <v>0</v>
      </c>
      <c r="F1019" s="197">
        <f>SUM(F1013:F1018)</f>
        <v>0</v>
      </c>
      <c r="G1019" s="176"/>
      <c r="H1019" s="192" t="str">
        <f t="shared" si="148"/>
        <v/>
      </c>
    </row>
    <row r="1020" spans="1:9" s="199" customFormat="1" ht="19.5" customHeight="1">
      <c r="A1020" s="45" t="s">
        <v>486</v>
      </c>
      <c r="B1020" s="45" t="s">
        <v>487</v>
      </c>
      <c r="C1020" s="45" t="s">
        <v>488</v>
      </c>
      <c r="D1020" s="45" t="s">
        <v>504</v>
      </c>
      <c r="E1020" s="45" t="s">
        <v>489</v>
      </c>
      <c r="F1020" s="176" t="str">
        <f>IF($E1019&lt;&gt;$F1019,"借贷不平","")</f>
        <v/>
      </c>
      <c r="G1020" s="183"/>
      <c r="H1020" s="198" t="str">
        <f t="shared" si="148"/>
        <v/>
      </c>
    </row>
    <row r="1021" spans="1:9" ht="37.5" customHeight="1">
      <c r="A1021" s="177" t="s">
        <v>493</v>
      </c>
      <c r="B1021" s="178"/>
      <c r="C1021" s="179"/>
      <c r="D1021" s="179"/>
      <c r="E1021" s="178"/>
      <c r="F1021" s="178"/>
      <c r="G1021" s="176"/>
      <c r="H1021" s="192" t="str">
        <f t="shared" si="148"/>
        <v/>
      </c>
    </row>
    <row r="1022" spans="1:9" s="45" customFormat="1" ht="19.5" customHeight="1" thickBot="1">
      <c r="C1022" s="180" t="e">
        <f>DATEVALUE("2010-"&amp;$H$1&amp;"-"&amp;INDEX(凭证录入!B:B,H1025))</f>
        <v>#VALUE!</v>
      </c>
      <c r="D1022" s="181"/>
      <c r="E1022" s="182" t="s">
        <v>477</v>
      </c>
      <c r="F1022" s="183" t="e">
        <f>N(LEFT((F1010),3)+1)</f>
        <v>#VALUE!</v>
      </c>
      <c r="G1022" s="176"/>
      <c r="H1022" s="192" t="str">
        <f t="shared" si="148"/>
        <v/>
      </c>
      <c r="I1022" s="184"/>
    </row>
    <row r="1023" spans="1:9" s="45" customFormat="1" ht="19.5" customHeight="1" thickBot="1">
      <c r="A1023" s="544" t="s">
        <v>494</v>
      </c>
      <c r="B1023" s="545" t="s">
        <v>495</v>
      </c>
      <c r="C1023" s="185" t="s">
        <v>496</v>
      </c>
      <c r="D1023" s="186"/>
      <c r="E1023" s="187"/>
      <c r="F1023" s="188"/>
      <c r="G1023" s="176"/>
      <c r="H1023" s="192" t="str">
        <f t="shared" si="148"/>
        <v/>
      </c>
    </row>
    <row r="1024" spans="1:9" s="45" customFormat="1" ht="19.5" customHeight="1" thickBot="1">
      <c r="A1024" s="545"/>
      <c r="B1024" s="546"/>
      <c r="C1024" s="188" t="s">
        <v>497</v>
      </c>
      <c r="D1024" s="188" t="s">
        <v>498</v>
      </c>
      <c r="E1024" s="188" t="s">
        <v>499</v>
      </c>
      <c r="F1024" s="188" t="s">
        <v>500</v>
      </c>
      <c r="G1024" s="176"/>
      <c r="H1024" s="192" t="str">
        <f t="shared" si="148"/>
        <v/>
      </c>
    </row>
    <row r="1025" spans="1:9" s="45" customFormat="1" ht="19.5" customHeight="1" thickBot="1">
      <c r="A1025" s="189" t="str">
        <f>IFERROR(INDEX(凭证录入!H:H,$H1025),"")</f>
        <v/>
      </c>
      <c r="B1025" s="189" t="str">
        <f>IFERROR(INDEX(凭证录入!I:I,$H1025),"")</f>
        <v/>
      </c>
      <c r="C1025" s="190" t="str">
        <f>IFERROR(VLOOKUP($B1025,会计科目表!$A:$C,2,),"")</f>
        <v/>
      </c>
      <c r="D1025" s="190" t="str">
        <f>IFERROR(VLOOKUP($B1025,会计科目表!$A:$C,3,),"")</f>
        <v/>
      </c>
      <c r="E1025" s="191">
        <f>IFERROR(INDEX(凭证录入!K:K,$H1025),0)</f>
        <v>0</v>
      </c>
      <c r="F1025" s="191">
        <f>IFERROR(INDEX(凭证录入!L:L,$H1025),0)</f>
        <v>0</v>
      </c>
      <c r="G1025" s="176"/>
      <c r="H1025" s="192" t="str">
        <f t="shared" si="148"/>
        <v/>
      </c>
    </row>
    <row r="1026" spans="1:9" s="45" customFormat="1" ht="19.5" customHeight="1" thickBot="1">
      <c r="A1026" s="189" t="str">
        <f>IFERROR(INDEX(凭证录入!H:H,$H1026),"")</f>
        <v/>
      </c>
      <c r="B1026" s="189" t="str">
        <f>IFERROR(INDEX(凭证录入!I:I,$H1026),"")</f>
        <v/>
      </c>
      <c r="C1026" s="190" t="str">
        <f>IFERROR(VLOOKUP($B1026,会计科目表!$A:$C,2,),"")</f>
        <v/>
      </c>
      <c r="D1026" s="190" t="str">
        <f>IFERROR(VLOOKUP($B1026,会计科目表!$A:$C,3,),"")</f>
        <v/>
      </c>
      <c r="E1026" s="191">
        <f>IFERROR(INDEX(凭证录入!K:K,$H1026),0)</f>
        <v>0</v>
      </c>
      <c r="F1026" s="191">
        <f>IFERROR(INDEX(凭证录入!L:L,$H1026),0)</f>
        <v>0</v>
      </c>
      <c r="G1026" s="176" t="s">
        <v>490</v>
      </c>
      <c r="H1026" s="192" t="str">
        <f t="shared" si="148"/>
        <v/>
      </c>
      <c r="I1026" s="176"/>
    </row>
    <row r="1027" spans="1:9" s="45" customFormat="1" ht="19.5" customHeight="1" thickBot="1">
      <c r="A1027" s="189" t="str">
        <f>IFERROR(INDEX(凭证录入!H:H,$H1027),"")</f>
        <v/>
      </c>
      <c r="B1027" s="189" t="str">
        <f>IFERROR(INDEX(凭证录入!I:I,$H1027),"")</f>
        <v/>
      </c>
      <c r="C1027" s="190" t="str">
        <f>IFERROR(VLOOKUP($B1027,会计科目表!$A:$C,2,),"")</f>
        <v/>
      </c>
      <c r="D1027" s="190" t="str">
        <f>IFERROR(VLOOKUP($B1027,会计科目表!$A:$C,3,),"")</f>
        <v/>
      </c>
      <c r="E1027" s="191">
        <f>IFERROR(INDEX(凭证录入!K:K,$H1027),0)</f>
        <v>0</v>
      </c>
      <c r="F1027" s="191">
        <f>IFERROR(INDEX(凭证录入!L:L,$H1027),0)</f>
        <v>0</v>
      </c>
      <c r="G1027" s="176" t="s">
        <v>491</v>
      </c>
      <c r="H1027" s="192" t="str">
        <f t="shared" si="148"/>
        <v/>
      </c>
      <c r="I1027" s="176"/>
    </row>
    <row r="1028" spans="1:9" s="45" customFormat="1" ht="19.5" customHeight="1" thickBot="1">
      <c r="A1028" s="189" t="str">
        <f>IFERROR(INDEX(凭证录入!H:H,$H1028),"")</f>
        <v/>
      </c>
      <c r="B1028" s="189" t="str">
        <f>IFERROR(INDEX(凭证录入!I:I,$H1028),"")</f>
        <v/>
      </c>
      <c r="C1028" s="190" t="str">
        <f>IFERROR(VLOOKUP($B1028,会计科目表!$A:$C,2,),"")</f>
        <v/>
      </c>
      <c r="D1028" s="190" t="str">
        <f>IFERROR(VLOOKUP($B1028,会计科目表!$A:$C,3,),"")</f>
        <v/>
      </c>
      <c r="E1028" s="191">
        <f>IFERROR(INDEX(凭证录入!K:K,$H1028),0)</f>
        <v>0</v>
      </c>
      <c r="F1028" s="191">
        <f>IFERROR(INDEX(凭证录入!L:L,$H1028),0)</f>
        <v>0</v>
      </c>
      <c r="G1028" s="176" t="e">
        <f>INDEX(凭证录入!$D:$D,$H1025)</f>
        <v>#VALUE!</v>
      </c>
      <c r="H1028" s="192" t="str">
        <f t="shared" si="148"/>
        <v/>
      </c>
      <c r="I1028" s="176"/>
    </row>
    <row r="1029" spans="1:9" s="45" customFormat="1" ht="19.5" customHeight="1" thickBot="1">
      <c r="A1029" s="189" t="str">
        <f>IFERROR(INDEX(凭证录入!H:H,$H1029),"")</f>
        <v/>
      </c>
      <c r="B1029" s="189" t="str">
        <f>IFERROR(INDEX(凭证录入!I:I,$H1029),"")</f>
        <v/>
      </c>
      <c r="C1029" s="190" t="str">
        <f>IFERROR(VLOOKUP($B1029,会计科目表!$A:$C,2,),"")</f>
        <v/>
      </c>
      <c r="D1029" s="190" t="str">
        <f>IFERROR(VLOOKUP($B1029,会计科目表!$A:$C,3,),"")</f>
        <v/>
      </c>
      <c r="E1029" s="191">
        <f>IFERROR(INDEX(凭证录入!K:K,$H1029),0)</f>
        <v>0</v>
      </c>
      <c r="F1029" s="191">
        <f>IFERROR(INDEX(凭证录入!L:L,$H1029),0)</f>
        <v>0</v>
      </c>
      <c r="G1029" s="176" t="s">
        <v>492</v>
      </c>
      <c r="H1029" s="192" t="str">
        <f t="shared" ref="H1029:H1092" si="149">IFERROR(INDEX(行号,TEXT(MOD(ROW(),12)-4,"[=]A")),"")</f>
        <v/>
      </c>
    </row>
    <row r="1030" spans="1:9" s="45" customFormat="1" ht="19.5" customHeight="1" thickBot="1">
      <c r="A1030" s="189" t="str">
        <f>IFERROR(INDEX(凭证录入!H:H,$H1030),"")</f>
        <v/>
      </c>
      <c r="B1030" s="189" t="str">
        <f>IFERROR(INDEX(凭证录入!I:I,$H1030),"")</f>
        <v/>
      </c>
      <c r="C1030" s="190" t="str">
        <f>IFERROR(VLOOKUP($B1030,会计科目表!$A:$C,2,),"")</f>
        <v/>
      </c>
      <c r="D1030" s="190" t="str">
        <f>IFERROR(VLOOKUP($B1030,会计科目表!$A:$C,3,),"")</f>
        <v/>
      </c>
      <c r="E1030" s="191">
        <f>IFERROR(INDEX(凭证录入!K:K,$H1030),0)</f>
        <v>0</v>
      </c>
      <c r="F1030" s="191">
        <f>IFERROR(INDEX(凭证录入!L:L,$H1030),0)</f>
        <v>0</v>
      </c>
      <c r="G1030" s="176"/>
      <c r="H1030" s="192" t="str">
        <f t="shared" si="149"/>
        <v/>
      </c>
    </row>
    <row r="1031" spans="1:9" s="45" customFormat="1" ht="19.5" customHeight="1" thickBot="1">
      <c r="A1031" s="193"/>
      <c r="B1031" s="194" t="s">
        <v>485</v>
      </c>
      <c r="C1031" s="195" t="str">
        <f>SUBSTITUTE(SUBSTITUTE(IF(-DOLLAR(E1031),IF(E1031&gt;0,,"负")&amp;TEXT(INT(ABS(E1031)+0.5%),"[dbnum2]G/通用格式元;;")&amp;TEXT(RIGHT(DOLLAR(E1031),2),"[dbnum2]0角0分;;整"),),"零角",IF(E1031^2&lt;1,,"零")),"零分","整")</f>
        <v/>
      </c>
      <c r="D1031" s="196"/>
      <c r="E1031" s="197">
        <f>SUM(E1025:E1030)</f>
        <v>0</v>
      </c>
      <c r="F1031" s="197">
        <f>SUM(F1025:F1030)</f>
        <v>0</v>
      </c>
      <c r="G1031" s="176"/>
      <c r="H1031" s="192" t="str">
        <f t="shared" si="149"/>
        <v/>
      </c>
    </row>
    <row r="1032" spans="1:9" s="199" customFormat="1" ht="19.5" customHeight="1">
      <c r="A1032" s="45" t="s">
        <v>486</v>
      </c>
      <c r="B1032" s="45" t="s">
        <v>487</v>
      </c>
      <c r="C1032" s="45" t="s">
        <v>488</v>
      </c>
      <c r="D1032" s="45" t="s">
        <v>504</v>
      </c>
      <c r="E1032" s="45" t="s">
        <v>489</v>
      </c>
      <c r="F1032" s="176" t="str">
        <f>IF($E1031&lt;&gt;$F1031,"借贷不平","")</f>
        <v/>
      </c>
      <c r="G1032" s="183"/>
      <c r="H1032" s="198" t="str">
        <f t="shared" si="149"/>
        <v/>
      </c>
    </row>
    <row r="1033" spans="1:9" ht="37.5" customHeight="1">
      <c r="A1033" s="177" t="s">
        <v>493</v>
      </c>
      <c r="B1033" s="178"/>
      <c r="C1033" s="179"/>
      <c r="D1033" s="179"/>
      <c r="E1033" s="178"/>
      <c r="F1033" s="178"/>
      <c r="G1033" s="176"/>
      <c r="H1033" s="192" t="str">
        <f t="shared" si="149"/>
        <v/>
      </c>
    </row>
    <row r="1034" spans="1:9" s="45" customFormat="1" ht="19.5" customHeight="1" thickBot="1">
      <c r="C1034" s="180" t="e">
        <f>DATEVALUE("2010-"&amp;$H$1&amp;"-"&amp;INDEX(凭证录入!B:B,H1037))</f>
        <v>#VALUE!</v>
      </c>
      <c r="D1034" s="181"/>
      <c r="E1034" s="182" t="s">
        <v>477</v>
      </c>
      <c r="F1034" s="183" t="e">
        <f>N(LEFT((F1022),3)+1)</f>
        <v>#VALUE!</v>
      </c>
      <c r="G1034" s="176"/>
      <c r="H1034" s="192" t="str">
        <f t="shared" si="149"/>
        <v/>
      </c>
      <c r="I1034" s="184"/>
    </row>
    <row r="1035" spans="1:9" s="45" customFormat="1" ht="19.5" customHeight="1" thickBot="1">
      <c r="A1035" s="544" t="s">
        <v>494</v>
      </c>
      <c r="B1035" s="545" t="s">
        <v>495</v>
      </c>
      <c r="C1035" s="185" t="s">
        <v>496</v>
      </c>
      <c r="D1035" s="186"/>
      <c r="E1035" s="187"/>
      <c r="F1035" s="188"/>
      <c r="G1035" s="176"/>
      <c r="H1035" s="192" t="str">
        <f t="shared" si="149"/>
        <v/>
      </c>
    </row>
    <row r="1036" spans="1:9" s="45" customFormat="1" ht="19.5" customHeight="1" thickBot="1">
      <c r="A1036" s="545"/>
      <c r="B1036" s="546"/>
      <c r="C1036" s="188" t="s">
        <v>497</v>
      </c>
      <c r="D1036" s="188" t="s">
        <v>498</v>
      </c>
      <c r="E1036" s="188" t="s">
        <v>499</v>
      </c>
      <c r="F1036" s="188" t="s">
        <v>500</v>
      </c>
      <c r="G1036" s="176"/>
      <c r="H1036" s="192" t="str">
        <f t="shared" si="149"/>
        <v/>
      </c>
    </row>
    <row r="1037" spans="1:9" s="45" customFormat="1" ht="19.5" customHeight="1" thickBot="1">
      <c r="A1037" s="189" t="str">
        <f>IFERROR(INDEX(凭证录入!H:H,$H1037),"")</f>
        <v/>
      </c>
      <c r="B1037" s="189" t="str">
        <f>IFERROR(INDEX(凭证录入!I:I,$H1037),"")</f>
        <v/>
      </c>
      <c r="C1037" s="190" t="str">
        <f>IFERROR(VLOOKUP($B1037,会计科目表!$A:$C,2,),"")</f>
        <v/>
      </c>
      <c r="D1037" s="190" t="str">
        <f>IFERROR(VLOOKUP($B1037,会计科目表!$A:$C,3,),"")</f>
        <v/>
      </c>
      <c r="E1037" s="191">
        <f>IFERROR(INDEX(凭证录入!K:K,$H1037),0)</f>
        <v>0</v>
      </c>
      <c r="F1037" s="191">
        <f>IFERROR(INDEX(凭证录入!L:L,$H1037),0)</f>
        <v>0</v>
      </c>
      <c r="G1037" s="176"/>
      <c r="H1037" s="192" t="str">
        <f t="shared" si="149"/>
        <v/>
      </c>
    </row>
    <row r="1038" spans="1:9" s="45" customFormat="1" ht="19.5" customHeight="1" thickBot="1">
      <c r="A1038" s="189" t="str">
        <f>IFERROR(INDEX(凭证录入!H:H,$H1038),"")</f>
        <v/>
      </c>
      <c r="B1038" s="189" t="str">
        <f>IFERROR(INDEX(凭证录入!I:I,$H1038),"")</f>
        <v/>
      </c>
      <c r="C1038" s="190" t="str">
        <f>IFERROR(VLOOKUP($B1038,会计科目表!$A:$C,2,),"")</f>
        <v/>
      </c>
      <c r="D1038" s="190" t="str">
        <f>IFERROR(VLOOKUP($B1038,会计科目表!$A:$C,3,),"")</f>
        <v/>
      </c>
      <c r="E1038" s="191">
        <f>IFERROR(INDEX(凭证录入!K:K,$H1038),0)</f>
        <v>0</v>
      </c>
      <c r="F1038" s="191">
        <f>IFERROR(INDEX(凭证录入!L:L,$H1038),0)</f>
        <v>0</v>
      </c>
      <c r="G1038" s="176" t="s">
        <v>490</v>
      </c>
      <c r="H1038" s="192" t="str">
        <f t="shared" si="149"/>
        <v/>
      </c>
      <c r="I1038" s="176"/>
    </row>
    <row r="1039" spans="1:9" s="45" customFormat="1" ht="19.5" customHeight="1" thickBot="1">
      <c r="A1039" s="189" t="str">
        <f>IFERROR(INDEX(凭证录入!H:H,$H1039),"")</f>
        <v/>
      </c>
      <c r="B1039" s="189" t="str">
        <f>IFERROR(INDEX(凭证录入!I:I,$H1039),"")</f>
        <v/>
      </c>
      <c r="C1039" s="190" t="str">
        <f>IFERROR(VLOOKUP($B1039,会计科目表!$A:$C,2,),"")</f>
        <v/>
      </c>
      <c r="D1039" s="190" t="str">
        <f>IFERROR(VLOOKUP($B1039,会计科目表!$A:$C,3,),"")</f>
        <v/>
      </c>
      <c r="E1039" s="191">
        <f>IFERROR(INDEX(凭证录入!K:K,$H1039),0)</f>
        <v>0</v>
      </c>
      <c r="F1039" s="191">
        <f>IFERROR(INDEX(凭证录入!L:L,$H1039),0)</f>
        <v>0</v>
      </c>
      <c r="G1039" s="176" t="s">
        <v>491</v>
      </c>
      <c r="H1039" s="192" t="str">
        <f t="shared" si="149"/>
        <v/>
      </c>
      <c r="I1039" s="176"/>
    </row>
    <row r="1040" spans="1:9" s="45" customFormat="1" ht="19.5" customHeight="1" thickBot="1">
      <c r="A1040" s="189" t="str">
        <f>IFERROR(INDEX(凭证录入!H:H,$H1040),"")</f>
        <v/>
      </c>
      <c r="B1040" s="189" t="str">
        <f>IFERROR(INDEX(凭证录入!I:I,$H1040),"")</f>
        <v/>
      </c>
      <c r="C1040" s="190" t="str">
        <f>IFERROR(VLOOKUP($B1040,会计科目表!$A:$C,2,),"")</f>
        <v/>
      </c>
      <c r="D1040" s="190" t="str">
        <f>IFERROR(VLOOKUP($B1040,会计科目表!$A:$C,3,),"")</f>
        <v/>
      </c>
      <c r="E1040" s="191">
        <f>IFERROR(INDEX(凭证录入!K:K,$H1040),0)</f>
        <v>0</v>
      </c>
      <c r="F1040" s="191">
        <f>IFERROR(INDEX(凭证录入!L:L,$H1040),0)</f>
        <v>0</v>
      </c>
      <c r="G1040" s="176" t="e">
        <f>INDEX(凭证录入!$D:$D,$H1037)</f>
        <v>#VALUE!</v>
      </c>
      <c r="H1040" s="192" t="str">
        <f t="shared" si="149"/>
        <v/>
      </c>
      <c r="I1040" s="176"/>
    </row>
    <row r="1041" spans="1:9" s="45" customFormat="1" ht="19.5" customHeight="1" thickBot="1">
      <c r="A1041" s="189" t="str">
        <f>IFERROR(INDEX(凭证录入!H:H,$H1041),"")</f>
        <v/>
      </c>
      <c r="B1041" s="189" t="str">
        <f>IFERROR(INDEX(凭证录入!I:I,$H1041),"")</f>
        <v/>
      </c>
      <c r="C1041" s="190" t="str">
        <f>IFERROR(VLOOKUP($B1041,会计科目表!$A:$C,2,),"")</f>
        <v/>
      </c>
      <c r="D1041" s="190" t="str">
        <f>IFERROR(VLOOKUP($B1041,会计科目表!$A:$C,3,),"")</f>
        <v/>
      </c>
      <c r="E1041" s="191">
        <f>IFERROR(INDEX(凭证录入!K:K,$H1041),0)</f>
        <v>0</v>
      </c>
      <c r="F1041" s="191">
        <f>IFERROR(INDEX(凭证录入!L:L,$H1041),0)</f>
        <v>0</v>
      </c>
      <c r="G1041" s="176" t="s">
        <v>492</v>
      </c>
      <c r="H1041" s="192" t="str">
        <f t="shared" si="149"/>
        <v/>
      </c>
    </row>
    <row r="1042" spans="1:9" s="45" customFormat="1" ht="19.5" customHeight="1" thickBot="1">
      <c r="A1042" s="189" t="str">
        <f>IFERROR(INDEX(凭证录入!H:H,$H1042),"")</f>
        <v/>
      </c>
      <c r="B1042" s="189" t="str">
        <f>IFERROR(INDEX(凭证录入!I:I,$H1042),"")</f>
        <v/>
      </c>
      <c r="C1042" s="190" t="str">
        <f>IFERROR(VLOOKUP($B1042,会计科目表!$A:$C,2,),"")</f>
        <v/>
      </c>
      <c r="D1042" s="190" t="str">
        <f>IFERROR(VLOOKUP($B1042,会计科目表!$A:$C,3,),"")</f>
        <v/>
      </c>
      <c r="E1042" s="191">
        <f>IFERROR(INDEX(凭证录入!K:K,$H1042),0)</f>
        <v>0</v>
      </c>
      <c r="F1042" s="191">
        <f>IFERROR(INDEX(凭证录入!L:L,$H1042),0)</f>
        <v>0</v>
      </c>
      <c r="G1042" s="176"/>
      <c r="H1042" s="192" t="str">
        <f t="shared" si="149"/>
        <v/>
      </c>
    </row>
    <row r="1043" spans="1:9" s="45" customFormat="1" ht="19.5" customHeight="1" thickBot="1">
      <c r="A1043" s="193"/>
      <c r="B1043" s="194" t="s">
        <v>485</v>
      </c>
      <c r="C1043" s="195" t="str">
        <f>SUBSTITUTE(SUBSTITUTE(IF(-DOLLAR(E1043),IF(E1043&gt;0,,"负")&amp;TEXT(INT(ABS(E1043)+0.5%),"[dbnum2]G/通用格式元;;")&amp;TEXT(RIGHT(DOLLAR(E1043),2),"[dbnum2]0角0分;;整"),),"零角",IF(E1043^2&lt;1,,"零")),"零分","整")</f>
        <v/>
      </c>
      <c r="D1043" s="196"/>
      <c r="E1043" s="197">
        <f>SUM(E1037:E1042)</f>
        <v>0</v>
      </c>
      <c r="F1043" s="197">
        <f>SUM(F1037:F1042)</f>
        <v>0</v>
      </c>
      <c r="G1043" s="176"/>
      <c r="H1043" s="192" t="str">
        <f t="shared" si="149"/>
        <v/>
      </c>
    </row>
    <row r="1044" spans="1:9" s="199" customFormat="1" ht="19.5" customHeight="1">
      <c r="A1044" s="45" t="s">
        <v>486</v>
      </c>
      <c r="B1044" s="45" t="s">
        <v>487</v>
      </c>
      <c r="C1044" s="45" t="s">
        <v>488</v>
      </c>
      <c r="D1044" s="45" t="s">
        <v>504</v>
      </c>
      <c r="E1044" s="45" t="s">
        <v>489</v>
      </c>
      <c r="F1044" s="176" t="str">
        <f>IF($E1043&lt;&gt;$F1043,"借贷不平","")</f>
        <v/>
      </c>
      <c r="G1044" s="183"/>
      <c r="H1044" s="198" t="str">
        <f t="shared" si="149"/>
        <v/>
      </c>
    </row>
    <row r="1045" spans="1:9" ht="37.5" customHeight="1">
      <c r="A1045" s="177" t="s">
        <v>493</v>
      </c>
      <c r="B1045" s="178"/>
      <c r="C1045" s="179"/>
      <c r="D1045" s="179"/>
      <c r="E1045" s="178"/>
      <c r="F1045" s="178"/>
      <c r="G1045" s="176"/>
      <c r="H1045" s="192" t="str">
        <f t="shared" si="149"/>
        <v/>
      </c>
    </row>
    <row r="1046" spans="1:9" s="45" customFormat="1" ht="19.5" customHeight="1" thickBot="1">
      <c r="C1046" s="180" t="e">
        <f>DATEVALUE("2010-"&amp;$H$1&amp;"-"&amp;INDEX(凭证录入!B:B,H1049))</f>
        <v>#VALUE!</v>
      </c>
      <c r="D1046" s="181"/>
      <c r="E1046" s="182" t="s">
        <v>477</v>
      </c>
      <c r="F1046" s="183" t="e">
        <f>N(LEFT((F1034),3)+1)</f>
        <v>#VALUE!</v>
      </c>
      <c r="G1046" s="176"/>
      <c r="H1046" s="192" t="str">
        <f t="shared" si="149"/>
        <v/>
      </c>
      <c r="I1046" s="184"/>
    </row>
    <row r="1047" spans="1:9" s="45" customFormat="1" ht="19.5" customHeight="1" thickBot="1">
      <c r="A1047" s="544" t="s">
        <v>494</v>
      </c>
      <c r="B1047" s="545" t="s">
        <v>495</v>
      </c>
      <c r="C1047" s="185" t="s">
        <v>496</v>
      </c>
      <c r="D1047" s="186"/>
      <c r="E1047" s="187"/>
      <c r="F1047" s="188"/>
      <c r="G1047" s="176"/>
      <c r="H1047" s="192" t="str">
        <f t="shared" si="149"/>
        <v/>
      </c>
    </row>
    <row r="1048" spans="1:9" s="45" customFormat="1" ht="19.5" customHeight="1" thickBot="1">
      <c r="A1048" s="545"/>
      <c r="B1048" s="546"/>
      <c r="C1048" s="188" t="s">
        <v>497</v>
      </c>
      <c r="D1048" s="188" t="s">
        <v>498</v>
      </c>
      <c r="E1048" s="188" t="s">
        <v>499</v>
      </c>
      <c r="F1048" s="188" t="s">
        <v>500</v>
      </c>
      <c r="G1048" s="176"/>
      <c r="H1048" s="192" t="str">
        <f t="shared" si="149"/>
        <v/>
      </c>
    </row>
    <row r="1049" spans="1:9" s="45" customFormat="1" ht="19.5" customHeight="1" thickBot="1">
      <c r="A1049" s="189" t="str">
        <f>IFERROR(INDEX(凭证录入!H:H,$H1049),"")</f>
        <v/>
      </c>
      <c r="B1049" s="189" t="str">
        <f>IFERROR(INDEX(凭证录入!I:I,$H1049),"")</f>
        <v/>
      </c>
      <c r="C1049" s="190" t="str">
        <f>IFERROR(VLOOKUP($B1049,会计科目表!$A:$C,2,),"")</f>
        <v/>
      </c>
      <c r="D1049" s="190" t="str">
        <f>IFERROR(VLOOKUP($B1049,会计科目表!$A:$C,3,),"")</f>
        <v/>
      </c>
      <c r="E1049" s="191">
        <f>IFERROR(INDEX(凭证录入!K:K,$H1049),0)</f>
        <v>0</v>
      </c>
      <c r="F1049" s="191">
        <f>IFERROR(INDEX(凭证录入!L:L,$H1049),0)</f>
        <v>0</v>
      </c>
      <c r="G1049" s="176"/>
      <c r="H1049" s="192" t="str">
        <f t="shared" si="149"/>
        <v/>
      </c>
    </row>
    <row r="1050" spans="1:9" s="45" customFormat="1" ht="19.5" customHeight="1" thickBot="1">
      <c r="A1050" s="189" t="str">
        <f>IFERROR(INDEX(凭证录入!H:H,$H1050),"")</f>
        <v/>
      </c>
      <c r="B1050" s="189" t="str">
        <f>IFERROR(INDEX(凭证录入!I:I,$H1050),"")</f>
        <v/>
      </c>
      <c r="C1050" s="190" t="str">
        <f>IFERROR(VLOOKUP($B1050,会计科目表!$A:$C,2,),"")</f>
        <v/>
      </c>
      <c r="D1050" s="190" t="str">
        <f>IFERROR(VLOOKUP($B1050,会计科目表!$A:$C,3,),"")</f>
        <v/>
      </c>
      <c r="E1050" s="191">
        <f>IFERROR(INDEX(凭证录入!K:K,$H1050),0)</f>
        <v>0</v>
      </c>
      <c r="F1050" s="191">
        <f>IFERROR(INDEX(凭证录入!L:L,$H1050),0)</f>
        <v>0</v>
      </c>
      <c r="G1050" s="176" t="s">
        <v>490</v>
      </c>
      <c r="H1050" s="192" t="str">
        <f t="shared" si="149"/>
        <v/>
      </c>
      <c r="I1050" s="176"/>
    </row>
    <row r="1051" spans="1:9" s="45" customFormat="1" ht="19.5" customHeight="1" thickBot="1">
      <c r="A1051" s="189" t="str">
        <f>IFERROR(INDEX(凭证录入!H:H,$H1051),"")</f>
        <v/>
      </c>
      <c r="B1051" s="189" t="str">
        <f>IFERROR(INDEX(凭证录入!I:I,$H1051),"")</f>
        <v/>
      </c>
      <c r="C1051" s="190" t="str">
        <f>IFERROR(VLOOKUP($B1051,会计科目表!$A:$C,2,),"")</f>
        <v/>
      </c>
      <c r="D1051" s="190" t="str">
        <f>IFERROR(VLOOKUP($B1051,会计科目表!$A:$C,3,),"")</f>
        <v/>
      </c>
      <c r="E1051" s="191">
        <f>IFERROR(INDEX(凭证录入!K:K,$H1051),0)</f>
        <v>0</v>
      </c>
      <c r="F1051" s="191">
        <f>IFERROR(INDEX(凭证录入!L:L,$H1051),0)</f>
        <v>0</v>
      </c>
      <c r="G1051" s="176" t="s">
        <v>491</v>
      </c>
      <c r="H1051" s="192" t="str">
        <f t="shared" si="149"/>
        <v/>
      </c>
      <c r="I1051" s="176"/>
    </row>
    <row r="1052" spans="1:9" s="45" customFormat="1" ht="19.5" customHeight="1" thickBot="1">
      <c r="A1052" s="189" t="str">
        <f>IFERROR(INDEX(凭证录入!H:H,$H1052),"")</f>
        <v/>
      </c>
      <c r="B1052" s="189" t="str">
        <f>IFERROR(INDEX(凭证录入!I:I,$H1052),"")</f>
        <v/>
      </c>
      <c r="C1052" s="190" t="str">
        <f>IFERROR(VLOOKUP($B1052,会计科目表!$A:$C,2,),"")</f>
        <v/>
      </c>
      <c r="D1052" s="190" t="str">
        <f>IFERROR(VLOOKUP($B1052,会计科目表!$A:$C,3,),"")</f>
        <v/>
      </c>
      <c r="E1052" s="191">
        <f>IFERROR(INDEX(凭证录入!K:K,$H1052),0)</f>
        <v>0</v>
      </c>
      <c r="F1052" s="191">
        <f>IFERROR(INDEX(凭证录入!L:L,$H1052),0)</f>
        <v>0</v>
      </c>
      <c r="G1052" s="176" t="e">
        <f>INDEX(凭证录入!$D:$D,$H1049)</f>
        <v>#VALUE!</v>
      </c>
      <c r="H1052" s="192" t="str">
        <f t="shared" si="149"/>
        <v/>
      </c>
      <c r="I1052" s="176"/>
    </row>
    <row r="1053" spans="1:9" s="45" customFormat="1" ht="19.5" customHeight="1" thickBot="1">
      <c r="A1053" s="189" t="str">
        <f>IFERROR(INDEX(凭证录入!H:H,$H1053),"")</f>
        <v/>
      </c>
      <c r="B1053" s="189" t="str">
        <f>IFERROR(INDEX(凭证录入!I:I,$H1053),"")</f>
        <v/>
      </c>
      <c r="C1053" s="190" t="str">
        <f>IFERROR(VLOOKUP($B1053,会计科目表!$A:$C,2,),"")</f>
        <v/>
      </c>
      <c r="D1053" s="190" t="str">
        <f>IFERROR(VLOOKUP($B1053,会计科目表!$A:$C,3,),"")</f>
        <v/>
      </c>
      <c r="E1053" s="191">
        <f>IFERROR(INDEX(凭证录入!K:K,$H1053),0)</f>
        <v>0</v>
      </c>
      <c r="F1053" s="191">
        <f>IFERROR(INDEX(凭证录入!L:L,$H1053),0)</f>
        <v>0</v>
      </c>
      <c r="G1053" s="176" t="s">
        <v>492</v>
      </c>
      <c r="H1053" s="192" t="str">
        <f t="shared" si="149"/>
        <v/>
      </c>
    </row>
    <row r="1054" spans="1:9" s="45" customFormat="1" ht="19.5" customHeight="1" thickBot="1">
      <c r="A1054" s="189" t="str">
        <f>IFERROR(INDEX(凭证录入!H:H,$H1054),"")</f>
        <v/>
      </c>
      <c r="B1054" s="189" t="str">
        <f>IFERROR(INDEX(凭证录入!I:I,$H1054),"")</f>
        <v/>
      </c>
      <c r="C1054" s="190" t="str">
        <f>IFERROR(VLOOKUP($B1054,会计科目表!$A:$C,2,),"")</f>
        <v/>
      </c>
      <c r="D1054" s="190" t="str">
        <f>IFERROR(VLOOKUP($B1054,会计科目表!$A:$C,3,),"")</f>
        <v/>
      </c>
      <c r="E1054" s="191">
        <f>IFERROR(INDEX(凭证录入!K:K,$H1054),0)</f>
        <v>0</v>
      </c>
      <c r="F1054" s="191">
        <f>IFERROR(INDEX(凭证录入!L:L,$H1054),0)</f>
        <v>0</v>
      </c>
      <c r="G1054" s="176"/>
      <c r="H1054" s="192" t="str">
        <f t="shared" si="149"/>
        <v/>
      </c>
    </row>
    <row r="1055" spans="1:9" s="45" customFormat="1" ht="19.5" customHeight="1" thickBot="1">
      <c r="A1055" s="193"/>
      <c r="B1055" s="194" t="s">
        <v>485</v>
      </c>
      <c r="C1055" s="195" t="str">
        <f>SUBSTITUTE(SUBSTITUTE(IF(-DOLLAR(E1055),IF(E1055&gt;0,,"负")&amp;TEXT(INT(ABS(E1055)+0.5%),"[dbnum2]G/通用格式元;;")&amp;TEXT(RIGHT(DOLLAR(E1055),2),"[dbnum2]0角0分;;整"),),"零角",IF(E1055^2&lt;1,,"零")),"零分","整")</f>
        <v/>
      </c>
      <c r="D1055" s="196"/>
      <c r="E1055" s="197">
        <f>SUM(E1049:E1054)</f>
        <v>0</v>
      </c>
      <c r="F1055" s="197">
        <f>SUM(F1049:F1054)</f>
        <v>0</v>
      </c>
      <c r="G1055" s="176"/>
      <c r="H1055" s="192" t="str">
        <f t="shared" si="149"/>
        <v/>
      </c>
    </row>
    <row r="1056" spans="1:9" s="199" customFormat="1" ht="19.5" customHeight="1">
      <c r="A1056" s="45" t="s">
        <v>486</v>
      </c>
      <c r="B1056" s="45" t="s">
        <v>487</v>
      </c>
      <c r="C1056" s="45" t="s">
        <v>488</v>
      </c>
      <c r="D1056" s="45" t="s">
        <v>504</v>
      </c>
      <c r="E1056" s="45" t="s">
        <v>489</v>
      </c>
      <c r="F1056" s="176" t="str">
        <f>IF($E1055&lt;&gt;$F1055,"借贷不平","")</f>
        <v/>
      </c>
      <c r="G1056" s="183"/>
      <c r="H1056" s="198" t="str">
        <f t="shared" si="149"/>
        <v/>
      </c>
    </row>
    <row r="1057" spans="1:9" ht="37.5" customHeight="1">
      <c r="A1057" s="177" t="s">
        <v>493</v>
      </c>
      <c r="B1057" s="178"/>
      <c r="C1057" s="179"/>
      <c r="D1057" s="179"/>
      <c r="E1057" s="178"/>
      <c r="F1057" s="178"/>
      <c r="G1057" s="176"/>
      <c r="H1057" s="192" t="str">
        <f t="shared" si="149"/>
        <v/>
      </c>
    </row>
    <row r="1058" spans="1:9" s="45" customFormat="1" ht="19.5" customHeight="1" thickBot="1">
      <c r="C1058" s="180" t="e">
        <f>DATEVALUE("2010-"&amp;$H$1&amp;"-"&amp;INDEX(凭证录入!B:B,H1061))</f>
        <v>#VALUE!</v>
      </c>
      <c r="D1058" s="181"/>
      <c r="E1058" s="182" t="s">
        <v>477</v>
      </c>
      <c r="F1058" s="183" t="e">
        <f>N(LEFT((F1046),3)+1)</f>
        <v>#VALUE!</v>
      </c>
      <c r="G1058" s="176"/>
      <c r="H1058" s="192" t="str">
        <f t="shared" si="149"/>
        <v/>
      </c>
      <c r="I1058" s="184"/>
    </row>
    <row r="1059" spans="1:9" s="45" customFormat="1" ht="19.5" customHeight="1" thickBot="1">
      <c r="A1059" s="544" t="s">
        <v>494</v>
      </c>
      <c r="B1059" s="545" t="s">
        <v>495</v>
      </c>
      <c r="C1059" s="185" t="s">
        <v>496</v>
      </c>
      <c r="D1059" s="186"/>
      <c r="E1059" s="187"/>
      <c r="F1059" s="188"/>
      <c r="G1059" s="176"/>
      <c r="H1059" s="192" t="str">
        <f t="shared" si="149"/>
        <v/>
      </c>
    </row>
    <row r="1060" spans="1:9" s="45" customFormat="1" ht="19.5" customHeight="1" thickBot="1">
      <c r="A1060" s="545"/>
      <c r="B1060" s="546"/>
      <c r="C1060" s="188" t="s">
        <v>497</v>
      </c>
      <c r="D1060" s="188" t="s">
        <v>498</v>
      </c>
      <c r="E1060" s="188" t="s">
        <v>499</v>
      </c>
      <c r="F1060" s="188" t="s">
        <v>500</v>
      </c>
      <c r="G1060" s="176"/>
      <c r="H1060" s="192" t="str">
        <f t="shared" si="149"/>
        <v/>
      </c>
    </row>
    <row r="1061" spans="1:9" s="45" customFormat="1" ht="19.5" customHeight="1" thickBot="1">
      <c r="A1061" s="189" t="str">
        <f>IFERROR(INDEX(凭证录入!H:H,$H1061),"")</f>
        <v/>
      </c>
      <c r="B1061" s="189" t="str">
        <f>IFERROR(INDEX(凭证录入!I:I,$H1061),"")</f>
        <v/>
      </c>
      <c r="C1061" s="190" t="str">
        <f>IFERROR(VLOOKUP($B1061,会计科目表!$A:$C,2,),"")</f>
        <v/>
      </c>
      <c r="D1061" s="190" t="str">
        <f>IFERROR(VLOOKUP($B1061,会计科目表!$A:$C,3,),"")</f>
        <v/>
      </c>
      <c r="E1061" s="191">
        <f>IFERROR(INDEX(凭证录入!K:K,$H1061),0)</f>
        <v>0</v>
      </c>
      <c r="F1061" s="191">
        <f>IFERROR(INDEX(凭证录入!L:L,$H1061),0)</f>
        <v>0</v>
      </c>
      <c r="G1061" s="176"/>
      <c r="H1061" s="192" t="str">
        <f t="shared" si="149"/>
        <v/>
      </c>
    </row>
    <row r="1062" spans="1:9" s="45" customFormat="1" ht="19.5" customHeight="1" thickBot="1">
      <c r="A1062" s="189" t="str">
        <f>IFERROR(INDEX(凭证录入!H:H,$H1062),"")</f>
        <v/>
      </c>
      <c r="B1062" s="189" t="str">
        <f>IFERROR(INDEX(凭证录入!I:I,$H1062),"")</f>
        <v/>
      </c>
      <c r="C1062" s="190" t="str">
        <f>IFERROR(VLOOKUP($B1062,会计科目表!$A:$C,2,),"")</f>
        <v/>
      </c>
      <c r="D1062" s="190" t="str">
        <f>IFERROR(VLOOKUP($B1062,会计科目表!$A:$C,3,),"")</f>
        <v/>
      </c>
      <c r="E1062" s="191">
        <f>IFERROR(INDEX(凭证录入!K:K,$H1062),0)</f>
        <v>0</v>
      </c>
      <c r="F1062" s="191">
        <f>IFERROR(INDEX(凭证录入!L:L,$H1062),0)</f>
        <v>0</v>
      </c>
      <c r="G1062" s="176" t="s">
        <v>490</v>
      </c>
      <c r="H1062" s="192" t="str">
        <f t="shared" si="149"/>
        <v/>
      </c>
      <c r="I1062" s="176"/>
    </row>
    <row r="1063" spans="1:9" s="45" customFormat="1" ht="19.5" customHeight="1" thickBot="1">
      <c r="A1063" s="189" t="str">
        <f>IFERROR(INDEX(凭证录入!H:H,$H1063),"")</f>
        <v/>
      </c>
      <c r="B1063" s="189" t="str">
        <f>IFERROR(INDEX(凭证录入!I:I,$H1063),"")</f>
        <v/>
      </c>
      <c r="C1063" s="190" t="str">
        <f>IFERROR(VLOOKUP($B1063,会计科目表!$A:$C,2,),"")</f>
        <v/>
      </c>
      <c r="D1063" s="190" t="str">
        <f>IFERROR(VLOOKUP($B1063,会计科目表!$A:$C,3,),"")</f>
        <v/>
      </c>
      <c r="E1063" s="191">
        <f>IFERROR(INDEX(凭证录入!K:K,$H1063),0)</f>
        <v>0</v>
      </c>
      <c r="F1063" s="191">
        <f>IFERROR(INDEX(凭证录入!L:L,$H1063),0)</f>
        <v>0</v>
      </c>
      <c r="G1063" s="176" t="s">
        <v>491</v>
      </c>
      <c r="H1063" s="192" t="str">
        <f t="shared" si="149"/>
        <v/>
      </c>
      <c r="I1063" s="176"/>
    </row>
    <row r="1064" spans="1:9" s="45" customFormat="1" ht="19.5" customHeight="1" thickBot="1">
      <c r="A1064" s="189" t="str">
        <f>IFERROR(INDEX(凭证录入!H:H,$H1064),"")</f>
        <v/>
      </c>
      <c r="B1064" s="189" t="str">
        <f>IFERROR(INDEX(凭证录入!I:I,$H1064),"")</f>
        <v/>
      </c>
      <c r="C1064" s="190" t="str">
        <f>IFERROR(VLOOKUP($B1064,会计科目表!$A:$C,2,),"")</f>
        <v/>
      </c>
      <c r="D1064" s="190" t="str">
        <f>IFERROR(VLOOKUP($B1064,会计科目表!$A:$C,3,),"")</f>
        <v/>
      </c>
      <c r="E1064" s="191">
        <f>IFERROR(INDEX(凭证录入!K:K,$H1064),0)</f>
        <v>0</v>
      </c>
      <c r="F1064" s="191">
        <f>IFERROR(INDEX(凭证录入!L:L,$H1064),0)</f>
        <v>0</v>
      </c>
      <c r="G1064" s="176" t="e">
        <f>INDEX(凭证录入!$D:$D,$H1061)</f>
        <v>#VALUE!</v>
      </c>
      <c r="H1064" s="192" t="str">
        <f t="shared" si="149"/>
        <v/>
      </c>
      <c r="I1064" s="176"/>
    </row>
    <row r="1065" spans="1:9" s="45" customFormat="1" ht="19.5" customHeight="1" thickBot="1">
      <c r="A1065" s="189" t="str">
        <f>IFERROR(INDEX(凭证录入!H:H,$H1065),"")</f>
        <v/>
      </c>
      <c r="B1065" s="189" t="str">
        <f>IFERROR(INDEX(凭证录入!I:I,$H1065),"")</f>
        <v/>
      </c>
      <c r="C1065" s="190" t="str">
        <f>IFERROR(VLOOKUP($B1065,会计科目表!$A:$C,2,),"")</f>
        <v/>
      </c>
      <c r="D1065" s="190" t="str">
        <f>IFERROR(VLOOKUP($B1065,会计科目表!$A:$C,3,),"")</f>
        <v/>
      </c>
      <c r="E1065" s="191">
        <f>IFERROR(INDEX(凭证录入!K:K,$H1065),0)</f>
        <v>0</v>
      </c>
      <c r="F1065" s="191">
        <f>IFERROR(INDEX(凭证录入!L:L,$H1065),0)</f>
        <v>0</v>
      </c>
      <c r="G1065" s="176" t="s">
        <v>492</v>
      </c>
      <c r="H1065" s="192" t="str">
        <f t="shared" si="149"/>
        <v/>
      </c>
    </row>
    <row r="1066" spans="1:9" s="45" customFormat="1" ht="19.5" customHeight="1" thickBot="1">
      <c r="A1066" s="189" t="str">
        <f>IFERROR(INDEX(凭证录入!H:H,$H1066),"")</f>
        <v/>
      </c>
      <c r="B1066" s="189" t="str">
        <f>IFERROR(INDEX(凭证录入!I:I,$H1066),"")</f>
        <v/>
      </c>
      <c r="C1066" s="190" t="str">
        <f>IFERROR(VLOOKUP($B1066,会计科目表!$A:$C,2,),"")</f>
        <v/>
      </c>
      <c r="D1066" s="190" t="str">
        <f>IFERROR(VLOOKUP($B1066,会计科目表!$A:$C,3,),"")</f>
        <v/>
      </c>
      <c r="E1066" s="191">
        <f>IFERROR(INDEX(凭证录入!K:K,$H1066),0)</f>
        <v>0</v>
      </c>
      <c r="F1066" s="191">
        <f>IFERROR(INDEX(凭证录入!L:L,$H1066),0)</f>
        <v>0</v>
      </c>
      <c r="G1066" s="176"/>
      <c r="H1066" s="192" t="str">
        <f t="shared" si="149"/>
        <v/>
      </c>
    </row>
    <row r="1067" spans="1:9" s="45" customFormat="1" ht="19.5" customHeight="1" thickBot="1">
      <c r="A1067" s="193"/>
      <c r="B1067" s="194" t="s">
        <v>485</v>
      </c>
      <c r="C1067" s="195" t="str">
        <f>SUBSTITUTE(SUBSTITUTE(IF(-DOLLAR(E1067),IF(E1067&gt;0,,"负")&amp;TEXT(INT(ABS(E1067)+0.5%),"[dbnum2]G/通用格式元;;")&amp;TEXT(RIGHT(DOLLAR(E1067),2),"[dbnum2]0角0分;;整"),),"零角",IF(E1067^2&lt;1,,"零")),"零分","整")</f>
        <v/>
      </c>
      <c r="D1067" s="196"/>
      <c r="E1067" s="197">
        <f>SUM(E1061:E1066)</f>
        <v>0</v>
      </c>
      <c r="F1067" s="197">
        <f>SUM(F1061:F1066)</f>
        <v>0</v>
      </c>
      <c r="G1067" s="176"/>
      <c r="H1067" s="192" t="str">
        <f t="shared" si="149"/>
        <v/>
      </c>
    </row>
    <row r="1068" spans="1:9" s="199" customFormat="1" ht="19.5" customHeight="1">
      <c r="A1068" s="45" t="s">
        <v>486</v>
      </c>
      <c r="B1068" s="45" t="s">
        <v>487</v>
      </c>
      <c r="C1068" s="45" t="s">
        <v>488</v>
      </c>
      <c r="D1068" s="45" t="s">
        <v>504</v>
      </c>
      <c r="E1068" s="45" t="s">
        <v>489</v>
      </c>
      <c r="F1068" s="176" t="str">
        <f>IF($E1067&lt;&gt;$F1067,"借贷不平","")</f>
        <v/>
      </c>
      <c r="G1068" s="183"/>
      <c r="H1068" s="198" t="str">
        <f t="shared" si="149"/>
        <v/>
      </c>
    </row>
    <row r="1069" spans="1:9" ht="37.5" customHeight="1">
      <c r="A1069" s="177" t="s">
        <v>493</v>
      </c>
      <c r="B1069" s="178"/>
      <c r="C1069" s="179"/>
      <c r="D1069" s="179"/>
      <c r="E1069" s="178"/>
      <c r="F1069" s="178"/>
      <c r="G1069" s="176"/>
      <c r="H1069" s="192" t="str">
        <f t="shared" si="149"/>
        <v/>
      </c>
    </row>
    <row r="1070" spans="1:9" s="45" customFormat="1" ht="19.5" customHeight="1" thickBot="1">
      <c r="C1070" s="180" t="e">
        <f>DATEVALUE("2010-"&amp;$H$1&amp;"-"&amp;INDEX(凭证录入!B:B,H1073))</f>
        <v>#VALUE!</v>
      </c>
      <c r="D1070" s="181"/>
      <c r="E1070" s="182" t="s">
        <v>477</v>
      </c>
      <c r="F1070" s="183" t="e">
        <f>N(LEFT((F1058),3)+1)</f>
        <v>#VALUE!</v>
      </c>
      <c r="G1070" s="176"/>
      <c r="H1070" s="192" t="str">
        <f t="shared" si="149"/>
        <v/>
      </c>
      <c r="I1070" s="184"/>
    </row>
    <row r="1071" spans="1:9" s="45" customFormat="1" ht="19.5" customHeight="1" thickBot="1">
      <c r="A1071" s="544" t="s">
        <v>494</v>
      </c>
      <c r="B1071" s="545" t="s">
        <v>495</v>
      </c>
      <c r="C1071" s="185" t="s">
        <v>496</v>
      </c>
      <c r="D1071" s="186"/>
      <c r="E1071" s="187"/>
      <c r="F1071" s="188"/>
      <c r="G1071" s="176"/>
      <c r="H1071" s="192" t="str">
        <f t="shared" si="149"/>
        <v/>
      </c>
    </row>
    <row r="1072" spans="1:9" s="45" customFormat="1" ht="19.5" customHeight="1" thickBot="1">
      <c r="A1072" s="545"/>
      <c r="B1072" s="546"/>
      <c r="C1072" s="188" t="s">
        <v>497</v>
      </c>
      <c r="D1072" s="188" t="s">
        <v>498</v>
      </c>
      <c r="E1072" s="188" t="s">
        <v>499</v>
      </c>
      <c r="F1072" s="188" t="s">
        <v>500</v>
      </c>
      <c r="G1072" s="176"/>
      <c r="H1072" s="192" t="str">
        <f t="shared" si="149"/>
        <v/>
      </c>
    </row>
    <row r="1073" spans="1:9" s="45" customFormat="1" ht="19.5" customHeight="1" thickBot="1">
      <c r="A1073" s="189" t="str">
        <f>IFERROR(INDEX(凭证录入!H:H,$H1073),"")</f>
        <v/>
      </c>
      <c r="B1073" s="189" t="str">
        <f>IFERROR(INDEX(凭证录入!I:I,$H1073),"")</f>
        <v/>
      </c>
      <c r="C1073" s="190" t="str">
        <f>IFERROR(VLOOKUP($B1073,会计科目表!$A:$C,2,),"")</f>
        <v/>
      </c>
      <c r="D1073" s="190" t="str">
        <f>IFERROR(VLOOKUP($B1073,会计科目表!$A:$C,3,),"")</f>
        <v/>
      </c>
      <c r="E1073" s="191">
        <f>IFERROR(INDEX(凭证录入!K:K,$H1073),0)</f>
        <v>0</v>
      </c>
      <c r="F1073" s="191">
        <f>IFERROR(INDEX(凭证录入!L:L,$H1073),0)</f>
        <v>0</v>
      </c>
      <c r="G1073" s="176"/>
      <c r="H1073" s="192" t="str">
        <f t="shared" si="149"/>
        <v/>
      </c>
    </row>
    <row r="1074" spans="1:9" s="45" customFormat="1" ht="19.5" customHeight="1" thickBot="1">
      <c r="A1074" s="189" t="str">
        <f>IFERROR(INDEX(凭证录入!H:H,$H1074),"")</f>
        <v/>
      </c>
      <c r="B1074" s="189" t="str">
        <f>IFERROR(INDEX(凭证录入!I:I,$H1074),"")</f>
        <v/>
      </c>
      <c r="C1074" s="190" t="str">
        <f>IFERROR(VLOOKUP($B1074,会计科目表!$A:$C,2,),"")</f>
        <v/>
      </c>
      <c r="D1074" s="190" t="str">
        <f>IFERROR(VLOOKUP($B1074,会计科目表!$A:$C,3,),"")</f>
        <v/>
      </c>
      <c r="E1074" s="191">
        <f>IFERROR(INDEX(凭证录入!K:K,$H1074),0)</f>
        <v>0</v>
      </c>
      <c r="F1074" s="191">
        <f>IFERROR(INDEX(凭证录入!L:L,$H1074),0)</f>
        <v>0</v>
      </c>
      <c r="G1074" s="176" t="s">
        <v>490</v>
      </c>
      <c r="H1074" s="192" t="str">
        <f t="shared" si="149"/>
        <v/>
      </c>
      <c r="I1074" s="176"/>
    </row>
    <row r="1075" spans="1:9" s="45" customFormat="1" ht="19.5" customHeight="1" thickBot="1">
      <c r="A1075" s="189" t="str">
        <f>IFERROR(INDEX(凭证录入!H:H,$H1075),"")</f>
        <v/>
      </c>
      <c r="B1075" s="189" t="str">
        <f>IFERROR(INDEX(凭证录入!I:I,$H1075),"")</f>
        <v/>
      </c>
      <c r="C1075" s="190" t="str">
        <f>IFERROR(VLOOKUP($B1075,会计科目表!$A:$C,2,),"")</f>
        <v/>
      </c>
      <c r="D1075" s="190" t="str">
        <f>IFERROR(VLOOKUP($B1075,会计科目表!$A:$C,3,),"")</f>
        <v/>
      </c>
      <c r="E1075" s="191">
        <f>IFERROR(INDEX(凭证录入!K:K,$H1075),0)</f>
        <v>0</v>
      </c>
      <c r="F1075" s="191">
        <f>IFERROR(INDEX(凭证录入!L:L,$H1075),0)</f>
        <v>0</v>
      </c>
      <c r="G1075" s="176" t="s">
        <v>491</v>
      </c>
      <c r="H1075" s="192" t="str">
        <f t="shared" si="149"/>
        <v/>
      </c>
      <c r="I1075" s="176"/>
    </row>
    <row r="1076" spans="1:9" s="45" customFormat="1" ht="19.5" customHeight="1" thickBot="1">
      <c r="A1076" s="189" t="str">
        <f>IFERROR(INDEX(凭证录入!H:H,$H1076),"")</f>
        <v/>
      </c>
      <c r="B1076" s="189" t="str">
        <f>IFERROR(INDEX(凭证录入!I:I,$H1076),"")</f>
        <v/>
      </c>
      <c r="C1076" s="190" t="str">
        <f>IFERROR(VLOOKUP($B1076,会计科目表!$A:$C,2,),"")</f>
        <v/>
      </c>
      <c r="D1076" s="190" t="str">
        <f>IFERROR(VLOOKUP($B1076,会计科目表!$A:$C,3,),"")</f>
        <v/>
      </c>
      <c r="E1076" s="191">
        <f>IFERROR(INDEX(凭证录入!K:K,$H1076),0)</f>
        <v>0</v>
      </c>
      <c r="F1076" s="191">
        <f>IFERROR(INDEX(凭证录入!L:L,$H1076),0)</f>
        <v>0</v>
      </c>
      <c r="G1076" s="176" t="e">
        <f>INDEX(凭证录入!$D:$D,$H1073)</f>
        <v>#VALUE!</v>
      </c>
      <c r="H1076" s="192" t="str">
        <f t="shared" si="149"/>
        <v/>
      </c>
      <c r="I1076" s="176"/>
    </row>
    <row r="1077" spans="1:9" s="45" customFormat="1" ht="19.5" customHeight="1" thickBot="1">
      <c r="A1077" s="189" t="str">
        <f>IFERROR(INDEX(凭证录入!H:H,$H1077),"")</f>
        <v/>
      </c>
      <c r="B1077" s="189" t="str">
        <f>IFERROR(INDEX(凭证录入!I:I,$H1077),"")</f>
        <v/>
      </c>
      <c r="C1077" s="190" t="str">
        <f>IFERROR(VLOOKUP($B1077,会计科目表!$A:$C,2,),"")</f>
        <v/>
      </c>
      <c r="D1077" s="190" t="str">
        <f>IFERROR(VLOOKUP($B1077,会计科目表!$A:$C,3,),"")</f>
        <v/>
      </c>
      <c r="E1077" s="191">
        <f>IFERROR(INDEX(凭证录入!K:K,$H1077),0)</f>
        <v>0</v>
      </c>
      <c r="F1077" s="191">
        <f>IFERROR(INDEX(凭证录入!L:L,$H1077),0)</f>
        <v>0</v>
      </c>
      <c r="G1077" s="176" t="s">
        <v>492</v>
      </c>
      <c r="H1077" s="192" t="str">
        <f t="shared" si="149"/>
        <v/>
      </c>
    </row>
    <row r="1078" spans="1:9" s="45" customFormat="1" ht="19.5" customHeight="1" thickBot="1">
      <c r="A1078" s="189" t="str">
        <f>IFERROR(INDEX(凭证录入!H:H,$H1078),"")</f>
        <v/>
      </c>
      <c r="B1078" s="189" t="str">
        <f>IFERROR(INDEX(凭证录入!I:I,$H1078),"")</f>
        <v/>
      </c>
      <c r="C1078" s="190" t="str">
        <f>IFERROR(VLOOKUP($B1078,会计科目表!$A:$C,2,),"")</f>
        <v/>
      </c>
      <c r="D1078" s="190" t="str">
        <f>IFERROR(VLOOKUP($B1078,会计科目表!$A:$C,3,),"")</f>
        <v/>
      </c>
      <c r="E1078" s="191">
        <f>IFERROR(INDEX(凭证录入!K:K,$H1078),0)</f>
        <v>0</v>
      </c>
      <c r="F1078" s="191">
        <f>IFERROR(INDEX(凭证录入!L:L,$H1078),0)</f>
        <v>0</v>
      </c>
      <c r="G1078" s="176"/>
      <c r="H1078" s="192" t="str">
        <f t="shared" si="149"/>
        <v/>
      </c>
    </row>
    <row r="1079" spans="1:9" s="45" customFormat="1" ht="19.5" customHeight="1" thickBot="1">
      <c r="A1079" s="193"/>
      <c r="B1079" s="194" t="s">
        <v>485</v>
      </c>
      <c r="C1079" s="195" t="str">
        <f>SUBSTITUTE(SUBSTITUTE(IF(-DOLLAR(E1079),IF(E1079&gt;0,,"负")&amp;TEXT(INT(ABS(E1079)+0.5%),"[dbnum2]G/通用格式元;;")&amp;TEXT(RIGHT(DOLLAR(E1079),2),"[dbnum2]0角0分;;整"),),"零角",IF(E1079^2&lt;1,,"零")),"零分","整")</f>
        <v/>
      </c>
      <c r="D1079" s="196"/>
      <c r="E1079" s="197">
        <f>SUM(E1073:E1078)</f>
        <v>0</v>
      </c>
      <c r="F1079" s="197">
        <f>SUM(F1073:F1078)</f>
        <v>0</v>
      </c>
      <c r="G1079" s="176"/>
      <c r="H1079" s="192" t="str">
        <f t="shared" si="149"/>
        <v/>
      </c>
    </row>
    <row r="1080" spans="1:9" s="199" customFormat="1" ht="19.5" customHeight="1">
      <c r="A1080" s="45" t="s">
        <v>486</v>
      </c>
      <c r="B1080" s="45" t="s">
        <v>487</v>
      </c>
      <c r="C1080" s="45" t="s">
        <v>488</v>
      </c>
      <c r="D1080" s="45" t="s">
        <v>504</v>
      </c>
      <c r="E1080" s="45" t="s">
        <v>489</v>
      </c>
      <c r="F1080" s="176" t="str">
        <f>IF($E1079&lt;&gt;$F1079,"借贷不平","")</f>
        <v/>
      </c>
      <c r="G1080" s="183"/>
      <c r="H1080" s="198" t="str">
        <f t="shared" si="149"/>
        <v/>
      </c>
    </row>
    <row r="1081" spans="1:9" ht="37.5" customHeight="1">
      <c r="A1081" s="177" t="s">
        <v>493</v>
      </c>
      <c r="B1081" s="178"/>
      <c r="C1081" s="179"/>
      <c r="D1081" s="179"/>
      <c r="E1081" s="178"/>
      <c r="F1081" s="178"/>
      <c r="G1081" s="176"/>
      <c r="H1081" s="192" t="str">
        <f t="shared" si="149"/>
        <v/>
      </c>
    </row>
    <row r="1082" spans="1:9" s="45" customFormat="1" ht="19.5" customHeight="1" thickBot="1">
      <c r="C1082" s="180" t="e">
        <f>DATEVALUE("2010-"&amp;$H$1&amp;"-"&amp;INDEX(凭证录入!B:B,H1085))</f>
        <v>#VALUE!</v>
      </c>
      <c r="D1082" s="181"/>
      <c r="E1082" s="182" t="s">
        <v>477</v>
      </c>
      <c r="F1082" s="183" t="e">
        <f>N(LEFT((F1070),3)+1)</f>
        <v>#VALUE!</v>
      </c>
      <c r="G1082" s="176"/>
      <c r="H1082" s="192" t="str">
        <f t="shared" si="149"/>
        <v/>
      </c>
      <c r="I1082" s="184"/>
    </row>
    <row r="1083" spans="1:9" s="45" customFormat="1" ht="19.5" customHeight="1" thickBot="1">
      <c r="A1083" s="544" t="s">
        <v>494</v>
      </c>
      <c r="B1083" s="545" t="s">
        <v>495</v>
      </c>
      <c r="C1083" s="185" t="s">
        <v>496</v>
      </c>
      <c r="D1083" s="186"/>
      <c r="E1083" s="187"/>
      <c r="F1083" s="188"/>
      <c r="G1083" s="176"/>
      <c r="H1083" s="192" t="str">
        <f t="shared" si="149"/>
        <v/>
      </c>
    </row>
    <row r="1084" spans="1:9" s="45" customFormat="1" ht="19.5" customHeight="1" thickBot="1">
      <c r="A1084" s="545"/>
      <c r="B1084" s="546"/>
      <c r="C1084" s="188" t="s">
        <v>497</v>
      </c>
      <c r="D1084" s="188" t="s">
        <v>498</v>
      </c>
      <c r="E1084" s="188" t="s">
        <v>499</v>
      </c>
      <c r="F1084" s="188" t="s">
        <v>500</v>
      </c>
      <c r="G1084" s="176"/>
      <c r="H1084" s="192" t="str">
        <f t="shared" si="149"/>
        <v/>
      </c>
    </row>
    <row r="1085" spans="1:9" s="45" customFormat="1" ht="19.5" customHeight="1" thickBot="1">
      <c r="A1085" s="189" t="str">
        <f>IFERROR(INDEX(凭证录入!H:H,$H1085),"")</f>
        <v/>
      </c>
      <c r="B1085" s="189" t="str">
        <f>IFERROR(INDEX(凭证录入!I:I,$H1085),"")</f>
        <v/>
      </c>
      <c r="C1085" s="190" t="str">
        <f>IFERROR(VLOOKUP($B1085,会计科目表!$A:$C,2,),"")</f>
        <v/>
      </c>
      <c r="D1085" s="190" t="str">
        <f>IFERROR(VLOOKUP($B1085,会计科目表!$A:$C,3,),"")</f>
        <v/>
      </c>
      <c r="E1085" s="191">
        <f>IFERROR(INDEX(凭证录入!K:K,$H1085),0)</f>
        <v>0</v>
      </c>
      <c r="F1085" s="191">
        <f>IFERROR(INDEX(凭证录入!L:L,$H1085),0)</f>
        <v>0</v>
      </c>
      <c r="G1085" s="176"/>
      <c r="H1085" s="192" t="str">
        <f t="shared" si="149"/>
        <v/>
      </c>
    </row>
    <row r="1086" spans="1:9" s="45" customFormat="1" ht="19.5" customHeight="1" thickBot="1">
      <c r="A1086" s="189" t="str">
        <f>IFERROR(INDEX(凭证录入!H:H,$H1086),"")</f>
        <v/>
      </c>
      <c r="B1086" s="189" t="str">
        <f>IFERROR(INDEX(凭证录入!I:I,$H1086),"")</f>
        <v/>
      </c>
      <c r="C1086" s="190" t="str">
        <f>IFERROR(VLOOKUP($B1086,会计科目表!$A:$C,2,),"")</f>
        <v/>
      </c>
      <c r="D1086" s="190" t="str">
        <f>IFERROR(VLOOKUP($B1086,会计科目表!$A:$C,3,),"")</f>
        <v/>
      </c>
      <c r="E1086" s="191">
        <f>IFERROR(INDEX(凭证录入!K:K,$H1086),0)</f>
        <v>0</v>
      </c>
      <c r="F1086" s="191">
        <f>IFERROR(INDEX(凭证录入!L:L,$H1086),0)</f>
        <v>0</v>
      </c>
      <c r="G1086" s="176" t="s">
        <v>490</v>
      </c>
      <c r="H1086" s="192" t="str">
        <f t="shared" si="149"/>
        <v/>
      </c>
      <c r="I1086" s="176"/>
    </row>
    <row r="1087" spans="1:9" s="45" customFormat="1" ht="19.5" customHeight="1" thickBot="1">
      <c r="A1087" s="189" t="str">
        <f>IFERROR(INDEX(凭证录入!H:H,$H1087),"")</f>
        <v/>
      </c>
      <c r="B1087" s="189" t="str">
        <f>IFERROR(INDEX(凭证录入!I:I,$H1087),"")</f>
        <v/>
      </c>
      <c r="C1087" s="190" t="str">
        <f>IFERROR(VLOOKUP($B1087,会计科目表!$A:$C,2,),"")</f>
        <v/>
      </c>
      <c r="D1087" s="190" t="str">
        <f>IFERROR(VLOOKUP($B1087,会计科目表!$A:$C,3,),"")</f>
        <v/>
      </c>
      <c r="E1087" s="191">
        <f>IFERROR(INDEX(凭证录入!K:K,$H1087),0)</f>
        <v>0</v>
      </c>
      <c r="F1087" s="191">
        <f>IFERROR(INDEX(凭证录入!L:L,$H1087),0)</f>
        <v>0</v>
      </c>
      <c r="G1087" s="176" t="s">
        <v>491</v>
      </c>
      <c r="H1087" s="192" t="str">
        <f t="shared" si="149"/>
        <v/>
      </c>
      <c r="I1087" s="176"/>
    </row>
    <row r="1088" spans="1:9" s="45" customFormat="1" ht="19.5" customHeight="1" thickBot="1">
      <c r="A1088" s="189" t="str">
        <f>IFERROR(INDEX(凭证录入!H:H,$H1088),"")</f>
        <v/>
      </c>
      <c r="B1088" s="189" t="str">
        <f>IFERROR(INDEX(凭证录入!I:I,$H1088),"")</f>
        <v/>
      </c>
      <c r="C1088" s="190" t="str">
        <f>IFERROR(VLOOKUP($B1088,会计科目表!$A:$C,2,),"")</f>
        <v/>
      </c>
      <c r="D1088" s="190" t="str">
        <f>IFERROR(VLOOKUP($B1088,会计科目表!$A:$C,3,),"")</f>
        <v/>
      </c>
      <c r="E1088" s="191">
        <f>IFERROR(INDEX(凭证录入!K:K,$H1088),0)</f>
        <v>0</v>
      </c>
      <c r="F1088" s="191">
        <f>IFERROR(INDEX(凭证录入!L:L,$H1088),0)</f>
        <v>0</v>
      </c>
      <c r="G1088" s="176" t="e">
        <f>INDEX(凭证录入!$D:$D,$H1085)</f>
        <v>#VALUE!</v>
      </c>
      <c r="H1088" s="192" t="str">
        <f t="shared" si="149"/>
        <v/>
      </c>
      <c r="I1088" s="176"/>
    </row>
    <row r="1089" spans="1:9" s="45" customFormat="1" ht="19.5" customHeight="1" thickBot="1">
      <c r="A1089" s="189" t="str">
        <f>IFERROR(INDEX(凭证录入!H:H,$H1089),"")</f>
        <v/>
      </c>
      <c r="B1089" s="189" t="str">
        <f>IFERROR(INDEX(凭证录入!I:I,$H1089),"")</f>
        <v/>
      </c>
      <c r="C1089" s="190" t="str">
        <f>IFERROR(VLOOKUP($B1089,会计科目表!$A:$C,2,),"")</f>
        <v/>
      </c>
      <c r="D1089" s="190" t="str">
        <f>IFERROR(VLOOKUP($B1089,会计科目表!$A:$C,3,),"")</f>
        <v/>
      </c>
      <c r="E1089" s="191">
        <f>IFERROR(INDEX(凭证录入!K:K,$H1089),0)</f>
        <v>0</v>
      </c>
      <c r="F1089" s="191">
        <f>IFERROR(INDEX(凭证录入!L:L,$H1089),0)</f>
        <v>0</v>
      </c>
      <c r="G1089" s="176" t="s">
        <v>492</v>
      </c>
      <c r="H1089" s="192" t="str">
        <f t="shared" si="149"/>
        <v/>
      </c>
    </row>
    <row r="1090" spans="1:9" s="45" customFormat="1" ht="19.5" customHeight="1" thickBot="1">
      <c r="A1090" s="189" t="str">
        <f>IFERROR(INDEX(凭证录入!H:H,$H1090),"")</f>
        <v/>
      </c>
      <c r="B1090" s="189" t="str">
        <f>IFERROR(INDEX(凭证录入!I:I,$H1090),"")</f>
        <v/>
      </c>
      <c r="C1090" s="190" t="str">
        <f>IFERROR(VLOOKUP($B1090,会计科目表!$A:$C,2,),"")</f>
        <v/>
      </c>
      <c r="D1090" s="190" t="str">
        <f>IFERROR(VLOOKUP($B1090,会计科目表!$A:$C,3,),"")</f>
        <v/>
      </c>
      <c r="E1090" s="191">
        <f>IFERROR(INDEX(凭证录入!K:K,$H1090),0)</f>
        <v>0</v>
      </c>
      <c r="F1090" s="191">
        <f>IFERROR(INDEX(凭证录入!L:L,$H1090),0)</f>
        <v>0</v>
      </c>
      <c r="G1090" s="176"/>
      <c r="H1090" s="192" t="str">
        <f t="shared" si="149"/>
        <v/>
      </c>
    </row>
    <row r="1091" spans="1:9" s="45" customFormat="1" ht="19.5" customHeight="1" thickBot="1">
      <c r="A1091" s="193"/>
      <c r="B1091" s="194" t="s">
        <v>485</v>
      </c>
      <c r="C1091" s="195" t="str">
        <f>SUBSTITUTE(SUBSTITUTE(IF(-DOLLAR(E1091),IF(E1091&gt;0,,"负")&amp;TEXT(INT(ABS(E1091)+0.5%),"[dbnum2]G/通用格式元;;")&amp;TEXT(RIGHT(DOLLAR(E1091),2),"[dbnum2]0角0分;;整"),),"零角",IF(E1091^2&lt;1,,"零")),"零分","整")</f>
        <v/>
      </c>
      <c r="D1091" s="196"/>
      <c r="E1091" s="197">
        <f>SUM(E1085:E1090)</f>
        <v>0</v>
      </c>
      <c r="F1091" s="197">
        <f>SUM(F1085:F1090)</f>
        <v>0</v>
      </c>
      <c r="G1091" s="176"/>
      <c r="H1091" s="192" t="str">
        <f t="shared" si="149"/>
        <v/>
      </c>
    </row>
    <row r="1092" spans="1:9" s="199" customFormat="1" ht="19.5" customHeight="1">
      <c r="A1092" s="45" t="s">
        <v>486</v>
      </c>
      <c r="B1092" s="45" t="s">
        <v>487</v>
      </c>
      <c r="C1092" s="45" t="s">
        <v>488</v>
      </c>
      <c r="D1092" s="45" t="s">
        <v>504</v>
      </c>
      <c r="E1092" s="45" t="s">
        <v>489</v>
      </c>
      <c r="F1092" s="176" t="str">
        <f>IF($E1091&lt;&gt;$F1091,"借贷不平","")</f>
        <v/>
      </c>
      <c r="G1092" s="183"/>
      <c r="H1092" s="198" t="str">
        <f t="shared" si="149"/>
        <v/>
      </c>
    </row>
    <row r="1093" spans="1:9" ht="37.5" customHeight="1">
      <c r="A1093" s="177" t="s">
        <v>493</v>
      </c>
      <c r="B1093" s="178"/>
      <c r="C1093" s="179"/>
      <c r="D1093" s="179"/>
      <c r="E1093" s="178"/>
      <c r="F1093" s="178"/>
      <c r="G1093" s="176"/>
      <c r="H1093" s="192" t="str">
        <f t="shared" ref="H1093:H1156" si="150">IFERROR(INDEX(行号,TEXT(MOD(ROW(),12)-4,"[=]A")),"")</f>
        <v/>
      </c>
    </row>
    <row r="1094" spans="1:9" s="45" customFormat="1" ht="19.5" customHeight="1" thickBot="1">
      <c r="C1094" s="180" t="e">
        <f>DATEVALUE("2010-"&amp;$H$1&amp;"-"&amp;INDEX(凭证录入!B:B,H1097))</f>
        <v>#VALUE!</v>
      </c>
      <c r="D1094" s="181"/>
      <c r="E1094" s="182" t="s">
        <v>477</v>
      </c>
      <c r="F1094" s="183" t="e">
        <f>N(LEFT((F1082),3)+1)</f>
        <v>#VALUE!</v>
      </c>
      <c r="G1094" s="176"/>
      <c r="H1094" s="192" t="str">
        <f t="shared" si="150"/>
        <v/>
      </c>
      <c r="I1094" s="184"/>
    </row>
    <row r="1095" spans="1:9" s="45" customFormat="1" ht="19.5" customHeight="1" thickBot="1">
      <c r="A1095" s="544" t="s">
        <v>494</v>
      </c>
      <c r="B1095" s="545" t="s">
        <v>495</v>
      </c>
      <c r="C1095" s="185" t="s">
        <v>496</v>
      </c>
      <c r="D1095" s="186"/>
      <c r="E1095" s="187"/>
      <c r="F1095" s="188"/>
      <c r="G1095" s="176"/>
      <c r="H1095" s="192" t="str">
        <f t="shared" si="150"/>
        <v/>
      </c>
    </row>
    <row r="1096" spans="1:9" s="45" customFormat="1" ht="19.5" customHeight="1" thickBot="1">
      <c r="A1096" s="545"/>
      <c r="B1096" s="546"/>
      <c r="C1096" s="188" t="s">
        <v>497</v>
      </c>
      <c r="D1096" s="188" t="s">
        <v>498</v>
      </c>
      <c r="E1096" s="188" t="s">
        <v>499</v>
      </c>
      <c r="F1096" s="188" t="s">
        <v>500</v>
      </c>
      <c r="G1096" s="176"/>
      <c r="H1096" s="192" t="str">
        <f t="shared" si="150"/>
        <v/>
      </c>
    </row>
    <row r="1097" spans="1:9" s="45" customFormat="1" ht="19.5" customHeight="1" thickBot="1">
      <c r="A1097" s="189" t="str">
        <f>IFERROR(INDEX(凭证录入!H:H,$H1097),"")</f>
        <v/>
      </c>
      <c r="B1097" s="189" t="str">
        <f>IFERROR(INDEX(凭证录入!I:I,$H1097),"")</f>
        <v/>
      </c>
      <c r="C1097" s="190" t="str">
        <f>IFERROR(VLOOKUP($B1097,会计科目表!$A:$C,2,),"")</f>
        <v/>
      </c>
      <c r="D1097" s="190" t="str">
        <f>IFERROR(VLOOKUP($B1097,会计科目表!$A:$C,3,),"")</f>
        <v/>
      </c>
      <c r="E1097" s="191">
        <f>IFERROR(INDEX(凭证录入!K:K,$H1097),0)</f>
        <v>0</v>
      </c>
      <c r="F1097" s="191">
        <f>IFERROR(INDEX(凭证录入!L:L,$H1097),0)</f>
        <v>0</v>
      </c>
      <c r="G1097" s="176"/>
      <c r="H1097" s="192" t="str">
        <f t="shared" si="150"/>
        <v/>
      </c>
    </row>
    <row r="1098" spans="1:9" s="45" customFormat="1" ht="19.5" customHeight="1" thickBot="1">
      <c r="A1098" s="189" t="str">
        <f>IFERROR(INDEX(凭证录入!H:H,$H1098),"")</f>
        <v/>
      </c>
      <c r="B1098" s="189" t="str">
        <f>IFERROR(INDEX(凭证录入!I:I,$H1098),"")</f>
        <v/>
      </c>
      <c r="C1098" s="190" t="str">
        <f>IFERROR(VLOOKUP($B1098,会计科目表!$A:$C,2,),"")</f>
        <v/>
      </c>
      <c r="D1098" s="190" t="str">
        <f>IFERROR(VLOOKUP($B1098,会计科目表!$A:$C,3,),"")</f>
        <v/>
      </c>
      <c r="E1098" s="191">
        <f>IFERROR(INDEX(凭证录入!K:K,$H1098),0)</f>
        <v>0</v>
      </c>
      <c r="F1098" s="191">
        <f>IFERROR(INDEX(凭证录入!L:L,$H1098),0)</f>
        <v>0</v>
      </c>
      <c r="G1098" s="176" t="s">
        <v>490</v>
      </c>
      <c r="H1098" s="192" t="str">
        <f t="shared" si="150"/>
        <v/>
      </c>
      <c r="I1098" s="176"/>
    </row>
    <row r="1099" spans="1:9" s="45" customFormat="1" ht="19.5" customHeight="1" thickBot="1">
      <c r="A1099" s="189" t="str">
        <f>IFERROR(INDEX(凭证录入!H:H,$H1099),"")</f>
        <v/>
      </c>
      <c r="B1099" s="189" t="str">
        <f>IFERROR(INDEX(凭证录入!I:I,$H1099),"")</f>
        <v/>
      </c>
      <c r="C1099" s="190" t="str">
        <f>IFERROR(VLOOKUP($B1099,会计科目表!$A:$C,2,),"")</f>
        <v/>
      </c>
      <c r="D1099" s="190" t="str">
        <f>IFERROR(VLOOKUP($B1099,会计科目表!$A:$C,3,),"")</f>
        <v/>
      </c>
      <c r="E1099" s="191">
        <f>IFERROR(INDEX(凭证录入!K:K,$H1099),0)</f>
        <v>0</v>
      </c>
      <c r="F1099" s="191">
        <f>IFERROR(INDEX(凭证录入!L:L,$H1099),0)</f>
        <v>0</v>
      </c>
      <c r="G1099" s="176" t="s">
        <v>491</v>
      </c>
      <c r="H1099" s="192" t="str">
        <f t="shared" si="150"/>
        <v/>
      </c>
      <c r="I1099" s="176"/>
    </row>
    <row r="1100" spans="1:9" s="45" customFormat="1" ht="19.5" customHeight="1" thickBot="1">
      <c r="A1100" s="189" t="str">
        <f>IFERROR(INDEX(凭证录入!H:H,$H1100),"")</f>
        <v/>
      </c>
      <c r="B1100" s="189" t="str">
        <f>IFERROR(INDEX(凭证录入!I:I,$H1100),"")</f>
        <v/>
      </c>
      <c r="C1100" s="190" t="str">
        <f>IFERROR(VLOOKUP($B1100,会计科目表!$A:$C,2,),"")</f>
        <v/>
      </c>
      <c r="D1100" s="190" t="str">
        <f>IFERROR(VLOOKUP($B1100,会计科目表!$A:$C,3,),"")</f>
        <v/>
      </c>
      <c r="E1100" s="191">
        <f>IFERROR(INDEX(凭证录入!K:K,$H1100),0)</f>
        <v>0</v>
      </c>
      <c r="F1100" s="191">
        <f>IFERROR(INDEX(凭证录入!L:L,$H1100),0)</f>
        <v>0</v>
      </c>
      <c r="G1100" s="176" t="e">
        <f>INDEX(凭证录入!$D:$D,$H1097)</f>
        <v>#VALUE!</v>
      </c>
      <c r="H1100" s="192" t="str">
        <f t="shared" si="150"/>
        <v/>
      </c>
      <c r="I1100" s="176"/>
    </row>
    <row r="1101" spans="1:9" s="45" customFormat="1" ht="19.5" customHeight="1" thickBot="1">
      <c r="A1101" s="189" t="str">
        <f>IFERROR(INDEX(凭证录入!H:H,$H1101),"")</f>
        <v/>
      </c>
      <c r="B1101" s="189" t="str">
        <f>IFERROR(INDEX(凭证录入!I:I,$H1101),"")</f>
        <v/>
      </c>
      <c r="C1101" s="190" t="str">
        <f>IFERROR(VLOOKUP($B1101,会计科目表!$A:$C,2,),"")</f>
        <v/>
      </c>
      <c r="D1101" s="190" t="str">
        <f>IFERROR(VLOOKUP($B1101,会计科目表!$A:$C,3,),"")</f>
        <v/>
      </c>
      <c r="E1101" s="191">
        <f>IFERROR(INDEX(凭证录入!K:K,$H1101),0)</f>
        <v>0</v>
      </c>
      <c r="F1101" s="191">
        <f>IFERROR(INDEX(凭证录入!L:L,$H1101),0)</f>
        <v>0</v>
      </c>
      <c r="G1101" s="176" t="s">
        <v>492</v>
      </c>
      <c r="H1101" s="192" t="str">
        <f t="shared" si="150"/>
        <v/>
      </c>
    </row>
    <row r="1102" spans="1:9" s="45" customFormat="1" ht="19.5" customHeight="1" thickBot="1">
      <c r="A1102" s="189" t="str">
        <f>IFERROR(INDEX(凭证录入!H:H,$H1102),"")</f>
        <v/>
      </c>
      <c r="B1102" s="189" t="str">
        <f>IFERROR(INDEX(凭证录入!I:I,$H1102),"")</f>
        <v/>
      </c>
      <c r="C1102" s="190" t="str">
        <f>IFERROR(VLOOKUP($B1102,会计科目表!$A:$C,2,),"")</f>
        <v/>
      </c>
      <c r="D1102" s="190" t="str">
        <f>IFERROR(VLOOKUP($B1102,会计科目表!$A:$C,3,),"")</f>
        <v/>
      </c>
      <c r="E1102" s="191">
        <f>IFERROR(INDEX(凭证录入!K:K,$H1102),0)</f>
        <v>0</v>
      </c>
      <c r="F1102" s="191">
        <f>IFERROR(INDEX(凭证录入!L:L,$H1102),0)</f>
        <v>0</v>
      </c>
      <c r="G1102" s="176"/>
      <c r="H1102" s="192" t="str">
        <f t="shared" si="150"/>
        <v/>
      </c>
    </row>
    <row r="1103" spans="1:9" s="45" customFormat="1" ht="19.5" customHeight="1" thickBot="1">
      <c r="A1103" s="193"/>
      <c r="B1103" s="194" t="s">
        <v>485</v>
      </c>
      <c r="C1103" s="195" t="str">
        <f>SUBSTITUTE(SUBSTITUTE(IF(-DOLLAR(E1103),IF(E1103&gt;0,,"负")&amp;TEXT(INT(ABS(E1103)+0.5%),"[dbnum2]G/通用格式元;;")&amp;TEXT(RIGHT(DOLLAR(E1103),2),"[dbnum2]0角0分;;整"),),"零角",IF(E1103^2&lt;1,,"零")),"零分","整")</f>
        <v/>
      </c>
      <c r="D1103" s="196"/>
      <c r="E1103" s="197">
        <f>SUM(E1097:E1102)</f>
        <v>0</v>
      </c>
      <c r="F1103" s="197">
        <f>SUM(F1097:F1102)</f>
        <v>0</v>
      </c>
      <c r="G1103" s="176"/>
      <c r="H1103" s="192" t="str">
        <f t="shared" si="150"/>
        <v/>
      </c>
    </row>
    <row r="1104" spans="1:9" s="199" customFormat="1" ht="19.5" customHeight="1">
      <c r="A1104" s="45" t="s">
        <v>486</v>
      </c>
      <c r="B1104" s="45" t="s">
        <v>487</v>
      </c>
      <c r="C1104" s="45" t="s">
        <v>488</v>
      </c>
      <c r="D1104" s="45" t="s">
        <v>504</v>
      </c>
      <c r="E1104" s="45" t="s">
        <v>489</v>
      </c>
      <c r="F1104" s="176" t="str">
        <f>IF($E1103&lt;&gt;$F1103,"借贷不平","")</f>
        <v/>
      </c>
      <c r="G1104" s="183"/>
      <c r="H1104" s="198" t="str">
        <f t="shared" si="150"/>
        <v/>
      </c>
    </row>
    <row r="1105" spans="1:9" ht="37.5" customHeight="1">
      <c r="A1105" s="204" t="s">
        <v>493</v>
      </c>
      <c r="B1105" s="205"/>
      <c r="C1105" s="206"/>
      <c r="D1105" s="206"/>
      <c r="E1105" s="205"/>
      <c r="F1105" s="205"/>
      <c r="G1105" s="203"/>
      <c r="H1105" s="192" t="str">
        <f t="shared" si="150"/>
        <v/>
      </c>
    </row>
    <row r="1106" spans="1:9" s="45" customFormat="1" ht="19.5" customHeight="1" thickBot="1">
      <c r="C1106" s="207" t="e">
        <f>DATEVALUE("2010-"&amp;$H$1&amp;"-"&amp;INDEX(凭证录入!B:B,H1109))</f>
        <v>#VALUE!</v>
      </c>
      <c r="D1106" s="208"/>
      <c r="E1106" s="182" t="s">
        <v>477</v>
      </c>
      <c r="F1106" s="183" t="e">
        <f>N(LEFT((F1094),3)+1)</f>
        <v>#VALUE!</v>
      </c>
      <c r="G1106" s="203"/>
      <c r="H1106" s="192" t="str">
        <f t="shared" si="150"/>
        <v/>
      </c>
      <c r="I1106" s="184"/>
    </row>
    <row r="1107" spans="1:9" s="45" customFormat="1" ht="19.5" customHeight="1" thickBot="1">
      <c r="A1107" s="547" t="s">
        <v>494</v>
      </c>
      <c r="B1107" s="549" t="s">
        <v>495</v>
      </c>
      <c r="C1107" s="209" t="s">
        <v>496</v>
      </c>
      <c r="D1107" s="210"/>
      <c r="E1107" s="187"/>
      <c r="F1107" s="202"/>
      <c r="G1107" s="203"/>
      <c r="H1107" s="192" t="str">
        <f t="shared" si="150"/>
        <v/>
      </c>
    </row>
    <row r="1108" spans="1:9" s="45" customFormat="1" ht="19.5" customHeight="1" thickBot="1">
      <c r="A1108" s="548"/>
      <c r="B1108" s="550"/>
      <c r="C1108" s="202" t="s">
        <v>497</v>
      </c>
      <c r="D1108" s="202" t="s">
        <v>498</v>
      </c>
      <c r="E1108" s="202" t="s">
        <v>499</v>
      </c>
      <c r="F1108" s="202" t="s">
        <v>500</v>
      </c>
      <c r="G1108" s="203"/>
      <c r="H1108" s="192" t="str">
        <f t="shared" si="150"/>
        <v/>
      </c>
    </row>
    <row r="1109" spans="1:9" s="45" customFormat="1" ht="19.5" customHeight="1" thickBot="1">
      <c r="A1109" s="189" t="str">
        <f>IFERROR(INDEX(凭证录入!H:H,$H1109),"")</f>
        <v/>
      </c>
      <c r="B1109" s="189" t="str">
        <f>IFERROR(INDEX(凭证录入!I:I,$H1109),"")</f>
        <v/>
      </c>
      <c r="C1109" s="190" t="str">
        <f>IFERROR(VLOOKUP($B1109,会计科目表!$A:$C,2,),"")</f>
        <v/>
      </c>
      <c r="D1109" s="190" t="str">
        <f>IFERROR(VLOOKUP($B1109,会计科目表!$A:$C,3,),"")</f>
        <v/>
      </c>
      <c r="E1109" s="191">
        <f>IFERROR(INDEX(凭证录入!K:K,$H1109),0)</f>
        <v>0</v>
      </c>
      <c r="F1109" s="191">
        <f>IFERROR(INDEX(凭证录入!L:L,$H1109),0)</f>
        <v>0</v>
      </c>
      <c r="G1109" s="203"/>
      <c r="H1109" s="192" t="str">
        <f t="shared" si="150"/>
        <v/>
      </c>
    </row>
    <row r="1110" spans="1:9" s="45" customFormat="1" ht="19.5" customHeight="1" thickBot="1">
      <c r="A1110" s="189" t="str">
        <f>IFERROR(INDEX(凭证录入!H:H,$H1110),"")</f>
        <v/>
      </c>
      <c r="B1110" s="189" t="str">
        <f>IFERROR(INDEX(凭证录入!I:I,$H1110),"")</f>
        <v/>
      </c>
      <c r="C1110" s="190" t="str">
        <f>IFERROR(VLOOKUP($B1110,会计科目表!$A:$C,2,),"")</f>
        <v/>
      </c>
      <c r="D1110" s="190" t="str">
        <f>IFERROR(VLOOKUP($B1110,会计科目表!$A:$C,3,),"")</f>
        <v/>
      </c>
      <c r="E1110" s="191">
        <f>IFERROR(INDEX(凭证录入!K:K,$H1110),0)</f>
        <v>0</v>
      </c>
      <c r="F1110" s="191">
        <f>IFERROR(INDEX(凭证录入!L:L,$H1110),0)</f>
        <v>0</v>
      </c>
      <c r="G1110" s="203" t="s">
        <v>490</v>
      </c>
      <c r="H1110" s="192" t="str">
        <f t="shared" si="150"/>
        <v/>
      </c>
      <c r="I1110" s="203"/>
    </row>
    <row r="1111" spans="1:9" s="45" customFormat="1" ht="19.5" customHeight="1" thickBot="1">
      <c r="A1111" s="189" t="str">
        <f>IFERROR(INDEX(凭证录入!H:H,$H1111),"")</f>
        <v/>
      </c>
      <c r="B1111" s="189" t="str">
        <f>IFERROR(INDEX(凭证录入!I:I,$H1111),"")</f>
        <v/>
      </c>
      <c r="C1111" s="190" t="str">
        <f>IFERROR(VLOOKUP($B1111,会计科目表!$A:$C,2,),"")</f>
        <v/>
      </c>
      <c r="D1111" s="190" t="str">
        <f>IFERROR(VLOOKUP($B1111,会计科目表!$A:$C,3,),"")</f>
        <v/>
      </c>
      <c r="E1111" s="191">
        <f>IFERROR(INDEX(凭证录入!K:K,$H1111),0)</f>
        <v>0</v>
      </c>
      <c r="F1111" s="191">
        <f>IFERROR(INDEX(凭证录入!L:L,$H1111),0)</f>
        <v>0</v>
      </c>
      <c r="G1111" s="203" t="s">
        <v>491</v>
      </c>
      <c r="H1111" s="192" t="str">
        <f t="shared" si="150"/>
        <v/>
      </c>
      <c r="I1111" s="203"/>
    </row>
    <row r="1112" spans="1:9" s="45" customFormat="1" ht="19.5" customHeight="1" thickBot="1">
      <c r="A1112" s="189" t="str">
        <f>IFERROR(INDEX(凭证录入!H:H,$H1112),"")</f>
        <v/>
      </c>
      <c r="B1112" s="189" t="str">
        <f>IFERROR(INDEX(凭证录入!I:I,$H1112),"")</f>
        <v/>
      </c>
      <c r="C1112" s="190" t="str">
        <f>IFERROR(VLOOKUP($B1112,会计科目表!$A:$C,2,),"")</f>
        <v/>
      </c>
      <c r="D1112" s="190" t="str">
        <f>IFERROR(VLOOKUP($B1112,会计科目表!$A:$C,3,),"")</f>
        <v/>
      </c>
      <c r="E1112" s="191">
        <f>IFERROR(INDEX(凭证录入!K:K,$H1112),0)</f>
        <v>0</v>
      </c>
      <c r="F1112" s="191">
        <f>IFERROR(INDEX(凭证录入!L:L,$H1112),0)</f>
        <v>0</v>
      </c>
      <c r="G1112" s="203" t="e">
        <f>INDEX(凭证录入!$D:$D,$H1109)</f>
        <v>#VALUE!</v>
      </c>
      <c r="H1112" s="192" t="str">
        <f t="shared" si="150"/>
        <v/>
      </c>
      <c r="I1112" s="203"/>
    </row>
    <row r="1113" spans="1:9" s="45" customFormat="1" ht="19.5" customHeight="1" thickBot="1">
      <c r="A1113" s="189" t="str">
        <f>IFERROR(INDEX(凭证录入!H:H,$H1113),"")</f>
        <v/>
      </c>
      <c r="B1113" s="189" t="str">
        <f>IFERROR(INDEX(凭证录入!I:I,$H1113),"")</f>
        <v/>
      </c>
      <c r="C1113" s="190" t="str">
        <f>IFERROR(VLOOKUP($B1113,会计科目表!$A:$C,2,),"")</f>
        <v/>
      </c>
      <c r="D1113" s="190" t="str">
        <f>IFERROR(VLOOKUP($B1113,会计科目表!$A:$C,3,),"")</f>
        <v/>
      </c>
      <c r="E1113" s="191">
        <f>IFERROR(INDEX(凭证录入!K:K,$H1113),0)</f>
        <v>0</v>
      </c>
      <c r="F1113" s="191">
        <f>IFERROR(INDEX(凭证录入!L:L,$H1113),0)</f>
        <v>0</v>
      </c>
      <c r="G1113" s="203" t="s">
        <v>492</v>
      </c>
      <c r="H1113" s="192" t="str">
        <f t="shared" si="150"/>
        <v/>
      </c>
    </row>
    <row r="1114" spans="1:9" s="45" customFormat="1" ht="19.5" customHeight="1" thickBot="1">
      <c r="A1114" s="189" t="str">
        <f>IFERROR(INDEX(凭证录入!H:H,$H1114),"")</f>
        <v/>
      </c>
      <c r="B1114" s="189" t="str">
        <f>IFERROR(INDEX(凭证录入!I:I,$H1114),"")</f>
        <v/>
      </c>
      <c r="C1114" s="190" t="str">
        <f>IFERROR(VLOOKUP($B1114,会计科目表!$A:$C,2,),"")</f>
        <v/>
      </c>
      <c r="D1114" s="190" t="str">
        <f>IFERROR(VLOOKUP($B1114,会计科目表!$A:$C,3,),"")</f>
        <v/>
      </c>
      <c r="E1114" s="191">
        <f>IFERROR(INDEX(凭证录入!K:K,$H1114),0)</f>
        <v>0</v>
      </c>
      <c r="F1114" s="191">
        <f>IFERROR(INDEX(凭证录入!L:L,$H1114),0)</f>
        <v>0</v>
      </c>
      <c r="G1114" s="203"/>
      <c r="H1114" s="192" t="str">
        <f t="shared" si="150"/>
        <v/>
      </c>
    </row>
    <row r="1115" spans="1:9" s="45" customFormat="1" ht="19.5" customHeight="1" thickBot="1">
      <c r="A1115" s="193"/>
      <c r="B1115" s="194" t="s">
        <v>485</v>
      </c>
      <c r="C1115" s="195" t="str">
        <f>SUBSTITUTE(SUBSTITUTE(IF(-DOLLAR(E1115),IF(E1115&gt;0,,"负")&amp;TEXT(INT(ABS(E1115)+0.5%),"[dbnum2]G/通用格式元;;")&amp;TEXT(RIGHT(DOLLAR(E1115),2),"[dbnum2]0角0分;;整"),),"零角",IF(E1115^2&lt;1,,"零")),"零分","整")</f>
        <v/>
      </c>
      <c r="D1115" s="196"/>
      <c r="E1115" s="197">
        <f>SUM(E1109:E1114)</f>
        <v>0</v>
      </c>
      <c r="F1115" s="197">
        <f>SUM(F1109:F1114)</f>
        <v>0</v>
      </c>
      <c r="G1115" s="203"/>
      <c r="H1115" s="192" t="str">
        <f t="shared" si="150"/>
        <v/>
      </c>
    </row>
    <row r="1116" spans="1:9" s="199" customFormat="1" ht="19.5" customHeight="1">
      <c r="A1116" s="45" t="s">
        <v>486</v>
      </c>
      <c r="B1116" s="45" t="s">
        <v>487</v>
      </c>
      <c r="C1116" s="45" t="s">
        <v>488</v>
      </c>
      <c r="D1116" s="45" t="s">
        <v>504</v>
      </c>
      <c r="E1116" s="45" t="s">
        <v>489</v>
      </c>
      <c r="F1116" s="203" t="str">
        <f>IF($E1115&lt;&gt;$F1115,"借贷不平","")</f>
        <v/>
      </c>
      <c r="G1116" s="183"/>
      <c r="H1116" s="198" t="str">
        <f t="shared" si="150"/>
        <v/>
      </c>
    </row>
    <row r="1117" spans="1:9" ht="37.5" customHeight="1">
      <c r="A1117" s="177" t="s">
        <v>493</v>
      </c>
      <c r="B1117" s="178"/>
      <c r="C1117" s="179"/>
      <c r="D1117" s="179"/>
      <c r="E1117" s="178"/>
      <c r="F1117" s="178"/>
      <c r="G1117" s="176"/>
      <c r="H1117" s="192" t="str">
        <f t="shared" si="150"/>
        <v/>
      </c>
    </row>
    <row r="1118" spans="1:9" s="45" customFormat="1" ht="19.5" customHeight="1" thickBot="1">
      <c r="C1118" s="180" t="e">
        <f>DATEVALUE("2010-"&amp;$H$1&amp;"-"&amp;INDEX(凭证录入!B:B,H1121))</f>
        <v>#VALUE!</v>
      </c>
      <c r="D1118" s="181"/>
      <c r="E1118" s="182" t="s">
        <v>477</v>
      </c>
      <c r="F1118" s="183" t="e">
        <f>N(LEFT((F1106),3)+1)</f>
        <v>#VALUE!</v>
      </c>
      <c r="G1118" s="176"/>
      <c r="H1118" s="192" t="str">
        <f t="shared" si="150"/>
        <v/>
      </c>
      <c r="I1118" s="184"/>
    </row>
    <row r="1119" spans="1:9" s="45" customFormat="1" ht="19.5" customHeight="1" thickBot="1">
      <c r="A1119" s="544" t="s">
        <v>494</v>
      </c>
      <c r="B1119" s="545" t="s">
        <v>495</v>
      </c>
      <c r="C1119" s="185" t="s">
        <v>496</v>
      </c>
      <c r="D1119" s="186"/>
      <c r="E1119" s="187"/>
      <c r="F1119" s="188"/>
      <c r="G1119" s="176"/>
      <c r="H1119" s="192" t="str">
        <f t="shared" si="150"/>
        <v/>
      </c>
    </row>
    <row r="1120" spans="1:9" s="45" customFormat="1" ht="19.5" customHeight="1" thickBot="1">
      <c r="A1120" s="545"/>
      <c r="B1120" s="546"/>
      <c r="C1120" s="188" t="s">
        <v>497</v>
      </c>
      <c r="D1120" s="188" t="s">
        <v>498</v>
      </c>
      <c r="E1120" s="188" t="s">
        <v>499</v>
      </c>
      <c r="F1120" s="188" t="s">
        <v>500</v>
      </c>
      <c r="G1120" s="176"/>
      <c r="H1120" s="192" t="str">
        <f t="shared" si="150"/>
        <v/>
      </c>
    </row>
    <row r="1121" spans="1:9" s="45" customFormat="1" ht="19.5" customHeight="1" thickBot="1">
      <c r="A1121" s="189" t="str">
        <f>IFERROR(INDEX(凭证录入!H:H,$H1121),"")</f>
        <v/>
      </c>
      <c r="B1121" s="189" t="str">
        <f>IFERROR(INDEX(凭证录入!I:I,$H1121),"")</f>
        <v/>
      </c>
      <c r="C1121" s="190" t="str">
        <f>IFERROR(VLOOKUP($B1121,会计科目表!$A:$C,2,),"")</f>
        <v/>
      </c>
      <c r="D1121" s="190" t="str">
        <f>IFERROR(VLOOKUP($B1121,会计科目表!$A:$C,3,),"")</f>
        <v/>
      </c>
      <c r="E1121" s="191">
        <f>IFERROR(INDEX(凭证录入!K:K,$H1121),0)</f>
        <v>0</v>
      </c>
      <c r="F1121" s="191">
        <f>IFERROR(INDEX(凭证录入!L:L,$H1121),0)</f>
        <v>0</v>
      </c>
      <c r="G1121" s="176"/>
      <c r="H1121" s="192" t="str">
        <f t="shared" si="150"/>
        <v/>
      </c>
    </row>
    <row r="1122" spans="1:9" s="45" customFormat="1" ht="19.5" customHeight="1" thickBot="1">
      <c r="A1122" s="189" t="str">
        <f>IFERROR(INDEX(凭证录入!H:H,$H1122),"")</f>
        <v/>
      </c>
      <c r="B1122" s="189" t="str">
        <f>IFERROR(INDEX(凭证录入!I:I,$H1122),"")</f>
        <v/>
      </c>
      <c r="C1122" s="190" t="str">
        <f>IFERROR(VLOOKUP($B1122,会计科目表!$A:$C,2,),"")</f>
        <v/>
      </c>
      <c r="D1122" s="190" t="str">
        <f>IFERROR(VLOOKUP($B1122,会计科目表!$A:$C,3,),"")</f>
        <v/>
      </c>
      <c r="E1122" s="191">
        <f>IFERROR(INDEX(凭证录入!K:K,$H1122),0)</f>
        <v>0</v>
      </c>
      <c r="F1122" s="191">
        <f>IFERROR(INDEX(凭证录入!L:L,$H1122),0)</f>
        <v>0</v>
      </c>
      <c r="G1122" s="176" t="s">
        <v>490</v>
      </c>
      <c r="H1122" s="192" t="str">
        <f t="shared" si="150"/>
        <v/>
      </c>
      <c r="I1122" s="176"/>
    </row>
    <row r="1123" spans="1:9" s="45" customFormat="1" ht="19.5" customHeight="1" thickBot="1">
      <c r="A1123" s="189" t="str">
        <f>IFERROR(INDEX(凭证录入!H:H,$H1123),"")</f>
        <v/>
      </c>
      <c r="B1123" s="189" t="str">
        <f>IFERROR(INDEX(凭证录入!I:I,$H1123),"")</f>
        <v/>
      </c>
      <c r="C1123" s="190" t="str">
        <f>IFERROR(VLOOKUP($B1123,会计科目表!$A:$C,2,),"")</f>
        <v/>
      </c>
      <c r="D1123" s="190" t="str">
        <f>IFERROR(VLOOKUP($B1123,会计科目表!$A:$C,3,),"")</f>
        <v/>
      </c>
      <c r="E1123" s="191">
        <f>IFERROR(INDEX(凭证录入!K:K,$H1123),0)</f>
        <v>0</v>
      </c>
      <c r="F1123" s="191">
        <f>IFERROR(INDEX(凭证录入!L:L,$H1123),0)</f>
        <v>0</v>
      </c>
      <c r="G1123" s="176" t="s">
        <v>491</v>
      </c>
      <c r="H1123" s="192" t="str">
        <f t="shared" si="150"/>
        <v/>
      </c>
      <c r="I1123" s="176"/>
    </row>
    <row r="1124" spans="1:9" s="45" customFormat="1" ht="19.5" customHeight="1" thickBot="1">
      <c r="A1124" s="189" t="str">
        <f>IFERROR(INDEX(凭证录入!H:H,$H1124),"")</f>
        <v/>
      </c>
      <c r="B1124" s="189" t="str">
        <f>IFERROR(INDEX(凭证录入!I:I,$H1124),"")</f>
        <v/>
      </c>
      <c r="C1124" s="190" t="str">
        <f>IFERROR(VLOOKUP($B1124,会计科目表!$A:$C,2,),"")</f>
        <v/>
      </c>
      <c r="D1124" s="190" t="str">
        <f>IFERROR(VLOOKUP($B1124,会计科目表!$A:$C,3,),"")</f>
        <v/>
      </c>
      <c r="E1124" s="191">
        <f>IFERROR(INDEX(凭证录入!K:K,$H1124),0)</f>
        <v>0</v>
      </c>
      <c r="F1124" s="191">
        <f>IFERROR(INDEX(凭证录入!L:L,$H1124),0)</f>
        <v>0</v>
      </c>
      <c r="G1124" s="176" t="e">
        <f>INDEX(凭证录入!$D:$D,$H1121)</f>
        <v>#VALUE!</v>
      </c>
      <c r="H1124" s="192" t="str">
        <f t="shared" si="150"/>
        <v/>
      </c>
      <c r="I1124" s="176"/>
    </row>
    <row r="1125" spans="1:9" s="45" customFormat="1" ht="19.5" customHeight="1" thickBot="1">
      <c r="A1125" s="189" t="str">
        <f>IFERROR(INDEX(凭证录入!H:H,$H1125),"")</f>
        <v/>
      </c>
      <c r="B1125" s="189" t="str">
        <f>IFERROR(INDEX(凭证录入!I:I,$H1125),"")</f>
        <v/>
      </c>
      <c r="C1125" s="190" t="str">
        <f>IFERROR(VLOOKUP($B1125,会计科目表!$A:$C,2,),"")</f>
        <v/>
      </c>
      <c r="D1125" s="190" t="str">
        <f>IFERROR(VLOOKUP($B1125,会计科目表!$A:$C,3,),"")</f>
        <v/>
      </c>
      <c r="E1125" s="191">
        <f>IFERROR(INDEX(凭证录入!K:K,$H1125),0)</f>
        <v>0</v>
      </c>
      <c r="F1125" s="191">
        <f>IFERROR(INDEX(凭证录入!L:L,$H1125),0)</f>
        <v>0</v>
      </c>
      <c r="G1125" s="176" t="s">
        <v>492</v>
      </c>
      <c r="H1125" s="192" t="str">
        <f t="shared" si="150"/>
        <v/>
      </c>
    </row>
    <row r="1126" spans="1:9" s="45" customFormat="1" ht="19.5" customHeight="1" thickBot="1">
      <c r="A1126" s="189" t="str">
        <f>IFERROR(INDEX(凭证录入!H:H,$H1126),"")</f>
        <v/>
      </c>
      <c r="B1126" s="189" t="str">
        <f>IFERROR(INDEX(凭证录入!I:I,$H1126),"")</f>
        <v/>
      </c>
      <c r="C1126" s="190" t="str">
        <f>IFERROR(VLOOKUP($B1126,会计科目表!$A:$C,2,),"")</f>
        <v/>
      </c>
      <c r="D1126" s="190" t="str">
        <f>IFERROR(VLOOKUP($B1126,会计科目表!$A:$C,3,),"")</f>
        <v/>
      </c>
      <c r="E1126" s="191">
        <f>IFERROR(INDEX(凭证录入!K:K,$H1126),0)</f>
        <v>0</v>
      </c>
      <c r="F1126" s="191">
        <f>IFERROR(INDEX(凭证录入!L:L,$H1126),0)</f>
        <v>0</v>
      </c>
      <c r="G1126" s="176"/>
      <c r="H1126" s="192" t="str">
        <f t="shared" si="150"/>
        <v/>
      </c>
    </row>
    <row r="1127" spans="1:9" s="45" customFormat="1" ht="19.5" customHeight="1" thickBot="1">
      <c r="A1127" s="193"/>
      <c r="B1127" s="194" t="s">
        <v>485</v>
      </c>
      <c r="C1127" s="195" t="str">
        <f>SUBSTITUTE(SUBSTITUTE(IF(-DOLLAR(E1127),IF(E1127&gt;0,,"负")&amp;TEXT(INT(ABS(E1127)+0.5%),"[dbnum2]G/通用格式元;;")&amp;TEXT(RIGHT(DOLLAR(E1127),2),"[dbnum2]0角0分;;整"),),"零角",IF(E1127^2&lt;1,,"零")),"零分","整")</f>
        <v/>
      </c>
      <c r="D1127" s="196"/>
      <c r="E1127" s="197">
        <f>SUM(E1121:E1126)</f>
        <v>0</v>
      </c>
      <c r="F1127" s="197">
        <f>SUM(F1121:F1126)</f>
        <v>0</v>
      </c>
      <c r="G1127" s="176"/>
      <c r="H1127" s="192" t="str">
        <f t="shared" si="150"/>
        <v/>
      </c>
    </row>
    <row r="1128" spans="1:9" s="199" customFormat="1" ht="19.5" customHeight="1">
      <c r="A1128" s="45" t="s">
        <v>486</v>
      </c>
      <c r="B1128" s="45" t="s">
        <v>487</v>
      </c>
      <c r="C1128" s="45" t="s">
        <v>488</v>
      </c>
      <c r="D1128" s="45" t="s">
        <v>504</v>
      </c>
      <c r="E1128" s="45" t="s">
        <v>489</v>
      </c>
      <c r="F1128" s="176" t="str">
        <f>IF($E1127&lt;&gt;$F1127,"借贷不平","")</f>
        <v/>
      </c>
      <c r="G1128" s="183"/>
      <c r="H1128" s="198" t="str">
        <f t="shared" si="150"/>
        <v/>
      </c>
    </row>
    <row r="1129" spans="1:9" ht="37.5" customHeight="1">
      <c r="A1129" s="177" t="s">
        <v>493</v>
      </c>
      <c r="B1129" s="178"/>
      <c r="C1129" s="179"/>
      <c r="D1129" s="179"/>
      <c r="E1129" s="178"/>
      <c r="F1129" s="178"/>
      <c r="G1129" s="176"/>
      <c r="H1129" s="192" t="str">
        <f t="shared" si="150"/>
        <v/>
      </c>
    </row>
    <row r="1130" spans="1:9" s="45" customFormat="1" ht="19.5" customHeight="1" thickBot="1">
      <c r="C1130" s="180" t="e">
        <f>DATEVALUE("2010-"&amp;$H$1&amp;"-"&amp;INDEX(凭证录入!B:B,H1133))</f>
        <v>#VALUE!</v>
      </c>
      <c r="D1130" s="181"/>
      <c r="E1130" s="182" t="s">
        <v>477</v>
      </c>
      <c r="F1130" s="183" t="e">
        <f>N(LEFT((F1118),3)+1)</f>
        <v>#VALUE!</v>
      </c>
      <c r="G1130" s="176"/>
      <c r="H1130" s="192" t="str">
        <f t="shared" si="150"/>
        <v/>
      </c>
      <c r="I1130" s="184"/>
    </row>
    <row r="1131" spans="1:9" s="45" customFormat="1" ht="19.5" customHeight="1" thickBot="1">
      <c r="A1131" s="544" t="s">
        <v>494</v>
      </c>
      <c r="B1131" s="545" t="s">
        <v>495</v>
      </c>
      <c r="C1131" s="185" t="s">
        <v>496</v>
      </c>
      <c r="D1131" s="186"/>
      <c r="E1131" s="187"/>
      <c r="F1131" s="188"/>
      <c r="G1131" s="176"/>
      <c r="H1131" s="192" t="str">
        <f t="shared" si="150"/>
        <v/>
      </c>
    </row>
    <row r="1132" spans="1:9" s="45" customFormat="1" ht="19.5" customHeight="1" thickBot="1">
      <c r="A1132" s="545"/>
      <c r="B1132" s="546"/>
      <c r="C1132" s="188" t="s">
        <v>497</v>
      </c>
      <c r="D1132" s="188" t="s">
        <v>498</v>
      </c>
      <c r="E1132" s="188" t="s">
        <v>499</v>
      </c>
      <c r="F1132" s="188" t="s">
        <v>500</v>
      </c>
      <c r="G1132" s="176"/>
      <c r="H1132" s="192" t="str">
        <f t="shared" si="150"/>
        <v/>
      </c>
    </row>
    <row r="1133" spans="1:9" s="45" customFormat="1" ht="19.5" customHeight="1" thickBot="1">
      <c r="A1133" s="189" t="str">
        <f>IFERROR(INDEX(凭证录入!H:H,$H1133),"")</f>
        <v/>
      </c>
      <c r="B1133" s="189" t="str">
        <f>IFERROR(INDEX(凭证录入!I:I,$H1133),"")</f>
        <v/>
      </c>
      <c r="C1133" s="190" t="str">
        <f>IFERROR(VLOOKUP($B1133,会计科目表!$A:$C,2,),"")</f>
        <v/>
      </c>
      <c r="D1133" s="190" t="str">
        <f>IFERROR(VLOOKUP($B1133,会计科目表!$A:$C,3,),"")</f>
        <v/>
      </c>
      <c r="E1133" s="191">
        <f>IFERROR(INDEX(凭证录入!K:K,$H1133),0)</f>
        <v>0</v>
      </c>
      <c r="F1133" s="191">
        <f>IFERROR(INDEX(凭证录入!L:L,$H1133),0)</f>
        <v>0</v>
      </c>
      <c r="G1133" s="176"/>
      <c r="H1133" s="192" t="str">
        <f t="shared" si="150"/>
        <v/>
      </c>
    </row>
    <row r="1134" spans="1:9" s="45" customFormat="1" ht="19.5" customHeight="1" thickBot="1">
      <c r="A1134" s="189" t="str">
        <f>IFERROR(INDEX(凭证录入!H:H,$H1134),"")</f>
        <v/>
      </c>
      <c r="B1134" s="189" t="str">
        <f>IFERROR(INDEX(凭证录入!I:I,$H1134),"")</f>
        <v/>
      </c>
      <c r="C1134" s="190" t="str">
        <f>IFERROR(VLOOKUP($B1134,会计科目表!$A:$C,2,),"")</f>
        <v/>
      </c>
      <c r="D1134" s="190" t="str">
        <f>IFERROR(VLOOKUP($B1134,会计科目表!$A:$C,3,),"")</f>
        <v/>
      </c>
      <c r="E1134" s="191">
        <f>IFERROR(INDEX(凭证录入!K:K,$H1134),0)</f>
        <v>0</v>
      </c>
      <c r="F1134" s="191">
        <f>IFERROR(INDEX(凭证录入!L:L,$H1134),0)</f>
        <v>0</v>
      </c>
      <c r="G1134" s="176" t="s">
        <v>490</v>
      </c>
      <c r="H1134" s="192" t="str">
        <f t="shared" si="150"/>
        <v/>
      </c>
      <c r="I1134" s="176"/>
    </row>
    <row r="1135" spans="1:9" s="45" customFormat="1" ht="19.5" customHeight="1" thickBot="1">
      <c r="A1135" s="189" t="str">
        <f>IFERROR(INDEX(凭证录入!H:H,$H1135),"")</f>
        <v/>
      </c>
      <c r="B1135" s="189" t="str">
        <f>IFERROR(INDEX(凭证录入!I:I,$H1135),"")</f>
        <v/>
      </c>
      <c r="C1135" s="190" t="str">
        <f>IFERROR(VLOOKUP($B1135,会计科目表!$A:$C,2,),"")</f>
        <v/>
      </c>
      <c r="D1135" s="190" t="str">
        <f>IFERROR(VLOOKUP($B1135,会计科目表!$A:$C,3,),"")</f>
        <v/>
      </c>
      <c r="E1135" s="191">
        <f>IFERROR(INDEX(凭证录入!K:K,$H1135),0)</f>
        <v>0</v>
      </c>
      <c r="F1135" s="191">
        <f>IFERROR(INDEX(凭证录入!L:L,$H1135),0)</f>
        <v>0</v>
      </c>
      <c r="G1135" s="176" t="s">
        <v>491</v>
      </c>
      <c r="H1135" s="192" t="str">
        <f t="shared" si="150"/>
        <v/>
      </c>
      <c r="I1135" s="176"/>
    </row>
    <row r="1136" spans="1:9" s="45" customFormat="1" ht="19.5" customHeight="1" thickBot="1">
      <c r="A1136" s="189" t="str">
        <f>IFERROR(INDEX(凭证录入!H:H,$H1136),"")</f>
        <v/>
      </c>
      <c r="B1136" s="189" t="str">
        <f>IFERROR(INDEX(凭证录入!I:I,$H1136),"")</f>
        <v/>
      </c>
      <c r="C1136" s="190" t="str">
        <f>IFERROR(VLOOKUP($B1136,会计科目表!$A:$C,2,),"")</f>
        <v/>
      </c>
      <c r="D1136" s="190" t="str">
        <f>IFERROR(VLOOKUP($B1136,会计科目表!$A:$C,3,),"")</f>
        <v/>
      </c>
      <c r="E1136" s="191">
        <f>IFERROR(INDEX(凭证录入!K:K,$H1136),0)</f>
        <v>0</v>
      </c>
      <c r="F1136" s="191">
        <f>IFERROR(INDEX(凭证录入!L:L,$H1136),0)</f>
        <v>0</v>
      </c>
      <c r="G1136" s="176" t="e">
        <f>INDEX(凭证录入!$D:$D,$H1133)</f>
        <v>#VALUE!</v>
      </c>
      <c r="H1136" s="192" t="str">
        <f t="shared" si="150"/>
        <v/>
      </c>
      <c r="I1136" s="176"/>
    </row>
    <row r="1137" spans="1:9" s="45" customFormat="1" ht="19.5" customHeight="1" thickBot="1">
      <c r="A1137" s="189" t="str">
        <f>IFERROR(INDEX(凭证录入!H:H,$H1137),"")</f>
        <v/>
      </c>
      <c r="B1137" s="189" t="str">
        <f>IFERROR(INDEX(凭证录入!I:I,$H1137),"")</f>
        <v/>
      </c>
      <c r="C1137" s="190" t="str">
        <f>IFERROR(VLOOKUP($B1137,会计科目表!$A:$C,2,),"")</f>
        <v/>
      </c>
      <c r="D1137" s="190" t="str">
        <f>IFERROR(VLOOKUP($B1137,会计科目表!$A:$C,3,),"")</f>
        <v/>
      </c>
      <c r="E1137" s="191">
        <f>IFERROR(INDEX(凭证录入!K:K,$H1137),0)</f>
        <v>0</v>
      </c>
      <c r="F1137" s="191">
        <f>IFERROR(INDEX(凭证录入!L:L,$H1137),0)</f>
        <v>0</v>
      </c>
      <c r="G1137" s="176" t="s">
        <v>492</v>
      </c>
      <c r="H1137" s="192" t="str">
        <f t="shared" si="150"/>
        <v/>
      </c>
    </row>
    <row r="1138" spans="1:9" s="45" customFormat="1" ht="19.5" customHeight="1" thickBot="1">
      <c r="A1138" s="189" t="str">
        <f>IFERROR(INDEX(凭证录入!H:H,$H1138),"")</f>
        <v/>
      </c>
      <c r="B1138" s="189" t="str">
        <f>IFERROR(INDEX(凭证录入!I:I,$H1138),"")</f>
        <v/>
      </c>
      <c r="C1138" s="190" t="str">
        <f>IFERROR(VLOOKUP($B1138,会计科目表!$A:$C,2,),"")</f>
        <v/>
      </c>
      <c r="D1138" s="190" t="str">
        <f>IFERROR(VLOOKUP($B1138,会计科目表!$A:$C,3,),"")</f>
        <v/>
      </c>
      <c r="E1138" s="191">
        <f>IFERROR(INDEX(凭证录入!K:K,$H1138),0)</f>
        <v>0</v>
      </c>
      <c r="F1138" s="191">
        <f>IFERROR(INDEX(凭证录入!L:L,$H1138),0)</f>
        <v>0</v>
      </c>
      <c r="G1138" s="176"/>
      <c r="H1138" s="192" t="str">
        <f t="shared" si="150"/>
        <v/>
      </c>
    </row>
    <row r="1139" spans="1:9" s="45" customFormat="1" ht="19.5" customHeight="1" thickBot="1">
      <c r="A1139" s="193"/>
      <c r="B1139" s="194" t="s">
        <v>485</v>
      </c>
      <c r="C1139" s="195" t="str">
        <f>SUBSTITUTE(SUBSTITUTE(IF(-DOLLAR(E1139),IF(E1139&gt;0,,"负")&amp;TEXT(INT(ABS(E1139)+0.5%),"[dbnum2]G/通用格式元;;")&amp;TEXT(RIGHT(DOLLAR(E1139),2),"[dbnum2]0角0分;;整"),),"零角",IF(E1139^2&lt;1,,"零")),"零分","整")</f>
        <v/>
      </c>
      <c r="D1139" s="196"/>
      <c r="E1139" s="197">
        <f>SUM(E1133:E1138)</f>
        <v>0</v>
      </c>
      <c r="F1139" s="197">
        <f>SUM(F1133:F1138)</f>
        <v>0</v>
      </c>
      <c r="G1139" s="176"/>
      <c r="H1139" s="192" t="str">
        <f t="shared" si="150"/>
        <v/>
      </c>
    </row>
    <row r="1140" spans="1:9" s="199" customFormat="1" ht="19.5" customHeight="1">
      <c r="A1140" s="45" t="s">
        <v>486</v>
      </c>
      <c r="B1140" s="45" t="s">
        <v>487</v>
      </c>
      <c r="C1140" s="45" t="s">
        <v>488</v>
      </c>
      <c r="D1140" s="45" t="s">
        <v>504</v>
      </c>
      <c r="E1140" s="45" t="s">
        <v>489</v>
      </c>
      <c r="F1140" s="176" t="str">
        <f>IF($E1139&lt;&gt;$F1139,"借贷不平","")</f>
        <v/>
      </c>
      <c r="G1140" s="183"/>
      <c r="H1140" s="198" t="str">
        <f t="shared" si="150"/>
        <v/>
      </c>
    </row>
    <row r="1141" spans="1:9" ht="37.5" customHeight="1">
      <c r="A1141" s="177" t="s">
        <v>493</v>
      </c>
      <c r="B1141" s="178"/>
      <c r="C1141" s="179"/>
      <c r="D1141" s="179"/>
      <c r="E1141" s="178"/>
      <c r="F1141" s="178"/>
      <c r="G1141" s="176"/>
      <c r="H1141" s="192" t="str">
        <f t="shared" si="150"/>
        <v/>
      </c>
    </row>
    <row r="1142" spans="1:9" s="45" customFormat="1" ht="19.5" customHeight="1" thickBot="1">
      <c r="C1142" s="180" t="e">
        <f>DATEVALUE("2010-"&amp;$H$1&amp;"-"&amp;INDEX(凭证录入!B:B,H1145))</f>
        <v>#VALUE!</v>
      </c>
      <c r="D1142" s="181"/>
      <c r="E1142" s="182" t="s">
        <v>477</v>
      </c>
      <c r="F1142" s="183" t="e">
        <f>N(LEFT((F1130),3)+1)</f>
        <v>#VALUE!</v>
      </c>
      <c r="G1142" s="176"/>
      <c r="H1142" s="192" t="str">
        <f t="shared" si="150"/>
        <v/>
      </c>
      <c r="I1142" s="184"/>
    </row>
    <row r="1143" spans="1:9" s="45" customFormat="1" ht="19.5" customHeight="1" thickBot="1">
      <c r="A1143" s="544" t="s">
        <v>494</v>
      </c>
      <c r="B1143" s="545" t="s">
        <v>495</v>
      </c>
      <c r="C1143" s="185" t="s">
        <v>496</v>
      </c>
      <c r="D1143" s="186"/>
      <c r="E1143" s="187"/>
      <c r="F1143" s="188"/>
      <c r="G1143" s="176"/>
      <c r="H1143" s="192" t="str">
        <f t="shared" si="150"/>
        <v/>
      </c>
    </row>
    <row r="1144" spans="1:9" s="45" customFormat="1" ht="19.5" customHeight="1" thickBot="1">
      <c r="A1144" s="545"/>
      <c r="B1144" s="546"/>
      <c r="C1144" s="188" t="s">
        <v>497</v>
      </c>
      <c r="D1144" s="188" t="s">
        <v>498</v>
      </c>
      <c r="E1144" s="188" t="s">
        <v>499</v>
      </c>
      <c r="F1144" s="188" t="s">
        <v>500</v>
      </c>
      <c r="G1144" s="176"/>
      <c r="H1144" s="192" t="str">
        <f t="shared" si="150"/>
        <v/>
      </c>
    </row>
    <row r="1145" spans="1:9" s="45" customFormat="1" ht="19.5" customHeight="1" thickBot="1">
      <c r="A1145" s="189" t="str">
        <f>IFERROR(INDEX(凭证录入!H:H,$H1145),"")</f>
        <v/>
      </c>
      <c r="B1145" s="189" t="str">
        <f>IFERROR(INDEX(凭证录入!I:I,$H1145),"")</f>
        <v/>
      </c>
      <c r="C1145" s="190" t="str">
        <f>IFERROR(VLOOKUP($B1145,会计科目表!$A:$C,2,),"")</f>
        <v/>
      </c>
      <c r="D1145" s="190" t="str">
        <f>IFERROR(VLOOKUP($B1145,会计科目表!$A:$C,3,),"")</f>
        <v/>
      </c>
      <c r="E1145" s="191">
        <f>IFERROR(INDEX(凭证录入!K:K,$H1145),0)</f>
        <v>0</v>
      </c>
      <c r="F1145" s="191">
        <f>IFERROR(INDEX(凭证录入!L:L,$H1145),0)</f>
        <v>0</v>
      </c>
      <c r="G1145" s="176"/>
      <c r="H1145" s="192" t="str">
        <f t="shared" si="150"/>
        <v/>
      </c>
    </row>
    <row r="1146" spans="1:9" s="45" customFormat="1" ht="19.5" customHeight="1" thickBot="1">
      <c r="A1146" s="189" t="str">
        <f>IFERROR(INDEX(凭证录入!H:H,$H1146),"")</f>
        <v/>
      </c>
      <c r="B1146" s="189" t="str">
        <f>IFERROR(INDEX(凭证录入!I:I,$H1146),"")</f>
        <v/>
      </c>
      <c r="C1146" s="190" t="str">
        <f>IFERROR(VLOOKUP($B1146,会计科目表!$A:$C,2,),"")</f>
        <v/>
      </c>
      <c r="D1146" s="190" t="str">
        <f>IFERROR(VLOOKUP($B1146,会计科目表!$A:$C,3,),"")</f>
        <v/>
      </c>
      <c r="E1146" s="191">
        <f>IFERROR(INDEX(凭证录入!K:K,$H1146),0)</f>
        <v>0</v>
      </c>
      <c r="F1146" s="191">
        <f>IFERROR(INDEX(凭证录入!L:L,$H1146),0)</f>
        <v>0</v>
      </c>
      <c r="G1146" s="176" t="s">
        <v>490</v>
      </c>
      <c r="H1146" s="192" t="str">
        <f t="shared" si="150"/>
        <v/>
      </c>
      <c r="I1146" s="176"/>
    </row>
    <row r="1147" spans="1:9" s="45" customFormat="1" ht="19.5" customHeight="1" thickBot="1">
      <c r="A1147" s="189" t="str">
        <f>IFERROR(INDEX(凭证录入!H:H,$H1147),"")</f>
        <v/>
      </c>
      <c r="B1147" s="189" t="str">
        <f>IFERROR(INDEX(凭证录入!I:I,$H1147),"")</f>
        <v/>
      </c>
      <c r="C1147" s="190" t="str">
        <f>IFERROR(VLOOKUP($B1147,会计科目表!$A:$C,2,),"")</f>
        <v/>
      </c>
      <c r="D1147" s="190" t="str">
        <f>IFERROR(VLOOKUP($B1147,会计科目表!$A:$C,3,),"")</f>
        <v/>
      </c>
      <c r="E1147" s="191">
        <f>IFERROR(INDEX(凭证录入!K:K,$H1147),0)</f>
        <v>0</v>
      </c>
      <c r="F1147" s="191">
        <f>IFERROR(INDEX(凭证录入!L:L,$H1147),0)</f>
        <v>0</v>
      </c>
      <c r="G1147" s="176" t="s">
        <v>491</v>
      </c>
      <c r="H1147" s="192" t="str">
        <f t="shared" si="150"/>
        <v/>
      </c>
      <c r="I1147" s="176"/>
    </row>
    <row r="1148" spans="1:9" s="45" customFormat="1" ht="19.5" customHeight="1" thickBot="1">
      <c r="A1148" s="189" t="str">
        <f>IFERROR(INDEX(凭证录入!H:H,$H1148),"")</f>
        <v/>
      </c>
      <c r="B1148" s="189" t="str">
        <f>IFERROR(INDEX(凭证录入!I:I,$H1148),"")</f>
        <v/>
      </c>
      <c r="C1148" s="190" t="str">
        <f>IFERROR(VLOOKUP($B1148,会计科目表!$A:$C,2,),"")</f>
        <v/>
      </c>
      <c r="D1148" s="190" t="str">
        <f>IFERROR(VLOOKUP($B1148,会计科目表!$A:$C,3,),"")</f>
        <v/>
      </c>
      <c r="E1148" s="191">
        <f>IFERROR(INDEX(凭证录入!K:K,$H1148),0)</f>
        <v>0</v>
      </c>
      <c r="F1148" s="191">
        <f>IFERROR(INDEX(凭证录入!L:L,$H1148),0)</f>
        <v>0</v>
      </c>
      <c r="G1148" s="176" t="e">
        <f>INDEX(凭证录入!$D:$D,$H1145)</f>
        <v>#VALUE!</v>
      </c>
      <c r="H1148" s="192" t="str">
        <f t="shared" si="150"/>
        <v/>
      </c>
      <c r="I1148" s="176"/>
    </row>
    <row r="1149" spans="1:9" s="45" customFormat="1" ht="19.5" customHeight="1" thickBot="1">
      <c r="A1149" s="189" t="str">
        <f>IFERROR(INDEX(凭证录入!H:H,$H1149),"")</f>
        <v/>
      </c>
      <c r="B1149" s="189" t="str">
        <f>IFERROR(INDEX(凭证录入!I:I,$H1149),"")</f>
        <v/>
      </c>
      <c r="C1149" s="190" t="str">
        <f>IFERROR(VLOOKUP($B1149,会计科目表!$A:$C,2,),"")</f>
        <v/>
      </c>
      <c r="D1149" s="190" t="str">
        <f>IFERROR(VLOOKUP($B1149,会计科目表!$A:$C,3,),"")</f>
        <v/>
      </c>
      <c r="E1149" s="191">
        <f>IFERROR(INDEX(凭证录入!K:K,$H1149),0)</f>
        <v>0</v>
      </c>
      <c r="F1149" s="191">
        <f>IFERROR(INDEX(凭证录入!L:L,$H1149),0)</f>
        <v>0</v>
      </c>
      <c r="G1149" s="176" t="s">
        <v>492</v>
      </c>
      <c r="H1149" s="192" t="str">
        <f t="shared" si="150"/>
        <v/>
      </c>
    </row>
    <row r="1150" spans="1:9" s="45" customFormat="1" ht="19.5" customHeight="1" thickBot="1">
      <c r="A1150" s="189" t="str">
        <f>IFERROR(INDEX(凭证录入!H:H,$H1150),"")</f>
        <v/>
      </c>
      <c r="B1150" s="189" t="str">
        <f>IFERROR(INDEX(凭证录入!I:I,$H1150),"")</f>
        <v/>
      </c>
      <c r="C1150" s="190" t="str">
        <f>IFERROR(VLOOKUP($B1150,会计科目表!$A:$C,2,),"")</f>
        <v/>
      </c>
      <c r="D1150" s="190" t="str">
        <f>IFERROR(VLOOKUP($B1150,会计科目表!$A:$C,3,),"")</f>
        <v/>
      </c>
      <c r="E1150" s="191">
        <f>IFERROR(INDEX(凭证录入!K:K,$H1150),0)</f>
        <v>0</v>
      </c>
      <c r="F1150" s="191">
        <f>IFERROR(INDEX(凭证录入!L:L,$H1150),0)</f>
        <v>0</v>
      </c>
      <c r="G1150" s="176"/>
      <c r="H1150" s="192" t="str">
        <f t="shared" si="150"/>
        <v/>
      </c>
    </row>
    <row r="1151" spans="1:9" s="45" customFormat="1" ht="19.5" customHeight="1" thickBot="1">
      <c r="A1151" s="193"/>
      <c r="B1151" s="194" t="s">
        <v>485</v>
      </c>
      <c r="C1151" s="195" t="str">
        <f>SUBSTITUTE(SUBSTITUTE(IF(-DOLLAR(E1151),IF(E1151&gt;0,,"负")&amp;TEXT(INT(ABS(E1151)+0.5%),"[dbnum2]G/通用格式元;;")&amp;TEXT(RIGHT(DOLLAR(E1151),2),"[dbnum2]0角0分;;整"),),"零角",IF(E1151^2&lt;1,,"零")),"零分","整")</f>
        <v/>
      </c>
      <c r="D1151" s="196"/>
      <c r="E1151" s="197">
        <f>SUM(E1145:E1150)</f>
        <v>0</v>
      </c>
      <c r="F1151" s="197">
        <f>SUM(F1145:F1150)</f>
        <v>0</v>
      </c>
      <c r="G1151" s="176"/>
      <c r="H1151" s="192" t="str">
        <f t="shared" si="150"/>
        <v/>
      </c>
    </row>
    <row r="1152" spans="1:9" s="199" customFormat="1" ht="19.5" customHeight="1">
      <c r="A1152" s="45" t="s">
        <v>486</v>
      </c>
      <c r="B1152" s="45" t="s">
        <v>487</v>
      </c>
      <c r="C1152" s="45" t="s">
        <v>488</v>
      </c>
      <c r="D1152" s="45" t="s">
        <v>504</v>
      </c>
      <c r="E1152" s="45" t="s">
        <v>489</v>
      </c>
      <c r="F1152" s="176" t="str">
        <f>IF($E1151&lt;&gt;$F1151,"借贷不平","")</f>
        <v/>
      </c>
      <c r="G1152" s="183"/>
      <c r="H1152" s="198" t="str">
        <f t="shared" si="150"/>
        <v/>
      </c>
    </row>
    <row r="1153" spans="1:9" ht="37.5" customHeight="1">
      <c r="A1153" s="177" t="s">
        <v>493</v>
      </c>
      <c r="B1153" s="178"/>
      <c r="C1153" s="179"/>
      <c r="D1153" s="179"/>
      <c r="E1153" s="178"/>
      <c r="F1153" s="178"/>
      <c r="G1153" s="176"/>
      <c r="H1153" s="192" t="str">
        <f t="shared" si="150"/>
        <v/>
      </c>
    </row>
    <row r="1154" spans="1:9" s="45" customFormat="1" ht="19.5" customHeight="1" thickBot="1">
      <c r="C1154" s="180" t="e">
        <f>DATEVALUE("2010-"&amp;$H$1&amp;"-"&amp;INDEX(凭证录入!B:B,H1157))</f>
        <v>#VALUE!</v>
      </c>
      <c r="D1154" s="181"/>
      <c r="E1154" s="182" t="s">
        <v>477</v>
      </c>
      <c r="F1154" s="183" t="e">
        <f>N(LEFT((F1142),3)+1)</f>
        <v>#VALUE!</v>
      </c>
      <c r="G1154" s="176"/>
      <c r="H1154" s="192" t="str">
        <f t="shared" si="150"/>
        <v/>
      </c>
      <c r="I1154" s="184"/>
    </row>
    <row r="1155" spans="1:9" s="45" customFormat="1" ht="19.5" customHeight="1" thickBot="1">
      <c r="A1155" s="544" t="s">
        <v>494</v>
      </c>
      <c r="B1155" s="545" t="s">
        <v>495</v>
      </c>
      <c r="C1155" s="185" t="s">
        <v>496</v>
      </c>
      <c r="D1155" s="186"/>
      <c r="E1155" s="187"/>
      <c r="F1155" s="188"/>
      <c r="G1155" s="176"/>
      <c r="H1155" s="192" t="str">
        <f t="shared" si="150"/>
        <v/>
      </c>
    </row>
    <row r="1156" spans="1:9" s="45" customFormat="1" ht="19.5" customHeight="1" thickBot="1">
      <c r="A1156" s="545"/>
      <c r="B1156" s="546"/>
      <c r="C1156" s="188" t="s">
        <v>497</v>
      </c>
      <c r="D1156" s="188" t="s">
        <v>498</v>
      </c>
      <c r="E1156" s="188" t="s">
        <v>499</v>
      </c>
      <c r="F1156" s="188" t="s">
        <v>500</v>
      </c>
      <c r="G1156" s="176"/>
      <c r="H1156" s="192" t="str">
        <f t="shared" si="150"/>
        <v/>
      </c>
    </row>
    <row r="1157" spans="1:9" s="45" customFormat="1" ht="19.5" customHeight="1" thickBot="1">
      <c r="A1157" s="189" t="str">
        <f>IFERROR(INDEX(凭证录入!H:H,$H1157),"")</f>
        <v/>
      </c>
      <c r="B1157" s="189" t="str">
        <f>IFERROR(INDEX(凭证录入!I:I,$H1157),"")</f>
        <v/>
      </c>
      <c r="C1157" s="190" t="str">
        <f>IFERROR(VLOOKUP($B1157,会计科目表!$A:$C,2,),"")</f>
        <v/>
      </c>
      <c r="D1157" s="190" t="str">
        <f>IFERROR(VLOOKUP($B1157,会计科目表!$A:$C,3,),"")</f>
        <v/>
      </c>
      <c r="E1157" s="191">
        <f>IFERROR(INDEX(凭证录入!K:K,$H1157),0)</f>
        <v>0</v>
      </c>
      <c r="F1157" s="191">
        <f>IFERROR(INDEX(凭证录入!L:L,$H1157),0)</f>
        <v>0</v>
      </c>
      <c r="G1157" s="176"/>
      <c r="H1157" s="192" t="str">
        <f t="shared" ref="H1157:H1200" si="151">IFERROR(INDEX(行号,TEXT(MOD(ROW(),12)-4,"[=]A")),"")</f>
        <v/>
      </c>
    </row>
    <row r="1158" spans="1:9" s="45" customFormat="1" ht="19.5" customHeight="1" thickBot="1">
      <c r="A1158" s="189" t="str">
        <f>IFERROR(INDEX(凭证录入!H:H,$H1158),"")</f>
        <v/>
      </c>
      <c r="B1158" s="189" t="str">
        <f>IFERROR(INDEX(凭证录入!I:I,$H1158),"")</f>
        <v/>
      </c>
      <c r="C1158" s="190" t="str">
        <f>IFERROR(VLOOKUP($B1158,会计科目表!$A:$C,2,),"")</f>
        <v/>
      </c>
      <c r="D1158" s="190" t="str">
        <f>IFERROR(VLOOKUP($B1158,会计科目表!$A:$C,3,),"")</f>
        <v/>
      </c>
      <c r="E1158" s="191">
        <f>IFERROR(INDEX(凭证录入!K:K,$H1158),0)</f>
        <v>0</v>
      </c>
      <c r="F1158" s="191">
        <f>IFERROR(INDEX(凭证录入!L:L,$H1158),0)</f>
        <v>0</v>
      </c>
      <c r="G1158" s="176" t="s">
        <v>490</v>
      </c>
      <c r="H1158" s="192" t="str">
        <f t="shared" si="151"/>
        <v/>
      </c>
      <c r="I1158" s="176"/>
    </row>
    <row r="1159" spans="1:9" s="45" customFormat="1" ht="19.5" customHeight="1" thickBot="1">
      <c r="A1159" s="189" t="str">
        <f>IFERROR(INDEX(凭证录入!H:H,$H1159),"")</f>
        <v/>
      </c>
      <c r="B1159" s="189" t="str">
        <f>IFERROR(INDEX(凭证录入!I:I,$H1159),"")</f>
        <v/>
      </c>
      <c r="C1159" s="190" t="str">
        <f>IFERROR(VLOOKUP($B1159,会计科目表!$A:$C,2,),"")</f>
        <v/>
      </c>
      <c r="D1159" s="190" t="str">
        <f>IFERROR(VLOOKUP($B1159,会计科目表!$A:$C,3,),"")</f>
        <v/>
      </c>
      <c r="E1159" s="191">
        <f>IFERROR(INDEX(凭证录入!K:K,$H1159),0)</f>
        <v>0</v>
      </c>
      <c r="F1159" s="191">
        <f>IFERROR(INDEX(凭证录入!L:L,$H1159),0)</f>
        <v>0</v>
      </c>
      <c r="G1159" s="176" t="s">
        <v>491</v>
      </c>
      <c r="H1159" s="192" t="str">
        <f t="shared" si="151"/>
        <v/>
      </c>
      <c r="I1159" s="176"/>
    </row>
    <row r="1160" spans="1:9" s="45" customFormat="1" ht="19.5" customHeight="1" thickBot="1">
      <c r="A1160" s="189" t="str">
        <f>IFERROR(INDEX(凭证录入!H:H,$H1160),"")</f>
        <v/>
      </c>
      <c r="B1160" s="189" t="str">
        <f>IFERROR(INDEX(凭证录入!I:I,$H1160),"")</f>
        <v/>
      </c>
      <c r="C1160" s="190" t="str">
        <f>IFERROR(VLOOKUP($B1160,会计科目表!$A:$C,2,),"")</f>
        <v/>
      </c>
      <c r="D1160" s="190" t="str">
        <f>IFERROR(VLOOKUP($B1160,会计科目表!$A:$C,3,),"")</f>
        <v/>
      </c>
      <c r="E1160" s="191">
        <f>IFERROR(INDEX(凭证录入!K:K,$H1160),0)</f>
        <v>0</v>
      </c>
      <c r="F1160" s="191">
        <f>IFERROR(INDEX(凭证录入!L:L,$H1160),0)</f>
        <v>0</v>
      </c>
      <c r="G1160" s="176" t="e">
        <f>INDEX(凭证录入!$D:$D,$H1157)</f>
        <v>#VALUE!</v>
      </c>
      <c r="H1160" s="192" t="str">
        <f t="shared" si="151"/>
        <v/>
      </c>
      <c r="I1160" s="176"/>
    </row>
    <row r="1161" spans="1:9" s="45" customFormat="1" ht="19.5" customHeight="1" thickBot="1">
      <c r="A1161" s="189" t="str">
        <f>IFERROR(INDEX(凭证录入!H:H,$H1161),"")</f>
        <v/>
      </c>
      <c r="B1161" s="189" t="str">
        <f>IFERROR(INDEX(凭证录入!I:I,$H1161),"")</f>
        <v/>
      </c>
      <c r="C1161" s="190" t="str">
        <f>IFERROR(VLOOKUP($B1161,会计科目表!$A:$C,2,),"")</f>
        <v/>
      </c>
      <c r="D1161" s="190" t="str">
        <f>IFERROR(VLOOKUP($B1161,会计科目表!$A:$C,3,),"")</f>
        <v/>
      </c>
      <c r="E1161" s="191">
        <f>IFERROR(INDEX(凭证录入!K:K,$H1161),0)</f>
        <v>0</v>
      </c>
      <c r="F1161" s="191">
        <f>IFERROR(INDEX(凭证录入!L:L,$H1161),0)</f>
        <v>0</v>
      </c>
      <c r="G1161" s="176" t="s">
        <v>492</v>
      </c>
      <c r="H1161" s="192" t="str">
        <f t="shared" si="151"/>
        <v/>
      </c>
    </row>
    <row r="1162" spans="1:9" s="45" customFormat="1" ht="19.5" customHeight="1" thickBot="1">
      <c r="A1162" s="189" t="str">
        <f>IFERROR(INDEX(凭证录入!H:H,$H1162),"")</f>
        <v/>
      </c>
      <c r="B1162" s="189" t="str">
        <f>IFERROR(INDEX(凭证录入!I:I,$H1162),"")</f>
        <v/>
      </c>
      <c r="C1162" s="190" t="str">
        <f>IFERROR(VLOOKUP($B1162,会计科目表!$A:$C,2,),"")</f>
        <v/>
      </c>
      <c r="D1162" s="190" t="str">
        <f>IFERROR(VLOOKUP($B1162,会计科目表!$A:$C,3,),"")</f>
        <v/>
      </c>
      <c r="E1162" s="191">
        <f>IFERROR(INDEX(凭证录入!K:K,$H1162),0)</f>
        <v>0</v>
      </c>
      <c r="F1162" s="191">
        <f>IFERROR(INDEX(凭证录入!L:L,$H1162),0)</f>
        <v>0</v>
      </c>
      <c r="G1162" s="176"/>
      <c r="H1162" s="192" t="str">
        <f t="shared" si="151"/>
        <v/>
      </c>
    </row>
    <row r="1163" spans="1:9" s="45" customFormat="1" ht="19.5" customHeight="1" thickBot="1">
      <c r="A1163" s="193"/>
      <c r="B1163" s="194" t="s">
        <v>485</v>
      </c>
      <c r="C1163" s="195" t="str">
        <f>SUBSTITUTE(SUBSTITUTE(IF(-DOLLAR(E1163),IF(E1163&gt;0,,"负")&amp;TEXT(INT(ABS(E1163)+0.5%),"[dbnum2]G/通用格式元;;")&amp;TEXT(RIGHT(DOLLAR(E1163),2),"[dbnum2]0角0分;;整"),),"零角",IF(E1163^2&lt;1,,"零")),"零分","整")</f>
        <v/>
      </c>
      <c r="D1163" s="196"/>
      <c r="E1163" s="197">
        <f>SUM(E1157:E1162)</f>
        <v>0</v>
      </c>
      <c r="F1163" s="197">
        <f>SUM(F1157:F1162)</f>
        <v>0</v>
      </c>
      <c r="G1163" s="176"/>
      <c r="H1163" s="192" t="str">
        <f t="shared" si="151"/>
        <v/>
      </c>
    </row>
    <row r="1164" spans="1:9" s="199" customFormat="1" ht="19.5" customHeight="1">
      <c r="A1164" s="45" t="s">
        <v>486</v>
      </c>
      <c r="B1164" s="45" t="s">
        <v>487</v>
      </c>
      <c r="C1164" s="45" t="s">
        <v>488</v>
      </c>
      <c r="D1164" s="45" t="s">
        <v>504</v>
      </c>
      <c r="E1164" s="45" t="s">
        <v>489</v>
      </c>
      <c r="F1164" s="176" t="str">
        <f>IF($E1163&lt;&gt;$F1163,"借贷不平","")</f>
        <v/>
      </c>
      <c r="G1164" s="183"/>
      <c r="H1164" s="198" t="str">
        <f t="shared" si="151"/>
        <v/>
      </c>
    </row>
    <row r="1165" spans="1:9" ht="37.5" customHeight="1">
      <c r="A1165" s="177" t="s">
        <v>493</v>
      </c>
      <c r="B1165" s="178"/>
      <c r="C1165" s="179"/>
      <c r="D1165" s="179"/>
      <c r="E1165" s="178"/>
      <c r="F1165" s="178"/>
      <c r="G1165" s="176"/>
      <c r="H1165" s="192" t="str">
        <f t="shared" si="151"/>
        <v/>
      </c>
    </row>
    <row r="1166" spans="1:9" s="45" customFormat="1" ht="19.5" customHeight="1" thickBot="1">
      <c r="C1166" s="180" t="e">
        <f>DATEVALUE("2010-"&amp;$H$1&amp;"-"&amp;INDEX(凭证录入!B:B,H1169))</f>
        <v>#VALUE!</v>
      </c>
      <c r="D1166" s="181"/>
      <c r="E1166" s="182" t="s">
        <v>477</v>
      </c>
      <c r="F1166" s="183" t="e">
        <f>N(LEFT((F1154),3)+1)</f>
        <v>#VALUE!</v>
      </c>
      <c r="G1166" s="176"/>
      <c r="H1166" s="192" t="str">
        <f t="shared" si="151"/>
        <v/>
      </c>
      <c r="I1166" s="184"/>
    </row>
    <row r="1167" spans="1:9" s="45" customFormat="1" ht="19.5" customHeight="1" thickBot="1">
      <c r="A1167" s="544" t="s">
        <v>494</v>
      </c>
      <c r="B1167" s="545" t="s">
        <v>495</v>
      </c>
      <c r="C1167" s="185" t="s">
        <v>496</v>
      </c>
      <c r="D1167" s="186"/>
      <c r="E1167" s="187"/>
      <c r="F1167" s="188"/>
      <c r="G1167" s="176"/>
      <c r="H1167" s="192" t="str">
        <f t="shared" si="151"/>
        <v/>
      </c>
    </row>
    <row r="1168" spans="1:9" s="45" customFormat="1" ht="19.5" customHeight="1" thickBot="1">
      <c r="A1168" s="545"/>
      <c r="B1168" s="546"/>
      <c r="C1168" s="188" t="s">
        <v>497</v>
      </c>
      <c r="D1168" s="188" t="s">
        <v>498</v>
      </c>
      <c r="E1168" s="188" t="s">
        <v>499</v>
      </c>
      <c r="F1168" s="188" t="s">
        <v>500</v>
      </c>
      <c r="G1168" s="176"/>
      <c r="H1168" s="192" t="str">
        <f t="shared" si="151"/>
        <v/>
      </c>
    </row>
    <row r="1169" spans="1:9" s="45" customFormat="1" ht="19.5" customHeight="1" thickBot="1">
      <c r="A1169" s="189" t="str">
        <f>IFERROR(INDEX(凭证录入!H:H,$H1169),"")</f>
        <v/>
      </c>
      <c r="B1169" s="189" t="str">
        <f>IFERROR(INDEX(凭证录入!I:I,$H1169),"")</f>
        <v/>
      </c>
      <c r="C1169" s="190" t="str">
        <f>IFERROR(VLOOKUP($B1169,会计科目表!$A:$C,2,),"")</f>
        <v/>
      </c>
      <c r="D1169" s="190" t="str">
        <f>IFERROR(VLOOKUP($B1169,会计科目表!$A:$C,3,),"")</f>
        <v/>
      </c>
      <c r="E1169" s="191">
        <f>IFERROR(INDEX(凭证录入!K:K,$H1169),0)</f>
        <v>0</v>
      </c>
      <c r="F1169" s="191">
        <f>IFERROR(INDEX(凭证录入!L:L,$H1169),0)</f>
        <v>0</v>
      </c>
      <c r="G1169" s="176"/>
      <c r="H1169" s="192" t="str">
        <f t="shared" si="151"/>
        <v/>
      </c>
    </row>
    <row r="1170" spans="1:9" s="45" customFormat="1" ht="19.5" customHeight="1" thickBot="1">
      <c r="A1170" s="189" t="str">
        <f>IFERROR(INDEX(凭证录入!H:H,$H1170),"")</f>
        <v/>
      </c>
      <c r="B1170" s="189" t="str">
        <f>IFERROR(INDEX(凭证录入!I:I,$H1170),"")</f>
        <v/>
      </c>
      <c r="C1170" s="190" t="str">
        <f>IFERROR(VLOOKUP($B1170,会计科目表!$A:$C,2,),"")</f>
        <v/>
      </c>
      <c r="D1170" s="190" t="str">
        <f>IFERROR(VLOOKUP($B1170,会计科目表!$A:$C,3,),"")</f>
        <v/>
      </c>
      <c r="E1170" s="191">
        <f>IFERROR(INDEX(凭证录入!K:K,$H1170),0)</f>
        <v>0</v>
      </c>
      <c r="F1170" s="191">
        <f>IFERROR(INDEX(凭证录入!L:L,$H1170),0)</f>
        <v>0</v>
      </c>
      <c r="G1170" s="176" t="s">
        <v>490</v>
      </c>
      <c r="H1170" s="192" t="str">
        <f t="shared" si="151"/>
        <v/>
      </c>
      <c r="I1170" s="176"/>
    </row>
    <row r="1171" spans="1:9" s="45" customFormat="1" ht="19.5" customHeight="1" thickBot="1">
      <c r="A1171" s="189" t="str">
        <f>IFERROR(INDEX(凭证录入!H:H,$H1171),"")</f>
        <v/>
      </c>
      <c r="B1171" s="189" t="str">
        <f>IFERROR(INDEX(凭证录入!I:I,$H1171),"")</f>
        <v/>
      </c>
      <c r="C1171" s="190" t="str">
        <f>IFERROR(VLOOKUP($B1171,会计科目表!$A:$C,2,),"")</f>
        <v/>
      </c>
      <c r="D1171" s="190" t="str">
        <f>IFERROR(VLOOKUP($B1171,会计科目表!$A:$C,3,),"")</f>
        <v/>
      </c>
      <c r="E1171" s="191">
        <f>IFERROR(INDEX(凭证录入!K:K,$H1171),0)</f>
        <v>0</v>
      </c>
      <c r="F1171" s="191">
        <f>IFERROR(INDEX(凭证录入!L:L,$H1171),0)</f>
        <v>0</v>
      </c>
      <c r="G1171" s="176" t="s">
        <v>491</v>
      </c>
      <c r="H1171" s="192" t="str">
        <f t="shared" si="151"/>
        <v/>
      </c>
      <c r="I1171" s="176"/>
    </row>
    <row r="1172" spans="1:9" s="45" customFormat="1" ht="19.5" customHeight="1" thickBot="1">
      <c r="A1172" s="189" t="str">
        <f>IFERROR(INDEX(凭证录入!H:H,$H1172),"")</f>
        <v/>
      </c>
      <c r="B1172" s="189" t="str">
        <f>IFERROR(INDEX(凭证录入!I:I,$H1172),"")</f>
        <v/>
      </c>
      <c r="C1172" s="190" t="str">
        <f>IFERROR(VLOOKUP($B1172,会计科目表!$A:$C,2,),"")</f>
        <v/>
      </c>
      <c r="D1172" s="190" t="str">
        <f>IFERROR(VLOOKUP($B1172,会计科目表!$A:$C,3,),"")</f>
        <v/>
      </c>
      <c r="E1172" s="191">
        <f>IFERROR(INDEX(凭证录入!K:K,$H1172),0)</f>
        <v>0</v>
      </c>
      <c r="F1172" s="191">
        <f>IFERROR(INDEX(凭证录入!L:L,$H1172),0)</f>
        <v>0</v>
      </c>
      <c r="G1172" s="176" t="e">
        <f>INDEX(凭证录入!$D:$D,$H1169)</f>
        <v>#VALUE!</v>
      </c>
      <c r="H1172" s="192" t="str">
        <f t="shared" si="151"/>
        <v/>
      </c>
      <c r="I1172" s="176"/>
    </row>
    <row r="1173" spans="1:9" s="45" customFormat="1" ht="19.5" customHeight="1" thickBot="1">
      <c r="A1173" s="189" t="str">
        <f>IFERROR(INDEX(凭证录入!H:H,$H1173),"")</f>
        <v/>
      </c>
      <c r="B1173" s="189" t="str">
        <f>IFERROR(INDEX(凭证录入!I:I,$H1173),"")</f>
        <v/>
      </c>
      <c r="C1173" s="190" t="str">
        <f>IFERROR(VLOOKUP($B1173,会计科目表!$A:$C,2,),"")</f>
        <v/>
      </c>
      <c r="D1173" s="190" t="str">
        <f>IFERROR(VLOOKUP($B1173,会计科目表!$A:$C,3,),"")</f>
        <v/>
      </c>
      <c r="E1173" s="191">
        <f>IFERROR(INDEX(凭证录入!K:K,$H1173),0)</f>
        <v>0</v>
      </c>
      <c r="F1173" s="191">
        <f>IFERROR(INDEX(凭证录入!L:L,$H1173),0)</f>
        <v>0</v>
      </c>
      <c r="G1173" s="176" t="s">
        <v>492</v>
      </c>
      <c r="H1173" s="192" t="str">
        <f t="shared" si="151"/>
        <v/>
      </c>
    </row>
    <row r="1174" spans="1:9" s="45" customFormat="1" ht="19.5" customHeight="1" thickBot="1">
      <c r="A1174" s="189" t="str">
        <f>IFERROR(INDEX(凭证录入!H:H,$H1174),"")</f>
        <v/>
      </c>
      <c r="B1174" s="189" t="str">
        <f>IFERROR(INDEX(凭证录入!I:I,$H1174),"")</f>
        <v/>
      </c>
      <c r="C1174" s="190" t="str">
        <f>IFERROR(VLOOKUP($B1174,会计科目表!$A:$C,2,),"")</f>
        <v/>
      </c>
      <c r="D1174" s="190" t="str">
        <f>IFERROR(VLOOKUP($B1174,会计科目表!$A:$C,3,),"")</f>
        <v/>
      </c>
      <c r="E1174" s="191">
        <f>IFERROR(INDEX(凭证录入!K:K,$H1174),0)</f>
        <v>0</v>
      </c>
      <c r="F1174" s="191">
        <f>IFERROR(INDEX(凭证录入!L:L,$H1174),0)</f>
        <v>0</v>
      </c>
      <c r="G1174" s="176"/>
      <c r="H1174" s="192" t="str">
        <f t="shared" si="151"/>
        <v/>
      </c>
    </row>
    <row r="1175" spans="1:9" s="45" customFormat="1" ht="19.5" customHeight="1" thickBot="1">
      <c r="A1175" s="193"/>
      <c r="B1175" s="194" t="s">
        <v>485</v>
      </c>
      <c r="C1175" s="195" t="str">
        <f>SUBSTITUTE(SUBSTITUTE(IF(-DOLLAR(E1175),IF(E1175&gt;0,,"负")&amp;TEXT(INT(ABS(E1175)+0.5%),"[dbnum2]G/通用格式元;;")&amp;TEXT(RIGHT(DOLLAR(E1175),2),"[dbnum2]0角0分;;整"),),"零角",IF(E1175^2&lt;1,,"零")),"零分","整")</f>
        <v/>
      </c>
      <c r="D1175" s="196"/>
      <c r="E1175" s="197">
        <f>SUM(E1169:E1174)</f>
        <v>0</v>
      </c>
      <c r="F1175" s="197">
        <f>SUM(F1169:F1174)</f>
        <v>0</v>
      </c>
      <c r="G1175" s="176"/>
      <c r="H1175" s="192" t="str">
        <f t="shared" si="151"/>
        <v/>
      </c>
    </row>
    <row r="1176" spans="1:9" s="199" customFormat="1" ht="19.5" customHeight="1">
      <c r="A1176" s="45" t="s">
        <v>486</v>
      </c>
      <c r="B1176" s="45" t="s">
        <v>487</v>
      </c>
      <c r="C1176" s="45" t="s">
        <v>488</v>
      </c>
      <c r="D1176" s="45" t="s">
        <v>504</v>
      </c>
      <c r="E1176" s="45" t="s">
        <v>489</v>
      </c>
      <c r="F1176" s="176" t="str">
        <f>IF($E1175&lt;&gt;$F1175,"借贷不平","")</f>
        <v/>
      </c>
      <c r="G1176" s="183"/>
      <c r="H1176" s="198" t="str">
        <f t="shared" si="151"/>
        <v/>
      </c>
    </row>
    <row r="1177" spans="1:9" ht="37.5" customHeight="1">
      <c r="A1177" s="177" t="s">
        <v>493</v>
      </c>
      <c r="B1177" s="178"/>
      <c r="C1177" s="179"/>
      <c r="D1177" s="179"/>
      <c r="E1177" s="178"/>
      <c r="F1177" s="178"/>
      <c r="G1177" s="176"/>
      <c r="H1177" s="192" t="str">
        <f t="shared" si="151"/>
        <v/>
      </c>
    </row>
    <row r="1178" spans="1:9" s="45" customFormat="1" ht="19.5" customHeight="1" thickBot="1">
      <c r="C1178" s="180" t="e">
        <f>DATEVALUE("2010-"&amp;$H$1&amp;"-"&amp;INDEX(凭证录入!B:B,H1181))</f>
        <v>#VALUE!</v>
      </c>
      <c r="D1178" s="181"/>
      <c r="E1178" s="182" t="s">
        <v>477</v>
      </c>
      <c r="F1178" s="183" t="e">
        <f>N(LEFT((F1166),3)+1)</f>
        <v>#VALUE!</v>
      </c>
      <c r="G1178" s="176"/>
      <c r="H1178" s="192" t="str">
        <f t="shared" si="151"/>
        <v/>
      </c>
      <c r="I1178" s="184"/>
    </row>
    <row r="1179" spans="1:9" s="45" customFormat="1" ht="19.5" customHeight="1" thickBot="1">
      <c r="A1179" s="544" t="s">
        <v>494</v>
      </c>
      <c r="B1179" s="545" t="s">
        <v>495</v>
      </c>
      <c r="C1179" s="185" t="s">
        <v>496</v>
      </c>
      <c r="D1179" s="186"/>
      <c r="E1179" s="187"/>
      <c r="F1179" s="188"/>
      <c r="G1179" s="176"/>
      <c r="H1179" s="192" t="str">
        <f t="shared" si="151"/>
        <v/>
      </c>
    </row>
    <row r="1180" spans="1:9" s="45" customFormat="1" ht="19.5" customHeight="1" thickBot="1">
      <c r="A1180" s="545"/>
      <c r="B1180" s="546"/>
      <c r="C1180" s="188" t="s">
        <v>497</v>
      </c>
      <c r="D1180" s="188" t="s">
        <v>498</v>
      </c>
      <c r="E1180" s="188" t="s">
        <v>499</v>
      </c>
      <c r="F1180" s="188" t="s">
        <v>500</v>
      </c>
      <c r="G1180" s="176"/>
      <c r="H1180" s="192" t="str">
        <f t="shared" si="151"/>
        <v/>
      </c>
    </row>
    <row r="1181" spans="1:9" s="45" customFormat="1" ht="19.5" customHeight="1" thickBot="1">
      <c r="A1181" s="189" t="str">
        <f>IFERROR(INDEX(凭证录入!H:H,$H1181),"")</f>
        <v/>
      </c>
      <c r="B1181" s="189" t="str">
        <f>IFERROR(INDEX(凭证录入!I:I,$H1181),"")</f>
        <v/>
      </c>
      <c r="C1181" s="190" t="str">
        <f>IFERROR(VLOOKUP($B1181,会计科目表!$A:$C,2,),"")</f>
        <v/>
      </c>
      <c r="D1181" s="190" t="str">
        <f>IFERROR(VLOOKUP($B1181,会计科目表!$A:$C,3,),"")</f>
        <v/>
      </c>
      <c r="E1181" s="191">
        <f>IFERROR(INDEX(凭证录入!K:K,$H1181),0)</f>
        <v>0</v>
      </c>
      <c r="F1181" s="191">
        <f>IFERROR(INDEX(凭证录入!L:L,$H1181),0)</f>
        <v>0</v>
      </c>
      <c r="G1181" s="176"/>
      <c r="H1181" s="192" t="str">
        <f t="shared" si="151"/>
        <v/>
      </c>
    </row>
    <row r="1182" spans="1:9" s="45" customFormat="1" ht="19.5" customHeight="1" thickBot="1">
      <c r="A1182" s="189" t="str">
        <f>IFERROR(INDEX(凭证录入!H:H,$H1182),"")</f>
        <v/>
      </c>
      <c r="B1182" s="189" t="str">
        <f>IFERROR(INDEX(凭证录入!I:I,$H1182),"")</f>
        <v/>
      </c>
      <c r="C1182" s="190" t="str">
        <f>IFERROR(VLOOKUP($B1182,会计科目表!$A:$C,2,),"")</f>
        <v/>
      </c>
      <c r="D1182" s="190" t="str">
        <f>IFERROR(VLOOKUP($B1182,会计科目表!$A:$C,3,),"")</f>
        <v/>
      </c>
      <c r="E1182" s="191">
        <f>IFERROR(INDEX(凭证录入!K:K,$H1182),0)</f>
        <v>0</v>
      </c>
      <c r="F1182" s="191">
        <f>IFERROR(INDEX(凭证录入!L:L,$H1182),0)</f>
        <v>0</v>
      </c>
      <c r="G1182" s="176" t="s">
        <v>490</v>
      </c>
      <c r="H1182" s="192" t="str">
        <f t="shared" si="151"/>
        <v/>
      </c>
      <c r="I1182" s="176"/>
    </row>
    <row r="1183" spans="1:9" s="45" customFormat="1" ht="19.5" customHeight="1" thickBot="1">
      <c r="A1183" s="189" t="str">
        <f>IFERROR(INDEX(凭证录入!H:H,$H1183),"")</f>
        <v/>
      </c>
      <c r="B1183" s="189" t="str">
        <f>IFERROR(INDEX(凭证录入!I:I,$H1183),"")</f>
        <v/>
      </c>
      <c r="C1183" s="190" t="str">
        <f>IFERROR(VLOOKUP($B1183,会计科目表!$A:$C,2,),"")</f>
        <v/>
      </c>
      <c r="D1183" s="190" t="str">
        <f>IFERROR(VLOOKUP($B1183,会计科目表!$A:$C,3,),"")</f>
        <v/>
      </c>
      <c r="E1183" s="191">
        <f>IFERROR(INDEX(凭证录入!K:K,$H1183),0)</f>
        <v>0</v>
      </c>
      <c r="F1183" s="191">
        <f>IFERROR(INDEX(凭证录入!L:L,$H1183),0)</f>
        <v>0</v>
      </c>
      <c r="G1183" s="176" t="s">
        <v>491</v>
      </c>
      <c r="H1183" s="192" t="str">
        <f t="shared" si="151"/>
        <v/>
      </c>
      <c r="I1183" s="176"/>
    </row>
    <row r="1184" spans="1:9" s="45" customFormat="1" ht="19.5" customHeight="1" thickBot="1">
      <c r="A1184" s="189" t="str">
        <f>IFERROR(INDEX(凭证录入!H:H,$H1184),"")</f>
        <v/>
      </c>
      <c r="B1184" s="189" t="str">
        <f>IFERROR(INDEX(凭证录入!I:I,$H1184),"")</f>
        <v/>
      </c>
      <c r="C1184" s="190" t="str">
        <f>IFERROR(VLOOKUP($B1184,会计科目表!$A:$C,2,),"")</f>
        <v/>
      </c>
      <c r="D1184" s="190" t="str">
        <f>IFERROR(VLOOKUP($B1184,会计科目表!$A:$C,3,),"")</f>
        <v/>
      </c>
      <c r="E1184" s="191">
        <f>IFERROR(INDEX(凭证录入!K:K,$H1184),0)</f>
        <v>0</v>
      </c>
      <c r="F1184" s="191">
        <f>IFERROR(INDEX(凭证录入!L:L,$H1184),0)</f>
        <v>0</v>
      </c>
      <c r="G1184" s="176" t="e">
        <f>INDEX(凭证录入!$D:$D,$H1181)</f>
        <v>#VALUE!</v>
      </c>
      <c r="H1184" s="192" t="str">
        <f t="shared" si="151"/>
        <v/>
      </c>
      <c r="I1184" s="176"/>
    </row>
    <row r="1185" spans="1:9" s="45" customFormat="1" ht="19.5" customHeight="1" thickBot="1">
      <c r="A1185" s="189" t="str">
        <f>IFERROR(INDEX(凭证录入!H:H,$H1185),"")</f>
        <v/>
      </c>
      <c r="B1185" s="189" t="str">
        <f>IFERROR(INDEX(凭证录入!I:I,$H1185),"")</f>
        <v/>
      </c>
      <c r="C1185" s="190" t="str">
        <f>IFERROR(VLOOKUP($B1185,会计科目表!$A:$C,2,),"")</f>
        <v/>
      </c>
      <c r="D1185" s="190" t="str">
        <f>IFERROR(VLOOKUP($B1185,会计科目表!$A:$C,3,),"")</f>
        <v/>
      </c>
      <c r="E1185" s="191">
        <f>IFERROR(INDEX(凭证录入!K:K,$H1185),0)</f>
        <v>0</v>
      </c>
      <c r="F1185" s="191">
        <f>IFERROR(INDEX(凭证录入!L:L,$H1185),0)</f>
        <v>0</v>
      </c>
      <c r="G1185" s="176" t="s">
        <v>492</v>
      </c>
      <c r="H1185" s="192" t="str">
        <f t="shared" si="151"/>
        <v/>
      </c>
    </row>
    <row r="1186" spans="1:9" s="45" customFormat="1" ht="19.5" customHeight="1" thickBot="1">
      <c r="A1186" s="189" t="str">
        <f>IFERROR(INDEX(凭证录入!H:H,$H1186),"")</f>
        <v/>
      </c>
      <c r="B1186" s="189" t="str">
        <f>IFERROR(INDEX(凭证录入!I:I,$H1186),"")</f>
        <v/>
      </c>
      <c r="C1186" s="190" t="str">
        <f>IFERROR(VLOOKUP($B1186,会计科目表!$A:$C,2,),"")</f>
        <v/>
      </c>
      <c r="D1186" s="190" t="str">
        <f>IFERROR(VLOOKUP($B1186,会计科目表!$A:$C,3,),"")</f>
        <v/>
      </c>
      <c r="E1186" s="191">
        <f>IFERROR(INDEX(凭证录入!K:K,$H1186),0)</f>
        <v>0</v>
      </c>
      <c r="F1186" s="191">
        <f>IFERROR(INDEX(凭证录入!L:L,$H1186),0)</f>
        <v>0</v>
      </c>
      <c r="G1186" s="176"/>
      <c r="H1186" s="192" t="str">
        <f t="shared" si="151"/>
        <v/>
      </c>
    </row>
    <row r="1187" spans="1:9" s="45" customFormat="1" ht="19.5" customHeight="1" thickBot="1">
      <c r="A1187" s="193"/>
      <c r="B1187" s="194" t="s">
        <v>485</v>
      </c>
      <c r="C1187" s="195" t="str">
        <f>SUBSTITUTE(SUBSTITUTE(IF(-DOLLAR(E1187),IF(E1187&gt;0,,"负")&amp;TEXT(INT(ABS(E1187)+0.5%),"[dbnum2]G/通用格式元;;")&amp;TEXT(RIGHT(DOLLAR(E1187),2),"[dbnum2]0角0分;;整"),),"零角",IF(E1187^2&lt;1,,"零")),"零分","整")</f>
        <v/>
      </c>
      <c r="D1187" s="196"/>
      <c r="E1187" s="197">
        <f>SUM(E1181:E1186)</f>
        <v>0</v>
      </c>
      <c r="F1187" s="197">
        <f>SUM(F1181:F1186)</f>
        <v>0</v>
      </c>
      <c r="G1187" s="176"/>
      <c r="H1187" s="192" t="str">
        <f t="shared" si="151"/>
        <v/>
      </c>
    </row>
    <row r="1188" spans="1:9" s="199" customFormat="1" ht="19.5" customHeight="1">
      <c r="A1188" s="45" t="s">
        <v>486</v>
      </c>
      <c r="B1188" s="45" t="s">
        <v>487</v>
      </c>
      <c r="C1188" s="45" t="s">
        <v>488</v>
      </c>
      <c r="D1188" s="45" t="s">
        <v>504</v>
      </c>
      <c r="E1188" s="45" t="s">
        <v>489</v>
      </c>
      <c r="F1188" s="176" t="str">
        <f>IF($E1187&lt;&gt;$F1187,"借贷不平","")</f>
        <v/>
      </c>
      <c r="G1188" s="183"/>
      <c r="H1188" s="198" t="str">
        <f t="shared" si="151"/>
        <v/>
      </c>
    </row>
    <row r="1189" spans="1:9" ht="37.5" customHeight="1">
      <c r="A1189" s="177" t="s">
        <v>493</v>
      </c>
      <c r="B1189" s="178"/>
      <c r="C1189" s="179"/>
      <c r="D1189" s="179"/>
      <c r="E1189" s="178"/>
      <c r="F1189" s="178"/>
      <c r="G1189" s="176"/>
      <c r="H1189" s="192" t="str">
        <f t="shared" si="151"/>
        <v/>
      </c>
    </row>
    <row r="1190" spans="1:9" s="45" customFormat="1" ht="19.5" customHeight="1" thickBot="1">
      <c r="C1190" s="180" t="e">
        <f>DATEVALUE("2010-"&amp;$H$1&amp;"-"&amp;INDEX(凭证录入!B:B,H1193))</f>
        <v>#VALUE!</v>
      </c>
      <c r="D1190" s="181"/>
      <c r="E1190" s="182" t="s">
        <v>477</v>
      </c>
      <c r="F1190" s="183" t="e">
        <f>N(LEFT((F1178),3)+1)</f>
        <v>#VALUE!</v>
      </c>
      <c r="G1190" s="176"/>
      <c r="H1190" s="192" t="str">
        <f t="shared" si="151"/>
        <v/>
      </c>
      <c r="I1190" s="184"/>
    </row>
    <row r="1191" spans="1:9" s="45" customFormat="1" ht="19.5" customHeight="1" thickBot="1">
      <c r="A1191" s="544" t="s">
        <v>494</v>
      </c>
      <c r="B1191" s="545" t="s">
        <v>495</v>
      </c>
      <c r="C1191" s="185" t="s">
        <v>496</v>
      </c>
      <c r="D1191" s="186"/>
      <c r="E1191" s="187"/>
      <c r="F1191" s="188"/>
      <c r="G1191" s="176"/>
      <c r="H1191" s="192" t="str">
        <f t="shared" si="151"/>
        <v/>
      </c>
    </row>
    <row r="1192" spans="1:9" s="45" customFormat="1" ht="19.5" customHeight="1" thickBot="1">
      <c r="A1192" s="545"/>
      <c r="B1192" s="546"/>
      <c r="C1192" s="188" t="s">
        <v>497</v>
      </c>
      <c r="D1192" s="188" t="s">
        <v>498</v>
      </c>
      <c r="E1192" s="188" t="s">
        <v>499</v>
      </c>
      <c r="F1192" s="188" t="s">
        <v>500</v>
      </c>
      <c r="G1192" s="176"/>
      <c r="H1192" s="192" t="str">
        <f t="shared" si="151"/>
        <v/>
      </c>
    </row>
    <row r="1193" spans="1:9" s="45" customFormat="1" ht="19.5" customHeight="1" thickBot="1">
      <c r="A1193" s="189" t="str">
        <f>IFERROR(INDEX(凭证录入!H:H,$H1193),"")</f>
        <v/>
      </c>
      <c r="B1193" s="189" t="str">
        <f>IFERROR(INDEX(凭证录入!I:I,$H1193),"")</f>
        <v/>
      </c>
      <c r="C1193" s="190" t="str">
        <f>IFERROR(VLOOKUP($B1193,会计科目表!$A:$C,2,),"")</f>
        <v/>
      </c>
      <c r="D1193" s="190" t="str">
        <f>IFERROR(VLOOKUP($B1193,会计科目表!$A:$C,3,),"")</f>
        <v/>
      </c>
      <c r="E1193" s="191">
        <f>IFERROR(INDEX(凭证录入!K:K,$H1193),0)</f>
        <v>0</v>
      </c>
      <c r="F1193" s="191">
        <f>IFERROR(INDEX(凭证录入!L:L,$H1193),0)</f>
        <v>0</v>
      </c>
      <c r="G1193" s="176"/>
      <c r="H1193" s="192" t="str">
        <f t="shared" si="151"/>
        <v/>
      </c>
    </row>
    <row r="1194" spans="1:9" s="45" customFormat="1" ht="19.5" customHeight="1" thickBot="1">
      <c r="A1194" s="189" t="str">
        <f>IFERROR(INDEX(凭证录入!H:H,$H1194),"")</f>
        <v/>
      </c>
      <c r="B1194" s="189" t="str">
        <f>IFERROR(INDEX(凭证录入!I:I,$H1194),"")</f>
        <v/>
      </c>
      <c r="C1194" s="190" t="str">
        <f>IFERROR(VLOOKUP($B1194,会计科目表!$A:$C,2,),"")</f>
        <v/>
      </c>
      <c r="D1194" s="190" t="str">
        <f>IFERROR(VLOOKUP($B1194,会计科目表!$A:$C,3,),"")</f>
        <v/>
      </c>
      <c r="E1194" s="191">
        <f>IFERROR(INDEX(凭证录入!K:K,$H1194),0)</f>
        <v>0</v>
      </c>
      <c r="F1194" s="191">
        <f>IFERROR(INDEX(凭证录入!L:L,$H1194),0)</f>
        <v>0</v>
      </c>
      <c r="G1194" s="176" t="s">
        <v>490</v>
      </c>
      <c r="H1194" s="192" t="str">
        <f t="shared" si="151"/>
        <v/>
      </c>
      <c r="I1194" s="176"/>
    </row>
    <row r="1195" spans="1:9" s="45" customFormat="1" ht="19.5" customHeight="1" thickBot="1">
      <c r="A1195" s="189" t="str">
        <f>IFERROR(INDEX(凭证录入!H:H,$H1195),"")</f>
        <v/>
      </c>
      <c r="B1195" s="189" t="str">
        <f>IFERROR(INDEX(凭证录入!I:I,$H1195),"")</f>
        <v/>
      </c>
      <c r="C1195" s="190" t="str">
        <f>IFERROR(VLOOKUP($B1195,会计科目表!$A:$C,2,),"")</f>
        <v/>
      </c>
      <c r="D1195" s="190" t="str">
        <f>IFERROR(VLOOKUP($B1195,会计科目表!$A:$C,3,),"")</f>
        <v/>
      </c>
      <c r="E1195" s="191">
        <f>IFERROR(INDEX(凭证录入!K:K,$H1195),0)</f>
        <v>0</v>
      </c>
      <c r="F1195" s="191">
        <f>IFERROR(INDEX(凭证录入!L:L,$H1195),0)</f>
        <v>0</v>
      </c>
      <c r="G1195" s="176" t="s">
        <v>491</v>
      </c>
      <c r="H1195" s="192" t="str">
        <f t="shared" si="151"/>
        <v/>
      </c>
      <c r="I1195" s="176"/>
    </row>
    <row r="1196" spans="1:9" s="45" customFormat="1" ht="19.5" customHeight="1" thickBot="1">
      <c r="A1196" s="189" t="str">
        <f>IFERROR(INDEX(凭证录入!H:H,$H1196),"")</f>
        <v/>
      </c>
      <c r="B1196" s="189" t="str">
        <f>IFERROR(INDEX(凭证录入!I:I,$H1196),"")</f>
        <v/>
      </c>
      <c r="C1196" s="190" t="str">
        <f>IFERROR(VLOOKUP($B1196,会计科目表!$A:$C,2,),"")</f>
        <v/>
      </c>
      <c r="D1196" s="190" t="str">
        <f>IFERROR(VLOOKUP($B1196,会计科目表!$A:$C,3,),"")</f>
        <v/>
      </c>
      <c r="E1196" s="191">
        <f>IFERROR(INDEX(凭证录入!K:K,$H1196),0)</f>
        <v>0</v>
      </c>
      <c r="F1196" s="191">
        <f>IFERROR(INDEX(凭证录入!L:L,$H1196),0)</f>
        <v>0</v>
      </c>
      <c r="G1196" s="176" t="e">
        <f>INDEX(凭证录入!$D:$D,$H1193)</f>
        <v>#VALUE!</v>
      </c>
      <c r="H1196" s="192" t="str">
        <f t="shared" si="151"/>
        <v/>
      </c>
      <c r="I1196" s="176"/>
    </row>
    <row r="1197" spans="1:9" s="45" customFormat="1" ht="19.5" customHeight="1" thickBot="1">
      <c r="A1197" s="189" t="str">
        <f>IFERROR(INDEX(凭证录入!H:H,$H1197),"")</f>
        <v/>
      </c>
      <c r="B1197" s="189" t="str">
        <f>IFERROR(INDEX(凭证录入!I:I,$H1197),"")</f>
        <v/>
      </c>
      <c r="C1197" s="190" t="str">
        <f>IFERROR(VLOOKUP($B1197,会计科目表!$A:$C,2,),"")</f>
        <v/>
      </c>
      <c r="D1197" s="190" t="str">
        <f>IFERROR(VLOOKUP($B1197,会计科目表!$A:$C,3,),"")</f>
        <v/>
      </c>
      <c r="E1197" s="191">
        <f>IFERROR(INDEX(凭证录入!K:K,$H1197),0)</f>
        <v>0</v>
      </c>
      <c r="F1197" s="191">
        <f>IFERROR(INDEX(凭证录入!L:L,$H1197),0)</f>
        <v>0</v>
      </c>
      <c r="G1197" s="176" t="s">
        <v>492</v>
      </c>
      <c r="H1197" s="192" t="str">
        <f t="shared" si="151"/>
        <v/>
      </c>
    </row>
    <row r="1198" spans="1:9" s="45" customFormat="1" ht="19.5" customHeight="1" thickBot="1">
      <c r="A1198" s="189" t="str">
        <f>IFERROR(INDEX(凭证录入!H:H,$H1198),"")</f>
        <v/>
      </c>
      <c r="B1198" s="189" t="str">
        <f>IFERROR(INDEX(凭证录入!I:I,$H1198),"")</f>
        <v/>
      </c>
      <c r="C1198" s="190" t="str">
        <f>IFERROR(VLOOKUP($B1198,会计科目表!$A:$C,2,),"")</f>
        <v/>
      </c>
      <c r="D1198" s="190" t="str">
        <f>IFERROR(VLOOKUP($B1198,会计科目表!$A:$C,3,),"")</f>
        <v/>
      </c>
      <c r="E1198" s="191">
        <f>IFERROR(INDEX(凭证录入!K:K,$H1198),0)</f>
        <v>0</v>
      </c>
      <c r="F1198" s="191">
        <f>IFERROR(INDEX(凭证录入!L:L,$H1198),0)</f>
        <v>0</v>
      </c>
      <c r="G1198" s="176"/>
      <c r="H1198" s="192" t="str">
        <f t="shared" si="151"/>
        <v/>
      </c>
    </row>
    <row r="1199" spans="1:9" s="45" customFormat="1" ht="19.5" customHeight="1" thickBot="1">
      <c r="A1199" s="193"/>
      <c r="B1199" s="194" t="s">
        <v>485</v>
      </c>
      <c r="C1199" s="195" t="str">
        <f>SUBSTITUTE(SUBSTITUTE(IF(-DOLLAR(E1199),IF(E1199&gt;0,,"负")&amp;TEXT(INT(ABS(E1199)+0.5%),"[dbnum2]G/通用格式元;;")&amp;TEXT(RIGHT(DOLLAR(E1199),2),"[dbnum2]0角0分;;整"),),"零角",IF(E1199^2&lt;1,,"零")),"零分","整")</f>
        <v/>
      </c>
      <c r="D1199" s="196"/>
      <c r="E1199" s="197">
        <f>SUM(E1193:E1198)</f>
        <v>0</v>
      </c>
      <c r="F1199" s="197">
        <f>SUM(F1193:F1198)</f>
        <v>0</v>
      </c>
      <c r="G1199" s="176"/>
      <c r="H1199" s="192" t="str">
        <f t="shared" si="151"/>
        <v/>
      </c>
    </row>
    <row r="1200" spans="1:9" s="199" customFormat="1" ht="19.5" customHeight="1">
      <c r="A1200" s="45" t="s">
        <v>486</v>
      </c>
      <c r="B1200" s="45" t="s">
        <v>487</v>
      </c>
      <c r="C1200" s="45" t="s">
        <v>488</v>
      </c>
      <c r="D1200" s="45" t="s">
        <v>504</v>
      </c>
      <c r="E1200" s="45" t="s">
        <v>489</v>
      </c>
      <c r="F1200" s="176" t="str">
        <f>IF($E1199&lt;&gt;$F1199,"借贷不平","")</f>
        <v/>
      </c>
      <c r="G1200" s="183"/>
      <c r="H1200" s="198" t="str">
        <f t="shared" si="151"/>
        <v/>
      </c>
    </row>
  </sheetData>
  <autoFilter ref="A2:F216">
    <filterColumn colId="2" showButton="0"/>
  </autoFilter>
  <mergeCells count="290">
    <mergeCell ref="A1191:A1192"/>
    <mergeCell ref="B1191:B1192"/>
    <mergeCell ref="A1155:A1156"/>
    <mergeCell ref="B1155:B1156"/>
    <mergeCell ref="A1167:A1168"/>
    <mergeCell ref="B1167:B1168"/>
    <mergeCell ref="A1179:A1180"/>
    <mergeCell ref="B1179:B1180"/>
    <mergeCell ref="A1119:A1120"/>
    <mergeCell ref="B1119:B1120"/>
    <mergeCell ref="A1131:A1132"/>
    <mergeCell ref="B1131:B1132"/>
    <mergeCell ref="A1143:A1144"/>
    <mergeCell ref="B1143:B1144"/>
    <mergeCell ref="A1083:A1084"/>
    <mergeCell ref="B1083:B1084"/>
    <mergeCell ref="A1095:A1096"/>
    <mergeCell ref="B1095:B1096"/>
    <mergeCell ref="A1107:A1108"/>
    <mergeCell ref="B1107:B1108"/>
    <mergeCell ref="A1047:A1048"/>
    <mergeCell ref="B1047:B1048"/>
    <mergeCell ref="A1059:A1060"/>
    <mergeCell ref="B1059:B1060"/>
    <mergeCell ref="A1071:A1072"/>
    <mergeCell ref="B1071:B1072"/>
    <mergeCell ref="A1011:A1012"/>
    <mergeCell ref="B1011:B1012"/>
    <mergeCell ref="A1023:A1024"/>
    <mergeCell ref="B1023:B1024"/>
    <mergeCell ref="A1035:A1036"/>
    <mergeCell ref="B1035:B1036"/>
    <mergeCell ref="A975:A976"/>
    <mergeCell ref="B975:B976"/>
    <mergeCell ref="A987:A988"/>
    <mergeCell ref="B987:B988"/>
    <mergeCell ref="A999:A1000"/>
    <mergeCell ref="B999:B1000"/>
    <mergeCell ref="A939:A940"/>
    <mergeCell ref="B939:B940"/>
    <mergeCell ref="A951:A952"/>
    <mergeCell ref="B951:B952"/>
    <mergeCell ref="A963:A964"/>
    <mergeCell ref="B963:B964"/>
    <mergeCell ref="A903:A904"/>
    <mergeCell ref="B903:B904"/>
    <mergeCell ref="A915:A916"/>
    <mergeCell ref="B915:B916"/>
    <mergeCell ref="A927:A928"/>
    <mergeCell ref="B927:B928"/>
    <mergeCell ref="A867:A868"/>
    <mergeCell ref="B867:B868"/>
    <mergeCell ref="A879:A880"/>
    <mergeCell ref="B879:B880"/>
    <mergeCell ref="A891:A892"/>
    <mergeCell ref="B891:B892"/>
    <mergeCell ref="A831:A832"/>
    <mergeCell ref="B831:B832"/>
    <mergeCell ref="A843:A844"/>
    <mergeCell ref="B843:B844"/>
    <mergeCell ref="A855:A856"/>
    <mergeCell ref="B855:B856"/>
    <mergeCell ref="A795:A796"/>
    <mergeCell ref="B795:B796"/>
    <mergeCell ref="A807:A808"/>
    <mergeCell ref="B807:B808"/>
    <mergeCell ref="A819:A820"/>
    <mergeCell ref="B819:B820"/>
    <mergeCell ref="A759:A760"/>
    <mergeCell ref="B759:B760"/>
    <mergeCell ref="A771:A772"/>
    <mergeCell ref="B771:B772"/>
    <mergeCell ref="A783:A784"/>
    <mergeCell ref="B783:B784"/>
    <mergeCell ref="A723:A724"/>
    <mergeCell ref="B723:B724"/>
    <mergeCell ref="A735:A736"/>
    <mergeCell ref="B735:B736"/>
    <mergeCell ref="A747:A748"/>
    <mergeCell ref="B747:B748"/>
    <mergeCell ref="A687:A688"/>
    <mergeCell ref="B687:B688"/>
    <mergeCell ref="A699:A700"/>
    <mergeCell ref="B699:B700"/>
    <mergeCell ref="A711:A712"/>
    <mergeCell ref="B711:B712"/>
    <mergeCell ref="A651:A652"/>
    <mergeCell ref="B651:B652"/>
    <mergeCell ref="A663:A664"/>
    <mergeCell ref="B663:B664"/>
    <mergeCell ref="A675:A676"/>
    <mergeCell ref="B675:B676"/>
    <mergeCell ref="A615:A616"/>
    <mergeCell ref="B615:B616"/>
    <mergeCell ref="A627:A628"/>
    <mergeCell ref="B627:B628"/>
    <mergeCell ref="A639:A640"/>
    <mergeCell ref="B639:B640"/>
    <mergeCell ref="A579:A580"/>
    <mergeCell ref="B579:B580"/>
    <mergeCell ref="A591:A592"/>
    <mergeCell ref="B591:B592"/>
    <mergeCell ref="A603:A604"/>
    <mergeCell ref="B603:B604"/>
    <mergeCell ref="A543:A544"/>
    <mergeCell ref="B543:B544"/>
    <mergeCell ref="A555:A556"/>
    <mergeCell ref="B555:B556"/>
    <mergeCell ref="A567:A568"/>
    <mergeCell ref="B567:B568"/>
    <mergeCell ref="A519:A520"/>
    <mergeCell ref="B519:B520"/>
    <mergeCell ref="A531:A532"/>
    <mergeCell ref="B531:B532"/>
    <mergeCell ref="A471:A472"/>
    <mergeCell ref="B471:B472"/>
    <mergeCell ref="A483:A484"/>
    <mergeCell ref="B483:B484"/>
    <mergeCell ref="A495:A496"/>
    <mergeCell ref="B495:B496"/>
    <mergeCell ref="A459:A460"/>
    <mergeCell ref="B459:B460"/>
    <mergeCell ref="A399:A400"/>
    <mergeCell ref="B399:B400"/>
    <mergeCell ref="A411:A412"/>
    <mergeCell ref="B411:B412"/>
    <mergeCell ref="A423:A424"/>
    <mergeCell ref="B423:B424"/>
    <mergeCell ref="A507:A508"/>
    <mergeCell ref="B507:B508"/>
    <mergeCell ref="A387:A388"/>
    <mergeCell ref="B387:B388"/>
    <mergeCell ref="B327:B328"/>
    <mergeCell ref="B339:B340"/>
    <mergeCell ref="B351:B352"/>
    <mergeCell ref="A435:A436"/>
    <mergeCell ref="B435:B436"/>
    <mergeCell ref="A447:A448"/>
    <mergeCell ref="B447:B448"/>
    <mergeCell ref="B291:B292"/>
    <mergeCell ref="B303:B304"/>
    <mergeCell ref="B315:B316"/>
    <mergeCell ref="B255:B256"/>
    <mergeCell ref="B267:B268"/>
    <mergeCell ref="B279:B280"/>
    <mergeCell ref="A363:A364"/>
    <mergeCell ref="B363:B364"/>
    <mergeCell ref="A375:A376"/>
    <mergeCell ref="B375:B376"/>
    <mergeCell ref="B147:B148"/>
    <mergeCell ref="B159:B160"/>
    <mergeCell ref="B171:B172"/>
    <mergeCell ref="B111:B112"/>
    <mergeCell ref="B123:B124"/>
    <mergeCell ref="B135:B136"/>
    <mergeCell ref="B219:B220"/>
    <mergeCell ref="B231:B232"/>
    <mergeCell ref="B243:B244"/>
    <mergeCell ref="B183:B184"/>
    <mergeCell ref="B195:B196"/>
    <mergeCell ref="B207:B208"/>
    <mergeCell ref="B3:B4"/>
    <mergeCell ref="B15:B16"/>
    <mergeCell ref="B27:B28"/>
    <mergeCell ref="B75:B76"/>
    <mergeCell ref="B87:B88"/>
    <mergeCell ref="B99:B100"/>
    <mergeCell ref="B39:B40"/>
    <mergeCell ref="B51:B52"/>
    <mergeCell ref="B63:B64"/>
    <mergeCell ref="E3:E4"/>
    <mergeCell ref="F3:F4"/>
    <mergeCell ref="AC3:AC6"/>
    <mergeCell ref="AC7:AC10"/>
    <mergeCell ref="E15:E16"/>
    <mergeCell ref="F15:F16"/>
    <mergeCell ref="AC15:AC18"/>
    <mergeCell ref="AC19:AC22"/>
    <mergeCell ref="E27:E28"/>
    <mergeCell ref="F27:F28"/>
    <mergeCell ref="AC27:AC30"/>
    <mergeCell ref="AC31:AC34"/>
    <mergeCell ref="E39:E40"/>
    <mergeCell ref="F39:F40"/>
    <mergeCell ref="AC39:AC42"/>
    <mergeCell ref="AC43:AC46"/>
    <mergeCell ref="E51:E52"/>
    <mergeCell ref="F51:F52"/>
    <mergeCell ref="AC51:AC54"/>
    <mergeCell ref="AC55:AC58"/>
    <mergeCell ref="E63:E64"/>
    <mergeCell ref="F63:F64"/>
    <mergeCell ref="AC63:AC66"/>
    <mergeCell ref="AC67:AC70"/>
    <mergeCell ref="E75:E76"/>
    <mergeCell ref="F75:F76"/>
    <mergeCell ref="AC75:AC78"/>
    <mergeCell ref="AC79:AC82"/>
    <mergeCell ref="E87:E88"/>
    <mergeCell ref="F87:F88"/>
    <mergeCell ref="AC87:AC90"/>
    <mergeCell ref="AC91:AC94"/>
    <mergeCell ref="E99:E100"/>
    <mergeCell ref="F99:F100"/>
    <mergeCell ref="AC99:AC102"/>
    <mergeCell ref="AC103:AC106"/>
    <mergeCell ref="E111:E112"/>
    <mergeCell ref="F111:F112"/>
    <mergeCell ref="AC111:AC114"/>
    <mergeCell ref="AC115:AC118"/>
    <mergeCell ref="E123:E124"/>
    <mergeCell ref="F123:F124"/>
    <mergeCell ref="AC123:AC126"/>
    <mergeCell ref="AC127:AC130"/>
    <mergeCell ref="E135:E136"/>
    <mergeCell ref="F135:F136"/>
    <mergeCell ref="AC135:AC138"/>
    <mergeCell ref="AC139:AC142"/>
    <mergeCell ref="E147:E148"/>
    <mergeCell ref="F147:F148"/>
    <mergeCell ref="AC147:AC150"/>
    <mergeCell ref="AC151:AC154"/>
    <mergeCell ref="E159:E160"/>
    <mergeCell ref="F159:F160"/>
    <mergeCell ref="AC159:AC162"/>
    <mergeCell ref="AC163:AC166"/>
    <mergeCell ref="E171:E172"/>
    <mergeCell ref="F171:F172"/>
    <mergeCell ref="AC171:AC174"/>
    <mergeCell ref="AC175:AC178"/>
    <mergeCell ref="E183:E184"/>
    <mergeCell ref="F183:F184"/>
    <mergeCell ref="AC183:AC186"/>
    <mergeCell ref="AC187:AC190"/>
    <mergeCell ref="E195:E196"/>
    <mergeCell ref="F195:F196"/>
    <mergeCell ref="AC195:AC198"/>
    <mergeCell ref="AC199:AC202"/>
    <mergeCell ref="E207:E208"/>
    <mergeCell ref="F207:F208"/>
    <mergeCell ref="AC207:AC210"/>
    <mergeCell ref="AC211:AC214"/>
    <mergeCell ref="E219:E220"/>
    <mergeCell ref="F219:F220"/>
    <mergeCell ref="AC219:AC222"/>
    <mergeCell ref="AC223:AC226"/>
    <mergeCell ref="E231:E232"/>
    <mergeCell ref="F231:F232"/>
    <mergeCell ref="AC231:AC234"/>
    <mergeCell ref="AC235:AC238"/>
    <mergeCell ref="E243:E244"/>
    <mergeCell ref="F243:F244"/>
    <mergeCell ref="AC243:AC246"/>
    <mergeCell ref="AC247:AC250"/>
    <mergeCell ref="E255:E256"/>
    <mergeCell ref="F255:F256"/>
    <mergeCell ref="AC255:AC258"/>
    <mergeCell ref="AC259:AC262"/>
    <mergeCell ref="E267:E268"/>
    <mergeCell ref="F267:F268"/>
    <mergeCell ref="AC267:AC270"/>
    <mergeCell ref="AC271:AC274"/>
    <mergeCell ref="E279:E280"/>
    <mergeCell ref="F279:F280"/>
    <mergeCell ref="AC279:AC282"/>
    <mergeCell ref="AC283:AC286"/>
    <mergeCell ref="E291:E292"/>
    <mergeCell ref="F291:F292"/>
    <mergeCell ref="AC291:AC294"/>
    <mergeCell ref="AC295:AC298"/>
    <mergeCell ref="E303:E304"/>
    <mergeCell ref="F303:F304"/>
    <mergeCell ref="AC303:AC306"/>
    <mergeCell ref="AC307:AC310"/>
    <mergeCell ref="E315:E316"/>
    <mergeCell ref="F315:F316"/>
    <mergeCell ref="AC315:AC318"/>
    <mergeCell ref="AC319:AC322"/>
    <mergeCell ref="E327:E328"/>
    <mergeCell ref="F327:F328"/>
    <mergeCell ref="AC327:AC330"/>
    <mergeCell ref="AC331:AC334"/>
    <mergeCell ref="E339:E340"/>
    <mergeCell ref="F339:F340"/>
    <mergeCell ref="AC339:AC342"/>
    <mergeCell ref="AC343:AC346"/>
    <mergeCell ref="E351:E352"/>
    <mergeCell ref="F351:F352"/>
    <mergeCell ref="AC351:AC354"/>
    <mergeCell ref="AC355:AC358"/>
  </mergeCells>
  <phoneticPr fontId="43" type="noConversion"/>
  <dataValidations count="2">
    <dataValidation allowBlank="1" showInputMessage="1" showErrorMessage="1" prompt="请选择查询的所属年度" sqref="AD1"/>
    <dataValidation allowBlank="1" showInputMessage="1" showErrorMessage="1" prompt="请选择查询的所属月份" sqref="AF1"/>
  </dataValidations>
  <pageMargins left="0.74803149606299213" right="0.74803149606299213" top="0.98425196850393704" bottom="0.98425196850393704" header="0.51181102362204722" footer="0.51181102362204722"/>
  <pageSetup paperSize="127" orientation="landscape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4" r:id="rId4" name="微调框 1">
              <controlPr defaultSize="0" autoPict="0">
                <anchor moveWithCells="1" sizeWithCells="1">
                  <from>
                    <xdr:col>30</xdr:col>
                    <xdr:colOff>9525</xdr:colOff>
                    <xdr:row>0</xdr:row>
                    <xdr:rowOff>19050</xdr:rowOff>
                  </from>
                  <to>
                    <xdr:col>30</xdr:col>
                    <xdr:colOff>390525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5" name="Spinner 5">
              <controlPr defaultSize="0" autoPict="0">
                <anchor moveWithCells="1" sizeWithCells="1">
                  <from>
                    <xdr:col>32</xdr:col>
                    <xdr:colOff>9525</xdr:colOff>
                    <xdr:row>0</xdr:row>
                    <xdr:rowOff>19050</xdr:rowOff>
                  </from>
                  <to>
                    <xdr:col>32</xdr:col>
                    <xdr:colOff>390525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200"/>
  <sheetViews>
    <sheetView showZeros="0" zoomScaleNormal="100" zoomScaleSheetLayoutView="100" workbookViewId="0">
      <pane ySplit="4" topLeftCell="A38" activePane="bottomLeft" state="frozen"/>
      <selection activeCell="A2293" sqref="A2293:XFD2304"/>
      <selection pane="bottomLeft" activeCell="AC38" sqref="AC38"/>
    </sheetView>
  </sheetViews>
  <sheetFormatPr defaultColWidth="9" defaultRowHeight="14.25"/>
  <cols>
    <col min="1" max="1" width="14.5" style="200" customWidth="1"/>
    <col min="2" max="2" width="0" style="200" hidden="1" customWidth="1"/>
    <col min="3" max="3" width="15.875" style="201" customWidth="1"/>
    <col min="4" max="4" width="18.375" style="201" customWidth="1"/>
    <col min="5" max="6" width="9" style="200" customWidth="1"/>
    <col min="7" max="7" width="1.875" style="45" customWidth="1"/>
    <col min="8" max="28" width="1.875" customWidth="1"/>
    <col min="29" max="29" width="2.5" customWidth="1"/>
    <col min="30" max="33" width="8.625" customWidth="1"/>
  </cols>
  <sheetData>
    <row r="1" spans="1:33" ht="39.75" customHeight="1" thickBot="1">
      <c r="A1" s="226"/>
      <c r="B1" s="226"/>
      <c r="C1" s="227" t="s">
        <v>577</v>
      </c>
      <c r="D1" s="228"/>
      <c r="E1" s="226"/>
      <c r="F1" s="226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9" t="s">
        <v>579</v>
      </c>
      <c r="S1" s="230"/>
      <c r="T1" s="230"/>
      <c r="U1" s="231">
        <f ca="1">DATE(AD$1,AF$1,INDEX(凭证录入!B:B,AD5))</f>
        <v>41282</v>
      </c>
      <c r="V1" s="232"/>
      <c r="W1" s="232"/>
      <c r="X1" s="232"/>
      <c r="Y1" s="232"/>
      <c r="Z1" s="232"/>
      <c r="AA1" s="232"/>
      <c r="AB1" s="232"/>
      <c r="AD1" s="233">
        <v>2013</v>
      </c>
      <c r="AE1" s="234" t="s">
        <v>580</v>
      </c>
      <c r="AF1" s="224">
        <v>1</v>
      </c>
      <c r="AG1" s="234" t="s">
        <v>581</v>
      </c>
    </row>
    <row r="2" spans="1:33" s="45" customFormat="1" ht="23.25" customHeight="1" thickTop="1">
      <c r="A2" s="235" t="s">
        <v>583</v>
      </c>
      <c r="B2" s="235"/>
      <c r="C2" s="236" t="str">
        <f>Co</f>
        <v>远大开发有限公司</v>
      </c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29" t="s">
        <v>584</v>
      </c>
      <c r="S2" s="229"/>
      <c r="T2" s="229"/>
      <c r="U2" s="237" t="str">
        <f>"第 "&amp;TEXT($AF$1,"00")&amp;TEXT($AC2,"0000 号")</f>
        <v>第 010001 号</v>
      </c>
      <c r="V2" s="237"/>
      <c r="W2" s="238"/>
      <c r="X2" s="238"/>
      <c r="Y2" s="238"/>
      <c r="Z2" s="238"/>
      <c r="AA2" s="238"/>
      <c r="AB2" s="238"/>
      <c r="AC2" s="239">
        <v>1</v>
      </c>
      <c r="AD2" s="240" t="str">
        <f ca="1">"今天是:"&amp;TEXT(TODAY(),"e年m月d日")&amp;"【"&amp;TEXT(TODAY(),"[$-804]aaaa;@")&amp;"】"</f>
        <v>今天是:2014年9月18日【星期四】</v>
      </c>
    </row>
    <row r="3" spans="1:33" s="45" customFormat="1" ht="22.5" customHeight="1">
      <c r="A3" s="241" t="s">
        <v>586</v>
      </c>
      <c r="B3" s="542" t="s">
        <v>587</v>
      </c>
      <c r="C3" s="242" t="s">
        <v>589</v>
      </c>
      <c r="D3" s="243" t="s">
        <v>591</v>
      </c>
      <c r="E3" s="539" t="s">
        <v>593</v>
      </c>
      <c r="F3" s="539" t="s">
        <v>595</v>
      </c>
      <c r="G3" s="244" t="s">
        <v>597</v>
      </c>
      <c r="H3" s="245"/>
      <c r="I3" s="245"/>
      <c r="J3" s="245"/>
      <c r="K3" s="245"/>
      <c r="L3" s="245"/>
      <c r="M3" s="245"/>
      <c r="N3" s="245"/>
      <c r="O3" s="245"/>
      <c r="P3" s="245"/>
      <c r="Q3" s="246"/>
      <c r="R3" s="247" t="s">
        <v>599</v>
      </c>
      <c r="S3" s="245"/>
      <c r="T3" s="245"/>
      <c r="U3" s="245"/>
      <c r="V3" s="245"/>
      <c r="W3" s="245"/>
      <c r="X3" s="245"/>
      <c r="Y3" s="245"/>
      <c r="Z3" s="245"/>
      <c r="AA3" s="245"/>
      <c r="AB3" s="246"/>
      <c r="AC3" s="541" t="str">
        <f ca="1">"附单据数︵"&amp;INDEX(凭证录入!$D:$D,$AD5)&amp;"︶张"</f>
        <v>附单据数︵1︶张</v>
      </c>
      <c r="AD3" s="235"/>
    </row>
    <row r="4" spans="1:33" s="45" customFormat="1" ht="22.5" customHeight="1">
      <c r="A4" s="248" t="s">
        <v>601</v>
      </c>
      <c r="B4" s="543"/>
      <c r="C4" s="249" t="s">
        <v>603</v>
      </c>
      <c r="D4" s="250" t="s">
        <v>603</v>
      </c>
      <c r="E4" s="540"/>
      <c r="F4" s="540"/>
      <c r="G4" s="251" t="s">
        <v>605</v>
      </c>
      <c r="H4" s="252" t="s">
        <v>607</v>
      </c>
      <c r="I4" s="253" t="s">
        <v>609</v>
      </c>
      <c r="J4" s="254" t="s">
        <v>611</v>
      </c>
      <c r="K4" s="252" t="s">
        <v>613</v>
      </c>
      <c r="L4" s="253" t="s">
        <v>614</v>
      </c>
      <c r="M4" s="254" t="s">
        <v>615</v>
      </c>
      <c r="N4" s="252" t="s">
        <v>611</v>
      </c>
      <c r="O4" s="253" t="s">
        <v>617</v>
      </c>
      <c r="P4" s="254" t="s">
        <v>619</v>
      </c>
      <c r="Q4" s="255" t="s">
        <v>621</v>
      </c>
      <c r="R4" s="256" t="s">
        <v>622</v>
      </c>
      <c r="S4" s="252" t="s">
        <v>614</v>
      </c>
      <c r="T4" s="257" t="s">
        <v>615</v>
      </c>
      <c r="U4" s="256" t="s">
        <v>611</v>
      </c>
      <c r="V4" s="252" t="s">
        <v>613</v>
      </c>
      <c r="W4" s="253" t="s">
        <v>614</v>
      </c>
      <c r="X4" s="254" t="s">
        <v>615</v>
      </c>
      <c r="Y4" s="252" t="s">
        <v>611</v>
      </c>
      <c r="Z4" s="253" t="s">
        <v>617</v>
      </c>
      <c r="AA4" s="254" t="s">
        <v>619</v>
      </c>
      <c r="AB4" s="255" t="s">
        <v>621</v>
      </c>
      <c r="AC4" s="541"/>
    </row>
    <row r="5" spans="1:33" s="45" customFormat="1" ht="22.5" customHeight="1">
      <c r="A5" s="258" t="str">
        <f ca="1">IFERROR(INDEX(凭证录入!H:H,$AD5),"")</f>
        <v>现金存行</v>
      </c>
      <c r="B5" s="259">
        <f ca="1">IFERROR(INDEX(凭证录入!I:I,$AD5),"")</f>
        <v>10020101</v>
      </c>
      <c r="C5" s="260" t="str">
        <f ca="1">IFERROR(VLOOKUP($B5,会计科目表!$A:$C,2,),"")</f>
        <v>银行存款</v>
      </c>
      <c r="D5" s="261" t="str">
        <f ca="1">IFERROR(VLOOKUP($B5,会计科目表!$A:$C,3,),"")</f>
        <v>农业银行_人民支行</v>
      </c>
      <c r="E5" s="262">
        <f ca="1">IFERROR(INDEX(凭证录入!K:K,$AD5),0)</f>
        <v>4000</v>
      </c>
      <c r="F5" s="262">
        <f ca="1">IFERROR(INDEX(凭证录入!L:L,$AD5),0)</f>
        <v>0</v>
      </c>
      <c r="G5" s="263" t="str">
        <f ca="1">LEFT(RIGHT(TEXT($E5/1%," ￥0; ￥-0;"),18-COLUMN()))</f>
        <v xml:space="preserve"> </v>
      </c>
      <c r="H5" s="264" t="str">
        <f ca="1">LEFT(RIGHT(TEXT($E5/1%," ￥0; ￥-0;"),18-COLUMN()))</f>
        <v xml:space="preserve"> </v>
      </c>
      <c r="I5" s="265" t="str">
        <f t="shared" ref="I5:Q11" ca="1" si="0">LEFT(RIGHT(TEXT($E5/1%," ￥0; ￥-0;"),18-COLUMN()))</f>
        <v xml:space="preserve"> </v>
      </c>
      <c r="J5" s="266" t="str">
        <f t="shared" ca="1" si="0"/>
        <v xml:space="preserve"> </v>
      </c>
      <c r="K5" s="264" t="str">
        <f t="shared" ca="1" si="0"/>
        <v>￥</v>
      </c>
      <c r="L5" s="265" t="str">
        <f t="shared" ca="1" si="0"/>
        <v>4</v>
      </c>
      <c r="M5" s="266" t="str">
        <f t="shared" ca="1" si="0"/>
        <v>0</v>
      </c>
      <c r="N5" s="264" t="str">
        <f t="shared" ca="1" si="0"/>
        <v>0</v>
      </c>
      <c r="O5" s="265" t="str">
        <f t="shared" ca="1" si="0"/>
        <v>0</v>
      </c>
      <c r="P5" s="266" t="str">
        <f t="shared" ca="1" si="0"/>
        <v>0</v>
      </c>
      <c r="Q5" s="267" t="str">
        <f t="shared" ca="1" si="0"/>
        <v>0</v>
      </c>
      <c r="R5" s="268" t="str">
        <f ca="1">LEFT(RIGHT(TEXT($F5/1%," ￥0; ￥-0;"),29-COLUMN()))</f>
        <v/>
      </c>
      <c r="S5" s="264" t="str">
        <f t="shared" ref="S5:AB11" ca="1" si="1">LEFT(RIGHT(TEXT($F5/1%," ￥0; ￥-0;"),29-COLUMN()))</f>
        <v/>
      </c>
      <c r="T5" s="269" t="str">
        <f t="shared" ca="1" si="1"/>
        <v/>
      </c>
      <c r="U5" s="268" t="str">
        <f t="shared" ca="1" si="1"/>
        <v/>
      </c>
      <c r="V5" s="264" t="str">
        <f t="shared" ca="1" si="1"/>
        <v/>
      </c>
      <c r="W5" s="265" t="str">
        <f t="shared" ca="1" si="1"/>
        <v/>
      </c>
      <c r="X5" s="266" t="str">
        <f t="shared" ca="1" si="1"/>
        <v/>
      </c>
      <c r="Y5" s="264" t="str">
        <f t="shared" ca="1" si="1"/>
        <v/>
      </c>
      <c r="Z5" s="265" t="str">
        <f t="shared" ca="1" si="1"/>
        <v/>
      </c>
      <c r="AA5" s="266" t="str">
        <f t="shared" ca="1" si="1"/>
        <v/>
      </c>
      <c r="AB5" s="267" t="str">
        <f t="shared" ca="1" si="1"/>
        <v/>
      </c>
      <c r="AC5" s="541"/>
      <c r="AD5" s="212">
        <f t="shared" ref="AD5:AD10" ca="1" si="2">IFERROR(INDEX(记账行号,MOD(ROW()-4,12)),"")</f>
        <v>5</v>
      </c>
    </row>
    <row r="6" spans="1:33" s="45" customFormat="1" ht="22.5" customHeight="1">
      <c r="A6" s="258" t="str">
        <f ca="1">IFERROR(INDEX(凭证录入!H:H,$AD6),"")</f>
        <v>现金存行</v>
      </c>
      <c r="B6" s="259">
        <f ca="1">IFERROR(INDEX(凭证录入!I:I,$AD6),"")</f>
        <v>1001</v>
      </c>
      <c r="C6" s="260" t="str">
        <f ca="1">IFERROR(VLOOKUP($B6,会计科目表!$A:$C,2,),"")</f>
        <v>库存现金</v>
      </c>
      <c r="D6" s="261">
        <f ca="1">IFERROR(VLOOKUP($B6,会计科目表!$A:$C,3,),"")</f>
        <v>0</v>
      </c>
      <c r="E6" s="262">
        <f ca="1">IFERROR(INDEX(凭证录入!K:K,$AD6),0)</f>
        <v>0</v>
      </c>
      <c r="F6" s="262">
        <f ca="1">IFERROR(INDEX(凭证录入!L:L,$AD6),0)</f>
        <v>4000</v>
      </c>
      <c r="G6" s="263" t="str">
        <f t="shared" ref="G6:H11" ca="1" si="3">LEFT(RIGHT(TEXT($E6/1%," ￥0; ￥-0;"),18-COLUMN()))</f>
        <v/>
      </c>
      <c r="H6" s="264" t="str">
        <f t="shared" ca="1" si="3"/>
        <v/>
      </c>
      <c r="I6" s="265" t="str">
        <f t="shared" ca="1" si="0"/>
        <v/>
      </c>
      <c r="J6" s="266" t="str">
        <f t="shared" ca="1" si="0"/>
        <v/>
      </c>
      <c r="K6" s="264" t="str">
        <f t="shared" ca="1" si="0"/>
        <v/>
      </c>
      <c r="L6" s="265" t="str">
        <f t="shared" ca="1" si="0"/>
        <v/>
      </c>
      <c r="M6" s="266" t="str">
        <f t="shared" ca="1" si="0"/>
        <v/>
      </c>
      <c r="N6" s="264" t="str">
        <f t="shared" ca="1" si="0"/>
        <v/>
      </c>
      <c r="O6" s="265" t="str">
        <f t="shared" ca="1" si="0"/>
        <v/>
      </c>
      <c r="P6" s="266" t="str">
        <f t="shared" ca="1" si="0"/>
        <v/>
      </c>
      <c r="Q6" s="267" t="str">
        <f t="shared" ca="1" si="0"/>
        <v/>
      </c>
      <c r="R6" s="268" t="str">
        <f t="shared" ref="R6:R11" ca="1" si="4">LEFT(RIGHT(TEXT($F6/1%," ￥0; ￥-0;"),29-COLUMN()))</f>
        <v xml:space="preserve"> </v>
      </c>
      <c r="S6" s="264" t="str">
        <f t="shared" ca="1" si="1"/>
        <v xml:space="preserve"> </v>
      </c>
      <c r="T6" s="269" t="str">
        <f t="shared" ca="1" si="1"/>
        <v xml:space="preserve"> </v>
      </c>
      <c r="U6" s="268" t="str">
        <f t="shared" ca="1" si="1"/>
        <v xml:space="preserve"> </v>
      </c>
      <c r="V6" s="264" t="str">
        <f t="shared" ca="1" si="1"/>
        <v>￥</v>
      </c>
      <c r="W6" s="265" t="str">
        <f t="shared" ca="1" si="1"/>
        <v>4</v>
      </c>
      <c r="X6" s="266" t="str">
        <f t="shared" ca="1" si="1"/>
        <v>0</v>
      </c>
      <c r="Y6" s="264" t="str">
        <f t="shared" ca="1" si="1"/>
        <v>0</v>
      </c>
      <c r="Z6" s="265" t="str">
        <f t="shared" ca="1" si="1"/>
        <v>0</v>
      </c>
      <c r="AA6" s="266" t="str">
        <f t="shared" ca="1" si="1"/>
        <v>0</v>
      </c>
      <c r="AB6" s="267" t="str">
        <f t="shared" ca="1" si="1"/>
        <v>0</v>
      </c>
      <c r="AC6" s="541"/>
      <c r="AD6" s="212">
        <f t="shared" ca="1" si="2"/>
        <v>6</v>
      </c>
    </row>
    <row r="7" spans="1:33" s="45" customFormat="1" ht="22.5" customHeight="1">
      <c r="A7" s="258" t="str">
        <f ca="1">IFERROR(INDEX(凭证录入!H:H,$AD7),"")</f>
        <v/>
      </c>
      <c r="B7" s="259" t="str">
        <f ca="1">IFERROR(INDEX(凭证录入!I:I,$AD7),"")</f>
        <v/>
      </c>
      <c r="C7" s="260" t="str">
        <f ca="1">IFERROR(VLOOKUP($B7,会计科目表!$A:$C,2,),"")</f>
        <v/>
      </c>
      <c r="D7" s="261" t="str">
        <f ca="1">IFERROR(VLOOKUP($B7,会计科目表!$A:$C,3,),"")</f>
        <v/>
      </c>
      <c r="E7" s="262">
        <f ca="1">IFERROR(INDEX(凭证录入!K:K,$AD7),0)</f>
        <v>0</v>
      </c>
      <c r="F7" s="262">
        <f ca="1">IFERROR(INDEX(凭证录入!L:L,$AD7),0)</f>
        <v>0</v>
      </c>
      <c r="G7" s="263" t="str">
        <f t="shared" ca="1" si="3"/>
        <v/>
      </c>
      <c r="H7" s="264" t="str">
        <f t="shared" ca="1" si="3"/>
        <v/>
      </c>
      <c r="I7" s="265" t="str">
        <f t="shared" ca="1" si="0"/>
        <v/>
      </c>
      <c r="J7" s="266" t="str">
        <f t="shared" ca="1" si="0"/>
        <v/>
      </c>
      <c r="K7" s="264" t="str">
        <f t="shared" ca="1" si="0"/>
        <v/>
      </c>
      <c r="L7" s="265" t="str">
        <f t="shared" ca="1" si="0"/>
        <v/>
      </c>
      <c r="M7" s="266" t="str">
        <f t="shared" ca="1" si="0"/>
        <v/>
      </c>
      <c r="N7" s="264" t="str">
        <f t="shared" ca="1" si="0"/>
        <v/>
      </c>
      <c r="O7" s="265" t="str">
        <f t="shared" ca="1" si="0"/>
        <v/>
      </c>
      <c r="P7" s="266" t="str">
        <f t="shared" ca="1" si="0"/>
        <v/>
      </c>
      <c r="Q7" s="267" t="str">
        <f t="shared" ca="1" si="0"/>
        <v/>
      </c>
      <c r="R7" s="268" t="str">
        <f t="shared" ca="1" si="4"/>
        <v/>
      </c>
      <c r="S7" s="264" t="str">
        <f t="shared" ca="1" si="1"/>
        <v/>
      </c>
      <c r="T7" s="269" t="str">
        <f t="shared" ca="1" si="1"/>
        <v/>
      </c>
      <c r="U7" s="268" t="str">
        <f t="shared" ca="1" si="1"/>
        <v/>
      </c>
      <c r="V7" s="264" t="str">
        <f t="shared" ca="1" si="1"/>
        <v/>
      </c>
      <c r="W7" s="265" t="str">
        <f t="shared" ca="1" si="1"/>
        <v/>
      </c>
      <c r="X7" s="266" t="str">
        <f t="shared" ca="1" si="1"/>
        <v/>
      </c>
      <c r="Y7" s="264" t="str">
        <f t="shared" ca="1" si="1"/>
        <v/>
      </c>
      <c r="Z7" s="265" t="str">
        <f t="shared" ca="1" si="1"/>
        <v/>
      </c>
      <c r="AA7" s="266" t="str">
        <f t="shared" ca="1" si="1"/>
        <v/>
      </c>
      <c r="AB7" s="267" t="str">
        <f t="shared" ca="1" si="1"/>
        <v/>
      </c>
      <c r="AC7" s="536" t="s">
        <v>623</v>
      </c>
      <c r="AD7" s="212" t="str">
        <f t="shared" ca="1" si="2"/>
        <v/>
      </c>
    </row>
    <row r="8" spans="1:33" s="45" customFormat="1" ht="22.5" customHeight="1">
      <c r="A8" s="258" t="str">
        <f ca="1">IFERROR(INDEX(凭证录入!H:H,$AD8),"")</f>
        <v/>
      </c>
      <c r="B8" s="259" t="str">
        <f ca="1">IFERROR(INDEX(凭证录入!I:I,$AD8),"")</f>
        <v/>
      </c>
      <c r="C8" s="260" t="str">
        <f ca="1">IFERROR(VLOOKUP($B8,会计科目表!$A:$C,2,),"")</f>
        <v/>
      </c>
      <c r="D8" s="261" t="str">
        <f ca="1">IFERROR(VLOOKUP($B8,会计科目表!$A:$C,3,),"")</f>
        <v/>
      </c>
      <c r="E8" s="262">
        <f ca="1">IFERROR(INDEX(凭证录入!K:K,$AD8),0)</f>
        <v>0</v>
      </c>
      <c r="F8" s="262">
        <f ca="1">IFERROR(INDEX(凭证录入!L:L,$AD8),0)</f>
        <v>0</v>
      </c>
      <c r="G8" s="263" t="str">
        <f t="shared" ca="1" si="3"/>
        <v/>
      </c>
      <c r="H8" s="264" t="str">
        <f t="shared" ca="1" si="3"/>
        <v/>
      </c>
      <c r="I8" s="265" t="str">
        <f t="shared" ca="1" si="0"/>
        <v/>
      </c>
      <c r="J8" s="266" t="str">
        <f t="shared" ca="1" si="0"/>
        <v/>
      </c>
      <c r="K8" s="264" t="str">
        <f t="shared" ca="1" si="0"/>
        <v/>
      </c>
      <c r="L8" s="265" t="str">
        <f t="shared" ca="1" si="0"/>
        <v/>
      </c>
      <c r="M8" s="266" t="str">
        <f t="shared" ca="1" si="0"/>
        <v/>
      </c>
      <c r="N8" s="264" t="str">
        <f t="shared" ca="1" si="0"/>
        <v/>
      </c>
      <c r="O8" s="265" t="str">
        <f t="shared" ca="1" si="0"/>
        <v/>
      </c>
      <c r="P8" s="266" t="str">
        <f t="shared" ca="1" si="0"/>
        <v/>
      </c>
      <c r="Q8" s="267" t="str">
        <f t="shared" ca="1" si="0"/>
        <v/>
      </c>
      <c r="R8" s="268" t="str">
        <f t="shared" ca="1" si="4"/>
        <v/>
      </c>
      <c r="S8" s="264" t="str">
        <f t="shared" ca="1" si="1"/>
        <v/>
      </c>
      <c r="T8" s="269" t="str">
        <f t="shared" ca="1" si="1"/>
        <v/>
      </c>
      <c r="U8" s="268" t="str">
        <f t="shared" ca="1" si="1"/>
        <v/>
      </c>
      <c r="V8" s="264" t="str">
        <f t="shared" ca="1" si="1"/>
        <v/>
      </c>
      <c r="W8" s="265" t="str">
        <f t="shared" ca="1" si="1"/>
        <v/>
      </c>
      <c r="X8" s="266" t="str">
        <f t="shared" ca="1" si="1"/>
        <v/>
      </c>
      <c r="Y8" s="264" t="str">
        <f t="shared" ca="1" si="1"/>
        <v/>
      </c>
      <c r="Z8" s="265" t="str">
        <f t="shared" ca="1" si="1"/>
        <v/>
      </c>
      <c r="AA8" s="266" t="str">
        <f t="shared" ca="1" si="1"/>
        <v/>
      </c>
      <c r="AB8" s="267" t="str">
        <f t="shared" ca="1" si="1"/>
        <v/>
      </c>
      <c r="AC8" s="537"/>
      <c r="AD8" s="212" t="str">
        <f t="shared" ca="1" si="2"/>
        <v/>
      </c>
    </row>
    <row r="9" spans="1:33" s="45" customFormat="1" ht="22.5" customHeight="1">
      <c r="A9" s="258" t="str">
        <f ca="1">IFERROR(INDEX(凭证录入!H:H,$AD9),"")</f>
        <v/>
      </c>
      <c r="B9" s="259" t="str">
        <f ca="1">IFERROR(INDEX(凭证录入!I:I,$AD9),"")</f>
        <v/>
      </c>
      <c r="C9" s="260" t="str">
        <f ca="1">IFERROR(VLOOKUP($B9,会计科目表!$A:$C,2,),"")</f>
        <v/>
      </c>
      <c r="D9" s="261" t="str">
        <f ca="1">IFERROR(VLOOKUP($B9,会计科目表!$A:$C,3,),"")</f>
        <v/>
      </c>
      <c r="E9" s="262">
        <f ca="1">IFERROR(INDEX(凭证录入!K:K,$AD9),0)</f>
        <v>0</v>
      </c>
      <c r="F9" s="262">
        <f ca="1">IFERROR(INDEX(凭证录入!L:L,$AD9),0)</f>
        <v>0</v>
      </c>
      <c r="G9" s="263" t="str">
        <f t="shared" ca="1" si="3"/>
        <v/>
      </c>
      <c r="H9" s="264" t="str">
        <f t="shared" ca="1" si="3"/>
        <v/>
      </c>
      <c r="I9" s="265" t="str">
        <f t="shared" ca="1" si="0"/>
        <v/>
      </c>
      <c r="J9" s="266" t="str">
        <f t="shared" ca="1" si="0"/>
        <v/>
      </c>
      <c r="K9" s="264" t="str">
        <f t="shared" ca="1" si="0"/>
        <v/>
      </c>
      <c r="L9" s="265" t="str">
        <f t="shared" ca="1" si="0"/>
        <v/>
      </c>
      <c r="M9" s="266" t="str">
        <f t="shared" ca="1" si="0"/>
        <v/>
      </c>
      <c r="N9" s="264" t="str">
        <f t="shared" ca="1" si="0"/>
        <v/>
      </c>
      <c r="O9" s="265" t="str">
        <f t="shared" ca="1" si="0"/>
        <v/>
      </c>
      <c r="P9" s="266" t="str">
        <f t="shared" ca="1" si="0"/>
        <v/>
      </c>
      <c r="Q9" s="267" t="str">
        <f t="shared" ca="1" si="0"/>
        <v/>
      </c>
      <c r="R9" s="268" t="str">
        <f t="shared" ca="1" si="4"/>
        <v/>
      </c>
      <c r="S9" s="264" t="str">
        <f t="shared" ca="1" si="1"/>
        <v/>
      </c>
      <c r="T9" s="269" t="str">
        <f t="shared" ca="1" si="1"/>
        <v/>
      </c>
      <c r="U9" s="268" t="str">
        <f t="shared" ca="1" si="1"/>
        <v/>
      </c>
      <c r="V9" s="264" t="str">
        <f t="shared" ca="1" si="1"/>
        <v/>
      </c>
      <c r="W9" s="265" t="str">
        <f t="shared" ca="1" si="1"/>
        <v/>
      </c>
      <c r="X9" s="266" t="str">
        <f t="shared" ca="1" si="1"/>
        <v/>
      </c>
      <c r="Y9" s="264" t="str">
        <f t="shared" ca="1" si="1"/>
        <v/>
      </c>
      <c r="Z9" s="265" t="str">
        <f t="shared" ca="1" si="1"/>
        <v/>
      </c>
      <c r="AA9" s="266" t="str">
        <f t="shared" ca="1" si="1"/>
        <v/>
      </c>
      <c r="AB9" s="267" t="str">
        <f t="shared" ca="1" si="1"/>
        <v/>
      </c>
      <c r="AC9" s="538"/>
      <c r="AD9" s="212" t="str">
        <f t="shared" ca="1" si="2"/>
        <v/>
      </c>
    </row>
    <row r="10" spans="1:33" s="45" customFormat="1" ht="22.5" customHeight="1">
      <c r="A10" s="258" t="str">
        <f ca="1">IFERROR(INDEX(凭证录入!H:H,$AD$10),"")</f>
        <v/>
      </c>
      <c r="B10" s="259" t="str">
        <f ca="1">IFERROR(INDEX(凭证录入!I:I,$AD$10),"")</f>
        <v/>
      </c>
      <c r="C10" s="260" t="str">
        <f ca="1">IFERROR(VLOOKUP($B10,会计科目表!$A:$C,2,),"")</f>
        <v/>
      </c>
      <c r="D10" s="261" t="str">
        <f ca="1">IFERROR(VLOOKUP($B10,会计科目表!$A:$C,3,),"")</f>
        <v/>
      </c>
      <c r="E10" s="262">
        <f ca="1">IFERROR(INDEX(凭证录入!K:K,$AD$10),0)</f>
        <v>0</v>
      </c>
      <c r="F10" s="262">
        <f ca="1">IFERROR(INDEX(凭证录入!L:L,$AD$10),0)</f>
        <v>0</v>
      </c>
      <c r="G10" s="263" t="str">
        <f t="shared" ca="1" si="3"/>
        <v/>
      </c>
      <c r="H10" s="264" t="str">
        <f t="shared" ca="1" si="3"/>
        <v/>
      </c>
      <c r="I10" s="265" t="str">
        <f t="shared" ca="1" si="0"/>
        <v/>
      </c>
      <c r="J10" s="266" t="str">
        <f t="shared" ca="1" si="0"/>
        <v/>
      </c>
      <c r="K10" s="264" t="str">
        <f t="shared" ca="1" si="0"/>
        <v/>
      </c>
      <c r="L10" s="265" t="str">
        <f t="shared" ca="1" si="0"/>
        <v/>
      </c>
      <c r="M10" s="266" t="str">
        <f t="shared" ca="1" si="0"/>
        <v/>
      </c>
      <c r="N10" s="264" t="str">
        <f t="shared" ca="1" si="0"/>
        <v/>
      </c>
      <c r="O10" s="265" t="str">
        <f t="shared" ca="1" si="0"/>
        <v/>
      </c>
      <c r="P10" s="266" t="str">
        <f t="shared" ca="1" si="0"/>
        <v/>
      </c>
      <c r="Q10" s="267" t="str">
        <f t="shared" ca="1" si="0"/>
        <v/>
      </c>
      <c r="R10" s="268" t="str">
        <f t="shared" ca="1" si="4"/>
        <v/>
      </c>
      <c r="S10" s="264" t="str">
        <f t="shared" ca="1" si="1"/>
        <v/>
      </c>
      <c r="T10" s="269" t="str">
        <f t="shared" ca="1" si="1"/>
        <v/>
      </c>
      <c r="U10" s="268" t="str">
        <f t="shared" ca="1" si="1"/>
        <v/>
      </c>
      <c r="V10" s="264" t="str">
        <f t="shared" ca="1" si="1"/>
        <v/>
      </c>
      <c r="W10" s="265" t="str">
        <f t="shared" ca="1" si="1"/>
        <v/>
      </c>
      <c r="X10" s="266" t="str">
        <f t="shared" ca="1" si="1"/>
        <v/>
      </c>
      <c r="Y10" s="264" t="str">
        <f t="shared" ca="1" si="1"/>
        <v/>
      </c>
      <c r="Z10" s="265" t="str">
        <f t="shared" ca="1" si="1"/>
        <v/>
      </c>
      <c r="AA10" s="266" t="str">
        <f t="shared" ca="1" si="1"/>
        <v/>
      </c>
      <c r="AB10" s="267" t="str">
        <f t="shared" ca="1" si="1"/>
        <v/>
      </c>
      <c r="AC10" s="538"/>
      <c r="AD10" s="212" t="str">
        <f t="shared" ca="1" si="2"/>
        <v/>
      </c>
    </row>
    <row r="11" spans="1:33" s="45" customFormat="1" ht="22.5" customHeight="1">
      <c r="A11" s="270" t="s">
        <v>625</v>
      </c>
      <c r="B11" s="271"/>
      <c r="C11" s="272" t="str">
        <f ca="1">SUBSTITUTE(SUBSTITUTE(IF(-DOLLAR(E11),IF(E11&gt;0,,"负")&amp;TEXT(INT(ABS(E11)+0.5%),"[dbnum2]G/通用格式元;;")&amp;TEXT(RIGHT(DOLLAR(E11,2),2),"[dbnum2]0角0分;;整"),),"零角",IF(E11^2&lt;1,,"零")),"零分","整")</f>
        <v>肆仟元整</v>
      </c>
      <c r="D11" s="273"/>
      <c r="E11" s="274">
        <f ca="1">SUM(E5:E10)</f>
        <v>4000</v>
      </c>
      <c r="F11" s="275">
        <f ca="1">SUM(F5:F10)</f>
        <v>4000</v>
      </c>
      <c r="G11" s="276" t="str">
        <f t="shared" ca="1" si="3"/>
        <v xml:space="preserve"> </v>
      </c>
      <c r="H11" s="277" t="str">
        <f t="shared" ca="1" si="3"/>
        <v xml:space="preserve"> </v>
      </c>
      <c r="I11" s="278" t="str">
        <f t="shared" ca="1" si="0"/>
        <v xml:space="preserve"> </v>
      </c>
      <c r="J11" s="279" t="str">
        <f t="shared" ca="1" si="0"/>
        <v xml:space="preserve"> </v>
      </c>
      <c r="K11" s="277" t="str">
        <f t="shared" ca="1" si="0"/>
        <v>￥</v>
      </c>
      <c r="L11" s="278" t="str">
        <f t="shared" ca="1" si="0"/>
        <v>4</v>
      </c>
      <c r="M11" s="279" t="str">
        <f t="shared" ca="1" si="0"/>
        <v>0</v>
      </c>
      <c r="N11" s="277" t="str">
        <f t="shared" ca="1" si="0"/>
        <v>0</v>
      </c>
      <c r="O11" s="278" t="str">
        <f t="shared" ca="1" si="0"/>
        <v>0</v>
      </c>
      <c r="P11" s="279" t="str">
        <f t="shared" ca="1" si="0"/>
        <v>0</v>
      </c>
      <c r="Q11" s="280" t="str">
        <f t="shared" ca="1" si="0"/>
        <v>0</v>
      </c>
      <c r="R11" s="281" t="str">
        <f t="shared" ca="1" si="4"/>
        <v xml:space="preserve"> </v>
      </c>
      <c r="S11" s="277" t="str">
        <f t="shared" ca="1" si="1"/>
        <v xml:space="preserve"> </v>
      </c>
      <c r="T11" s="282" t="str">
        <f t="shared" ca="1" si="1"/>
        <v xml:space="preserve"> </v>
      </c>
      <c r="U11" s="281" t="str">
        <f t="shared" ca="1" si="1"/>
        <v xml:space="preserve"> </v>
      </c>
      <c r="V11" s="277" t="str">
        <f t="shared" ca="1" si="1"/>
        <v>￥</v>
      </c>
      <c r="W11" s="278" t="str">
        <f t="shared" ca="1" si="1"/>
        <v>4</v>
      </c>
      <c r="X11" s="279" t="str">
        <f t="shared" ca="1" si="1"/>
        <v>0</v>
      </c>
      <c r="Y11" s="277" t="str">
        <f t="shared" ca="1" si="1"/>
        <v>0</v>
      </c>
      <c r="Z11" s="278" t="str">
        <f t="shared" ca="1" si="1"/>
        <v>0</v>
      </c>
      <c r="AA11" s="279" t="str">
        <f t="shared" ca="1" si="1"/>
        <v>0</v>
      </c>
      <c r="AB11" s="280" t="str">
        <f t="shared" ca="1" si="1"/>
        <v>0</v>
      </c>
      <c r="AC11" s="283"/>
      <c r="AD11" s="212"/>
    </row>
    <row r="12" spans="1:33" s="22" customFormat="1" ht="22.5" customHeight="1">
      <c r="A12" s="284" t="s">
        <v>627</v>
      </c>
      <c r="B12" s="284"/>
      <c r="C12" s="284"/>
      <c r="D12" s="284" t="s">
        <v>629</v>
      </c>
      <c r="E12" s="284"/>
      <c r="F12" s="284"/>
      <c r="G12" s="284"/>
      <c r="H12" s="285"/>
      <c r="I12" s="284"/>
      <c r="J12" s="285"/>
      <c r="K12" s="285"/>
      <c r="L12" s="284"/>
      <c r="M12" s="285"/>
      <c r="N12" s="285"/>
      <c r="O12" s="285"/>
      <c r="P12" s="284"/>
      <c r="Q12" s="284" t="s">
        <v>631</v>
      </c>
      <c r="R12" s="284"/>
      <c r="S12" s="284"/>
      <c r="T12" s="284"/>
      <c r="U12" s="285"/>
      <c r="V12" s="284"/>
      <c r="W12" s="285"/>
      <c r="X12" s="284"/>
      <c r="Y12" s="284"/>
      <c r="Z12" s="285"/>
      <c r="AA12" s="285"/>
      <c r="AB12" s="285"/>
      <c r="AC12" s="286"/>
      <c r="AD12" s="212"/>
    </row>
    <row r="13" spans="1:33" ht="39.75" customHeight="1" thickBot="1">
      <c r="A13" s="226"/>
      <c r="B13" s="226"/>
      <c r="C13" s="227" t="s">
        <v>632</v>
      </c>
      <c r="D13" s="228"/>
      <c r="E13" s="226"/>
      <c r="F13" s="226"/>
      <c r="G13" s="228"/>
      <c r="H13" s="228"/>
      <c r="I13" s="228"/>
      <c r="J13" s="228"/>
      <c r="K13" s="228"/>
      <c r="L13" s="228"/>
      <c r="M13" s="228"/>
      <c r="N13" s="228"/>
      <c r="O13" s="228"/>
      <c r="P13" s="228"/>
      <c r="Q13" s="228"/>
      <c r="R13" s="229" t="s">
        <v>633</v>
      </c>
      <c r="S13" s="230"/>
      <c r="T13" s="230"/>
      <c r="U13" s="231">
        <f ca="1">DATE(AD$1,AF$1,INDEX(凭证录入!B:B,AD17))</f>
        <v>41282</v>
      </c>
      <c r="V13" s="232"/>
      <c r="W13" s="232"/>
      <c r="X13" s="232"/>
      <c r="Y13" s="232"/>
      <c r="Z13" s="232"/>
      <c r="AA13" s="232"/>
      <c r="AB13" s="232"/>
      <c r="AD13" s="212"/>
    </row>
    <row r="14" spans="1:33" s="45" customFormat="1" ht="23.25" customHeight="1" thickTop="1">
      <c r="A14" s="235" t="s">
        <v>634</v>
      </c>
      <c r="B14" s="235"/>
      <c r="C14" s="236" t="str">
        <f>Co</f>
        <v>远大开发有限公司</v>
      </c>
      <c r="D14" s="236"/>
      <c r="E14" s="236"/>
      <c r="F14" s="236"/>
      <c r="G14" s="236"/>
      <c r="H14" s="236"/>
      <c r="I14" s="236"/>
      <c r="J14" s="236"/>
      <c r="K14" s="236"/>
      <c r="L14" s="236"/>
      <c r="M14" s="236"/>
      <c r="N14" s="236"/>
      <c r="O14" s="236"/>
      <c r="P14" s="236"/>
      <c r="Q14" s="236"/>
      <c r="R14" s="229" t="s">
        <v>635</v>
      </c>
      <c r="S14" s="229"/>
      <c r="T14" s="229"/>
      <c r="U14" s="237" t="str">
        <f>"第 "&amp;TEXT($AF$1,"00")&amp;TEXT($AC14,"0000 号")</f>
        <v>第 010002 号</v>
      </c>
      <c r="V14" s="237"/>
      <c r="W14" s="238"/>
      <c r="X14" s="238"/>
      <c r="Y14" s="238"/>
      <c r="Z14" s="238"/>
      <c r="AA14" s="238"/>
      <c r="AB14" s="238"/>
      <c r="AC14" s="239">
        <f>N(LEFT((AC2),3)+1)</f>
        <v>2</v>
      </c>
      <c r="AD14" s="212"/>
    </row>
    <row r="15" spans="1:33" s="45" customFormat="1" ht="22.5" customHeight="1">
      <c r="A15" s="241" t="s">
        <v>586</v>
      </c>
      <c r="B15" s="542" t="s">
        <v>587</v>
      </c>
      <c r="C15" s="242" t="s">
        <v>589</v>
      </c>
      <c r="D15" s="243" t="s">
        <v>591</v>
      </c>
      <c r="E15" s="539" t="s">
        <v>636</v>
      </c>
      <c r="F15" s="539" t="s">
        <v>637</v>
      </c>
      <c r="G15" s="244" t="s">
        <v>638</v>
      </c>
      <c r="H15" s="245"/>
      <c r="I15" s="245"/>
      <c r="J15" s="245"/>
      <c r="K15" s="245"/>
      <c r="L15" s="245"/>
      <c r="M15" s="245"/>
      <c r="N15" s="245"/>
      <c r="O15" s="245"/>
      <c r="P15" s="245"/>
      <c r="Q15" s="246"/>
      <c r="R15" s="247" t="s">
        <v>599</v>
      </c>
      <c r="S15" s="245"/>
      <c r="T15" s="245"/>
      <c r="U15" s="245"/>
      <c r="V15" s="245"/>
      <c r="W15" s="245"/>
      <c r="X15" s="245"/>
      <c r="Y15" s="245"/>
      <c r="Z15" s="245"/>
      <c r="AA15" s="245"/>
      <c r="AB15" s="246"/>
      <c r="AC15" s="541" t="str">
        <f ca="1">"附单据数︵"&amp;INDEX(凭证录入!$D:$D,$AD$17)&amp;"︶张"</f>
        <v>附单据数︵4︶张</v>
      </c>
      <c r="AD15" s="235"/>
    </row>
    <row r="16" spans="1:33" s="45" customFormat="1" ht="22.5" customHeight="1">
      <c r="A16" s="248" t="s">
        <v>601</v>
      </c>
      <c r="B16" s="543"/>
      <c r="C16" s="249" t="s">
        <v>603</v>
      </c>
      <c r="D16" s="250" t="s">
        <v>603</v>
      </c>
      <c r="E16" s="540"/>
      <c r="F16" s="540"/>
      <c r="G16" s="251" t="s">
        <v>605</v>
      </c>
      <c r="H16" s="252" t="s">
        <v>607</v>
      </c>
      <c r="I16" s="253" t="s">
        <v>609</v>
      </c>
      <c r="J16" s="254" t="s">
        <v>639</v>
      </c>
      <c r="K16" s="252" t="s">
        <v>640</v>
      </c>
      <c r="L16" s="253" t="s">
        <v>607</v>
      </c>
      <c r="M16" s="254" t="s">
        <v>609</v>
      </c>
      <c r="N16" s="252" t="s">
        <v>639</v>
      </c>
      <c r="O16" s="253" t="s">
        <v>641</v>
      </c>
      <c r="P16" s="254" t="s">
        <v>642</v>
      </c>
      <c r="Q16" s="255" t="s">
        <v>643</v>
      </c>
      <c r="R16" s="256" t="s">
        <v>605</v>
      </c>
      <c r="S16" s="252" t="s">
        <v>607</v>
      </c>
      <c r="T16" s="257" t="s">
        <v>609</v>
      </c>
      <c r="U16" s="256" t="s">
        <v>639</v>
      </c>
      <c r="V16" s="252" t="s">
        <v>640</v>
      </c>
      <c r="W16" s="253" t="s">
        <v>607</v>
      </c>
      <c r="X16" s="254" t="s">
        <v>609</v>
      </c>
      <c r="Y16" s="252" t="s">
        <v>639</v>
      </c>
      <c r="Z16" s="253" t="s">
        <v>641</v>
      </c>
      <c r="AA16" s="254" t="s">
        <v>642</v>
      </c>
      <c r="AB16" s="255" t="s">
        <v>643</v>
      </c>
      <c r="AC16" s="541"/>
    </row>
    <row r="17" spans="1:30" s="45" customFormat="1" ht="22.5" customHeight="1">
      <c r="A17" s="258" t="str">
        <f ca="1">IFERROR(INDEX(凭证录入!H:H,$AD17),"")</f>
        <v>支付1月社保</v>
      </c>
      <c r="B17" s="259">
        <f ca="1">IFERROR(INDEX(凭证录入!I:I,$AD17),"")</f>
        <v>660211</v>
      </c>
      <c r="C17" s="260" t="str">
        <f ca="1">IFERROR(VLOOKUP($B17,会计科目表!$A:$C,2,),"")</f>
        <v>管理费用</v>
      </c>
      <c r="D17" s="261" t="str">
        <f ca="1">IFERROR(VLOOKUP($B17,会计科目表!$A:$C,3,),"")</f>
        <v>保险费</v>
      </c>
      <c r="E17" s="262">
        <f ca="1">IFERROR(INDEX(凭证录入!K:K,$AD17),0)</f>
        <v>3601.82</v>
      </c>
      <c r="F17" s="262">
        <f ca="1">IFERROR(INDEX(凭证录入!L:L,$AD17),0)</f>
        <v>0</v>
      </c>
      <c r="G17" s="263" t="str">
        <f ca="1">LEFT(RIGHT(TEXT($E17/1%," ￥0; ￥-0;"),18-COLUMN()))</f>
        <v xml:space="preserve"> </v>
      </c>
      <c r="H17" s="264" t="str">
        <f ca="1">LEFT(RIGHT(TEXT($E17/1%," ￥0; ￥-0;"),18-COLUMN()))</f>
        <v xml:space="preserve"> </v>
      </c>
      <c r="I17" s="265" t="str">
        <f t="shared" ref="I17:Q23" ca="1" si="5">LEFT(RIGHT(TEXT($E17/1%," ￥0; ￥-0;"),18-COLUMN()))</f>
        <v xml:space="preserve"> </v>
      </c>
      <c r="J17" s="266" t="str">
        <f t="shared" ca="1" si="5"/>
        <v xml:space="preserve"> </v>
      </c>
      <c r="K17" s="264" t="str">
        <f t="shared" ca="1" si="5"/>
        <v>￥</v>
      </c>
      <c r="L17" s="265" t="str">
        <f t="shared" ca="1" si="5"/>
        <v>3</v>
      </c>
      <c r="M17" s="266" t="str">
        <f t="shared" ca="1" si="5"/>
        <v>6</v>
      </c>
      <c r="N17" s="264" t="str">
        <f t="shared" ca="1" si="5"/>
        <v>0</v>
      </c>
      <c r="O17" s="265" t="str">
        <f t="shared" ca="1" si="5"/>
        <v>1</v>
      </c>
      <c r="P17" s="266" t="str">
        <f t="shared" ca="1" si="5"/>
        <v>8</v>
      </c>
      <c r="Q17" s="267" t="str">
        <f t="shared" ca="1" si="5"/>
        <v>2</v>
      </c>
      <c r="R17" s="268" t="str">
        <f ca="1">LEFT(RIGHT(TEXT($F17/1%," ￥0; ￥-0;"),29-COLUMN()))</f>
        <v/>
      </c>
      <c r="S17" s="264" t="str">
        <f t="shared" ref="S17:AB23" ca="1" si="6">LEFT(RIGHT(TEXT($F17/1%," ￥0; ￥-0;"),29-COLUMN()))</f>
        <v/>
      </c>
      <c r="T17" s="269" t="str">
        <f t="shared" ca="1" si="6"/>
        <v/>
      </c>
      <c r="U17" s="268" t="str">
        <f t="shared" ca="1" si="6"/>
        <v/>
      </c>
      <c r="V17" s="264" t="str">
        <f t="shared" ca="1" si="6"/>
        <v/>
      </c>
      <c r="W17" s="265" t="str">
        <f t="shared" ca="1" si="6"/>
        <v/>
      </c>
      <c r="X17" s="266" t="str">
        <f t="shared" ca="1" si="6"/>
        <v/>
      </c>
      <c r="Y17" s="264" t="str">
        <f t="shared" ca="1" si="6"/>
        <v/>
      </c>
      <c r="Z17" s="265" t="str">
        <f t="shared" ca="1" si="6"/>
        <v/>
      </c>
      <c r="AA17" s="266" t="str">
        <f t="shared" ca="1" si="6"/>
        <v/>
      </c>
      <c r="AB17" s="267" t="str">
        <f t="shared" ca="1" si="6"/>
        <v/>
      </c>
      <c r="AC17" s="541"/>
      <c r="AD17" s="212">
        <f t="shared" ref="AD17:AD22" ca="1" si="7">IFERROR(INDEX(记账行号,MOD(ROW()-4,12)),"")</f>
        <v>7</v>
      </c>
    </row>
    <row r="18" spans="1:30" s="45" customFormat="1" ht="22.5" customHeight="1">
      <c r="A18" s="258" t="str">
        <f ca="1">IFERROR(INDEX(凭证录入!H:H,$AD18),"")</f>
        <v>支付1月社保</v>
      </c>
      <c r="B18" s="259">
        <f ca="1">IFERROR(INDEX(凭证录入!I:I,$AD18),"")</f>
        <v>12210401</v>
      </c>
      <c r="C18" s="260" t="str">
        <f ca="1">IFERROR(VLOOKUP($B18,会计科目表!$A:$C,2,),"")</f>
        <v>其他应收款</v>
      </c>
      <c r="D18" s="261" t="str">
        <f ca="1">IFERROR(VLOOKUP($B18,会计科目表!$A:$C,3,),"")</f>
        <v>社会保险费</v>
      </c>
      <c r="E18" s="262">
        <f ca="1">IFERROR(INDEX(凭证录入!K:K,$AD18),0)</f>
        <v>1379.98</v>
      </c>
      <c r="F18" s="262">
        <f ca="1">IFERROR(INDEX(凭证录入!L:L,$AD18),0)</f>
        <v>0</v>
      </c>
      <c r="G18" s="263" t="str">
        <f t="shared" ref="G18:H23" ca="1" si="8">LEFT(RIGHT(TEXT($E18/1%," ￥0; ￥-0;"),18-COLUMN()))</f>
        <v xml:space="preserve"> </v>
      </c>
      <c r="H18" s="264" t="str">
        <f t="shared" ca="1" si="8"/>
        <v xml:space="preserve"> </v>
      </c>
      <c r="I18" s="265" t="str">
        <f t="shared" ca="1" si="5"/>
        <v xml:space="preserve"> </v>
      </c>
      <c r="J18" s="266" t="str">
        <f t="shared" ca="1" si="5"/>
        <v xml:space="preserve"> </v>
      </c>
      <c r="K18" s="264" t="str">
        <f t="shared" ca="1" si="5"/>
        <v>￥</v>
      </c>
      <c r="L18" s="265" t="str">
        <f t="shared" ca="1" si="5"/>
        <v>1</v>
      </c>
      <c r="M18" s="266" t="str">
        <f t="shared" ca="1" si="5"/>
        <v>3</v>
      </c>
      <c r="N18" s="264" t="str">
        <f t="shared" ca="1" si="5"/>
        <v>7</v>
      </c>
      <c r="O18" s="265" t="str">
        <f t="shared" ca="1" si="5"/>
        <v>9</v>
      </c>
      <c r="P18" s="266" t="str">
        <f t="shared" ca="1" si="5"/>
        <v>9</v>
      </c>
      <c r="Q18" s="267" t="str">
        <f t="shared" ca="1" si="5"/>
        <v>8</v>
      </c>
      <c r="R18" s="268" t="str">
        <f t="shared" ref="R18:R23" ca="1" si="9">LEFT(RIGHT(TEXT($F18/1%," ￥0; ￥-0;"),29-COLUMN()))</f>
        <v/>
      </c>
      <c r="S18" s="264" t="str">
        <f t="shared" ca="1" si="6"/>
        <v/>
      </c>
      <c r="T18" s="269" t="str">
        <f t="shared" ca="1" si="6"/>
        <v/>
      </c>
      <c r="U18" s="268" t="str">
        <f t="shared" ca="1" si="6"/>
        <v/>
      </c>
      <c r="V18" s="264" t="str">
        <f t="shared" ca="1" si="6"/>
        <v/>
      </c>
      <c r="W18" s="265" t="str">
        <f t="shared" ca="1" si="6"/>
        <v/>
      </c>
      <c r="X18" s="266" t="str">
        <f t="shared" ca="1" si="6"/>
        <v/>
      </c>
      <c r="Y18" s="264" t="str">
        <f t="shared" ca="1" si="6"/>
        <v/>
      </c>
      <c r="Z18" s="265" t="str">
        <f t="shared" ca="1" si="6"/>
        <v/>
      </c>
      <c r="AA18" s="266" t="str">
        <f t="shared" ca="1" si="6"/>
        <v/>
      </c>
      <c r="AB18" s="267" t="str">
        <f t="shared" ca="1" si="6"/>
        <v/>
      </c>
      <c r="AC18" s="541"/>
      <c r="AD18" s="212">
        <f t="shared" ca="1" si="7"/>
        <v>8</v>
      </c>
    </row>
    <row r="19" spans="1:30" s="45" customFormat="1" ht="22.5" customHeight="1">
      <c r="A19" s="258" t="str">
        <f ca="1">IFERROR(INDEX(凭证录入!H:H,$AD19),"")</f>
        <v>支付1月社保</v>
      </c>
      <c r="B19" s="259">
        <f ca="1">IFERROR(INDEX(凭证录入!I:I,$AD19),"")</f>
        <v>10020101</v>
      </c>
      <c r="C19" s="260" t="str">
        <f ca="1">IFERROR(VLOOKUP($B19,会计科目表!$A:$C,2,),"")</f>
        <v>银行存款</v>
      </c>
      <c r="D19" s="261" t="str">
        <f ca="1">IFERROR(VLOOKUP($B19,会计科目表!$A:$C,3,),"")</f>
        <v>农业银行_人民支行</v>
      </c>
      <c r="E19" s="262">
        <f ca="1">IFERROR(INDEX(凭证录入!K:K,$AD19),0)</f>
        <v>0</v>
      </c>
      <c r="F19" s="262">
        <f ca="1">IFERROR(INDEX(凭证录入!L:L,$AD19),0)</f>
        <v>4981.8</v>
      </c>
      <c r="G19" s="263" t="str">
        <f t="shared" ca="1" si="8"/>
        <v/>
      </c>
      <c r="H19" s="264" t="str">
        <f t="shared" ca="1" si="8"/>
        <v/>
      </c>
      <c r="I19" s="265" t="str">
        <f t="shared" ca="1" si="5"/>
        <v/>
      </c>
      <c r="J19" s="266" t="str">
        <f t="shared" ca="1" si="5"/>
        <v/>
      </c>
      <c r="K19" s="264" t="str">
        <f t="shared" ca="1" si="5"/>
        <v/>
      </c>
      <c r="L19" s="265" t="str">
        <f t="shared" ca="1" si="5"/>
        <v/>
      </c>
      <c r="M19" s="266" t="str">
        <f t="shared" ca="1" si="5"/>
        <v/>
      </c>
      <c r="N19" s="264" t="str">
        <f t="shared" ca="1" si="5"/>
        <v/>
      </c>
      <c r="O19" s="265" t="str">
        <f t="shared" ca="1" si="5"/>
        <v/>
      </c>
      <c r="P19" s="266" t="str">
        <f t="shared" ca="1" si="5"/>
        <v/>
      </c>
      <c r="Q19" s="267" t="str">
        <f t="shared" ca="1" si="5"/>
        <v/>
      </c>
      <c r="R19" s="268" t="str">
        <f t="shared" ca="1" si="9"/>
        <v xml:space="preserve"> </v>
      </c>
      <c r="S19" s="264" t="str">
        <f t="shared" ca="1" si="6"/>
        <v xml:space="preserve"> </v>
      </c>
      <c r="T19" s="269" t="str">
        <f t="shared" ca="1" si="6"/>
        <v xml:space="preserve"> </v>
      </c>
      <c r="U19" s="268" t="str">
        <f t="shared" ca="1" si="6"/>
        <v xml:space="preserve"> </v>
      </c>
      <c r="V19" s="264" t="str">
        <f t="shared" ca="1" si="6"/>
        <v>￥</v>
      </c>
      <c r="W19" s="265" t="str">
        <f t="shared" ca="1" si="6"/>
        <v>4</v>
      </c>
      <c r="X19" s="266" t="str">
        <f t="shared" ca="1" si="6"/>
        <v>9</v>
      </c>
      <c r="Y19" s="264" t="str">
        <f t="shared" ca="1" si="6"/>
        <v>8</v>
      </c>
      <c r="Z19" s="265" t="str">
        <f t="shared" ca="1" si="6"/>
        <v>1</v>
      </c>
      <c r="AA19" s="266" t="str">
        <f t="shared" ca="1" si="6"/>
        <v>8</v>
      </c>
      <c r="AB19" s="267" t="str">
        <f t="shared" ca="1" si="6"/>
        <v>0</v>
      </c>
      <c r="AC19" s="536" t="s">
        <v>623</v>
      </c>
      <c r="AD19" s="212">
        <f t="shared" ca="1" si="7"/>
        <v>9</v>
      </c>
    </row>
    <row r="20" spans="1:30" s="45" customFormat="1" ht="22.5" customHeight="1">
      <c r="A20" s="258" t="str">
        <f ca="1">IFERROR(INDEX(凭证录入!H:H,$AD20),"")</f>
        <v/>
      </c>
      <c r="B20" s="259" t="str">
        <f ca="1">IFERROR(INDEX(凭证录入!I:I,$AD20),"")</f>
        <v/>
      </c>
      <c r="C20" s="260" t="str">
        <f ca="1">IFERROR(VLOOKUP($B20,会计科目表!$A:$C,2,),"")</f>
        <v/>
      </c>
      <c r="D20" s="261" t="str">
        <f ca="1">IFERROR(VLOOKUP($B20,会计科目表!$A:$C,3,),"")</f>
        <v/>
      </c>
      <c r="E20" s="262">
        <f ca="1">IFERROR(INDEX(凭证录入!K:K,$AD20),0)</f>
        <v>0</v>
      </c>
      <c r="F20" s="262">
        <f ca="1">IFERROR(INDEX(凭证录入!L:L,$AD20),0)</f>
        <v>0</v>
      </c>
      <c r="G20" s="263" t="str">
        <f t="shared" ca="1" si="8"/>
        <v/>
      </c>
      <c r="H20" s="264" t="str">
        <f t="shared" ca="1" si="8"/>
        <v/>
      </c>
      <c r="I20" s="265" t="str">
        <f t="shared" ca="1" si="5"/>
        <v/>
      </c>
      <c r="J20" s="266" t="str">
        <f t="shared" ca="1" si="5"/>
        <v/>
      </c>
      <c r="K20" s="264" t="str">
        <f t="shared" ca="1" si="5"/>
        <v/>
      </c>
      <c r="L20" s="265" t="str">
        <f t="shared" ca="1" si="5"/>
        <v/>
      </c>
      <c r="M20" s="266" t="str">
        <f t="shared" ca="1" si="5"/>
        <v/>
      </c>
      <c r="N20" s="264" t="str">
        <f t="shared" ca="1" si="5"/>
        <v/>
      </c>
      <c r="O20" s="265" t="str">
        <f t="shared" ca="1" si="5"/>
        <v/>
      </c>
      <c r="P20" s="266" t="str">
        <f t="shared" ca="1" si="5"/>
        <v/>
      </c>
      <c r="Q20" s="267" t="str">
        <f t="shared" ca="1" si="5"/>
        <v/>
      </c>
      <c r="R20" s="268" t="str">
        <f t="shared" ca="1" si="9"/>
        <v/>
      </c>
      <c r="S20" s="264" t="str">
        <f t="shared" ca="1" si="6"/>
        <v/>
      </c>
      <c r="T20" s="269" t="str">
        <f t="shared" ca="1" si="6"/>
        <v/>
      </c>
      <c r="U20" s="268" t="str">
        <f t="shared" ca="1" si="6"/>
        <v/>
      </c>
      <c r="V20" s="264" t="str">
        <f t="shared" ca="1" si="6"/>
        <v/>
      </c>
      <c r="W20" s="265" t="str">
        <f t="shared" ca="1" si="6"/>
        <v/>
      </c>
      <c r="X20" s="266" t="str">
        <f t="shared" ca="1" si="6"/>
        <v/>
      </c>
      <c r="Y20" s="264" t="str">
        <f t="shared" ca="1" si="6"/>
        <v/>
      </c>
      <c r="Z20" s="265" t="str">
        <f t="shared" ca="1" si="6"/>
        <v/>
      </c>
      <c r="AA20" s="266" t="str">
        <f t="shared" ca="1" si="6"/>
        <v/>
      </c>
      <c r="AB20" s="267" t="str">
        <f t="shared" ca="1" si="6"/>
        <v/>
      </c>
      <c r="AC20" s="537"/>
      <c r="AD20" s="212" t="str">
        <f t="shared" ca="1" si="7"/>
        <v/>
      </c>
    </row>
    <row r="21" spans="1:30" s="45" customFormat="1" ht="22.5" customHeight="1">
      <c r="A21" s="258" t="str">
        <f ca="1">IFERROR(INDEX(凭证录入!H:H,$AD21),"")</f>
        <v/>
      </c>
      <c r="B21" s="259" t="str">
        <f ca="1">IFERROR(INDEX(凭证录入!I:I,$AD21),"")</f>
        <v/>
      </c>
      <c r="C21" s="260" t="str">
        <f ca="1">IFERROR(VLOOKUP($B21,会计科目表!$A:$C,2,),"")</f>
        <v/>
      </c>
      <c r="D21" s="261" t="str">
        <f ca="1">IFERROR(VLOOKUP($B21,会计科目表!$A:$C,3,),"")</f>
        <v/>
      </c>
      <c r="E21" s="262">
        <f ca="1">IFERROR(INDEX(凭证录入!K:K,$AD21),0)</f>
        <v>0</v>
      </c>
      <c r="F21" s="262">
        <f ca="1">IFERROR(INDEX(凭证录入!L:L,$AD21),0)</f>
        <v>0</v>
      </c>
      <c r="G21" s="263" t="str">
        <f t="shared" ca="1" si="8"/>
        <v/>
      </c>
      <c r="H21" s="264" t="str">
        <f t="shared" ca="1" si="8"/>
        <v/>
      </c>
      <c r="I21" s="265" t="str">
        <f t="shared" ca="1" si="5"/>
        <v/>
      </c>
      <c r="J21" s="266" t="str">
        <f t="shared" ca="1" si="5"/>
        <v/>
      </c>
      <c r="K21" s="264" t="str">
        <f t="shared" ca="1" si="5"/>
        <v/>
      </c>
      <c r="L21" s="265" t="str">
        <f t="shared" ca="1" si="5"/>
        <v/>
      </c>
      <c r="M21" s="266" t="str">
        <f t="shared" ca="1" si="5"/>
        <v/>
      </c>
      <c r="N21" s="264" t="str">
        <f t="shared" ca="1" si="5"/>
        <v/>
      </c>
      <c r="O21" s="265" t="str">
        <f t="shared" ca="1" si="5"/>
        <v/>
      </c>
      <c r="P21" s="266" t="str">
        <f t="shared" ca="1" si="5"/>
        <v/>
      </c>
      <c r="Q21" s="267" t="str">
        <f t="shared" ca="1" si="5"/>
        <v/>
      </c>
      <c r="R21" s="268" t="str">
        <f t="shared" ca="1" si="9"/>
        <v/>
      </c>
      <c r="S21" s="264" t="str">
        <f t="shared" ca="1" si="6"/>
        <v/>
      </c>
      <c r="T21" s="269" t="str">
        <f t="shared" ca="1" si="6"/>
        <v/>
      </c>
      <c r="U21" s="268" t="str">
        <f t="shared" ca="1" si="6"/>
        <v/>
      </c>
      <c r="V21" s="264" t="str">
        <f t="shared" ca="1" si="6"/>
        <v/>
      </c>
      <c r="W21" s="265" t="str">
        <f t="shared" ca="1" si="6"/>
        <v/>
      </c>
      <c r="X21" s="266" t="str">
        <f t="shared" ca="1" si="6"/>
        <v/>
      </c>
      <c r="Y21" s="264" t="str">
        <f t="shared" ca="1" si="6"/>
        <v/>
      </c>
      <c r="Z21" s="265" t="str">
        <f t="shared" ca="1" si="6"/>
        <v/>
      </c>
      <c r="AA21" s="266" t="str">
        <f t="shared" ca="1" si="6"/>
        <v/>
      </c>
      <c r="AB21" s="267" t="str">
        <f t="shared" ca="1" si="6"/>
        <v/>
      </c>
      <c r="AC21" s="538"/>
      <c r="AD21" s="212" t="str">
        <f t="shared" ca="1" si="7"/>
        <v/>
      </c>
    </row>
    <row r="22" spans="1:30" s="45" customFormat="1" ht="22.5" customHeight="1">
      <c r="A22" s="258" t="str">
        <f ca="1">IFERROR(INDEX(凭证录入!H:H,$AD22),"")</f>
        <v/>
      </c>
      <c r="B22" s="259" t="str">
        <f ca="1">IFERROR(INDEX(凭证录入!I:I,$AD22),"")</f>
        <v/>
      </c>
      <c r="C22" s="260" t="str">
        <f ca="1">IFERROR(VLOOKUP($B22,会计科目表!$A:$C,2,),"")</f>
        <v/>
      </c>
      <c r="D22" s="261" t="str">
        <f ca="1">IFERROR(VLOOKUP($B22,会计科目表!$A:$C,3,),"")</f>
        <v/>
      </c>
      <c r="E22" s="262">
        <f ca="1">IFERROR(INDEX(凭证录入!K:K,$AD22),0)</f>
        <v>0</v>
      </c>
      <c r="F22" s="262">
        <f ca="1">IFERROR(INDEX(凭证录入!L:L,$AD22),0)</f>
        <v>0</v>
      </c>
      <c r="G22" s="263" t="str">
        <f t="shared" ca="1" si="8"/>
        <v/>
      </c>
      <c r="H22" s="264" t="str">
        <f t="shared" ca="1" si="8"/>
        <v/>
      </c>
      <c r="I22" s="265" t="str">
        <f t="shared" ca="1" si="5"/>
        <v/>
      </c>
      <c r="J22" s="266" t="str">
        <f t="shared" ca="1" si="5"/>
        <v/>
      </c>
      <c r="K22" s="264" t="str">
        <f t="shared" ca="1" si="5"/>
        <v/>
      </c>
      <c r="L22" s="265" t="str">
        <f t="shared" ca="1" si="5"/>
        <v/>
      </c>
      <c r="M22" s="266" t="str">
        <f t="shared" ca="1" si="5"/>
        <v/>
      </c>
      <c r="N22" s="264" t="str">
        <f t="shared" ca="1" si="5"/>
        <v/>
      </c>
      <c r="O22" s="265" t="str">
        <f t="shared" ca="1" si="5"/>
        <v/>
      </c>
      <c r="P22" s="266" t="str">
        <f t="shared" ca="1" si="5"/>
        <v/>
      </c>
      <c r="Q22" s="267" t="str">
        <f t="shared" ca="1" si="5"/>
        <v/>
      </c>
      <c r="R22" s="268" t="str">
        <f t="shared" ca="1" si="9"/>
        <v/>
      </c>
      <c r="S22" s="264" t="str">
        <f t="shared" ca="1" si="6"/>
        <v/>
      </c>
      <c r="T22" s="269" t="str">
        <f t="shared" ca="1" si="6"/>
        <v/>
      </c>
      <c r="U22" s="268" t="str">
        <f t="shared" ca="1" si="6"/>
        <v/>
      </c>
      <c r="V22" s="264" t="str">
        <f t="shared" ca="1" si="6"/>
        <v/>
      </c>
      <c r="W22" s="265" t="str">
        <f t="shared" ca="1" si="6"/>
        <v/>
      </c>
      <c r="X22" s="266" t="str">
        <f t="shared" ca="1" si="6"/>
        <v/>
      </c>
      <c r="Y22" s="264" t="str">
        <f t="shared" ca="1" si="6"/>
        <v/>
      </c>
      <c r="Z22" s="265" t="str">
        <f t="shared" ca="1" si="6"/>
        <v/>
      </c>
      <c r="AA22" s="266" t="str">
        <f t="shared" ca="1" si="6"/>
        <v/>
      </c>
      <c r="AB22" s="267" t="str">
        <f t="shared" ca="1" si="6"/>
        <v/>
      </c>
      <c r="AC22" s="538"/>
      <c r="AD22" s="212" t="str">
        <f t="shared" ca="1" si="7"/>
        <v/>
      </c>
    </row>
    <row r="23" spans="1:30" s="45" customFormat="1" ht="22.5" customHeight="1">
      <c r="A23" s="270" t="s">
        <v>625</v>
      </c>
      <c r="B23" s="271"/>
      <c r="C23" s="272" t="str">
        <f ca="1">SUBSTITUTE(SUBSTITUTE(IF(-DOLLAR(E23),IF(E23&gt;0,,"负")&amp;TEXT(INT(ABS(E23)+0.5%),"[dbnum2]G/通用格式元;;")&amp;TEXT(RIGHT(DOLLAR(E23,2),2),"[dbnum2]0角0分;;整"),),"零角",IF(E23^2&lt;1,,"零")),"零分","整")</f>
        <v>肆仟玖佰捌拾壹元捌角整</v>
      </c>
      <c r="D23" s="273"/>
      <c r="E23" s="274">
        <f ca="1">SUM(E17:E22)</f>
        <v>4981.8</v>
      </c>
      <c r="F23" s="275">
        <f ca="1">SUM(F17:F22)</f>
        <v>4981.8</v>
      </c>
      <c r="G23" s="276" t="str">
        <f t="shared" ca="1" si="8"/>
        <v xml:space="preserve"> </v>
      </c>
      <c r="H23" s="277" t="str">
        <f t="shared" ca="1" si="8"/>
        <v xml:space="preserve"> </v>
      </c>
      <c r="I23" s="278" t="str">
        <f t="shared" ca="1" si="5"/>
        <v xml:space="preserve"> </v>
      </c>
      <c r="J23" s="279" t="str">
        <f t="shared" ca="1" si="5"/>
        <v xml:space="preserve"> </v>
      </c>
      <c r="K23" s="277" t="str">
        <f t="shared" ca="1" si="5"/>
        <v>￥</v>
      </c>
      <c r="L23" s="278" t="str">
        <f t="shared" ca="1" si="5"/>
        <v>4</v>
      </c>
      <c r="M23" s="279" t="str">
        <f t="shared" ca="1" si="5"/>
        <v>9</v>
      </c>
      <c r="N23" s="277" t="str">
        <f t="shared" ca="1" si="5"/>
        <v>8</v>
      </c>
      <c r="O23" s="278" t="str">
        <f t="shared" ca="1" si="5"/>
        <v>1</v>
      </c>
      <c r="P23" s="279" t="str">
        <f t="shared" ca="1" si="5"/>
        <v>8</v>
      </c>
      <c r="Q23" s="280" t="str">
        <f t="shared" ca="1" si="5"/>
        <v>0</v>
      </c>
      <c r="R23" s="281" t="str">
        <f t="shared" ca="1" si="9"/>
        <v xml:space="preserve"> </v>
      </c>
      <c r="S23" s="277" t="str">
        <f t="shared" ca="1" si="6"/>
        <v xml:space="preserve"> </v>
      </c>
      <c r="T23" s="282" t="str">
        <f t="shared" ca="1" si="6"/>
        <v xml:space="preserve"> </v>
      </c>
      <c r="U23" s="281" t="str">
        <f t="shared" ca="1" si="6"/>
        <v xml:space="preserve"> </v>
      </c>
      <c r="V23" s="277" t="str">
        <f t="shared" ca="1" si="6"/>
        <v>￥</v>
      </c>
      <c r="W23" s="278" t="str">
        <f t="shared" ca="1" si="6"/>
        <v>4</v>
      </c>
      <c r="X23" s="279" t="str">
        <f t="shared" ca="1" si="6"/>
        <v>9</v>
      </c>
      <c r="Y23" s="277" t="str">
        <f t="shared" ca="1" si="6"/>
        <v>8</v>
      </c>
      <c r="Z23" s="278" t="str">
        <f t="shared" ca="1" si="6"/>
        <v>1</v>
      </c>
      <c r="AA23" s="279" t="str">
        <f t="shared" ca="1" si="6"/>
        <v>8</v>
      </c>
      <c r="AB23" s="280" t="str">
        <f t="shared" ca="1" si="6"/>
        <v>0</v>
      </c>
      <c r="AC23" s="283"/>
      <c r="AD23" s="212"/>
    </row>
    <row r="24" spans="1:30" s="22" customFormat="1" ht="22.5" customHeight="1">
      <c r="A24" s="284" t="s">
        <v>627</v>
      </c>
      <c r="B24" s="284"/>
      <c r="C24" s="284"/>
      <c r="D24" s="284" t="s">
        <v>629</v>
      </c>
      <c r="E24" s="284"/>
      <c r="F24" s="284"/>
      <c r="G24" s="284"/>
      <c r="H24" s="285"/>
      <c r="I24" s="284"/>
      <c r="J24" s="285"/>
      <c r="K24" s="285"/>
      <c r="L24" s="284"/>
      <c r="M24" s="285"/>
      <c r="N24" s="285"/>
      <c r="O24" s="285"/>
      <c r="P24" s="284"/>
      <c r="Q24" s="284" t="s">
        <v>631</v>
      </c>
      <c r="R24" s="284"/>
      <c r="S24" s="284"/>
      <c r="T24" s="284"/>
      <c r="U24" s="285"/>
      <c r="V24" s="284"/>
      <c r="W24" s="285"/>
      <c r="X24" s="284"/>
      <c r="Y24" s="284"/>
      <c r="Z24" s="285"/>
      <c r="AA24" s="285"/>
      <c r="AB24" s="285"/>
      <c r="AC24" s="286"/>
      <c r="AD24" s="212"/>
    </row>
    <row r="25" spans="1:30" ht="39.75" customHeight="1" thickBot="1">
      <c r="A25" s="226"/>
      <c r="B25" s="226"/>
      <c r="C25" s="227" t="s">
        <v>632</v>
      </c>
      <c r="D25" s="228"/>
      <c r="E25" s="226"/>
      <c r="F25" s="226"/>
      <c r="G25" s="228"/>
      <c r="H25" s="228"/>
      <c r="I25" s="228"/>
      <c r="J25" s="228"/>
      <c r="K25" s="228"/>
      <c r="L25" s="228"/>
      <c r="M25" s="228"/>
      <c r="N25" s="228"/>
      <c r="O25" s="228"/>
      <c r="P25" s="228"/>
      <c r="Q25" s="228"/>
      <c r="R25" s="229" t="s">
        <v>633</v>
      </c>
      <c r="S25" s="230"/>
      <c r="T25" s="230"/>
      <c r="U25" s="231">
        <f ca="1">DATE(AD$1,AF$1,INDEX(凭证录入!B:B,AD29))</f>
        <v>41288</v>
      </c>
      <c r="V25" s="232"/>
      <c r="W25" s="232"/>
      <c r="X25" s="232"/>
      <c r="Y25" s="232"/>
      <c r="Z25" s="232"/>
      <c r="AA25" s="232"/>
      <c r="AB25" s="232"/>
      <c r="AD25" s="212"/>
    </row>
    <row r="26" spans="1:30" s="45" customFormat="1" ht="23.25" customHeight="1" thickTop="1">
      <c r="A26" s="235" t="s">
        <v>634</v>
      </c>
      <c r="B26" s="235"/>
      <c r="C26" s="236" t="str">
        <f t="shared" ref="C26" si="10">Co</f>
        <v>远大开发有限公司</v>
      </c>
      <c r="D26" s="236"/>
      <c r="E26" s="236"/>
      <c r="F26" s="236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29" t="s">
        <v>635</v>
      </c>
      <c r="S26" s="229"/>
      <c r="T26" s="229"/>
      <c r="U26" s="237" t="str">
        <f>"第 "&amp;TEXT($AF$1,"00")&amp;TEXT($AC26,"0000 号")</f>
        <v>第 010003 号</v>
      </c>
      <c r="V26" s="237"/>
      <c r="W26" s="238"/>
      <c r="X26" s="238"/>
      <c r="Y26" s="238"/>
      <c r="Z26" s="238"/>
      <c r="AA26" s="238"/>
      <c r="AB26" s="238"/>
      <c r="AC26" s="239">
        <f t="shared" ref="AC26" si="11">N(LEFT((AC14),3)+1)</f>
        <v>3</v>
      </c>
      <c r="AD26" s="212"/>
    </row>
    <row r="27" spans="1:30" s="45" customFormat="1" ht="22.5" customHeight="1">
      <c r="A27" s="241" t="s">
        <v>586</v>
      </c>
      <c r="B27" s="542" t="s">
        <v>587</v>
      </c>
      <c r="C27" s="242" t="s">
        <v>589</v>
      </c>
      <c r="D27" s="243" t="s">
        <v>591</v>
      </c>
      <c r="E27" s="539" t="s">
        <v>636</v>
      </c>
      <c r="F27" s="539" t="s">
        <v>637</v>
      </c>
      <c r="G27" s="244" t="s">
        <v>638</v>
      </c>
      <c r="H27" s="245"/>
      <c r="I27" s="245"/>
      <c r="J27" s="245"/>
      <c r="K27" s="245"/>
      <c r="L27" s="245"/>
      <c r="M27" s="245"/>
      <c r="N27" s="245"/>
      <c r="O27" s="245"/>
      <c r="P27" s="245"/>
      <c r="Q27" s="246"/>
      <c r="R27" s="247" t="s">
        <v>599</v>
      </c>
      <c r="S27" s="245"/>
      <c r="T27" s="245"/>
      <c r="U27" s="245"/>
      <c r="V27" s="245"/>
      <c r="W27" s="245"/>
      <c r="X27" s="245"/>
      <c r="Y27" s="245"/>
      <c r="Z27" s="245"/>
      <c r="AA27" s="245"/>
      <c r="AB27" s="246"/>
      <c r="AC27" s="541" t="str">
        <f ca="1">"附单据数︵"&amp;INDEX(凭证录入!$D:$D,$AD$17)&amp;"︶张"</f>
        <v>附单据数︵4︶张</v>
      </c>
      <c r="AD27" s="235"/>
    </row>
    <row r="28" spans="1:30" s="45" customFormat="1" ht="22.5" customHeight="1">
      <c r="A28" s="248" t="s">
        <v>601</v>
      </c>
      <c r="B28" s="543"/>
      <c r="C28" s="249" t="s">
        <v>603</v>
      </c>
      <c r="D28" s="250" t="s">
        <v>603</v>
      </c>
      <c r="E28" s="540"/>
      <c r="F28" s="540"/>
      <c r="G28" s="251" t="s">
        <v>605</v>
      </c>
      <c r="H28" s="252" t="s">
        <v>607</v>
      </c>
      <c r="I28" s="253" t="s">
        <v>609</v>
      </c>
      <c r="J28" s="254" t="s">
        <v>639</v>
      </c>
      <c r="K28" s="252" t="s">
        <v>640</v>
      </c>
      <c r="L28" s="253" t="s">
        <v>607</v>
      </c>
      <c r="M28" s="254" t="s">
        <v>609</v>
      </c>
      <c r="N28" s="252" t="s">
        <v>639</v>
      </c>
      <c r="O28" s="253" t="s">
        <v>641</v>
      </c>
      <c r="P28" s="254" t="s">
        <v>642</v>
      </c>
      <c r="Q28" s="255" t="s">
        <v>643</v>
      </c>
      <c r="R28" s="256" t="s">
        <v>605</v>
      </c>
      <c r="S28" s="252" t="s">
        <v>607</v>
      </c>
      <c r="T28" s="257" t="s">
        <v>609</v>
      </c>
      <c r="U28" s="256" t="s">
        <v>639</v>
      </c>
      <c r="V28" s="252" t="s">
        <v>640</v>
      </c>
      <c r="W28" s="253" t="s">
        <v>607</v>
      </c>
      <c r="X28" s="254" t="s">
        <v>609</v>
      </c>
      <c r="Y28" s="252" t="s">
        <v>639</v>
      </c>
      <c r="Z28" s="253" t="s">
        <v>641</v>
      </c>
      <c r="AA28" s="254" t="s">
        <v>642</v>
      </c>
      <c r="AB28" s="255" t="s">
        <v>643</v>
      </c>
      <c r="AC28" s="541"/>
    </row>
    <row r="29" spans="1:30" s="45" customFormat="1" ht="22.5" customHeight="1">
      <c r="A29" s="258" t="str">
        <f ca="1">IFERROR(INDEX(凭证录入!H:H,$AD29),"")</f>
        <v>电话银行年费</v>
      </c>
      <c r="B29" s="259">
        <f ca="1">IFERROR(INDEX(凭证录入!I:I,$AD29),"")</f>
        <v>660304</v>
      </c>
      <c r="C29" s="260" t="str">
        <f ca="1">IFERROR(VLOOKUP($B29,会计科目表!$A:$C,2,),"")</f>
        <v>财务费用</v>
      </c>
      <c r="D29" s="261" t="str">
        <f ca="1">IFERROR(VLOOKUP($B29,会计科目表!$A:$C,3,),"")</f>
        <v>手续费</v>
      </c>
      <c r="E29" s="262">
        <f ca="1">IFERROR(INDEX(凭证录入!K:K,$AD29),0)</f>
        <v>37.5</v>
      </c>
      <c r="F29" s="262">
        <f ca="1">IFERROR(INDEX(凭证录入!L:L,$AD29),0)</f>
        <v>0</v>
      </c>
      <c r="G29" s="263" t="str">
        <f t="shared" ref="G29:Q35" ca="1" si="12">LEFT(RIGHT(TEXT($E29/1%," ￥0; ￥-0;"),18-COLUMN()))</f>
        <v xml:space="preserve"> </v>
      </c>
      <c r="H29" s="264" t="str">
        <f t="shared" ca="1" si="12"/>
        <v xml:space="preserve"> </v>
      </c>
      <c r="I29" s="265" t="str">
        <f t="shared" ca="1" si="12"/>
        <v xml:space="preserve"> </v>
      </c>
      <c r="J29" s="266" t="str">
        <f t="shared" ca="1" si="12"/>
        <v xml:space="preserve"> </v>
      </c>
      <c r="K29" s="264" t="str">
        <f t="shared" ca="1" si="12"/>
        <v xml:space="preserve"> </v>
      </c>
      <c r="L29" s="265" t="str">
        <f t="shared" ca="1" si="12"/>
        <v xml:space="preserve"> </v>
      </c>
      <c r="M29" s="266" t="str">
        <f t="shared" ca="1" si="12"/>
        <v>￥</v>
      </c>
      <c r="N29" s="264" t="str">
        <f t="shared" ca="1" si="12"/>
        <v>3</v>
      </c>
      <c r="O29" s="265" t="str">
        <f t="shared" ca="1" si="12"/>
        <v>7</v>
      </c>
      <c r="P29" s="266" t="str">
        <f t="shared" ca="1" si="12"/>
        <v>5</v>
      </c>
      <c r="Q29" s="267" t="str">
        <f t="shared" ca="1" si="12"/>
        <v>0</v>
      </c>
      <c r="R29" s="268" t="str">
        <f t="shared" ref="R29:AB35" ca="1" si="13">LEFT(RIGHT(TEXT($F29/1%," ￥0; ￥-0;"),29-COLUMN()))</f>
        <v/>
      </c>
      <c r="S29" s="264" t="str">
        <f t="shared" ca="1" si="13"/>
        <v/>
      </c>
      <c r="T29" s="269" t="str">
        <f t="shared" ca="1" si="13"/>
        <v/>
      </c>
      <c r="U29" s="268" t="str">
        <f t="shared" ca="1" si="13"/>
        <v/>
      </c>
      <c r="V29" s="264" t="str">
        <f t="shared" ca="1" si="13"/>
        <v/>
      </c>
      <c r="W29" s="265" t="str">
        <f t="shared" ca="1" si="13"/>
        <v/>
      </c>
      <c r="X29" s="266" t="str">
        <f t="shared" ca="1" si="13"/>
        <v/>
      </c>
      <c r="Y29" s="264" t="str">
        <f t="shared" ca="1" si="13"/>
        <v/>
      </c>
      <c r="Z29" s="265" t="str">
        <f t="shared" ca="1" si="13"/>
        <v/>
      </c>
      <c r="AA29" s="266" t="str">
        <f t="shared" ca="1" si="13"/>
        <v/>
      </c>
      <c r="AB29" s="267" t="str">
        <f t="shared" ca="1" si="13"/>
        <v/>
      </c>
      <c r="AC29" s="541"/>
      <c r="AD29" s="212">
        <f t="shared" ref="AD29:AD92" ca="1" si="14">IFERROR(INDEX(记账行号,MOD(ROW()-4,12)),"")</f>
        <v>10</v>
      </c>
    </row>
    <row r="30" spans="1:30" s="45" customFormat="1" ht="22.5" customHeight="1">
      <c r="A30" s="258" t="str">
        <f ca="1">IFERROR(INDEX(凭证录入!H:H,$AD30),"")</f>
        <v>电话银行年费</v>
      </c>
      <c r="B30" s="259">
        <f ca="1">IFERROR(INDEX(凭证录入!I:I,$AD30),"")</f>
        <v>10020101</v>
      </c>
      <c r="C30" s="260" t="str">
        <f ca="1">IFERROR(VLOOKUP($B30,会计科目表!$A:$C,2,),"")</f>
        <v>银行存款</v>
      </c>
      <c r="D30" s="261" t="str">
        <f ca="1">IFERROR(VLOOKUP($B30,会计科目表!$A:$C,3,),"")</f>
        <v>农业银行_人民支行</v>
      </c>
      <c r="E30" s="262">
        <f ca="1">IFERROR(INDEX(凭证录入!K:K,$AD30),0)</f>
        <v>0</v>
      </c>
      <c r="F30" s="262">
        <f ca="1">IFERROR(INDEX(凭证录入!L:L,$AD30),0)</f>
        <v>37.5</v>
      </c>
      <c r="G30" s="263" t="str">
        <f t="shared" ca="1" si="12"/>
        <v/>
      </c>
      <c r="H30" s="264" t="str">
        <f t="shared" ca="1" si="12"/>
        <v/>
      </c>
      <c r="I30" s="265" t="str">
        <f t="shared" ca="1" si="12"/>
        <v/>
      </c>
      <c r="J30" s="266" t="str">
        <f t="shared" ca="1" si="12"/>
        <v/>
      </c>
      <c r="K30" s="264" t="str">
        <f t="shared" ca="1" si="12"/>
        <v/>
      </c>
      <c r="L30" s="265" t="str">
        <f t="shared" ca="1" si="12"/>
        <v/>
      </c>
      <c r="M30" s="266" t="str">
        <f t="shared" ca="1" si="12"/>
        <v/>
      </c>
      <c r="N30" s="264" t="str">
        <f t="shared" ca="1" si="12"/>
        <v/>
      </c>
      <c r="O30" s="265" t="str">
        <f t="shared" ca="1" si="12"/>
        <v/>
      </c>
      <c r="P30" s="266" t="str">
        <f t="shared" ca="1" si="12"/>
        <v/>
      </c>
      <c r="Q30" s="267" t="str">
        <f t="shared" ca="1" si="12"/>
        <v/>
      </c>
      <c r="R30" s="268" t="str">
        <f t="shared" ca="1" si="13"/>
        <v xml:space="preserve"> </v>
      </c>
      <c r="S30" s="264" t="str">
        <f t="shared" ca="1" si="13"/>
        <v xml:space="preserve"> </v>
      </c>
      <c r="T30" s="269" t="str">
        <f t="shared" ca="1" si="13"/>
        <v xml:space="preserve"> </v>
      </c>
      <c r="U30" s="268" t="str">
        <f t="shared" ca="1" si="13"/>
        <v xml:space="preserve"> </v>
      </c>
      <c r="V30" s="264" t="str">
        <f t="shared" ca="1" si="13"/>
        <v xml:space="preserve"> </v>
      </c>
      <c r="W30" s="265" t="str">
        <f t="shared" ca="1" si="13"/>
        <v xml:space="preserve"> </v>
      </c>
      <c r="X30" s="266" t="str">
        <f t="shared" ca="1" si="13"/>
        <v>￥</v>
      </c>
      <c r="Y30" s="264" t="str">
        <f t="shared" ca="1" si="13"/>
        <v>3</v>
      </c>
      <c r="Z30" s="265" t="str">
        <f t="shared" ca="1" si="13"/>
        <v>7</v>
      </c>
      <c r="AA30" s="266" t="str">
        <f t="shared" ca="1" si="13"/>
        <v>5</v>
      </c>
      <c r="AB30" s="267" t="str">
        <f t="shared" ca="1" si="13"/>
        <v>0</v>
      </c>
      <c r="AC30" s="541"/>
      <c r="AD30" s="212">
        <f t="shared" ca="1" si="14"/>
        <v>11</v>
      </c>
    </row>
    <row r="31" spans="1:30" s="45" customFormat="1" ht="22.5" customHeight="1">
      <c r="A31" s="258" t="str">
        <f ca="1">IFERROR(INDEX(凭证录入!H:H,$AD31),"")</f>
        <v/>
      </c>
      <c r="B31" s="259" t="str">
        <f ca="1">IFERROR(INDEX(凭证录入!I:I,$AD31),"")</f>
        <v/>
      </c>
      <c r="C31" s="260" t="str">
        <f ca="1">IFERROR(VLOOKUP($B31,会计科目表!$A:$C,2,),"")</f>
        <v/>
      </c>
      <c r="D31" s="261" t="str">
        <f ca="1">IFERROR(VLOOKUP($B31,会计科目表!$A:$C,3,),"")</f>
        <v/>
      </c>
      <c r="E31" s="262">
        <f ca="1">IFERROR(INDEX(凭证录入!K:K,$AD31),0)</f>
        <v>0</v>
      </c>
      <c r="F31" s="262">
        <f ca="1">IFERROR(INDEX(凭证录入!L:L,$AD31),0)</f>
        <v>0</v>
      </c>
      <c r="G31" s="263" t="str">
        <f t="shared" ca="1" si="12"/>
        <v/>
      </c>
      <c r="H31" s="264" t="str">
        <f t="shared" ca="1" si="12"/>
        <v/>
      </c>
      <c r="I31" s="265" t="str">
        <f t="shared" ca="1" si="12"/>
        <v/>
      </c>
      <c r="J31" s="266" t="str">
        <f t="shared" ca="1" si="12"/>
        <v/>
      </c>
      <c r="K31" s="264" t="str">
        <f t="shared" ca="1" si="12"/>
        <v/>
      </c>
      <c r="L31" s="265" t="str">
        <f t="shared" ca="1" si="12"/>
        <v/>
      </c>
      <c r="M31" s="266" t="str">
        <f t="shared" ca="1" si="12"/>
        <v/>
      </c>
      <c r="N31" s="264" t="str">
        <f t="shared" ca="1" si="12"/>
        <v/>
      </c>
      <c r="O31" s="265" t="str">
        <f t="shared" ca="1" si="12"/>
        <v/>
      </c>
      <c r="P31" s="266" t="str">
        <f t="shared" ca="1" si="12"/>
        <v/>
      </c>
      <c r="Q31" s="267" t="str">
        <f t="shared" ca="1" si="12"/>
        <v/>
      </c>
      <c r="R31" s="268" t="str">
        <f t="shared" ca="1" si="13"/>
        <v/>
      </c>
      <c r="S31" s="264" t="str">
        <f t="shared" ca="1" si="13"/>
        <v/>
      </c>
      <c r="T31" s="269" t="str">
        <f t="shared" ca="1" si="13"/>
        <v/>
      </c>
      <c r="U31" s="268" t="str">
        <f t="shared" ca="1" si="13"/>
        <v/>
      </c>
      <c r="V31" s="264" t="str">
        <f t="shared" ca="1" si="13"/>
        <v/>
      </c>
      <c r="W31" s="265" t="str">
        <f t="shared" ca="1" si="13"/>
        <v/>
      </c>
      <c r="X31" s="266" t="str">
        <f t="shared" ca="1" si="13"/>
        <v/>
      </c>
      <c r="Y31" s="264" t="str">
        <f t="shared" ca="1" si="13"/>
        <v/>
      </c>
      <c r="Z31" s="265" t="str">
        <f t="shared" ca="1" si="13"/>
        <v/>
      </c>
      <c r="AA31" s="266" t="str">
        <f t="shared" ca="1" si="13"/>
        <v/>
      </c>
      <c r="AB31" s="267" t="str">
        <f t="shared" ca="1" si="13"/>
        <v/>
      </c>
      <c r="AC31" s="536" t="s">
        <v>623</v>
      </c>
      <c r="AD31" s="212" t="str">
        <f t="shared" ca="1" si="14"/>
        <v/>
      </c>
    </row>
    <row r="32" spans="1:30" s="45" customFormat="1" ht="22.5" customHeight="1">
      <c r="A32" s="258" t="str">
        <f ca="1">IFERROR(INDEX(凭证录入!H:H,$AD32),"")</f>
        <v/>
      </c>
      <c r="B32" s="259" t="str">
        <f ca="1">IFERROR(INDEX(凭证录入!I:I,$AD32),"")</f>
        <v/>
      </c>
      <c r="C32" s="260" t="str">
        <f ca="1">IFERROR(VLOOKUP($B32,会计科目表!$A:$C,2,),"")</f>
        <v/>
      </c>
      <c r="D32" s="261" t="str">
        <f ca="1">IFERROR(VLOOKUP($B32,会计科目表!$A:$C,3,),"")</f>
        <v/>
      </c>
      <c r="E32" s="262">
        <f ca="1">IFERROR(INDEX(凭证录入!K:K,$AD32),0)</f>
        <v>0</v>
      </c>
      <c r="F32" s="262">
        <f ca="1">IFERROR(INDEX(凭证录入!L:L,$AD32),0)</f>
        <v>0</v>
      </c>
      <c r="G32" s="263" t="str">
        <f t="shared" ca="1" si="12"/>
        <v/>
      </c>
      <c r="H32" s="264" t="str">
        <f t="shared" ca="1" si="12"/>
        <v/>
      </c>
      <c r="I32" s="265" t="str">
        <f t="shared" ca="1" si="12"/>
        <v/>
      </c>
      <c r="J32" s="266" t="str">
        <f t="shared" ca="1" si="12"/>
        <v/>
      </c>
      <c r="K32" s="264" t="str">
        <f t="shared" ca="1" si="12"/>
        <v/>
      </c>
      <c r="L32" s="265" t="str">
        <f t="shared" ca="1" si="12"/>
        <v/>
      </c>
      <c r="M32" s="266" t="str">
        <f t="shared" ca="1" si="12"/>
        <v/>
      </c>
      <c r="N32" s="264" t="str">
        <f t="shared" ca="1" si="12"/>
        <v/>
      </c>
      <c r="O32" s="265" t="str">
        <f t="shared" ca="1" si="12"/>
        <v/>
      </c>
      <c r="P32" s="266" t="str">
        <f t="shared" ca="1" si="12"/>
        <v/>
      </c>
      <c r="Q32" s="267" t="str">
        <f t="shared" ca="1" si="12"/>
        <v/>
      </c>
      <c r="R32" s="268" t="str">
        <f t="shared" ca="1" si="13"/>
        <v/>
      </c>
      <c r="S32" s="264" t="str">
        <f t="shared" ca="1" si="13"/>
        <v/>
      </c>
      <c r="T32" s="269" t="str">
        <f t="shared" ca="1" si="13"/>
        <v/>
      </c>
      <c r="U32" s="268" t="str">
        <f t="shared" ca="1" si="13"/>
        <v/>
      </c>
      <c r="V32" s="264" t="str">
        <f t="shared" ca="1" si="13"/>
        <v/>
      </c>
      <c r="W32" s="265" t="str">
        <f t="shared" ca="1" si="13"/>
        <v/>
      </c>
      <c r="X32" s="266" t="str">
        <f t="shared" ca="1" si="13"/>
        <v/>
      </c>
      <c r="Y32" s="264" t="str">
        <f t="shared" ca="1" si="13"/>
        <v/>
      </c>
      <c r="Z32" s="265" t="str">
        <f t="shared" ca="1" si="13"/>
        <v/>
      </c>
      <c r="AA32" s="266" t="str">
        <f t="shared" ca="1" si="13"/>
        <v/>
      </c>
      <c r="AB32" s="267" t="str">
        <f t="shared" ca="1" si="13"/>
        <v/>
      </c>
      <c r="AC32" s="537"/>
      <c r="AD32" s="212" t="str">
        <f t="shared" ca="1" si="14"/>
        <v/>
      </c>
    </row>
    <row r="33" spans="1:30" s="45" customFormat="1" ht="22.5" customHeight="1">
      <c r="A33" s="258" t="str">
        <f ca="1">IFERROR(INDEX(凭证录入!H:H,$AD33),"")</f>
        <v/>
      </c>
      <c r="B33" s="259" t="str">
        <f ca="1">IFERROR(INDEX(凭证录入!I:I,$AD33),"")</f>
        <v/>
      </c>
      <c r="C33" s="260" t="str">
        <f ca="1">IFERROR(VLOOKUP($B33,会计科目表!$A:$C,2,),"")</f>
        <v/>
      </c>
      <c r="D33" s="261" t="str">
        <f ca="1">IFERROR(VLOOKUP($B33,会计科目表!$A:$C,3,),"")</f>
        <v/>
      </c>
      <c r="E33" s="262">
        <f ca="1">IFERROR(INDEX(凭证录入!K:K,$AD33),0)</f>
        <v>0</v>
      </c>
      <c r="F33" s="262">
        <f ca="1">IFERROR(INDEX(凭证录入!L:L,$AD33),0)</f>
        <v>0</v>
      </c>
      <c r="G33" s="263" t="str">
        <f t="shared" ca="1" si="12"/>
        <v/>
      </c>
      <c r="H33" s="264" t="str">
        <f t="shared" ca="1" si="12"/>
        <v/>
      </c>
      <c r="I33" s="265" t="str">
        <f t="shared" ca="1" si="12"/>
        <v/>
      </c>
      <c r="J33" s="266" t="str">
        <f t="shared" ca="1" si="12"/>
        <v/>
      </c>
      <c r="K33" s="264" t="str">
        <f t="shared" ca="1" si="12"/>
        <v/>
      </c>
      <c r="L33" s="265" t="str">
        <f t="shared" ca="1" si="12"/>
        <v/>
      </c>
      <c r="M33" s="266" t="str">
        <f t="shared" ca="1" si="12"/>
        <v/>
      </c>
      <c r="N33" s="264" t="str">
        <f t="shared" ca="1" si="12"/>
        <v/>
      </c>
      <c r="O33" s="265" t="str">
        <f t="shared" ca="1" si="12"/>
        <v/>
      </c>
      <c r="P33" s="266" t="str">
        <f t="shared" ca="1" si="12"/>
        <v/>
      </c>
      <c r="Q33" s="267" t="str">
        <f t="shared" ca="1" si="12"/>
        <v/>
      </c>
      <c r="R33" s="268" t="str">
        <f t="shared" ca="1" si="13"/>
        <v/>
      </c>
      <c r="S33" s="264" t="str">
        <f t="shared" ca="1" si="13"/>
        <v/>
      </c>
      <c r="T33" s="269" t="str">
        <f t="shared" ca="1" si="13"/>
        <v/>
      </c>
      <c r="U33" s="268" t="str">
        <f t="shared" ca="1" si="13"/>
        <v/>
      </c>
      <c r="V33" s="264" t="str">
        <f t="shared" ca="1" si="13"/>
        <v/>
      </c>
      <c r="W33" s="265" t="str">
        <f t="shared" ca="1" si="13"/>
        <v/>
      </c>
      <c r="X33" s="266" t="str">
        <f t="shared" ca="1" si="13"/>
        <v/>
      </c>
      <c r="Y33" s="264" t="str">
        <f t="shared" ca="1" si="13"/>
        <v/>
      </c>
      <c r="Z33" s="265" t="str">
        <f t="shared" ca="1" si="13"/>
        <v/>
      </c>
      <c r="AA33" s="266" t="str">
        <f t="shared" ca="1" si="13"/>
        <v/>
      </c>
      <c r="AB33" s="267" t="str">
        <f t="shared" ca="1" si="13"/>
        <v/>
      </c>
      <c r="AC33" s="538"/>
      <c r="AD33" s="212" t="str">
        <f t="shared" ca="1" si="14"/>
        <v/>
      </c>
    </row>
    <row r="34" spans="1:30" s="45" customFormat="1" ht="22.5" customHeight="1">
      <c r="A34" s="258" t="str">
        <f ca="1">IFERROR(INDEX(凭证录入!H:H,$AD34),"")</f>
        <v/>
      </c>
      <c r="B34" s="259" t="str">
        <f ca="1">IFERROR(INDEX(凭证录入!I:I,$AD34),"")</f>
        <v/>
      </c>
      <c r="C34" s="260" t="str">
        <f ca="1">IFERROR(VLOOKUP($B34,会计科目表!$A:$C,2,),"")</f>
        <v/>
      </c>
      <c r="D34" s="261" t="str">
        <f ca="1">IFERROR(VLOOKUP($B34,会计科目表!$A:$C,3,),"")</f>
        <v/>
      </c>
      <c r="E34" s="262">
        <f ca="1">IFERROR(INDEX(凭证录入!K:K,$AD34),0)</f>
        <v>0</v>
      </c>
      <c r="F34" s="262">
        <f ca="1">IFERROR(INDEX(凭证录入!L:L,$AD34),0)</f>
        <v>0</v>
      </c>
      <c r="G34" s="263" t="str">
        <f t="shared" ca="1" si="12"/>
        <v/>
      </c>
      <c r="H34" s="264" t="str">
        <f t="shared" ca="1" si="12"/>
        <v/>
      </c>
      <c r="I34" s="265" t="str">
        <f t="shared" ca="1" si="12"/>
        <v/>
      </c>
      <c r="J34" s="266" t="str">
        <f t="shared" ca="1" si="12"/>
        <v/>
      </c>
      <c r="K34" s="264" t="str">
        <f t="shared" ca="1" si="12"/>
        <v/>
      </c>
      <c r="L34" s="265" t="str">
        <f t="shared" ca="1" si="12"/>
        <v/>
      </c>
      <c r="M34" s="266" t="str">
        <f t="shared" ca="1" si="12"/>
        <v/>
      </c>
      <c r="N34" s="264" t="str">
        <f t="shared" ca="1" si="12"/>
        <v/>
      </c>
      <c r="O34" s="265" t="str">
        <f t="shared" ca="1" si="12"/>
        <v/>
      </c>
      <c r="P34" s="266" t="str">
        <f t="shared" ca="1" si="12"/>
        <v/>
      </c>
      <c r="Q34" s="267" t="str">
        <f t="shared" ca="1" si="12"/>
        <v/>
      </c>
      <c r="R34" s="268" t="str">
        <f t="shared" ca="1" si="13"/>
        <v/>
      </c>
      <c r="S34" s="264" t="str">
        <f t="shared" ca="1" si="13"/>
        <v/>
      </c>
      <c r="T34" s="269" t="str">
        <f t="shared" ca="1" si="13"/>
        <v/>
      </c>
      <c r="U34" s="268" t="str">
        <f t="shared" ca="1" si="13"/>
        <v/>
      </c>
      <c r="V34" s="264" t="str">
        <f t="shared" ca="1" si="13"/>
        <v/>
      </c>
      <c r="W34" s="265" t="str">
        <f t="shared" ca="1" si="13"/>
        <v/>
      </c>
      <c r="X34" s="266" t="str">
        <f t="shared" ca="1" si="13"/>
        <v/>
      </c>
      <c r="Y34" s="264" t="str">
        <f t="shared" ca="1" si="13"/>
        <v/>
      </c>
      <c r="Z34" s="265" t="str">
        <f t="shared" ca="1" si="13"/>
        <v/>
      </c>
      <c r="AA34" s="266" t="str">
        <f t="shared" ca="1" si="13"/>
        <v/>
      </c>
      <c r="AB34" s="267" t="str">
        <f t="shared" ca="1" si="13"/>
        <v/>
      </c>
      <c r="AC34" s="538"/>
      <c r="AD34" s="212" t="str">
        <f t="shared" ca="1" si="14"/>
        <v/>
      </c>
    </row>
    <row r="35" spans="1:30" s="45" customFormat="1" ht="22.5" customHeight="1">
      <c r="A35" s="270" t="s">
        <v>625</v>
      </c>
      <c r="B35" s="271"/>
      <c r="C35" s="272" t="str">
        <f t="shared" ref="C35" ca="1" si="15">SUBSTITUTE(SUBSTITUTE(IF(-DOLLAR(E35),IF(E35&gt;0,,"负")&amp;TEXT(INT(ABS(E35)+0.5%),"[dbnum2]G/通用格式元;;")&amp;TEXT(RIGHT(DOLLAR(E35,2),2),"[dbnum2]0角0分;;整"),),"零角",IF(E35^2&lt;1,,"零")),"零分","整")</f>
        <v>叁拾柒元伍角整</v>
      </c>
      <c r="D35" s="273"/>
      <c r="E35" s="274">
        <f t="shared" ref="E35:F35" ca="1" si="16">SUM(E29:E34)</f>
        <v>37.5</v>
      </c>
      <c r="F35" s="275">
        <f t="shared" ca="1" si="16"/>
        <v>37.5</v>
      </c>
      <c r="G35" s="276" t="str">
        <f t="shared" ca="1" si="12"/>
        <v xml:space="preserve"> </v>
      </c>
      <c r="H35" s="277" t="str">
        <f t="shared" ca="1" si="12"/>
        <v xml:space="preserve"> </v>
      </c>
      <c r="I35" s="278" t="str">
        <f t="shared" ca="1" si="12"/>
        <v xml:space="preserve"> </v>
      </c>
      <c r="J35" s="279" t="str">
        <f t="shared" ca="1" si="12"/>
        <v xml:space="preserve"> </v>
      </c>
      <c r="K35" s="277" t="str">
        <f t="shared" ca="1" si="12"/>
        <v xml:space="preserve"> </v>
      </c>
      <c r="L35" s="278" t="str">
        <f t="shared" ca="1" si="12"/>
        <v xml:space="preserve"> </v>
      </c>
      <c r="M35" s="279" t="str">
        <f t="shared" ca="1" si="12"/>
        <v>￥</v>
      </c>
      <c r="N35" s="277" t="str">
        <f t="shared" ca="1" si="12"/>
        <v>3</v>
      </c>
      <c r="O35" s="278" t="str">
        <f t="shared" ca="1" si="12"/>
        <v>7</v>
      </c>
      <c r="P35" s="279" t="str">
        <f t="shared" ca="1" si="12"/>
        <v>5</v>
      </c>
      <c r="Q35" s="280" t="str">
        <f t="shared" ca="1" si="12"/>
        <v>0</v>
      </c>
      <c r="R35" s="281" t="str">
        <f t="shared" ca="1" si="13"/>
        <v xml:space="preserve"> </v>
      </c>
      <c r="S35" s="277" t="str">
        <f t="shared" ca="1" si="13"/>
        <v xml:space="preserve"> </v>
      </c>
      <c r="T35" s="282" t="str">
        <f t="shared" ca="1" si="13"/>
        <v xml:space="preserve"> </v>
      </c>
      <c r="U35" s="281" t="str">
        <f t="shared" ca="1" si="13"/>
        <v xml:space="preserve"> </v>
      </c>
      <c r="V35" s="277" t="str">
        <f t="shared" ca="1" si="13"/>
        <v xml:space="preserve"> </v>
      </c>
      <c r="W35" s="278" t="str">
        <f t="shared" ca="1" si="13"/>
        <v xml:space="preserve"> </v>
      </c>
      <c r="X35" s="279" t="str">
        <f t="shared" ca="1" si="13"/>
        <v>￥</v>
      </c>
      <c r="Y35" s="277" t="str">
        <f t="shared" ca="1" si="13"/>
        <v>3</v>
      </c>
      <c r="Z35" s="278" t="str">
        <f t="shared" ca="1" si="13"/>
        <v>7</v>
      </c>
      <c r="AA35" s="279" t="str">
        <f t="shared" ca="1" si="13"/>
        <v>5</v>
      </c>
      <c r="AB35" s="280" t="str">
        <f t="shared" ca="1" si="13"/>
        <v>0</v>
      </c>
      <c r="AC35" s="283"/>
      <c r="AD35" s="212"/>
    </row>
    <row r="36" spans="1:30" s="22" customFormat="1" ht="22.5" customHeight="1">
      <c r="A36" s="284" t="s">
        <v>627</v>
      </c>
      <c r="B36" s="284"/>
      <c r="C36" s="284"/>
      <c r="D36" s="284" t="s">
        <v>629</v>
      </c>
      <c r="E36" s="284"/>
      <c r="F36" s="284"/>
      <c r="G36" s="284"/>
      <c r="H36" s="285"/>
      <c r="I36" s="284"/>
      <c r="J36" s="285"/>
      <c r="K36" s="285"/>
      <c r="L36" s="284"/>
      <c r="M36" s="285"/>
      <c r="N36" s="285"/>
      <c r="O36" s="285"/>
      <c r="P36" s="284"/>
      <c r="Q36" s="284" t="s">
        <v>631</v>
      </c>
      <c r="R36" s="284"/>
      <c r="S36" s="284"/>
      <c r="T36" s="284"/>
      <c r="U36" s="285"/>
      <c r="V36" s="284"/>
      <c r="W36" s="285"/>
      <c r="X36" s="284"/>
      <c r="Y36" s="284"/>
      <c r="Z36" s="285"/>
      <c r="AA36" s="285"/>
      <c r="AB36" s="285"/>
      <c r="AC36" s="286"/>
      <c r="AD36" s="212"/>
    </row>
    <row r="37" spans="1:30" ht="39.75" customHeight="1" thickBot="1">
      <c r="A37" s="226"/>
      <c r="B37" s="226"/>
      <c r="C37" s="227" t="s">
        <v>632</v>
      </c>
      <c r="D37" s="228"/>
      <c r="E37" s="226"/>
      <c r="F37" s="226"/>
      <c r="G37" s="228"/>
      <c r="H37" s="228"/>
      <c r="I37" s="228"/>
      <c r="J37" s="228"/>
      <c r="K37" s="228"/>
      <c r="L37" s="228"/>
      <c r="M37" s="228"/>
      <c r="N37" s="228"/>
      <c r="O37" s="228"/>
      <c r="P37" s="228"/>
      <c r="Q37" s="228"/>
      <c r="R37" s="229" t="s">
        <v>633</v>
      </c>
      <c r="S37" s="230"/>
      <c r="T37" s="230"/>
      <c r="U37" s="231">
        <f ca="1">DATE(AD$1,AF$1,INDEX(凭证录入!B:B,AD41))</f>
        <v>41305</v>
      </c>
      <c r="V37" s="232"/>
      <c r="W37" s="232"/>
      <c r="X37" s="232"/>
      <c r="Y37" s="232"/>
      <c r="Z37" s="232"/>
      <c r="AA37" s="232"/>
      <c r="AB37" s="232"/>
      <c r="AD37" s="212"/>
    </row>
    <row r="38" spans="1:30" s="45" customFormat="1" ht="23.25" customHeight="1" thickTop="1">
      <c r="A38" s="235" t="s">
        <v>634</v>
      </c>
      <c r="B38" s="235"/>
      <c r="C38" s="236" t="str">
        <f t="shared" ref="C38:C98" si="17">Co</f>
        <v>远大开发有限公司</v>
      </c>
      <c r="D38" s="236"/>
      <c r="E38" s="236"/>
      <c r="F38" s="236"/>
      <c r="G38" s="236"/>
      <c r="H38" s="236"/>
      <c r="I38" s="236"/>
      <c r="J38" s="236"/>
      <c r="K38" s="236"/>
      <c r="L38" s="236"/>
      <c r="M38" s="236"/>
      <c r="N38" s="236"/>
      <c r="O38" s="236"/>
      <c r="P38" s="236"/>
      <c r="Q38" s="236"/>
      <c r="R38" s="229" t="s">
        <v>635</v>
      </c>
      <c r="S38" s="229"/>
      <c r="T38" s="229"/>
      <c r="U38" s="237" t="str">
        <f t="shared" ref="U38" si="18">"第 "&amp;TEXT($AF$1,"00")&amp;TEXT($AC38,"0000 号")</f>
        <v>第 010005 号</v>
      </c>
      <c r="V38" s="237"/>
      <c r="W38" s="238"/>
      <c r="X38" s="238"/>
      <c r="Y38" s="238"/>
      <c r="Z38" s="238"/>
      <c r="AA38" s="238"/>
      <c r="AB38" s="238"/>
      <c r="AC38" s="495" t="s">
        <v>1003</v>
      </c>
      <c r="AD38" s="212"/>
    </row>
    <row r="39" spans="1:30" s="45" customFormat="1" ht="22.5" customHeight="1">
      <c r="A39" s="241" t="s">
        <v>586</v>
      </c>
      <c r="B39" s="542" t="s">
        <v>587</v>
      </c>
      <c r="C39" s="242" t="s">
        <v>589</v>
      </c>
      <c r="D39" s="243" t="s">
        <v>591</v>
      </c>
      <c r="E39" s="539" t="s">
        <v>636</v>
      </c>
      <c r="F39" s="539" t="s">
        <v>637</v>
      </c>
      <c r="G39" s="244" t="s">
        <v>638</v>
      </c>
      <c r="H39" s="245"/>
      <c r="I39" s="245"/>
      <c r="J39" s="245"/>
      <c r="K39" s="245"/>
      <c r="L39" s="245"/>
      <c r="M39" s="245"/>
      <c r="N39" s="245"/>
      <c r="O39" s="245"/>
      <c r="P39" s="245"/>
      <c r="Q39" s="246"/>
      <c r="R39" s="247" t="s">
        <v>599</v>
      </c>
      <c r="S39" s="245"/>
      <c r="T39" s="245"/>
      <c r="U39" s="245"/>
      <c r="V39" s="245"/>
      <c r="W39" s="245"/>
      <c r="X39" s="245"/>
      <c r="Y39" s="245"/>
      <c r="Z39" s="245"/>
      <c r="AA39" s="245"/>
      <c r="AB39" s="246"/>
      <c r="AC39" s="541" t="str">
        <f ca="1">"附单据数︵"&amp;INDEX(凭证录入!$D:$D,$AD$17)&amp;"︶张"</f>
        <v>附单据数︵4︶张</v>
      </c>
      <c r="AD39" s="235"/>
    </row>
    <row r="40" spans="1:30" s="45" customFormat="1" ht="22.5" customHeight="1">
      <c r="A40" s="248" t="s">
        <v>601</v>
      </c>
      <c r="B40" s="543"/>
      <c r="C40" s="249" t="s">
        <v>603</v>
      </c>
      <c r="D40" s="250" t="s">
        <v>603</v>
      </c>
      <c r="E40" s="540"/>
      <c r="F40" s="540"/>
      <c r="G40" s="251" t="s">
        <v>605</v>
      </c>
      <c r="H40" s="252" t="s">
        <v>607</v>
      </c>
      <c r="I40" s="253" t="s">
        <v>609</v>
      </c>
      <c r="J40" s="254" t="s">
        <v>639</v>
      </c>
      <c r="K40" s="252" t="s">
        <v>640</v>
      </c>
      <c r="L40" s="253" t="s">
        <v>607</v>
      </c>
      <c r="M40" s="254" t="s">
        <v>609</v>
      </c>
      <c r="N40" s="252" t="s">
        <v>639</v>
      </c>
      <c r="O40" s="253" t="s">
        <v>641</v>
      </c>
      <c r="P40" s="254" t="s">
        <v>642</v>
      </c>
      <c r="Q40" s="255" t="s">
        <v>643</v>
      </c>
      <c r="R40" s="256" t="s">
        <v>605</v>
      </c>
      <c r="S40" s="252" t="s">
        <v>607</v>
      </c>
      <c r="T40" s="257" t="s">
        <v>609</v>
      </c>
      <c r="U40" s="256" t="s">
        <v>639</v>
      </c>
      <c r="V40" s="252" t="s">
        <v>640</v>
      </c>
      <c r="W40" s="253" t="s">
        <v>607</v>
      </c>
      <c r="X40" s="254" t="s">
        <v>609</v>
      </c>
      <c r="Y40" s="252" t="s">
        <v>639</v>
      </c>
      <c r="Z40" s="253" t="s">
        <v>641</v>
      </c>
      <c r="AA40" s="254" t="s">
        <v>642</v>
      </c>
      <c r="AB40" s="255" t="s">
        <v>643</v>
      </c>
      <c r="AC40" s="541"/>
    </row>
    <row r="41" spans="1:30" s="45" customFormat="1" ht="22.5" customHeight="1">
      <c r="A41" s="258" t="str">
        <f ca="1">IFERROR(INDEX(凭证录入!H:H,$AD41),"")</f>
        <v>结转1月利润</v>
      </c>
      <c r="B41" s="259">
        <f ca="1">IFERROR(INDEX(凭证录入!I:I,$AD41),"")</f>
        <v>4103</v>
      </c>
      <c r="C41" s="260" t="str">
        <f ca="1">IFERROR(VLOOKUP($B41,会计科目表!$A:$C,2,),"")</f>
        <v>本年利润</v>
      </c>
      <c r="D41" s="261">
        <f ca="1">IFERROR(VLOOKUP($B41,会计科目表!$A:$C,3,),"")</f>
        <v>0</v>
      </c>
      <c r="E41" s="262">
        <f ca="1">IFERROR(INDEX(凭证录入!K:K,$AD41),0)</f>
        <v>3601.82</v>
      </c>
      <c r="F41" s="262">
        <f ca="1">IFERROR(INDEX(凭证录入!L:L,$AD41),0)</f>
        <v>0</v>
      </c>
      <c r="G41" s="263" t="str">
        <f t="shared" ref="G41:Q79" ca="1" si="19">LEFT(RIGHT(TEXT($E41/1%," ￥0; ￥-0;"),18-COLUMN()))</f>
        <v xml:space="preserve"> </v>
      </c>
      <c r="H41" s="264" t="str">
        <f t="shared" ca="1" si="19"/>
        <v xml:space="preserve"> </v>
      </c>
      <c r="I41" s="265" t="str">
        <f t="shared" ca="1" si="19"/>
        <v xml:space="preserve"> </v>
      </c>
      <c r="J41" s="266" t="str">
        <f t="shared" ca="1" si="19"/>
        <v xml:space="preserve"> </v>
      </c>
      <c r="K41" s="264" t="str">
        <f t="shared" ca="1" si="19"/>
        <v>￥</v>
      </c>
      <c r="L41" s="265" t="str">
        <f t="shared" ca="1" si="19"/>
        <v>3</v>
      </c>
      <c r="M41" s="266" t="str">
        <f t="shared" ca="1" si="19"/>
        <v>6</v>
      </c>
      <c r="N41" s="264" t="str">
        <f t="shared" ca="1" si="19"/>
        <v>0</v>
      </c>
      <c r="O41" s="265" t="str">
        <f t="shared" ca="1" si="19"/>
        <v>1</v>
      </c>
      <c r="P41" s="266" t="str">
        <f t="shared" ca="1" si="19"/>
        <v>8</v>
      </c>
      <c r="Q41" s="267" t="str">
        <f t="shared" ca="1" si="19"/>
        <v>2</v>
      </c>
      <c r="R41" s="268" t="str">
        <f t="shared" ref="R41:AB79" ca="1" si="20">LEFT(RIGHT(TEXT($F41/1%," ￥0; ￥-0;"),29-COLUMN()))</f>
        <v/>
      </c>
      <c r="S41" s="264" t="str">
        <f t="shared" ca="1" si="20"/>
        <v/>
      </c>
      <c r="T41" s="269" t="str">
        <f t="shared" ca="1" si="20"/>
        <v/>
      </c>
      <c r="U41" s="268" t="str">
        <f t="shared" ca="1" si="20"/>
        <v/>
      </c>
      <c r="V41" s="264" t="str">
        <f t="shared" ca="1" si="20"/>
        <v/>
      </c>
      <c r="W41" s="265" t="str">
        <f t="shared" ca="1" si="20"/>
        <v/>
      </c>
      <c r="X41" s="266" t="str">
        <f t="shared" ca="1" si="20"/>
        <v/>
      </c>
      <c r="Y41" s="264" t="str">
        <f t="shared" ca="1" si="20"/>
        <v/>
      </c>
      <c r="Z41" s="265" t="str">
        <f t="shared" ca="1" si="20"/>
        <v/>
      </c>
      <c r="AA41" s="266" t="str">
        <f t="shared" ca="1" si="20"/>
        <v/>
      </c>
      <c r="AB41" s="267" t="str">
        <f t="shared" ca="1" si="20"/>
        <v/>
      </c>
      <c r="AC41" s="541"/>
      <c r="AD41" s="212">
        <f t="shared" ca="1" si="14"/>
        <v>12</v>
      </c>
    </row>
    <row r="42" spans="1:30" s="45" customFormat="1" ht="22.5" customHeight="1">
      <c r="A42" s="258" t="str">
        <f ca="1">IFERROR(INDEX(凭证录入!H:H,$AD42),"")</f>
        <v>结转1月利润</v>
      </c>
      <c r="B42" s="259">
        <f ca="1">IFERROR(INDEX(凭证录入!I:I,$AD42),"")</f>
        <v>660211</v>
      </c>
      <c r="C42" s="260" t="str">
        <f ca="1">IFERROR(VLOOKUP($B42,会计科目表!$A:$C,2,),"")</f>
        <v>管理费用</v>
      </c>
      <c r="D42" s="261" t="str">
        <f ca="1">IFERROR(VLOOKUP($B42,会计科目表!$A:$C,3,),"")</f>
        <v>保险费</v>
      </c>
      <c r="E42" s="262">
        <f ca="1">IFERROR(INDEX(凭证录入!K:K,$AD42),0)</f>
        <v>0</v>
      </c>
      <c r="F42" s="262">
        <f ca="1">IFERROR(INDEX(凭证录入!L:L,$AD42),0)</f>
        <v>600.29999999999995</v>
      </c>
      <c r="G42" s="263" t="str">
        <f t="shared" ca="1" si="19"/>
        <v/>
      </c>
      <c r="H42" s="264" t="str">
        <f t="shared" ca="1" si="19"/>
        <v/>
      </c>
      <c r="I42" s="265" t="str">
        <f t="shared" ca="1" si="19"/>
        <v/>
      </c>
      <c r="J42" s="266" t="str">
        <f t="shared" ca="1" si="19"/>
        <v/>
      </c>
      <c r="K42" s="264" t="str">
        <f t="shared" ca="1" si="19"/>
        <v/>
      </c>
      <c r="L42" s="265" t="str">
        <f t="shared" ca="1" si="19"/>
        <v/>
      </c>
      <c r="M42" s="266" t="str">
        <f t="shared" ca="1" si="19"/>
        <v/>
      </c>
      <c r="N42" s="264" t="str">
        <f t="shared" ca="1" si="19"/>
        <v/>
      </c>
      <c r="O42" s="265" t="str">
        <f t="shared" ca="1" si="19"/>
        <v/>
      </c>
      <c r="P42" s="266" t="str">
        <f t="shared" ca="1" si="19"/>
        <v/>
      </c>
      <c r="Q42" s="267" t="str">
        <f t="shared" ca="1" si="19"/>
        <v/>
      </c>
      <c r="R42" s="268" t="str">
        <f t="shared" ca="1" si="20"/>
        <v xml:space="preserve"> </v>
      </c>
      <c r="S42" s="264" t="str">
        <f t="shared" ca="1" si="20"/>
        <v xml:space="preserve"> </v>
      </c>
      <c r="T42" s="269" t="str">
        <f t="shared" ca="1" si="20"/>
        <v xml:space="preserve"> </v>
      </c>
      <c r="U42" s="268" t="str">
        <f t="shared" ca="1" si="20"/>
        <v xml:space="preserve"> </v>
      </c>
      <c r="V42" s="264" t="str">
        <f t="shared" ca="1" si="20"/>
        <v xml:space="preserve"> </v>
      </c>
      <c r="W42" s="265" t="str">
        <f t="shared" ca="1" si="20"/>
        <v>￥</v>
      </c>
      <c r="X42" s="266" t="str">
        <f t="shared" ca="1" si="20"/>
        <v>6</v>
      </c>
      <c r="Y42" s="264" t="str">
        <f t="shared" ca="1" si="20"/>
        <v>0</v>
      </c>
      <c r="Z42" s="265" t="str">
        <f t="shared" ca="1" si="20"/>
        <v>0</v>
      </c>
      <c r="AA42" s="266" t="str">
        <f t="shared" ca="1" si="20"/>
        <v>3</v>
      </c>
      <c r="AB42" s="267" t="str">
        <f t="shared" ca="1" si="20"/>
        <v>0</v>
      </c>
      <c r="AC42" s="541"/>
      <c r="AD42" s="212">
        <f t="shared" ca="1" si="14"/>
        <v>13</v>
      </c>
    </row>
    <row r="43" spans="1:30" s="45" customFormat="1" ht="22.5" customHeight="1">
      <c r="A43" s="258" t="str">
        <f ca="1">IFERROR(INDEX(凭证录入!H:H,$AD43),"")</f>
        <v>结转1月利润</v>
      </c>
      <c r="B43" s="259">
        <f ca="1">IFERROR(INDEX(凭证录入!I:I,$AD43),"")</f>
        <v>660211</v>
      </c>
      <c r="C43" s="260" t="str">
        <f ca="1">IFERROR(VLOOKUP($B43,会计科目表!$A:$C,2,),"")</f>
        <v>管理费用</v>
      </c>
      <c r="D43" s="261" t="str">
        <f ca="1">IFERROR(VLOOKUP($B43,会计科目表!$A:$C,3,),"")</f>
        <v>保险费</v>
      </c>
      <c r="E43" s="262">
        <f ca="1">IFERROR(INDEX(凭证录入!K:K,$AD43),0)</f>
        <v>0</v>
      </c>
      <c r="F43" s="262">
        <f ca="1">IFERROR(INDEX(凭证录入!L:L,$AD43),0)</f>
        <v>600.29999999999995</v>
      </c>
      <c r="G43" s="263" t="str">
        <f t="shared" ca="1" si="19"/>
        <v/>
      </c>
      <c r="H43" s="264" t="str">
        <f t="shared" ca="1" si="19"/>
        <v/>
      </c>
      <c r="I43" s="265" t="str">
        <f t="shared" ca="1" si="19"/>
        <v/>
      </c>
      <c r="J43" s="266" t="str">
        <f t="shared" ca="1" si="19"/>
        <v/>
      </c>
      <c r="K43" s="264" t="str">
        <f t="shared" ca="1" si="19"/>
        <v/>
      </c>
      <c r="L43" s="265" t="str">
        <f t="shared" ca="1" si="19"/>
        <v/>
      </c>
      <c r="M43" s="266" t="str">
        <f t="shared" ca="1" si="19"/>
        <v/>
      </c>
      <c r="N43" s="264" t="str">
        <f t="shared" ca="1" si="19"/>
        <v/>
      </c>
      <c r="O43" s="265" t="str">
        <f t="shared" ca="1" si="19"/>
        <v/>
      </c>
      <c r="P43" s="266" t="str">
        <f t="shared" ca="1" si="19"/>
        <v/>
      </c>
      <c r="Q43" s="267" t="str">
        <f t="shared" ca="1" si="19"/>
        <v/>
      </c>
      <c r="R43" s="268" t="str">
        <f t="shared" ca="1" si="20"/>
        <v xml:space="preserve"> </v>
      </c>
      <c r="S43" s="264" t="str">
        <f t="shared" ca="1" si="20"/>
        <v xml:space="preserve"> </v>
      </c>
      <c r="T43" s="269" t="str">
        <f t="shared" ca="1" si="20"/>
        <v xml:space="preserve"> </v>
      </c>
      <c r="U43" s="268" t="str">
        <f t="shared" ca="1" si="20"/>
        <v xml:space="preserve"> </v>
      </c>
      <c r="V43" s="264" t="str">
        <f t="shared" ca="1" si="20"/>
        <v xml:space="preserve"> </v>
      </c>
      <c r="W43" s="265" t="str">
        <f t="shared" ca="1" si="20"/>
        <v>￥</v>
      </c>
      <c r="X43" s="266" t="str">
        <f t="shared" ca="1" si="20"/>
        <v>6</v>
      </c>
      <c r="Y43" s="264" t="str">
        <f t="shared" ca="1" si="20"/>
        <v>0</v>
      </c>
      <c r="Z43" s="265" t="str">
        <f t="shared" ca="1" si="20"/>
        <v>0</v>
      </c>
      <c r="AA43" s="266" t="str">
        <f t="shared" ca="1" si="20"/>
        <v>3</v>
      </c>
      <c r="AB43" s="267" t="str">
        <f t="shared" ca="1" si="20"/>
        <v>0</v>
      </c>
      <c r="AC43" s="536" t="s">
        <v>623</v>
      </c>
      <c r="AD43" s="212">
        <f t="shared" ca="1" si="14"/>
        <v>14</v>
      </c>
    </row>
    <row r="44" spans="1:30" s="45" customFormat="1" ht="22.5" customHeight="1">
      <c r="A44" s="258" t="str">
        <f ca="1">IFERROR(INDEX(凭证录入!H:H,$AD44),"")</f>
        <v>结转1月利润</v>
      </c>
      <c r="B44" s="259">
        <f ca="1">IFERROR(INDEX(凭证录入!I:I,$AD44),"")</f>
        <v>660211</v>
      </c>
      <c r="C44" s="260" t="str">
        <f ca="1">IFERROR(VLOOKUP($B44,会计科目表!$A:$C,2,),"")</f>
        <v>管理费用</v>
      </c>
      <c r="D44" s="261" t="str">
        <f ca="1">IFERROR(VLOOKUP($B44,会计科目表!$A:$C,3,),"")</f>
        <v>保险费</v>
      </c>
      <c r="E44" s="262">
        <f ca="1">IFERROR(INDEX(凭证录入!K:K,$AD44),0)</f>
        <v>0</v>
      </c>
      <c r="F44" s="262">
        <f ca="1">IFERROR(INDEX(凭证录入!L:L,$AD44),0)</f>
        <v>600.29999999999995</v>
      </c>
      <c r="G44" s="263" t="str">
        <f t="shared" ca="1" si="19"/>
        <v/>
      </c>
      <c r="H44" s="264" t="str">
        <f t="shared" ca="1" si="19"/>
        <v/>
      </c>
      <c r="I44" s="265" t="str">
        <f t="shared" ca="1" si="19"/>
        <v/>
      </c>
      <c r="J44" s="266" t="str">
        <f t="shared" ca="1" si="19"/>
        <v/>
      </c>
      <c r="K44" s="264" t="str">
        <f t="shared" ca="1" si="19"/>
        <v/>
      </c>
      <c r="L44" s="265" t="str">
        <f t="shared" ca="1" si="19"/>
        <v/>
      </c>
      <c r="M44" s="266" t="str">
        <f t="shared" ca="1" si="19"/>
        <v/>
      </c>
      <c r="N44" s="264" t="str">
        <f t="shared" ca="1" si="19"/>
        <v/>
      </c>
      <c r="O44" s="265" t="str">
        <f t="shared" ca="1" si="19"/>
        <v/>
      </c>
      <c r="P44" s="266" t="str">
        <f t="shared" ca="1" si="19"/>
        <v/>
      </c>
      <c r="Q44" s="267" t="str">
        <f t="shared" ca="1" si="19"/>
        <v/>
      </c>
      <c r="R44" s="268" t="str">
        <f t="shared" ca="1" si="20"/>
        <v xml:space="preserve"> </v>
      </c>
      <c r="S44" s="264" t="str">
        <f t="shared" ca="1" si="20"/>
        <v xml:space="preserve"> </v>
      </c>
      <c r="T44" s="269" t="str">
        <f t="shared" ca="1" si="20"/>
        <v xml:space="preserve"> </v>
      </c>
      <c r="U44" s="268" t="str">
        <f t="shared" ca="1" si="20"/>
        <v xml:space="preserve"> </v>
      </c>
      <c r="V44" s="264" t="str">
        <f t="shared" ca="1" si="20"/>
        <v xml:space="preserve"> </v>
      </c>
      <c r="W44" s="265" t="str">
        <f t="shared" ca="1" si="20"/>
        <v>￥</v>
      </c>
      <c r="X44" s="266" t="str">
        <f t="shared" ca="1" si="20"/>
        <v>6</v>
      </c>
      <c r="Y44" s="264" t="str">
        <f t="shared" ca="1" si="20"/>
        <v>0</v>
      </c>
      <c r="Z44" s="265" t="str">
        <f t="shared" ca="1" si="20"/>
        <v>0</v>
      </c>
      <c r="AA44" s="266" t="str">
        <f t="shared" ca="1" si="20"/>
        <v>3</v>
      </c>
      <c r="AB44" s="267" t="str">
        <f t="shared" ca="1" si="20"/>
        <v>0</v>
      </c>
      <c r="AC44" s="537"/>
      <c r="AD44" s="212">
        <f t="shared" ca="1" si="14"/>
        <v>15</v>
      </c>
    </row>
    <row r="45" spans="1:30" s="45" customFormat="1" ht="22.5" customHeight="1">
      <c r="A45" s="258" t="str">
        <f ca="1">IFERROR(INDEX(凭证录入!H:H,$AD45),"")</f>
        <v>结转1月利润</v>
      </c>
      <c r="B45" s="259">
        <f ca="1">IFERROR(INDEX(凭证录入!I:I,$AD45),"")</f>
        <v>660211</v>
      </c>
      <c r="C45" s="260" t="str">
        <f ca="1">IFERROR(VLOOKUP($B45,会计科目表!$A:$C,2,),"")</f>
        <v>管理费用</v>
      </c>
      <c r="D45" s="261" t="str">
        <f ca="1">IFERROR(VLOOKUP($B45,会计科目表!$A:$C,3,),"")</f>
        <v>保险费</v>
      </c>
      <c r="E45" s="262">
        <f ca="1">IFERROR(INDEX(凭证录入!K:K,$AD45),0)</f>
        <v>0</v>
      </c>
      <c r="F45" s="262">
        <f ca="1">IFERROR(INDEX(凭证录入!L:L,$AD45),0)</f>
        <v>600.29999999999995</v>
      </c>
      <c r="G45" s="263" t="str">
        <f t="shared" ca="1" si="19"/>
        <v/>
      </c>
      <c r="H45" s="264" t="str">
        <f t="shared" ca="1" si="19"/>
        <v/>
      </c>
      <c r="I45" s="265" t="str">
        <f t="shared" ca="1" si="19"/>
        <v/>
      </c>
      <c r="J45" s="266" t="str">
        <f t="shared" ca="1" si="19"/>
        <v/>
      </c>
      <c r="K45" s="264" t="str">
        <f t="shared" ca="1" si="19"/>
        <v/>
      </c>
      <c r="L45" s="265" t="str">
        <f t="shared" ca="1" si="19"/>
        <v/>
      </c>
      <c r="M45" s="266" t="str">
        <f t="shared" ca="1" si="19"/>
        <v/>
      </c>
      <c r="N45" s="264" t="str">
        <f t="shared" ca="1" si="19"/>
        <v/>
      </c>
      <c r="O45" s="265" t="str">
        <f t="shared" ca="1" si="19"/>
        <v/>
      </c>
      <c r="P45" s="266" t="str">
        <f t="shared" ca="1" si="19"/>
        <v/>
      </c>
      <c r="Q45" s="267" t="str">
        <f t="shared" ca="1" si="19"/>
        <v/>
      </c>
      <c r="R45" s="268" t="str">
        <f t="shared" ca="1" si="20"/>
        <v xml:space="preserve"> </v>
      </c>
      <c r="S45" s="264" t="str">
        <f t="shared" ca="1" si="20"/>
        <v xml:space="preserve"> </v>
      </c>
      <c r="T45" s="269" t="str">
        <f t="shared" ca="1" si="20"/>
        <v xml:space="preserve"> </v>
      </c>
      <c r="U45" s="268" t="str">
        <f t="shared" ca="1" si="20"/>
        <v xml:space="preserve"> </v>
      </c>
      <c r="V45" s="264" t="str">
        <f t="shared" ca="1" si="20"/>
        <v xml:space="preserve"> </v>
      </c>
      <c r="W45" s="265" t="str">
        <f t="shared" ca="1" si="20"/>
        <v>￥</v>
      </c>
      <c r="X45" s="266" t="str">
        <f t="shared" ca="1" si="20"/>
        <v>6</v>
      </c>
      <c r="Y45" s="264" t="str">
        <f t="shared" ca="1" si="20"/>
        <v>0</v>
      </c>
      <c r="Z45" s="265" t="str">
        <f t="shared" ca="1" si="20"/>
        <v>0</v>
      </c>
      <c r="AA45" s="266" t="str">
        <f t="shared" ca="1" si="20"/>
        <v>3</v>
      </c>
      <c r="AB45" s="267" t="str">
        <f t="shared" ca="1" si="20"/>
        <v>0</v>
      </c>
      <c r="AC45" s="538"/>
      <c r="AD45" s="212">
        <f t="shared" ca="1" si="14"/>
        <v>16</v>
      </c>
    </row>
    <row r="46" spans="1:30" s="45" customFormat="1" ht="22.5" customHeight="1">
      <c r="A46" s="258" t="str">
        <f ca="1">IFERROR(INDEX(凭证录入!H:H,$AD46),"")</f>
        <v>结转1月利润</v>
      </c>
      <c r="B46" s="259">
        <f ca="1">IFERROR(INDEX(凭证录入!I:I,$AD46),"")</f>
        <v>660211</v>
      </c>
      <c r="C46" s="260" t="str">
        <f ca="1">IFERROR(VLOOKUP($B46,会计科目表!$A:$C,2,),"")</f>
        <v>管理费用</v>
      </c>
      <c r="D46" s="261" t="str">
        <f ca="1">IFERROR(VLOOKUP($B46,会计科目表!$A:$C,3,),"")</f>
        <v>保险费</v>
      </c>
      <c r="E46" s="262">
        <f ca="1">IFERROR(INDEX(凭证录入!K:K,$AD46),0)</f>
        <v>0</v>
      </c>
      <c r="F46" s="262">
        <f ca="1">IFERROR(INDEX(凭证录入!L:L,$AD46),0)</f>
        <v>600.29999999999995</v>
      </c>
      <c r="G46" s="263" t="str">
        <f t="shared" ca="1" si="19"/>
        <v/>
      </c>
      <c r="H46" s="264" t="str">
        <f t="shared" ca="1" si="19"/>
        <v/>
      </c>
      <c r="I46" s="265" t="str">
        <f t="shared" ca="1" si="19"/>
        <v/>
      </c>
      <c r="J46" s="266" t="str">
        <f t="shared" ca="1" si="19"/>
        <v/>
      </c>
      <c r="K46" s="264" t="str">
        <f t="shared" ca="1" si="19"/>
        <v/>
      </c>
      <c r="L46" s="265" t="str">
        <f t="shared" ca="1" si="19"/>
        <v/>
      </c>
      <c r="M46" s="266" t="str">
        <f t="shared" ca="1" si="19"/>
        <v/>
      </c>
      <c r="N46" s="264" t="str">
        <f t="shared" ca="1" si="19"/>
        <v/>
      </c>
      <c r="O46" s="265" t="str">
        <f t="shared" ca="1" si="19"/>
        <v/>
      </c>
      <c r="P46" s="266" t="str">
        <f t="shared" ca="1" si="19"/>
        <v/>
      </c>
      <c r="Q46" s="267" t="str">
        <f t="shared" ca="1" si="19"/>
        <v/>
      </c>
      <c r="R46" s="268" t="str">
        <f t="shared" ca="1" si="20"/>
        <v xml:space="preserve"> </v>
      </c>
      <c r="S46" s="264" t="str">
        <f t="shared" ca="1" si="20"/>
        <v xml:space="preserve"> </v>
      </c>
      <c r="T46" s="269" t="str">
        <f t="shared" ca="1" si="20"/>
        <v xml:space="preserve"> </v>
      </c>
      <c r="U46" s="268" t="str">
        <f t="shared" ca="1" si="20"/>
        <v xml:space="preserve"> </v>
      </c>
      <c r="V46" s="264" t="str">
        <f t="shared" ca="1" si="20"/>
        <v xml:space="preserve"> </v>
      </c>
      <c r="W46" s="265" t="str">
        <f t="shared" ca="1" si="20"/>
        <v>￥</v>
      </c>
      <c r="X46" s="266" t="str">
        <f t="shared" ca="1" si="20"/>
        <v>6</v>
      </c>
      <c r="Y46" s="264" t="str">
        <f t="shared" ca="1" si="20"/>
        <v>0</v>
      </c>
      <c r="Z46" s="265" t="str">
        <f t="shared" ca="1" si="20"/>
        <v>0</v>
      </c>
      <c r="AA46" s="266" t="str">
        <f t="shared" ca="1" si="20"/>
        <v>3</v>
      </c>
      <c r="AB46" s="267" t="str">
        <f t="shared" ca="1" si="20"/>
        <v>0</v>
      </c>
      <c r="AC46" s="538"/>
      <c r="AD46" s="212">
        <f t="shared" ca="1" si="14"/>
        <v>17</v>
      </c>
    </row>
    <row r="47" spans="1:30" s="45" customFormat="1" ht="22.5" customHeight="1">
      <c r="A47" s="270" t="s">
        <v>625</v>
      </c>
      <c r="B47" s="271"/>
      <c r="C47" s="272" t="str">
        <f t="shared" ref="C47" si="21">SUBSTITUTE(SUBSTITUTE(IF(-DOLLAR(E47),IF(E47&gt;0,,"负")&amp;TEXT(INT(ABS(E47)+0.5%),"[dbnum2]G/通用格式元;;")&amp;TEXT(RIGHT(DOLLAR(E47,2),2),"[dbnum2]0角0分;;整"),),"零角",IF(E47^2&lt;1,,"零")),"零分","整")</f>
        <v/>
      </c>
      <c r="D47" s="273"/>
      <c r="E47" s="274"/>
      <c r="F47" s="275"/>
      <c r="G47" s="276" t="str">
        <f t="shared" si="19"/>
        <v/>
      </c>
      <c r="H47" s="277" t="str">
        <f t="shared" si="19"/>
        <v/>
      </c>
      <c r="I47" s="278" t="str">
        <f t="shared" si="19"/>
        <v/>
      </c>
      <c r="J47" s="279" t="str">
        <f t="shared" si="19"/>
        <v/>
      </c>
      <c r="K47" s="277" t="str">
        <f t="shared" si="19"/>
        <v/>
      </c>
      <c r="L47" s="278" t="str">
        <f t="shared" si="19"/>
        <v/>
      </c>
      <c r="M47" s="279" t="str">
        <f t="shared" si="19"/>
        <v/>
      </c>
      <c r="N47" s="277" t="str">
        <f t="shared" si="19"/>
        <v/>
      </c>
      <c r="O47" s="278" t="str">
        <f t="shared" si="19"/>
        <v/>
      </c>
      <c r="P47" s="279" t="str">
        <f t="shared" si="19"/>
        <v/>
      </c>
      <c r="Q47" s="280" t="str">
        <f t="shared" si="19"/>
        <v/>
      </c>
      <c r="R47" s="281" t="str">
        <f t="shared" si="20"/>
        <v/>
      </c>
      <c r="S47" s="277" t="str">
        <f t="shared" si="20"/>
        <v/>
      </c>
      <c r="T47" s="282" t="str">
        <f t="shared" si="20"/>
        <v/>
      </c>
      <c r="U47" s="281" t="str">
        <f t="shared" si="20"/>
        <v/>
      </c>
      <c r="V47" s="277" t="str">
        <f t="shared" si="20"/>
        <v/>
      </c>
      <c r="W47" s="278" t="str">
        <f t="shared" si="20"/>
        <v/>
      </c>
      <c r="X47" s="279" t="str">
        <f t="shared" si="20"/>
        <v/>
      </c>
      <c r="Y47" s="277" t="str">
        <f t="shared" si="20"/>
        <v/>
      </c>
      <c r="Z47" s="278" t="str">
        <f t="shared" si="20"/>
        <v/>
      </c>
      <c r="AA47" s="279" t="str">
        <f t="shared" si="20"/>
        <v/>
      </c>
      <c r="AB47" s="280" t="str">
        <f t="shared" si="20"/>
        <v/>
      </c>
      <c r="AC47" s="283"/>
      <c r="AD47" s="212"/>
    </row>
    <row r="48" spans="1:30" s="22" customFormat="1" ht="22.5" customHeight="1">
      <c r="A48" s="284" t="s">
        <v>627</v>
      </c>
      <c r="B48" s="284"/>
      <c r="C48" s="284"/>
      <c r="D48" s="284" t="s">
        <v>629</v>
      </c>
      <c r="E48" s="284"/>
      <c r="F48" s="284"/>
      <c r="G48" s="284"/>
      <c r="H48" s="285"/>
      <c r="I48" s="284"/>
      <c r="J48" s="285"/>
      <c r="K48" s="285"/>
      <c r="L48" s="284"/>
      <c r="M48" s="285"/>
      <c r="N48" s="285"/>
      <c r="O48" s="285"/>
      <c r="P48" s="284"/>
      <c r="Q48" s="284" t="s">
        <v>631</v>
      </c>
      <c r="R48" s="284"/>
      <c r="S48" s="284"/>
      <c r="T48" s="284"/>
      <c r="U48" s="285"/>
      <c r="V48" s="284"/>
      <c r="W48" s="285"/>
      <c r="X48" s="284"/>
      <c r="Y48" s="284"/>
      <c r="Z48" s="285"/>
      <c r="AA48" s="285"/>
      <c r="AB48" s="285"/>
      <c r="AC48" s="286"/>
      <c r="AD48" s="212"/>
    </row>
    <row r="49" spans="1:30" ht="39.75" customHeight="1" thickBot="1">
      <c r="A49" s="226"/>
      <c r="B49" s="226"/>
      <c r="C49" s="227" t="s">
        <v>632</v>
      </c>
      <c r="D49" s="228"/>
      <c r="E49" s="226"/>
      <c r="F49" s="226"/>
      <c r="G49" s="228"/>
      <c r="H49" s="228"/>
      <c r="I49" s="228"/>
      <c r="J49" s="228"/>
      <c r="K49" s="228"/>
      <c r="L49" s="228"/>
      <c r="M49" s="228"/>
      <c r="N49" s="228"/>
      <c r="O49" s="228"/>
      <c r="P49" s="228"/>
      <c r="Q49" s="228"/>
      <c r="R49" s="229" t="s">
        <v>633</v>
      </c>
      <c r="S49" s="230"/>
      <c r="T49" s="230"/>
      <c r="U49" s="231">
        <f ca="1">DATE(AD$1,AF$1,INDEX(凭证录入!B:B,AD53))</f>
        <v>41305</v>
      </c>
      <c r="V49" s="232"/>
      <c r="W49" s="232"/>
      <c r="X49" s="232"/>
      <c r="Y49" s="232"/>
      <c r="Z49" s="232"/>
      <c r="AA49" s="232"/>
      <c r="AB49" s="232"/>
      <c r="AD49" s="212"/>
    </row>
    <row r="50" spans="1:30" s="45" customFormat="1" ht="23.25" customHeight="1" thickTop="1">
      <c r="A50" s="235" t="s">
        <v>634</v>
      </c>
      <c r="B50" s="235"/>
      <c r="C50" s="236" t="str">
        <f t="shared" si="17"/>
        <v>远大开发有限公司</v>
      </c>
      <c r="D50" s="236"/>
      <c r="E50" s="236"/>
      <c r="F50" s="236"/>
      <c r="G50" s="236"/>
      <c r="H50" s="236"/>
      <c r="I50" s="236"/>
      <c r="J50" s="236"/>
      <c r="K50" s="236"/>
      <c r="L50" s="236"/>
      <c r="M50" s="236"/>
      <c r="N50" s="236"/>
      <c r="O50" s="236"/>
      <c r="P50" s="236"/>
      <c r="Q50" s="236"/>
      <c r="R50" s="229" t="s">
        <v>635</v>
      </c>
      <c r="S50" s="229"/>
      <c r="T50" s="229"/>
      <c r="U50" s="237" t="str">
        <f t="shared" ref="U50" si="22">"第 "&amp;TEXT($AF$1,"00")&amp;TEXT($AC50,"0000 号")</f>
        <v>第 010005 号</v>
      </c>
      <c r="V50" s="237"/>
      <c r="W50" s="238"/>
      <c r="X50" s="238"/>
      <c r="Y50" s="238"/>
      <c r="Z50" s="238"/>
      <c r="AA50" s="238"/>
      <c r="AB50" s="238"/>
      <c r="AC50" s="495" t="s">
        <v>1004</v>
      </c>
      <c r="AD50" s="212"/>
    </row>
    <row r="51" spans="1:30" s="45" customFormat="1" ht="22.5" customHeight="1">
      <c r="A51" s="241" t="s">
        <v>586</v>
      </c>
      <c r="B51" s="542" t="s">
        <v>587</v>
      </c>
      <c r="C51" s="242" t="s">
        <v>589</v>
      </c>
      <c r="D51" s="243" t="s">
        <v>591</v>
      </c>
      <c r="E51" s="539" t="s">
        <v>636</v>
      </c>
      <c r="F51" s="539" t="s">
        <v>637</v>
      </c>
      <c r="G51" s="244" t="s">
        <v>638</v>
      </c>
      <c r="H51" s="245"/>
      <c r="I51" s="245"/>
      <c r="J51" s="245"/>
      <c r="K51" s="245"/>
      <c r="L51" s="245"/>
      <c r="M51" s="245"/>
      <c r="N51" s="245"/>
      <c r="O51" s="245"/>
      <c r="P51" s="245"/>
      <c r="Q51" s="246"/>
      <c r="R51" s="247" t="s">
        <v>599</v>
      </c>
      <c r="S51" s="245"/>
      <c r="T51" s="245"/>
      <c r="U51" s="245"/>
      <c r="V51" s="245"/>
      <c r="W51" s="245"/>
      <c r="X51" s="245"/>
      <c r="Y51" s="245"/>
      <c r="Z51" s="245"/>
      <c r="AA51" s="245"/>
      <c r="AB51" s="246"/>
      <c r="AC51" s="541" t="str">
        <f ca="1">"附单据数︵"&amp;INDEX(凭证录入!$D:$D,$AD$17)&amp;"︶张"</f>
        <v>附单据数︵4︶张</v>
      </c>
      <c r="AD51" s="235"/>
    </row>
    <row r="52" spans="1:30" s="45" customFormat="1" ht="22.5" customHeight="1">
      <c r="A52" s="248" t="s">
        <v>601</v>
      </c>
      <c r="B52" s="543"/>
      <c r="C52" s="249" t="s">
        <v>603</v>
      </c>
      <c r="D52" s="250" t="s">
        <v>603</v>
      </c>
      <c r="E52" s="540"/>
      <c r="F52" s="540"/>
      <c r="G52" s="251" t="s">
        <v>605</v>
      </c>
      <c r="H52" s="252" t="s">
        <v>607</v>
      </c>
      <c r="I52" s="253" t="s">
        <v>609</v>
      </c>
      <c r="J52" s="254" t="s">
        <v>639</v>
      </c>
      <c r="K52" s="252" t="s">
        <v>640</v>
      </c>
      <c r="L52" s="253" t="s">
        <v>607</v>
      </c>
      <c r="M52" s="254" t="s">
        <v>609</v>
      </c>
      <c r="N52" s="252" t="s">
        <v>639</v>
      </c>
      <c r="O52" s="253" t="s">
        <v>641</v>
      </c>
      <c r="P52" s="254" t="s">
        <v>642</v>
      </c>
      <c r="Q52" s="255" t="s">
        <v>643</v>
      </c>
      <c r="R52" s="256" t="s">
        <v>605</v>
      </c>
      <c r="S52" s="252" t="s">
        <v>607</v>
      </c>
      <c r="T52" s="257" t="s">
        <v>609</v>
      </c>
      <c r="U52" s="256" t="s">
        <v>639</v>
      </c>
      <c r="V52" s="252" t="s">
        <v>640</v>
      </c>
      <c r="W52" s="253" t="s">
        <v>607</v>
      </c>
      <c r="X52" s="254" t="s">
        <v>609</v>
      </c>
      <c r="Y52" s="252" t="s">
        <v>639</v>
      </c>
      <c r="Z52" s="253" t="s">
        <v>641</v>
      </c>
      <c r="AA52" s="254" t="s">
        <v>642</v>
      </c>
      <c r="AB52" s="255" t="s">
        <v>643</v>
      </c>
      <c r="AC52" s="541"/>
    </row>
    <row r="53" spans="1:30" s="45" customFormat="1" ht="22.5" customHeight="1">
      <c r="A53" s="258" t="str">
        <f ca="1">IFERROR(INDEX(凭证录入!H:H,$AD53),"")</f>
        <v>结转1月利润</v>
      </c>
      <c r="B53" s="259">
        <f ca="1">IFERROR(INDEX(凭证录入!I:I,$AD53),"")</f>
        <v>660211</v>
      </c>
      <c r="C53" s="260" t="str">
        <f ca="1">IFERROR(VLOOKUP($B53,会计科目表!$A:$C,2,),"")</f>
        <v>管理费用</v>
      </c>
      <c r="D53" s="261" t="str">
        <f ca="1">IFERROR(VLOOKUP($B53,会计科目表!$A:$C,3,),"")</f>
        <v>保险费</v>
      </c>
      <c r="E53" s="262">
        <f ca="1">IFERROR(INDEX(凭证录入!K:K,$AD53),0)</f>
        <v>0</v>
      </c>
      <c r="F53" s="262">
        <f ca="1">IFERROR(INDEX(凭证录入!L:L,$AD53),0)</f>
        <v>600.32000000000005</v>
      </c>
      <c r="G53" s="263" t="str">
        <f t="shared" ca="1" si="19"/>
        <v/>
      </c>
      <c r="H53" s="264" t="str">
        <f t="shared" ca="1" si="19"/>
        <v/>
      </c>
      <c r="I53" s="265" t="str">
        <f t="shared" ca="1" si="19"/>
        <v/>
      </c>
      <c r="J53" s="266" t="str">
        <f t="shared" ca="1" si="19"/>
        <v/>
      </c>
      <c r="K53" s="264" t="str">
        <f t="shared" ca="1" si="19"/>
        <v/>
      </c>
      <c r="L53" s="265" t="str">
        <f t="shared" ca="1" si="19"/>
        <v/>
      </c>
      <c r="M53" s="266" t="str">
        <f t="shared" ca="1" si="19"/>
        <v/>
      </c>
      <c r="N53" s="264" t="str">
        <f t="shared" ca="1" si="19"/>
        <v/>
      </c>
      <c r="O53" s="265" t="str">
        <f t="shared" ca="1" si="19"/>
        <v/>
      </c>
      <c r="P53" s="266" t="str">
        <f t="shared" ca="1" si="19"/>
        <v/>
      </c>
      <c r="Q53" s="267" t="str">
        <f t="shared" ca="1" si="19"/>
        <v/>
      </c>
      <c r="R53" s="268" t="str">
        <f t="shared" ca="1" si="20"/>
        <v xml:space="preserve"> </v>
      </c>
      <c r="S53" s="264" t="str">
        <f t="shared" ca="1" si="20"/>
        <v xml:space="preserve"> </v>
      </c>
      <c r="T53" s="269" t="str">
        <f t="shared" ca="1" si="20"/>
        <v xml:space="preserve"> </v>
      </c>
      <c r="U53" s="268" t="str">
        <f t="shared" ca="1" si="20"/>
        <v xml:space="preserve"> </v>
      </c>
      <c r="V53" s="264" t="str">
        <f t="shared" ca="1" si="20"/>
        <v xml:space="preserve"> </v>
      </c>
      <c r="W53" s="265" t="str">
        <f t="shared" ca="1" si="20"/>
        <v>￥</v>
      </c>
      <c r="X53" s="266" t="str">
        <f t="shared" ca="1" si="20"/>
        <v>6</v>
      </c>
      <c r="Y53" s="264" t="str">
        <f t="shared" ca="1" si="20"/>
        <v>0</v>
      </c>
      <c r="Z53" s="265" t="str">
        <f t="shared" ca="1" si="20"/>
        <v>0</v>
      </c>
      <c r="AA53" s="266" t="str">
        <f t="shared" ca="1" si="20"/>
        <v>3</v>
      </c>
      <c r="AB53" s="267" t="str">
        <f t="shared" ca="1" si="20"/>
        <v>2</v>
      </c>
      <c r="AC53" s="541"/>
      <c r="AD53" s="212">
        <f t="shared" ca="1" si="14"/>
        <v>18</v>
      </c>
    </row>
    <row r="54" spans="1:30" s="45" customFormat="1" ht="22.5" customHeight="1">
      <c r="A54" s="258" t="str">
        <f ca="1">IFERROR(INDEX(凭证录入!H:H,$AD54),"")</f>
        <v/>
      </c>
      <c r="B54" s="259" t="str">
        <f ca="1">IFERROR(INDEX(凭证录入!I:I,$AD54),"")</f>
        <v/>
      </c>
      <c r="C54" s="260" t="str">
        <f ca="1">IFERROR(VLOOKUP($B54,会计科目表!$A:$C,2,),"")</f>
        <v/>
      </c>
      <c r="D54" s="261" t="str">
        <f ca="1">IFERROR(VLOOKUP($B54,会计科目表!$A:$C,3,),"")</f>
        <v/>
      </c>
      <c r="E54" s="262">
        <f ca="1">IFERROR(INDEX(凭证录入!K:K,$AD54),0)</f>
        <v>0</v>
      </c>
      <c r="F54" s="262">
        <f ca="1">IFERROR(INDEX(凭证录入!L:L,$AD54),0)</f>
        <v>0</v>
      </c>
      <c r="G54" s="263" t="str">
        <f t="shared" ca="1" si="19"/>
        <v/>
      </c>
      <c r="H54" s="264" t="str">
        <f t="shared" ca="1" si="19"/>
        <v/>
      </c>
      <c r="I54" s="265" t="str">
        <f t="shared" ca="1" si="19"/>
        <v/>
      </c>
      <c r="J54" s="266" t="str">
        <f t="shared" ca="1" si="19"/>
        <v/>
      </c>
      <c r="K54" s="264" t="str">
        <f t="shared" ca="1" si="19"/>
        <v/>
      </c>
      <c r="L54" s="265" t="str">
        <f t="shared" ca="1" si="19"/>
        <v/>
      </c>
      <c r="M54" s="266" t="str">
        <f t="shared" ca="1" si="19"/>
        <v/>
      </c>
      <c r="N54" s="264" t="str">
        <f t="shared" ca="1" si="19"/>
        <v/>
      </c>
      <c r="O54" s="265" t="str">
        <f t="shared" ca="1" si="19"/>
        <v/>
      </c>
      <c r="P54" s="266" t="str">
        <f t="shared" ca="1" si="19"/>
        <v/>
      </c>
      <c r="Q54" s="267" t="str">
        <f t="shared" ca="1" si="19"/>
        <v/>
      </c>
      <c r="R54" s="268" t="str">
        <f t="shared" ca="1" si="20"/>
        <v/>
      </c>
      <c r="S54" s="264" t="str">
        <f t="shared" ca="1" si="20"/>
        <v/>
      </c>
      <c r="T54" s="269" t="str">
        <f t="shared" ca="1" si="20"/>
        <v/>
      </c>
      <c r="U54" s="268" t="str">
        <f t="shared" ca="1" si="20"/>
        <v/>
      </c>
      <c r="V54" s="264" t="str">
        <f t="shared" ca="1" si="20"/>
        <v/>
      </c>
      <c r="W54" s="265" t="str">
        <f t="shared" ca="1" si="20"/>
        <v/>
      </c>
      <c r="X54" s="266" t="str">
        <f t="shared" ca="1" si="20"/>
        <v/>
      </c>
      <c r="Y54" s="264" t="str">
        <f t="shared" ca="1" si="20"/>
        <v/>
      </c>
      <c r="Z54" s="265" t="str">
        <f t="shared" ca="1" si="20"/>
        <v/>
      </c>
      <c r="AA54" s="266" t="str">
        <f t="shared" ca="1" si="20"/>
        <v/>
      </c>
      <c r="AB54" s="267" t="str">
        <f t="shared" ca="1" si="20"/>
        <v/>
      </c>
      <c r="AC54" s="541"/>
      <c r="AD54" s="212" t="str">
        <f t="shared" ca="1" si="14"/>
        <v/>
      </c>
    </row>
    <row r="55" spans="1:30" s="45" customFormat="1" ht="22.5" customHeight="1">
      <c r="A55" s="258" t="str">
        <f ca="1">IFERROR(INDEX(凭证录入!H:H,$AD55),"")</f>
        <v/>
      </c>
      <c r="B55" s="259" t="str">
        <f ca="1">IFERROR(INDEX(凭证录入!I:I,$AD55),"")</f>
        <v/>
      </c>
      <c r="C55" s="260" t="str">
        <f ca="1">IFERROR(VLOOKUP($B55,会计科目表!$A:$C,2,),"")</f>
        <v/>
      </c>
      <c r="D55" s="261" t="str">
        <f ca="1">IFERROR(VLOOKUP($B55,会计科目表!$A:$C,3,),"")</f>
        <v/>
      </c>
      <c r="E55" s="262">
        <f ca="1">IFERROR(INDEX(凭证录入!K:K,$AD55),0)</f>
        <v>0</v>
      </c>
      <c r="F55" s="262">
        <f ca="1">IFERROR(INDEX(凭证录入!L:L,$AD55),0)</f>
        <v>0</v>
      </c>
      <c r="G55" s="263" t="str">
        <f t="shared" ca="1" si="19"/>
        <v/>
      </c>
      <c r="H55" s="264" t="str">
        <f t="shared" ca="1" si="19"/>
        <v/>
      </c>
      <c r="I55" s="265" t="str">
        <f t="shared" ca="1" si="19"/>
        <v/>
      </c>
      <c r="J55" s="266" t="str">
        <f t="shared" ca="1" si="19"/>
        <v/>
      </c>
      <c r="K55" s="264" t="str">
        <f t="shared" ca="1" si="19"/>
        <v/>
      </c>
      <c r="L55" s="265" t="str">
        <f t="shared" ca="1" si="19"/>
        <v/>
      </c>
      <c r="M55" s="266" t="str">
        <f t="shared" ca="1" si="19"/>
        <v/>
      </c>
      <c r="N55" s="264" t="str">
        <f t="shared" ca="1" si="19"/>
        <v/>
      </c>
      <c r="O55" s="265" t="str">
        <f t="shared" ca="1" si="19"/>
        <v/>
      </c>
      <c r="P55" s="266" t="str">
        <f t="shared" ca="1" si="19"/>
        <v/>
      </c>
      <c r="Q55" s="267" t="str">
        <f t="shared" ca="1" si="19"/>
        <v/>
      </c>
      <c r="R55" s="268" t="str">
        <f t="shared" ca="1" si="20"/>
        <v/>
      </c>
      <c r="S55" s="264" t="str">
        <f t="shared" ca="1" si="20"/>
        <v/>
      </c>
      <c r="T55" s="269" t="str">
        <f t="shared" ca="1" si="20"/>
        <v/>
      </c>
      <c r="U55" s="268" t="str">
        <f t="shared" ca="1" si="20"/>
        <v/>
      </c>
      <c r="V55" s="264" t="str">
        <f t="shared" ca="1" si="20"/>
        <v/>
      </c>
      <c r="W55" s="265" t="str">
        <f t="shared" ca="1" si="20"/>
        <v/>
      </c>
      <c r="X55" s="266" t="str">
        <f t="shared" ca="1" si="20"/>
        <v/>
      </c>
      <c r="Y55" s="264" t="str">
        <f t="shared" ca="1" si="20"/>
        <v/>
      </c>
      <c r="Z55" s="265" t="str">
        <f t="shared" ca="1" si="20"/>
        <v/>
      </c>
      <c r="AA55" s="266" t="str">
        <f t="shared" ca="1" si="20"/>
        <v/>
      </c>
      <c r="AB55" s="267" t="str">
        <f t="shared" ca="1" si="20"/>
        <v/>
      </c>
      <c r="AC55" s="536" t="s">
        <v>623</v>
      </c>
      <c r="AD55" s="212" t="str">
        <f t="shared" ca="1" si="14"/>
        <v/>
      </c>
    </row>
    <row r="56" spans="1:30" s="45" customFormat="1" ht="22.5" customHeight="1">
      <c r="A56" s="258" t="str">
        <f ca="1">IFERROR(INDEX(凭证录入!H:H,$AD56),"")</f>
        <v/>
      </c>
      <c r="B56" s="259" t="str">
        <f ca="1">IFERROR(INDEX(凭证录入!I:I,$AD56),"")</f>
        <v/>
      </c>
      <c r="C56" s="260" t="str">
        <f ca="1">IFERROR(VLOOKUP($B56,会计科目表!$A:$C,2,),"")</f>
        <v/>
      </c>
      <c r="D56" s="261" t="str">
        <f ca="1">IFERROR(VLOOKUP($B56,会计科目表!$A:$C,3,),"")</f>
        <v/>
      </c>
      <c r="E56" s="262">
        <f ca="1">IFERROR(INDEX(凭证录入!K:K,$AD56),0)</f>
        <v>0</v>
      </c>
      <c r="F56" s="262">
        <f ca="1">IFERROR(INDEX(凭证录入!L:L,$AD56),0)</f>
        <v>0</v>
      </c>
      <c r="G56" s="263" t="str">
        <f t="shared" ca="1" si="19"/>
        <v/>
      </c>
      <c r="H56" s="264" t="str">
        <f t="shared" ca="1" si="19"/>
        <v/>
      </c>
      <c r="I56" s="265" t="str">
        <f t="shared" ca="1" si="19"/>
        <v/>
      </c>
      <c r="J56" s="266" t="str">
        <f t="shared" ca="1" si="19"/>
        <v/>
      </c>
      <c r="K56" s="264" t="str">
        <f t="shared" ca="1" si="19"/>
        <v/>
      </c>
      <c r="L56" s="265" t="str">
        <f t="shared" ca="1" si="19"/>
        <v/>
      </c>
      <c r="M56" s="266" t="str">
        <f t="shared" ca="1" si="19"/>
        <v/>
      </c>
      <c r="N56" s="264" t="str">
        <f t="shared" ca="1" si="19"/>
        <v/>
      </c>
      <c r="O56" s="265" t="str">
        <f t="shared" ca="1" si="19"/>
        <v/>
      </c>
      <c r="P56" s="266" t="str">
        <f t="shared" ca="1" si="19"/>
        <v/>
      </c>
      <c r="Q56" s="267" t="str">
        <f t="shared" ca="1" si="19"/>
        <v/>
      </c>
      <c r="R56" s="268" t="str">
        <f t="shared" ca="1" si="20"/>
        <v/>
      </c>
      <c r="S56" s="264" t="str">
        <f t="shared" ca="1" si="20"/>
        <v/>
      </c>
      <c r="T56" s="269" t="str">
        <f t="shared" ca="1" si="20"/>
        <v/>
      </c>
      <c r="U56" s="268" t="str">
        <f t="shared" ca="1" si="20"/>
        <v/>
      </c>
      <c r="V56" s="264" t="str">
        <f t="shared" ca="1" si="20"/>
        <v/>
      </c>
      <c r="W56" s="265" t="str">
        <f t="shared" ca="1" si="20"/>
        <v/>
      </c>
      <c r="X56" s="266" t="str">
        <f t="shared" ca="1" si="20"/>
        <v/>
      </c>
      <c r="Y56" s="264" t="str">
        <f t="shared" ca="1" si="20"/>
        <v/>
      </c>
      <c r="Z56" s="265" t="str">
        <f t="shared" ca="1" si="20"/>
        <v/>
      </c>
      <c r="AA56" s="266" t="str">
        <f t="shared" ca="1" si="20"/>
        <v/>
      </c>
      <c r="AB56" s="267" t="str">
        <f t="shared" ca="1" si="20"/>
        <v/>
      </c>
      <c r="AC56" s="537"/>
      <c r="AD56" s="212" t="str">
        <f t="shared" ca="1" si="14"/>
        <v/>
      </c>
    </row>
    <row r="57" spans="1:30" s="45" customFormat="1" ht="22.5" customHeight="1">
      <c r="A57" s="258" t="str">
        <f ca="1">IFERROR(INDEX(凭证录入!H:H,$AD57),"")</f>
        <v/>
      </c>
      <c r="B57" s="259" t="str">
        <f ca="1">IFERROR(INDEX(凭证录入!I:I,$AD57),"")</f>
        <v/>
      </c>
      <c r="C57" s="260" t="str">
        <f ca="1">IFERROR(VLOOKUP($B57,会计科目表!$A:$C,2,),"")</f>
        <v/>
      </c>
      <c r="D57" s="261" t="str">
        <f ca="1">IFERROR(VLOOKUP($B57,会计科目表!$A:$C,3,),"")</f>
        <v/>
      </c>
      <c r="E57" s="262">
        <f ca="1">IFERROR(INDEX(凭证录入!K:K,$AD57),0)</f>
        <v>0</v>
      </c>
      <c r="F57" s="262">
        <f ca="1">IFERROR(INDEX(凭证录入!L:L,$AD57),0)</f>
        <v>0</v>
      </c>
      <c r="G57" s="263" t="str">
        <f t="shared" ca="1" si="19"/>
        <v/>
      </c>
      <c r="H57" s="264" t="str">
        <f t="shared" ca="1" si="19"/>
        <v/>
      </c>
      <c r="I57" s="265" t="str">
        <f t="shared" ca="1" si="19"/>
        <v/>
      </c>
      <c r="J57" s="266" t="str">
        <f t="shared" ca="1" si="19"/>
        <v/>
      </c>
      <c r="K57" s="264" t="str">
        <f t="shared" ca="1" si="19"/>
        <v/>
      </c>
      <c r="L57" s="265" t="str">
        <f t="shared" ca="1" si="19"/>
        <v/>
      </c>
      <c r="M57" s="266" t="str">
        <f t="shared" ca="1" si="19"/>
        <v/>
      </c>
      <c r="N57" s="264" t="str">
        <f t="shared" ca="1" si="19"/>
        <v/>
      </c>
      <c r="O57" s="265" t="str">
        <f t="shared" ca="1" si="19"/>
        <v/>
      </c>
      <c r="P57" s="266" t="str">
        <f t="shared" ca="1" si="19"/>
        <v/>
      </c>
      <c r="Q57" s="267" t="str">
        <f t="shared" ca="1" si="19"/>
        <v/>
      </c>
      <c r="R57" s="268" t="str">
        <f t="shared" ca="1" si="20"/>
        <v/>
      </c>
      <c r="S57" s="264" t="str">
        <f t="shared" ca="1" si="20"/>
        <v/>
      </c>
      <c r="T57" s="269" t="str">
        <f t="shared" ca="1" si="20"/>
        <v/>
      </c>
      <c r="U57" s="268" t="str">
        <f t="shared" ca="1" si="20"/>
        <v/>
      </c>
      <c r="V57" s="264" t="str">
        <f t="shared" ca="1" si="20"/>
        <v/>
      </c>
      <c r="W57" s="265" t="str">
        <f t="shared" ca="1" si="20"/>
        <v/>
      </c>
      <c r="X57" s="266" t="str">
        <f t="shared" ca="1" si="20"/>
        <v/>
      </c>
      <c r="Y57" s="264" t="str">
        <f t="shared" ca="1" si="20"/>
        <v/>
      </c>
      <c r="Z57" s="265" t="str">
        <f t="shared" ca="1" si="20"/>
        <v/>
      </c>
      <c r="AA57" s="266" t="str">
        <f t="shared" ca="1" si="20"/>
        <v/>
      </c>
      <c r="AB57" s="267" t="str">
        <f t="shared" ca="1" si="20"/>
        <v/>
      </c>
      <c r="AC57" s="538"/>
      <c r="AD57" s="212" t="str">
        <f t="shared" ca="1" si="14"/>
        <v/>
      </c>
    </row>
    <row r="58" spans="1:30" s="45" customFormat="1" ht="22.5" customHeight="1">
      <c r="A58" s="258" t="str">
        <f ca="1">IFERROR(INDEX(凭证录入!H:H,$AD58),"")</f>
        <v/>
      </c>
      <c r="B58" s="259" t="str">
        <f ca="1">IFERROR(INDEX(凭证录入!I:I,$AD58),"")</f>
        <v/>
      </c>
      <c r="C58" s="260" t="str">
        <f ca="1">IFERROR(VLOOKUP($B58,会计科目表!$A:$C,2,),"")</f>
        <v/>
      </c>
      <c r="D58" s="261" t="str">
        <f ca="1">IFERROR(VLOOKUP($B58,会计科目表!$A:$C,3,),"")</f>
        <v/>
      </c>
      <c r="E58" s="262">
        <f ca="1">IFERROR(INDEX(凭证录入!K:K,$AD58),0)</f>
        <v>0</v>
      </c>
      <c r="F58" s="262">
        <f ca="1">IFERROR(INDEX(凭证录入!L:L,$AD58),0)</f>
        <v>0</v>
      </c>
      <c r="G58" s="263" t="str">
        <f t="shared" ca="1" si="19"/>
        <v/>
      </c>
      <c r="H58" s="264" t="str">
        <f t="shared" ca="1" si="19"/>
        <v/>
      </c>
      <c r="I58" s="265" t="str">
        <f t="shared" ca="1" si="19"/>
        <v/>
      </c>
      <c r="J58" s="266" t="str">
        <f t="shared" ca="1" si="19"/>
        <v/>
      </c>
      <c r="K58" s="264" t="str">
        <f t="shared" ca="1" si="19"/>
        <v/>
      </c>
      <c r="L58" s="265" t="str">
        <f t="shared" ca="1" si="19"/>
        <v/>
      </c>
      <c r="M58" s="266" t="str">
        <f t="shared" ca="1" si="19"/>
        <v/>
      </c>
      <c r="N58" s="264" t="str">
        <f t="shared" ca="1" si="19"/>
        <v/>
      </c>
      <c r="O58" s="265" t="str">
        <f t="shared" ca="1" si="19"/>
        <v/>
      </c>
      <c r="P58" s="266" t="str">
        <f t="shared" ca="1" si="19"/>
        <v/>
      </c>
      <c r="Q58" s="267" t="str">
        <f t="shared" ca="1" si="19"/>
        <v/>
      </c>
      <c r="R58" s="268" t="str">
        <f t="shared" ca="1" si="20"/>
        <v/>
      </c>
      <c r="S58" s="264" t="str">
        <f t="shared" ca="1" si="20"/>
        <v/>
      </c>
      <c r="T58" s="269" t="str">
        <f t="shared" ca="1" si="20"/>
        <v/>
      </c>
      <c r="U58" s="268" t="str">
        <f t="shared" ca="1" si="20"/>
        <v/>
      </c>
      <c r="V58" s="264" t="str">
        <f t="shared" ca="1" si="20"/>
        <v/>
      </c>
      <c r="W58" s="265" t="str">
        <f t="shared" ca="1" si="20"/>
        <v/>
      </c>
      <c r="X58" s="266" t="str">
        <f t="shared" ca="1" si="20"/>
        <v/>
      </c>
      <c r="Y58" s="264" t="str">
        <f t="shared" ca="1" si="20"/>
        <v/>
      </c>
      <c r="Z58" s="265" t="str">
        <f t="shared" ca="1" si="20"/>
        <v/>
      </c>
      <c r="AA58" s="266" t="str">
        <f t="shared" ca="1" si="20"/>
        <v/>
      </c>
      <c r="AB58" s="267" t="str">
        <f t="shared" ca="1" si="20"/>
        <v/>
      </c>
      <c r="AC58" s="538"/>
      <c r="AD58" s="212" t="str">
        <f t="shared" ca="1" si="14"/>
        <v/>
      </c>
    </row>
    <row r="59" spans="1:30" s="45" customFormat="1" ht="22.5" customHeight="1">
      <c r="A59" s="270" t="s">
        <v>625</v>
      </c>
      <c r="B59" s="271"/>
      <c r="C59" s="272" t="str">
        <f t="shared" ref="C59" ca="1" si="23">SUBSTITUTE(SUBSTITUTE(IF(-DOLLAR(E59),IF(E59&gt;0,,"负")&amp;TEXT(INT(ABS(E59)+0.5%),"[dbnum2]G/通用格式元;;")&amp;TEXT(RIGHT(DOLLAR(E59,2),2),"[dbnum2]0角0分;;整"),),"零角",IF(E59^2&lt;1,,"零")),"零分","整")</f>
        <v>叁仟陆佰零壹元捌角贰分</v>
      </c>
      <c r="D59" s="273"/>
      <c r="E59" s="274">
        <f ca="1">SUM(E41:E58)</f>
        <v>3601.82</v>
      </c>
      <c r="F59" s="274">
        <f ca="1">SUM(F41:F58)</f>
        <v>3601.82</v>
      </c>
      <c r="G59" s="276" t="str">
        <f t="shared" ca="1" si="19"/>
        <v xml:space="preserve"> </v>
      </c>
      <c r="H59" s="277" t="str">
        <f t="shared" ca="1" si="19"/>
        <v xml:space="preserve"> </v>
      </c>
      <c r="I59" s="278" t="str">
        <f t="shared" ca="1" si="19"/>
        <v xml:space="preserve"> </v>
      </c>
      <c r="J59" s="279" t="str">
        <f t="shared" ca="1" si="19"/>
        <v xml:space="preserve"> </v>
      </c>
      <c r="K59" s="277" t="str">
        <f t="shared" ca="1" si="19"/>
        <v>￥</v>
      </c>
      <c r="L59" s="278" t="str">
        <f t="shared" ca="1" si="19"/>
        <v>3</v>
      </c>
      <c r="M59" s="279" t="str">
        <f t="shared" ca="1" si="19"/>
        <v>6</v>
      </c>
      <c r="N59" s="277" t="str">
        <f t="shared" ca="1" si="19"/>
        <v>0</v>
      </c>
      <c r="O59" s="278" t="str">
        <f t="shared" ca="1" si="19"/>
        <v>1</v>
      </c>
      <c r="P59" s="279" t="str">
        <f t="shared" ca="1" si="19"/>
        <v>8</v>
      </c>
      <c r="Q59" s="280" t="str">
        <f t="shared" ca="1" si="19"/>
        <v>2</v>
      </c>
      <c r="R59" s="281" t="str">
        <f t="shared" ca="1" si="20"/>
        <v xml:space="preserve"> </v>
      </c>
      <c r="S59" s="277" t="str">
        <f t="shared" ca="1" si="20"/>
        <v xml:space="preserve"> </v>
      </c>
      <c r="T59" s="282" t="str">
        <f t="shared" ca="1" si="20"/>
        <v xml:space="preserve"> </v>
      </c>
      <c r="U59" s="281" t="str">
        <f t="shared" ca="1" si="20"/>
        <v xml:space="preserve"> </v>
      </c>
      <c r="V59" s="277" t="str">
        <f t="shared" ca="1" si="20"/>
        <v>￥</v>
      </c>
      <c r="W59" s="278" t="str">
        <f t="shared" ca="1" si="20"/>
        <v>3</v>
      </c>
      <c r="X59" s="279" t="str">
        <f t="shared" ca="1" si="20"/>
        <v>6</v>
      </c>
      <c r="Y59" s="277" t="str">
        <f t="shared" ca="1" si="20"/>
        <v>0</v>
      </c>
      <c r="Z59" s="278" t="str">
        <f t="shared" ca="1" si="20"/>
        <v>1</v>
      </c>
      <c r="AA59" s="279" t="str">
        <f t="shared" ca="1" si="20"/>
        <v>8</v>
      </c>
      <c r="AB59" s="280" t="str">
        <f t="shared" ca="1" si="20"/>
        <v>2</v>
      </c>
      <c r="AC59" s="283"/>
      <c r="AD59" s="212"/>
    </row>
    <row r="60" spans="1:30" s="22" customFormat="1" ht="22.5" customHeight="1">
      <c r="A60" s="284" t="s">
        <v>627</v>
      </c>
      <c r="B60" s="284"/>
      <c r="C60" s="284"/>
      <c r="D60" s="284" t="s">
        <v>629</v>
      </c>
      <c r="E60" s="284"/>
      <c r="F60" s="284"/>
      <c r="G60" s="284"/>
      <c r="H60" s="285"/>
      <c r="I60" s="284"/>
      <c r="J60" s="285"/>
      <c r="K60" s="285"/>
      <c r="L60" s="284"/>
      <c r="M60" s="285"/>
      <c r="N60" s="285"/>
      <c r="O60" s="285"/>
      <c r="P60" s="284"/>
      <c r="Q60" s="284" t="s">
        <v>631</v>
      </c>
      <c r="R60" s="284"/>
      <c r="S60" s="284"/>
      <c r="T60" s="284"/>
      <c r="U60" s="285"/>
      <c r="V60" s="284"/>
      <c r="W60" s="285"/>
      <c r="X60" s="284"/>
      <c r="Y60" s="284"/>
      <c r="Z60" s="285"/>
      <c r="AA60" s="285"/>
      <c r="AB60" s="285"/>
      <c r="AC60" s="286"/>
      <c r="AD60" s="212"/>
    </row>
    <row r="61" spans="1:30" ht="39.75" customHeight="1" thickBot="1">
      <c r="A61" s="226"/>
      <c r="B61" s="226"/>
      <c r="C61" s="227" t="s">
        <v>632</v>
      </c>
      <c r="D61" s="228"/>
      <c r="E61" s="226"/>
      <c r="F61" s="226"/>
      <c r="G61" s="228"/>
      <c r="H61" s="228"/>
      <c r="I61" s="228"/>
      <c r="J61" s="228"/>
      <c r="K61" s="228"/>
      <c r="L61" s="228"/>
      <c r="M61" s="228"/>
      <c r="N61" s="228"/>
      <c r="O61" s="228"/>
      <c r="P61" s="228"/>
      <c r="Q61" s="228"/>
      <c r="R61" s="229" t="s">
        <v>633</v>
      </c>
      <c r="S61" s="230"/>
      <c r="T61" s="230"/>
      <c r="U61" s="231">
        <f ca="1">DATE(AD$1,AF$1,INDEX(凭证录入!B:B,AD65))</f>
        <v>41305</v>
      </c>
      <c r="V61" s="232"/>
      <c r="W61" s="232"/>
      <c r="X61" s="232"/>
      <c r="Y61" s="232"/>
      <c r="Z61" s="232"/>
      <c r="AA61" s="232"/>
      <c r="AB61" s="232"/>
      <c r="AD61" s="212"/>
    </row>
    <row r="62" spans="1:30" s="45" customFormat="1" ht="23.25" customHeight="1" thickTop="1">
      <c r="A62" s="235" t="s">
        <v>634</v>
      </c>
      <c r="B62" s="235"/>
      <c r="C62" s="236" t="str">
        <f t="shared" si="17"/>
        <v>远大开发有限公司</v>
      </c>
      <c r="D62" s="236"/>
      <c r="E62" s="236"/>
      <c r="F62" s="236"/>
      <c r="G62" s="236"/>
      <c r="H62" s="236"/>
      <c r="I62" s="236"/>
      <c r="J62" s="236"/>
      <c r="K62" s="236"/>
      <c r="L62" s="236"/>
      <c r="M62" s="236"/>
      <c r="N62" s="236"/>
      <c r="O62" s="236"/>
      <c r="P62" s="236"/>
      <c r="Q62" s="236"/>
      <c r="R62" s="229" t="s">
        <v>635</v>
      </c>
      <c r="S62" s="229"/>
      <c r="T62" s="229"/>
      <c r="U62" s="237" t="str">
        <f t="shared" ref="U62" si="24">"第 "&amp;TEXT($AF$1,"00")&amp;TEXT($AC62,"0000 号")</f>
        <v>第 010005 号</v>
      </c>
      <c r="V62" s="237"/>
      <c r="W62" s="238"/>
      <c r="X62" s="238"/>
      <c r="Y62" s="238"/>
      <c r="Z62" s="238"/>
      <c r="AA62" s="238"/>
      <c r="AB62" s="238"/>
      <c r="AC62" s="239">
        <v>5</v>
      </c>
      <c r="AD62" s="212"/>
    </row>
    <row r="63" spans="1:30" s="45" customFormat="1" ht="22.5" customHeight="1">
      <c r="A63" s="241" t="s">
        <v>586</v>
      </c>
      <c r="B63" s="542" t="s">
        <v>587</v>
      </c>
      <c r="C63" s="242" t="s">
        <v>589</v>
      </c>
      <c r="D63" s="243" t="s">
        <v>591</v>
      </c>
      <c r="E63" s="539" t="s">
        <v>636</v>
      </c>
      <c r="F63" s="539" t="s">
        <v>637</v>
      </c>
      <c r="G63" s="244" t="s">
        <v>638</v>
      </c>
      <c r="H63" s="245"/>
      <c r="I63" s="245"/>
      <c r="J63" s="245"/>
      <c r="K63" s="245"/>
      <c r="L63" s="245"/>
      <c r="M63" s="245"/>
      <c r="N63" s="245"/>
      <c r="O63" s="245"/>
      <c r="P63" s="245"/>
      <c r="Q63" s="246"/>
      <c r="R63" s="247" t="s">
        <v>599</v>
      </c>
      <c r="S63" s="245"/>
      <c r="T63" s="245"/>
      <c r="U63" s="245"/>
      <c r="V63" s="245"/>
      <c r="W63" s="245"/>
      <c r="X63" s="245"/>
      <c r="Y63" s="245"/>
      <c r="Z63" s="245"/>
      <c r="AA63" s="245"/>
      <c r="AB63" s="246"/>
      <c r="AC63" s="541" t="str">
        <f ca="1">"附单据数︵"&amp;INDEX(凭证录入!$D:$D,$AD$17)&amp;"︶张"</f>
        <v>附单据数︵4︶张</v>
      </c>
      <c r="AD63" s="235"/>
    </row>
    <row r="64" spans="1:30" s="45" customFormat="1" ht="22.5" customHeight="1">
      <c r="A64" s="248" t="s">
        <v>601</v>
      </c>
      <c r="B64" s="543"/>
      <c r="C64" s="249" t="s">
        <v>603</v>
      </c>
      <c r="D64" s="250" t="s">
        <v>603</v>
      </c>
      <c r="E64" s="540"/>
      <c r="F64" s="540"/>
      <c r="G64" s="251" t="s">
        <v>605</v>
      </c>
      <c r="H64" s="252" t="s">
        <v>607</v>
      </c>
      <c r="I64" s="253" t="s">
        <v>609</v>
      </c>
      <c r="J64" s="254" t="s">
        <v>639</v>
      </c>
      <c r="K64" s="252" t="s">
        <v>640</v>
      </c>
      <c r="L64" s="253" t="s">
        <v>607</v>
      </c>
      <c r="M64" s="254" t="s">
        <v>609</v>
      </c>
      <c r="N64" s="252" t="s">
        <v>639</v>
      </c>
      <c r="O64" s="253" t="s">
        <v>641</v>
      </c>
      <c r="P64" s="254" t="s">
        <v>642</v>
      </c>
      <c r="Q64" s="255" t="s">
        <v>643</v>
      </c>
      <c r="R64" s="256" t="s">
        <v>605</v>
      </c>
      <c r="S64" s="252" t="s">
        <v>607</v>
      </c>
      <c r="T64" s="257" t="s">
        <v>609</v>
      </c>
      <c r="U64" s="256" t="s">
        <v>639</v>
      </c>
      <c r="V64" s="252" t="s">
        <v>640</v>
      </c>
      <c r="W64" s="253" t="s">
        <v>607</v>
      </c>
      <c r="X64" s="254" t="s">
        <v>609</v>
      </c>
      <c r="Y64" s="252" t="s">
        <v>639</v>
      </c>
      <c r="Z64" s="253" t="s">
        <v>641</v>
      </c>
      <c r="AA64" s="254" t="s">
        <v>642</v>
      </c>
      <c r="AB64" s="255" t="s">
        <v>643</v>
      </c>
      <c r="AC64" s="541"/>
    </row>
    <row r="65" spans="1:30" s="45" customFormat="1" ht="22.5" customHeight="1">
      <c r="A65" s="258" t="str">
        <f ca="1">IFERROR(INDEX(凭证录入!H:H,$AD65),"")</f>
        <v>结转1月利润</v>
      </c>
      <c r="B65" s="259">
        <f ca="1">IFERROR(INDEX(凭证录入!I:I,$AD65),"")</f>
        <v>4103</v>
      </c>
      <c r="C65" s="260" t="str">
        <f ca="1">IFERROR(VLOOKUP($B65,会计科目表!$A:$C,2,),"")</f>
        <v>本年利润</v>
      </c>
      <c r="D65" s="261">
        <f ca="1">IFERROR(VLOOKUP($B65,会计科目表!$A:$C,3,),"")</f>
        <v>0</v>
      </c>
      <c r="E65" s="262">
        <f ca="1">IFERROR(INDEX(凭证录入!K:K,$AD65),0)</f>
        <v>37.5</v>
      </c>
      <c r="F65" s="262">
        <f ca="1">IFERROR(INDEX(凭证录入!L:L,$AD65),0)</f>
        <v>0</v>
      </c>
      <c r="G65" s="263" t="str">
        <f t="shared" ca="1" si="19"/>
        <v xml:space="preserve"> </v>
      </c>
      <c r="H65" s="264" t="str">
        <f t="shared" ca="1" si="19"/>
        <v xml:space="preserve"> </v>
      </c>
      <c r="I65" s="265" t="str">
        <f t="shared" ca="1" si="19"/>
        <v xml:space="preserve"> </v>
      </c>
      <c r="J65" s="266" t="str">
        <f t="shared" ca="1" si="19"/>
        <v xml:space="preserve"> </v>
      </c>
      <c r="K65" s="264" t="str">
        <f t="shared" ca="1" si="19"/>
        <v xml:space="preserve"> </v>
      </c>
      <c r="L65" s="265" t="str">
        <f t="shared" ca="1" si="19"/>
        <v xml:space="preserve"> </v>
      </c>
      <c r="M65" s="266" t="str">
        <f t="shared" ca="1" si="19"/>
        <v>￥</v>
      </c>
      <c r="N65" s="264" t="str">
        <f t="shared" ca="1" si="19"/>
        <v>3</v>
      </c>
      <c r="O65" s="265" t="str">
        <f t="shared" ca="1" si="19"/>
        <v>7</v>
      </c>
      <c r="P65" s="266" t="str">
        <f t="shared" ca="1" si="19"/>
        <v>5</v>
      </c>
      <c r="Q65" s="267" t="str">
        <f t="shared" ca="1" si="19"/>
        <v>0</v>
      </c>
      <c r="R65" s="268" t="str">
        <f t="shared" ca="1" si="20"/>
        <v/>
      </c>
      <c r="S65" s="264" t="str">
        <f t="shared" ca="1" si="20"/>
        <v/>
      </c>
      <c r="T65" s="269" t="str">
        <f t="shared" ca="1" si="20"/>
        <v/>
      </c>
      <c r="U65" s="268" t="str">
        <f t="shared" ca="1" si="20"/>
        <v/>
      </c>
      <c r="V65" s="264" t="str">
        <f t="shared" ca="1" si="20"/>
        <v/>
      </c>
      <c r="W65" s="265" t="str">
        <f t="shared" ca="1" si="20"/>
        <v/>
      </c>
      <c r="X65" s="266" t="str">
        <f t="shared" ca="1" si="20"/>
        <v/>
      </c>
      <c r="Y65" s="264" t="str">
        <f t="shared" ca="1" si="20"/>
        <v/>
      </c>
      <c r="Z65" s="265" t="str">
        <f t="shared" ca="1" si="20"/>
        <v/>
      </c>
      <c r="AA65" s="266" t="str">
        <f t="shared" ca="1" si="20"/>
        <v/>
      </c>
      <c r="AB65" s="267" t="str">
        <f t="shared" ca="1" si="20"/>
        <v/>
      </c>
      <c r="AC65" s="541"/>
      <c r="AD65" s="212">
        <f t="shared" ca="1" si="14"/>
        <v>19</v>
      </c>
    </row>
    <row r="66" spans="1:30" s="45" customFormat="1" ht="22.5" customHeight="1">
      <c r="A66" s="258" t="str">
        <f ca="1">IFERROR(INDEX(凭证录入!H:H,$AD66),"")</f>
        <v>结转1月利润</v>
      </c>
      <c r="B66" s="259">
        <f ca="1">IFERROR(INDEX(凭证录入!I:I,$AD66),"")</f>
        <v>660304</v>
      </c>
      <c r="C66" s="260" t="str">
        <f ca="1">IFERROR(VLOOKUP($B66,会计科目表!$A:$C,2,),"")</f>
        <v>财务费用</v>
      </c>
      <c r="D66" s="261" t="str">
        <f ca="1">IFERROR(VLOOKUP($B66,会计科目表!$A:$C,3,),"")</f>
        <v>手续费</v>
      </c>
      <c r="E66" s="262">
        <f ca="1">IFERROR(INDEX(凭证录入!K:K,$AD66),0)</f>
        <v>0</v>
      </c>
      <c r="F66" s="262">
        <f ca="1">IFERROR(INDEX(凭证录入!L:L,$AD66),0)</f>
        <v>37.5</v>
      </c>
      <c r="G66" s="263" t="str">
        <f t="shared" ca="1" si="19"/>
        <v/>
      </c>
      <c r="H66" s="264" t="str">
        <f t="shared" ca="1" si="19"/>
        <v/>
      </c>
      <c r="I66" s="265" t="str">
        <f t="shared" ca="1" si="19"/>
        <v/>
      </c>
      <c r="J66" s="266" t="str">
        <f t="shared" ca="1" si="19"/>
        <v/>
      </c>
      <c r="K66" s="264" t="str">
        <f t="shared" ca="1" si="19"/>
        <v/>
      </c>
      <c r="L66" s="265" t="str">
        <f t="shared" ca="1" si="19"/>
        <v/>
      </c>
      <c r="M66" s="266" t="str">
        <f t="shared" ca="1" si="19"/>
        <v/>
      </c>
      <c r="N66" s="264" t="str">
        <f t="shared" ca="1" si="19"/>
        <v/>
      </c>
      <c r="O66" s="265" t="str">
        <f t="shared" ca="1" si="19"/>
        <v/>
      </c>
      <c r="P66" s="266" t="str">
        <f t="shared" ca="1" si="19"/>
        <v/>
      </c>
      <c r="Q66" s="267" t="str">
        <f t="shared" ca="1" si="19"/>
        <v/>
      </c>
      <c r="R66" s="268" t="str">
        <f t="shared" ca="1" si="20"/>
        <v xml:space="preserve"> </v>
      </c>
      <c r="S66" s="264" t="str">
        <f t="shared" ca="1" si="20"/>
        <v xml:space="preserve"> </v>
      </c>
      <c r="T66" s="269" t="str">
        <f t="shared" ca="1" si="20"/>
        <v xml:space="preserve"> </v>
      </c>
      <c r="U66" s="268" t="str">
        <f t="shared" ca="1" si="20"/>
        <v xml:space="preserve"> </v>
      </c>
      <c r="V66" s="264" t="str">
        <f t="shared" ca="1" si="20"/>
        <v xml:space="preserve"> </v>
      </c>
      <c r="W66" s="265" t="str">
        <f t="shared" ca="1" si="20"/>
        <v xml:space="preserve"> </v>
      </c>
      <c r="X66" s="266" t="str">
        <f t="shared" ca="1" si="20"/>
        <v>￥</v>
      </c>
      <c r="Y66" s="264" t="str">
        <f t="shared" ca="1" si="20"/>
        <v>3</v>
      </c>
      <c r="Z66" s="265" t="str">
        <f t="shared" ca="1" si="20"/>
        <v>7</v>
      </c>
      <c r="AA66" s="266" t="str">
        <f t="shared" ca="1" si="20"/>
        <v>5</v>
      </c>
      <c r="AB66" s="267" t="str">
        <f t="shared" ca="1" si="20"/>
        <v>0</v>
      </c>
      <c r="AC66" s="541"/>
      <c r="AD66" s="212">
        <f t="shared" ca="1" si="14"/>
        <v>20</v>
      </c>
    </row>
    <row r="67" spans="1:30" s="45" customFormat="1" ht="22.5" customHeight="1">
      <c r="A67" s="258" t="str">
        <f ca="1">IFERROR(INDEX(凭证录入!H:H,$AD67),"")</f>
        <v/>
      </c>
      <c r="B67" s="259" t="str">
        <f ca="1">IFERROR(INDEX(凭证录入!I:I,$AD67),"")</f>
        <v/>
      </c>
      <c r="C67" s="260" t="str">
        <f ca="1">IFERROR(VLOOKUP($B67,会计科目表!$A:$C,2,),"")</f>
        <v/>
      </c>
      <c r="D67" s="261" t="str">
        <f ca="1">IFERROR(VLOOKUP($B67,会计科目表!$A:$C,3,),"")</f>
        <v/>
      </c>
      <c r="E67" s="262">
        <f ca="1">IFERROR(INDEX(凭证录入!K:K,$AD67),0)</f>
        <v>0</v>
      </c>
      <c r="F67" s="262">
        <f ca="1">IFERROR(INDEX(凭证录入!L:L,$AD67),0)</f>
        <v>0</v>
      </c>
      <c r="G67" s="263" t="str">
        <f t="shared" ca="1" si="19"/>
        <v/>
      </c>
      <c r="H67" s="264" t="str">
        <f t="shared" ca="1" si="19"/>
        <v/>
      </c>
      <c r="I67" s="265" t="str">
        <f t="shared" ca="1" si="19"/>
        <v/>
      </c>
      <c r="J67" s="266" t="str">
        <f t="shared" ca="1" si="19"/>
        <v/>
      </c>
      <c r="K67" s="264" t="str">
        <f t="shared" ca="1" si="19"/>
        <v/>
      </c>
      <c r="L67" s="265" t="str">
        <f t="shared" ca="1" si="19"/>
        <v/>
      </c>
      <c r="M67" s="266" t="str">
        <f t="shared" ca="1" si="19"/>
        <v/>
      </c>
      <c r="N67" s="264" t="str">
        <f t="shared" ca="1" si="19"/>
        <v/>
      </c>
      <c r="O67" s="265" t="str">
        <f t="shared" ca="1" si="19"/>
        <v/>
      </c>
      <c r="P67" s="266" t="str">
        <f t="shared" ca="1" si="19"/>
        <v/>
      </c>
      <c r="Q67" s="267" t="str">
        <f t="shared" ca="1" si="19"/>
        <v/>
      </c>
      <c r="R67" s="268" t="str">
        <f t="shared" ca="1" si="20"/>
        <v/>
      </c>
      <c r="S67" s="264" t="str">
        <f t="shared" ca="1" si="20"/>
        <v/>
      </c>
      <c r="T67" s="269" t="str">
        <f t="shared" ca="1" si="20"/>
        <v/>
      </c>
      <c r="U67" s="268" t="str">
        <f t="shared" ca="1" si="20"/>
        <v/>
      </c>
      <c r="V67" s="264" t="str">
        <f t="shared" ca="1" si="20"/>
        <v/>
      </c>
      <c r="W67" s="265" t="str">
        <f t="shared" ca="1" si="20"/>
        <v/>
      </c>
      <c r="X67" s="266" t="str">
        <f t="shared" ca="1" si="20"/>
        <v/>
      </c>
      <c r="Y67" s="264" t="str">
        <f t="shared" ca="1" si="20"/>
        <v/>
      </c>
      <c r="Z67" s="265" t="str">
        <f t="shared" ca="1" si="20"/>
        <v/>
      </c>
      <c r="AA67" s="266" t="str">
        <f t="shared" ca="1" si="20"/>
        <v/>
      </c>
      <c r="AB67" s="267" t="str">
        <f t="shared" ca="1" si="20"/>
        <v/>
      </c>
      <c r="AC67" s="536" t="s">
        <v>623</v>
      </c>
      <c r="AD67" s="212" t="str">
        <f t="shared" ca="1" si="14"/>
        <v/>
      </c>
    </row>
    <row r="68" spans="1:30" s="45" customFormat="1" ht="22.5" customHeight="1">
      <c r="A68" s="258" t="str">
        <f ca="1">IFERROR(INDEX(凭证录入!H:H,$AD68),"")</f>
        <v/>
      </c>
      <c r="B68" s="259" t="str">
        <f ca="1">IFERROR(INDEX(凭证录入!I:I,$AD68),"")</f>
        <v/>
      </c>
      <c r="C68" s="260" t="str">
        <f ca="1">IFERROR(VLOOKUP($B68,会计科目表!$A:$C,2,),"")</f>
        <v/>
      </c>
      <c r="D68" s="261" t="str">
        <f ca="1">IFERROR(VLOOKUP($B68,会计科目表!$A:$C,3,),"")</f>
        <v/>
      </c>
      <c r="E68" s="262">
        <f ca="1">IFERROR(INDEX(凭证录入!K:K,$AD68),0)</f>
        <v>0</v>
      </c>
      <c r="F68" s="262">
        <f ca="1">IFERROR(INDEX(凭证录入!L:L,$AD68),0)</f>
        <v>0</v>
      </c>
      <c r="G68" s="263" t="str">
        <f t="shared" ca="1" si="19"/>
        <v/>
      </c>
      <c r="H68" s="264" t="str">
        <f t="shared" ca="1" si="19"/>
        <v/>
      </c>
      <c r="I68" s="265" t="str">
        <f t="shared" ca="1" si="19"/>
        <v/>
      </c>
      <c r="J68" s="266" t="str">
        <f t="shared" ca="1" si="19"/>
        <v/>
      </c>
      <c r="K68" s="264" t="str">
        <f t="shared" ca="1" si="19"/>
        <v/>
      </c>
      <c r="L68" s="265" t="str">
        <f t="shared" ca="1" si="19"/>
        <v/>
      </c>
      <c r="M68" s="266" t="str">
        <f t="shared" ca="1" si="19"/>
        <v/>
      </c>
      <c r="N68" s="264" t="str">
        <f t="shared" ca="1" si="19"/>
        <v/>
      </c>
      <c r="O68" s="265" t="str">
        <f t="shared" ca="1" si="19"/>
        <v/>
      </c>
      <c r="P68" s="266" t="str">
        <f t="shared" ca="1" si="19"/>
        <v/>
      </c>
      <c r="Q68" s="267" t="str">
        <f t="shared" ca="1" si="19"/>
        <v/>
      </c>
      <c r="R68" s="268" t="str">
        <f t="shared" ca="1" si="20"/>
        <v/>
      </c>
      <c r="S68" s="264" t="str">
        <f t="shared" ca="1" si="20"/>
        <v/>
      </c>
      <c r="T68" s="269" t="str">
        <f t="shared" ca="1" si="20"/>
        <v/>
      </c>
      <c r="U68" s="268" t="str">
        <f t="shared" ca="1" si="20"/>
        <v/>
      </c>
      <c r="V68" s="264" t="str">
        <f t="shared" ca="1" si="20"/>
        <v/>
      </c>
      <c r="W68" s="265" t="str">
        <f t="shared" ca="1" si="20"/>
        <v/>
      </c>
      <c r="X68" s="266" t="str">
        <f t="shared" ca="1" si="20"/>
        <v/>
      </c>
      <c r="Y68" s="264" t="str">
        <f t="shared" ca="1" si="20"/>
        <v/>
      </c>
      <c r="Z68" s="265" t="str">
        <f t="shared" ca="1" si="20"/>
        <v/>
      </c>
      <c r="AA68" s="266" t="str">
        <f t="shared" ca="1" si="20"/>
        <v/>
      </c>
      <c r="AB68" s="267" t="str">
        <f t="shared" ca="1" si="20"/>
        <v/>
      </c>
      <c r="AC68" s="537"/>
      <c r="AD68" s="212" t="str">
        <f t="shared" ca="1" si="14"/>
        <v/>
      </c>
    </row>
    <row r="69" spans="1:30" s="45" customFormat="1" ht="22.5" customHeight="1">
      <c r="A69" s="258" t="str">
        <f ca="1">IFERROR(INDEX(凭证录入!H:H,$AD69),"")</f>
        <v/>
      </c>
      <c r="B69" s="259" t="str">
        <f ca="1">IFERROR(INDEX(凭证录入!I:I,$AD69),"")</f>
        <v/>
      </c>
      <c r="C69" s="260" t="str">
        <f ca="1">IFERROR(VLOOKUP($B69,会计科目表!$A:$C,2,),"")</f>
        <v/>
      </c>
      <c r="D69" s="261" t="str">
        <f ca="1">IFERROR(VLOOKUP($B69,会计科目表!$A:$C,3,),"")</f>
        <v/>
      </c>
      <c r="E69" s="262">
        <f ca="1">IFERROR(INDEX(凭证录入!K:K,$AD69),0)</f>
        <v>0</v>
      </c>
      <c r="F69" s="262">
        <f ca="1">IFERROR(INDEX(凭证录入!L:L,$AD69),0)</f>
        <v>0</v>
      </c>
      <c r="G69" s="263" t="str">
        <f t="shared" ca="1" si="19"/>
        <v/>
      </c>
      <c r="H69" s="264" t="str">
        <f t="shared" ca="1" si="19"/>
        <v/>
      </c>
      <c r="I69" s="265" t="str">
        <f t="shared" ca="1" si="19"/>
        <v/>
      </c>
      <c r="J69" s="266" t="str">
        <f t="shared" ca="1" si="19"/>
        <v/>
      </c>
      <c r="K69" s="264" t="str">
        <f t="shared" ca="1" si="19"/>
        <v/>
      </c>
      <c r="L69" s="265" t="str">
        <f t="shared" ca="1" si="19"/>
        <v/>
      </c>
      <c r="M69" s="266" t="str">
        <f t="shared" ca="1" si="19"/>
        <v/>
      </c>
      <c r="N69" s="264" t="str">
        <f t="shared" ca="1" si="19"/>
        <v/>
      </c>
      <c r="O69" s="265" t="str">
        <f t="shared" ca="1" si="19"/>
        <v/>
      </c>
      <c r="P69" s="266" t="str">
        <f t="shared" ca="1" si="19"/>
        <v/>
      </c>
      <c r="Q69" s="267" t="str">
        <f t="shared" ca="1" si="19"/>
        <v/>
      </c>
      <c r="R69" s="268" t="str">
        <f t="shared" ca="1" si="20"/>
        <v/>
      </c>
      <c r="S69" s="264" t="str">
        <f t="shared" ca="1" si="20"/>
        <v/>
      </c>
      <c r="T69" s="269" t="str">
        <f t="shared" ca="1" si="20"/>
        <v/>
      </c>
      <c r="U69" s="268" t="str">
        <f t="shared" ca="1" si="20"/>
        <v/>
      </c>
      <c r="V69" s="264" t="str">
        <f t="shared" ca="1" si="20"/>
        <v/>
      </c>
      <c r="W69" s="265" t="str">
        <f t="shared" ca="1" si="20"/>
        <v/>
      </c>
      <c r="X69" s="266" t="str">
        <f t="shared" ca="1" si="20"/>
        <v/>
      </c>
      <c r="Y69" s="264" t="str">
        <f t="shared" ca="1" si="20"/>
        <v/>
      </c>
      <c r="Z69" s="265" t="str">
        <f t="shared" ca="1" si="20"/>
        <v/>
      </c>
      <c r="AA69" s="266" t="str">
        <f t="shared" ca="1" si="20"/>
        <v/>
      </c>
      <c r="AB69" s="267" t="str">
        <f t="shared" ca="1" si="20"/>
        <v/>
      </c>
      <c r="AC69" s="538"/>
      <c r="AD69" s="212" t="str">
        <f t="shared" ca="1" si="14"/>
        <v/>
      </c>
    </row>
    <row r="70" spans="1:30" s="45" customFormat="1" ht="22.5" customHeight="1">
      <c r="A70" s="258" t="str">
        <f ca="1">IFERROR(INDEX(凭证录入!H:H,$AD70),"")</f>
        <v/>
      </c>
      <c r="B70" s="259" t="str">
        <f ca="1">IFERROR(INDEX(凭证录入!I:I,$AD70),"")</f>
        <v/>
      </c>
      <c r="C70" s="260" t="str">
        <f ca="1">IFERROR(VLOOKUP($B70,会计科目表!$A:$C,2,),"")</f>
        <v/>
      </c>
      <c r="D70" s="261" t="str">
        <f ca="1">IFERROR(VLOOKUP($B70,会计科目表!$A:$C,3,),"")</f>
        <v/>
      </c>
      <c r="E70" s="262">
        <f ca="1">IFERROR(INDEX(凭证录入!K:K,$AD70),0)</f>
        <v>0</v>
      </c>
      <c r="F70" s="262">
        <f ca="1">IFERROR(INDEX(凭证录入!L:L,$AD70),0)</f>
        <v>0</v>
      </c>
      <c r="G70" s="263" t="str">
        <f t="shared" ca="1" si="19"/>
        <v/>
      </c>
      <c r="H70" s="264" t="str">
        <f t="shared" ca="1" si="19"/>
        <v/>
      </c>
      <c r="I70" s="265" t="str">
        <f t="shared" ca="1" si="19"/>
        <v/>
      </c>
      <c r="J70" s="266" t="str">
        <f t="shared" ca="1" si="19"/>
        <v/>
      </c>
      <c r="K70" s="264" t="str">
        <f t="shared" ca="1" si="19"/>
        <v/>
      </c>
      <c r="L70" s="265" t="str">
        <f t="shared" ca="1" si="19"/>
        <v/>
      </c>
      <c r="M70" s="266" t="str">
        <f t="shared" ca="1" si="19"/>
        <v/>
      </c>
      <c r="N70" s="264" t="str">
        <f t="shared" ca="1" si="19"/>
        <v/>
      </c>
      <c r="O70" s="265" t="str">
        <f t="shared" ca="1" si="19"/>
        <v/>
      </c>
      <c r="P70" s="266" t="str">
        <f t="shared" ca="1" si="19"/>
        <v/>
      </c>
      <c r="Q70" s="267" t="str">
        <f t="shared" ca="1" si="19"/>
        <v/>
      </c>
      <c r="R70" s="268" t="str">
        <f t="shared" ca="1" si="20"/>
        <v/>
      </c>
      <c r="S70" s="264" t="str">
        <f t="shared" ca="1" si="20"/>
        <v/>
      </c>
      <c r="T70" s="269" t="str">
        <f t="shared" ca="1" si="20"/>
        <v/>
      </c>
      <c r="U70" s="268" t="str">
        <f t="shared" ca="1" si="20"/>
        <v/>
      </c>
      <c r="V70" s="264" t="str">
        <f t="shared" ca="1" si="20"/>
        <v/>
      </c>
      <c r="W70" s="265" t="str">
        <f t="shared" ca="1" si="20"/>
        <v/>
      </c>
      <c r="X70" s="266" t="str">
        <f t="shared" ca="1" si="20"/>
        <v/>
      </c>
      <c r="Y70" s="264" t="str">
        <f t="shared" ca="1" si="20"/>
        <v/>
      </c>
      <c r="Z70" s="265" t="str">
        <f t="shared" ca="1" si="20"/>
        <v/>
      </c>
      <c r="AA70" s="266" t="str">
        <f t="shared" ca="1" si="20"/>
        <v/>
      </c>
      <c r="AB70" s="267" t="str">
        <f t="shared" ca="1" si="20"/>
        <v/>
      </c>
      <c r="AC70" s="538"/>
      <c r="AD70" s="212" t="str">
        <f t="shared" ca="1" si="14"/>
        <v/>
      </c>
    </row>
    <row r="71" spans="1:30" s="45" customFormat="1" ht="22.5" customHeight="1">
      <c r="A71" s="270" t="s">
        <v>625</v>
      </c>
      <c r="B71" s="271"/>
      <c r="C71" s="272" t="str">
        <f t="shared" ref="C71" ca="1" si="25">SUBSTITUTE(SUBSTITUTE(IF(-DOLLAR(E71),IF(E71&gt;0,,"负")&amp;TEXT(INT(ABS(E71)+0.5%),"[dbnum2]G/通用格式元;;")&amp;TEXT(RIGHT(DOLLAR(E71,2),2),"[dbnum2]0角0分;;整"),),"零角",IF(E71^2&lt;1,,"零")),"零分","整")</f>
        <v>叁拾柒元伍角整</v>
      </c>
      <c r="D71" s="273"/>
      <c r="E71" s="274">
        <f t="shared" ref="E71:F71" ca="1" si="26">SUM(E65:E70)</f>
        <v>37.5</v>
      </c>
      <c r="F71" s="275">
        <f t="shared" ca="1" si="26"/>
        <v>37.5</v>
      </c>
      <c r="G71" s="276" t="str">
        <f t="shared" ca="1" si="19"/>
        <v xml:space="preserve"> </v>
      </c>
      <c r="H71" s="277" t="str">
        <f t="shared" ca="1" si="19"/>
        <v xml:space="preserve"> </v>
      </c>
      <c r="I71" s="278" t="str">
        <f t="shared" ca="1" si="19"/>
        <v xml:space="preserve"> </v>
      </c>
      <c r="J71" s="279" t="str">
        <f t="shared" ca="1" si="19"/>
        <v xml:space="preserve"> </v>
      </c>
      <c r="K71" s="277" t="str">
        <f t="shared" ca="1" si="19"/>
        <v xml:space="preserve"> </v>
      </c>
      <c r="L71" s="278" t="str">
        <f t="shared" ca="1" si="19"/>
        <v xml:space="preserve"> </v>
      </c>
      <c r="M71" s="279" t="str">
        <f t="shared" ca="1" si="19"/>
        <v>￥</v>
      </c>
      <c r="N71" s="277" t="str">
        <f t="shared" ca="1" si="19"/>
        <v>3</v>
      </c>
      <c r="O71" s="278" t="str">
        <f t="shared" ca="1" si="19"/>
        <v>7</v>
      </c>
      <c r="P71" s="279" t="str">
        <f t="shared" ca="1" si="19"/>
        <v>5</v>
      </c>
      <c r="Q71" s="280" t="str">
        <f t="shared" ca="1" si="19"/>
        <v>0</v>
      </c>
      <c r="R71" s="281" t="str">
        <f t="shared" ca="1" si="20"/>
        <v xml:space="preserve"> </v>
      </c>
      <c r="S71" s="277" t="str">
        <f t="shared" ca="1" si="20"/>
        <v xml:space="preserve"> </v>
      </c>
      <c r="T71" s="282" t="str">
        <f t="shared" ca="1" si="20"/>
        <v xml:space="preserve"> </v>
      </c>
      <c r="U71" s="281" t="str">
        <f t="shared" ca="1" si="20"/>
        <v xml:space="preserve"> </v>
      </c>
      <c r="V71" s="277" t="str">
        <f t="shared" ca="1" si="20"/>
        <v xml:space="preserve"> </v>
      </c>
      <c r="W71" s="278" t="str">
        <f t="shared" ca="1" si="20"/>
        <v xml:space="preserve"> </v>
      </c>
      <c r="X71" s="279" t="str">
        <f t="shared" ca="1" si="20"/>
        <v>￥</v>
      </c>
      <c r="Y71" s="277" t="str">
        <f t="shared" ca="1" si="20"/>
        <v>3</v>
      </c>
      <c r="Z71" s="278" t="str">
        <f t="shared" ca="1" si="20"/>
        <v>7</v>
      </c>
      <c r="AA71" s="279" t="str">
        <f t="shared" ca="1" si="20"/>
        <v>5</v>
      </c>
      <c r="AB71" s="280" t="str">
        <f t="shared" ca="1" si="20"/>
        <v>0</v>
      </c>
      <c r="AC71" s="283"/>
      <c r="AD71" s="212"/>
    </row>
    <row r="72" spans="1:30" s="22" customFormat="1" ht="22.5" customHeight="1">
      <c r="A72" s="284" t="s">
        <v>627</v>
      </c>
      <c r="B72" s="284"/>
      <c r="C72" s="284"/>
      <c r="D72" s="284" t="s">
        <v>629</v>
      </c>
      <c r="E72" s="284"/>
      <c r="F72" s="284"/>
      <c r="G72" s="284"/>
      <c r="H72" s="285"/>
      <c r="I72" s="284"/>
      <c r="J72" s="285"/>
      <c r="K72" s="285"/>
      <c r="L72" s="284"/>
      <c r="M72" s="285"/>
      <c r="N72" s="285"/>
      <c r="O72" s="285"/>
      <c r="P72" s="284"/>
      <c r="Q72" s="284" t="s">
        <v>631</v>
      </c>
      <c r="R72" s="284"/>
      <c r="S72" s="284"/>
      <c r="T72" s="284"/>
      <c r="U72" s="285"/>
      <c r="V72" s="284"/>
      <c r="W72" s="285"/>
      <c r="X72" s="284"/>
      <c r="Y72" s="284"/>
      <c r="Z72" s="285"/>
      <c r="AA72" s="285"/>
      <c r="AB72" s="285"/>
      <c r="AC72" s="286"/>
      <c r="AD72" s="212"/>
    </row>
    <row r="73" spans="1:30" ht="39.75" customHeight="1" thickBot="1">
      <c r="A73" s="226"/>
      <c r="B73" s="226"/>
      <c r="C73" s="227" t="s">
        <v>632</v>
      </c>
      <c r="D73" s="228"/>
      <c r="E73" s="226"/>
      <c r="F73" s="226"/>
      <c r="G73" s="228"/>
      <c r="H73" s="228"/>
      <c r="I73" s="228"/>
      <c r="J73" s="228"/>
      <c r="K73" s="228"/>
      <c r="L73" s="228"/>
      <c r="M73" s="228"/>
      <c r="N73" s="228"/>
      <c r="O73" s="228"/>
      <c r="P73" s="228"/>
      <c r="Q73" s="228"/>
      <c r="R73" s="229" t="s">
        <v>633</v>
      </c>
      <c r="S73" s="230"/>
      <c r="T73" s="230"/>
      <c r="U73" s="231" t="e">
        <f ca="1">DATE(AD$1,AF$1,INDEX(凭证录入!B:B,AD77))</f>
        <v>#VALUE!</v>
      </c>
      <c r="V73" s="232"/>
      <c r="W73" s="232"/>
      <c r="X73" s="232"/>
      <c r="Y73" s="232"/>
      <c r="Z73" s="232"/>
      <c r="AA73" s="232"/>
      <c r="AB73" s="232"/>
      <c r="AD73" s="212"/>
    </row>
    <row r="74" spans="1:30" s="45" customFormat="1" ht="23.25" customHeight="1" thickTop="1">
      <c r="A74" s="235" t="s">
        <v>634</v>
      </c>
      <c r="B74" s="235"/>
      <c r="C74" s="236" t="str">
        <f t="shared" si="17"/>
        <v>远大开发有限公司</v>
      </c>
      <c r="D74" s="236"/>
      <c r="E74" s="236"/>
      <c r="F74" s="236"/>
      <c r="G74" s="236"/>
      <c r="H74" s="236"/>
      <c r="I74" s="236"/>
      <c r="J74" s="236"/>
      <c r="K74" s="236"/>
      <c r="L74" s="236"/>
      <c r="M74" s="236"/>
      <c r="N74" s="236"/>
      <c r="O74" s="236"/>
      <c r="P74" s="236"/>
      <c r="Q74" s="236"/>
      <c r="R74" s="229" t="s">
        <v>635</v>
      </c>
      <c r="S74" s="229"/>
      <c r="T74" s="229"/>
      <c r="U74" s="237" t="str">
        <f t="shared" ref="U74" si="27">"第 "&amp;TEXT($AF$1,"00")&amp;TEXT($AC74,"0000 号")</f>
        <v>第 010006 号</v>
      </c>
      <c r="V74" s="237"/>
      <c r="W74" s="238"/>
      <c r="X74" s="238"/>
      <c r="Y74" s="238"/>
      <c r="Z74" s="238"/>
      <c r="AA74" s="238"/>
      <c r="AB74" s="238"/>
      <c r="AC74" s="239">
        <f t="shared" ref="AC74:AC98" si="28">N(LEFT((AC62),3)+1)</f>
        <v>6</v>
      </c>
      <c r="AD74" s="212"/>
    </row>
    <row r="75" spans="1:30" s="45" customFormat="1" ht="22.5" customHeight="1">
      <c r="A75" s="241" t="s">
        <v>586</v>
      </c>
      <c r="B75" s="542" t="s">
        <v>587</v>
      </c>
      <c r="C75" s="242" t="s">
        <v>589</v>
      </c>
      <c r="D75" s="243" t="s">
        <v>591</v>
      </c>
      <c r="E75" s="539" t="s">
        <v>636</v>
      </c>
      <c r="F75" s="539" t="s">
        <v>637</v>
      </c>
      <c r="G75" s="244" t="s">
        <v>638</v>
      </c>
      <c r="H75" s="245"/>
      <c r="I75" s="245"/>
      <c r="J75" s="245"/>
      <c r="K75" s="245"/>
      <c r="L75" s="245"/>
      <c r="M75" s="245"/>
      <c r="N75" s="245"/>
      <c r="O75" s="245"/>
      <c r="P75" s="245"/>
      <c r="Q75" s="246"/>
      <c r="R75" s="247" t="s">
        <v>599</v>
      </c>
      <c r="S75" s="245"/>
      <c r="T75" s="245"/>
      <c r="U75" s="245"/>
      <c r="V75" s="245"/>
      <c r="W75" s="245"/>
      <c r="X75" s="245"/>
      <c r="Y75" s="245"/>
      <c r="Z75" s="245"/>
      <c r="AA75" s="245"/>
      <c r="AB75" s="246"/>
      <c r="AC75" s="541" t="str">
        <f ca="1">"附单据数︵"&amp;INDEX(凭证录入!$D:$D,$AD$17)&amp;"︶张"</f>
        <v>附单据数︵4︶张</v>
      </c>
      <c r="AD75" s="235"/>
    </row>
    <row r="76" spans="1:30" s="45" customFormat="1" ht="22.5" customHeight="1">
      <c r="A76" s="248" t="s">
        <v>601</v>
      </c>
      <c r="B76" s="543"/>
      <c r="C76" s="249" t="s">
        <v>603</v>
      </c>
      <c r="D76" s="250" t="s">
        <v>603</v>
      </c>
      <c r="E76" s="540"/>
      <c r="F76" s="540"/>
      <c r="G76" s="251" t="s">
        <v>605</v>
      </c>
      <c r="H76" s="252" t="s">
        <v>607</v>
      </c>
      <c r="I76" s="253" t="s">
        <v>609</v>
      </c>
      <c r="J76" s="254" t="s">
        <v>639</v>
      </c>
      <c r="K76" s="252" t="s">
        <v>640</v>
      </c>
      <c r="L76" s="253" t="s">
        <v>607</v>
      </c>
      <c r="M76" s="254" t="s">
        <v>609</v>
      </c>
      <c r="N76" s="252" t="s">
        <v>639</v>
      </c>
      <c r="O76" s="253" t="s">
        <v>641</v>
      </c>
      <c r="P76" s="254" t="s">
        <v>642</v>
      </c>
      <c r="Q76" s="255" t="s">
        <v>643</v>
      </c>
      <c r="R76" s="256" t="s">
        <v>605</v>
      </c>
      <c r="S76" s="252" t="s">
        <v>607</v>
      </c>
      <c r="T76" s="257" t="s">
        <v>609</v>
      </c>
      <c r="U76" s="256" t="s">
        <v>639</v>
      </c>
      <c r="V76" s="252" t="s">
        <v>640</v>
      </c>
      <c r="W76" s="253" t="s">
        <v>607</v>
      </c>
      <c r="X76" s="254" t="s">
        <v>609</v>
      </c>
      <c r="Y76" s="252" t="s">
        <v>639</v>
      </c>
      <c r="Z76" s="253" t="s">
        <v>641</v>
      </c>
      <c r="AA76" s="254" t="s">
        <v>642</v>
      </c>
      <c r="AB76" s="255" t="s">
        <v>643</v>
      </c>
      <c r="AC76" s="541"/>
    </row>
    <row r="77" spans="1:30" s="45" customFormat="1" ht="22.5" customHeight="1">
      <c r="A77" s="258" t="str">
        <f ca="1">IFERROR(INDEX(凭证录入!H:H,$AD77),"")</f>
        <v/>
      </c>
      <c r="B77" s="259" t="str">
        <f ca="1">IFERROR(INDEX(凭证录入!I:I,$AD77),"")</f>
        <v/>
      </c>
      <c r="C77" s="260" t="str">
        <f ca="1">IFERROR(VLOOKUP($B77,会计科目表!$A:$C,2,),"")</f>
        <v/>
      </c>
      <c r="D77" s="261" t="str">
        <f ca="1">IFERROR(VLOOKUP($B77,会计科目表!$A:$C,3,),"")</f>
        <v/>
      </c>
      <c r="E77" s="262">
        <f ca="1">IFERROR(INDEX(凭证录入!K:K,$AD77),0)</f>
        <v>0</v>
      </c>
      <c r="F77" s="262">
        <f ca="1">IFERROR(INDEX(凭证录入!L:L,$AD77),0)</f>
        <v>0</v>
      </c>
      <c r="G77" s="263" t="str">
        <f t="shared" ca="1" si="19"/>
        <v/>
      </c>
      <c r="H77" s="264" t="str">
        <f t="shared" ca="1" si="19"/>
        <v/>
      </c>
      <c r="I77" s="265" t="str">
        <f t="shared" ca="1" si="19"/>
        <v/>
      </c>
      <c r="J77" s="266" t="str">
        <f t="shared" ca="1" si="19"/>
        <v/>
      </c>
      <c r="K77" s="264" t="str">
        <f t="shared" ca="1" si="19"/>
        <v/>
      </c>
      <c r="L77" s="265" t="str">
        <f t="shared" ca="1" si="19"/>
        <v/>
      </c>
      <c r="M77" s="266" t="str">
        <f t="shared" ca="1" si="19"/>
        <v/>
      </c>
      <c r="N77" s="264" t="str">
        <f t="shared" ca="1" si="19"/>
        <v/>
      </c>
      <c r="O77" s="265" t="str">
        <f t="shared" ca="1" si="19"/>
        <v/>
      </c>
      <c r="P77" s="266" t="str">
        <f t="shared" ca="1" si="19"/>
        <v/>
      </c>
      <c r="Q77" s="267" t="str">
        <f t="shared" ca="1" si="19"/>
        <v/>
      </c>
      <c r="R77" s="268" t="str">
        <f t="shared" ca="1" si="20"/>
        <v/>
      </c>
      <c r="S77" s="264" t="str">
        <f t="shared" ca="1" si="20"/>
        <v/>
      </c>
      <c r="T77" s="269" t="str">
        <f t="shared" ca="1" si="20"/>
        <v/>
      </c>
      <c r="U77" s="268" t="str">
        <f t="shared" ca="1" si="20"/>
        <v/>
      </c>
      <c r="V77" s="264" t="str">
        <f t="shared" ca="1" si="20"/>
        <v/>
      </c>
      <c r="W77" s="265" t="str">
        <f t="shared" ca="1" si="20"/>
        <v/>
      </c>
      <c r="X77" s="266" t="str">
        <f t="shared" ca="1" si="20"/>
        <v/>
      </c>
      <c r="Y77" s="264" t="str">
        <f t="shared" ca="1" si="20"/>
        <v/>
      </c>
      <c r="Z77" s="265" t="str">
        <f t="shared" ca="1" si="20"/>
        <v/>
      </c>
      <c r="AA77" s="266" t="str">
        <f t="shared" ca="1" si="20"/>
        <v/>
      </c>
      <c r="AB77" s="267" t="str">
        <f t="shared" ca="1" si="20"/>
        <v/>
      </c>
      <c r="AC77" s="541"/>
      <c r="AD77" s="212" t="str">
        <f t="shared" ca="1" si="14"/>
        <v/>
      </c>
    </row>
    <row r="78" spans="1:30" s="45" customFormat="1" ht="22.5" customHeight="1">
      <c r="A78" s="258" t="str">
        <f ca="1">IFERROR(INDEX(凭证录入!H:H,$AD78),"")</f>
        <v/>
      </c>
      <c r="B78" s="259" t="str">
        <f ca="1">IFERROR(INDEX(凭证录入!I:I,$AD78),"")</f>
        <v/>
      </c>
      <c r="C78" s="260" t="str">
        <f ca="1">IFERROR(VLOOKUP($B78,会计科目表!$A:$C,2,),"")</f>
        <v/>
      </c>
      <c r="D78" s="261" t="str">
        <f ca="1">IFERROR(VLOOKUP($B78,会计科目表!$A:$C,3,),"")</f>
        <v/>
      </c>
      <c r="E78" s="262">
        <f ca="1">IFERROR(INDEX(凭证录入!K:K,$AD78),0)</f>
        <v>0</v>
      </c>
      <c r="F78" s="262">
        <f ca="1">IFERROR(INDEX(凭证录入!L:L,$AD78),0)</f>
        <v>0</v>
      </c>
      <c r="G78" s="263" t="str">
        <f t="shared" ca="1" si="19"/>
        <v/>
      </c>
      <c r="H78" s="264" t="str">
        <f t="shared" ca="1" si="19"/>
        <v/>
      </c>
      <c r="I78" s="265" t="str">
        <f t="shared" ca="1" si="19"/>
        <v/>
      </c>
      <c r="J78" s="266" t="str">
        <f t="shared" ca="1" si="19"/>
        <v/>
      </c>
      <c r="K78" s="264" t="str">
        <f t="shared" ca="1" si="19"/>
        <v/>
      </c>
      <c r="L78" s="265" t="str">
        <f t="shared" ca="1" si="19"/>
        <v/>
      </c>
      <c r="M78" s="266" t="str">
        <f t="shared" ca="1" si="19"/>
        <v/>
      </c>
      <c r="N78" s="264" t="str">
        <f t="shared" ca="1" si="19"/>
        <v/>
      </c>
      <c r="O78" s="265" t="str">
        <f t="shared" ca="1" si="19"/>
        <v/>
      </c>
      <c r="P78" s="266" t="str">
        <f t="shared" ca="1" si="19"/>
        <v/>
      </c>
      <c r="Q78" s="267" t="str">
        <f t="shared" ca="1" si="19"/>
        <v/>
      </c>
      <c r="R78" s="268" t="str">
        <f t="shared" ca="1" si="20"/>
        <v/>
      </c>
      <c r="S78" s="264" t="str">
        <f t="shared" ca="1" si="20"/>
        <v/>
      </c>
      <c r="T78" s="269" t="str">
        <f t="shared" ca="1" si="20"/>
        <v/>
      </c>
      <c r="U78" s="268" t="str">
        <f t="shared" ca="1" si="20"/>
        <v/>
      </c>
      <c r="V78" s="264" t="str">
        <f t="shared" ca="1" si="20"/>
        <v/>
      </c>
      <c r="W78" s="265" t="str">
        <f t="shared" ca="1" si="20"/>
        <v/>
      </c>
      <c r="X78" s="266" t="str">
        <f t="shared" ca="1" si="20"/>
        <v/>
      </c>
      <c r="Y78" s="264" t="str">
        <f t="shared" ca="1" si="20"/>
        <v/>
      </c>
      <c r="Z78" s="265" t="str">
        <f t="shared" ca="1" si="20"/>
        <v/>
      </c>
      <c r="AA78" s="266" t="str">
        <f t="shared" ca="1" si="20"/>
        <v/>
      </c>
      <c r="AB78" s="267" t="str">
        <f t="shared" ca="1" si="20"/>
        <v/>
      </c>
      <c r="AC78" s="541"/>
      <c r="AD78" s="212" t="str">
        <f t="shared" ca="1" si="14"/>
        <v/>
      </c>
    </row>
    <row r="79" spans="1:30" s="45" customFormat="1" ht="22.5" customHeight="1">
      <c r="A79" s="258" t="str">
        <f ca="1">IFERROR(INDEX(凭证录入!H:H,$AD79),"")</f>
        <v/>
      </c>
      <c r="B79" s="259" t="str">
        <f ca="1">IFERROR(INDEX(凭证录入!I:I,$AD79),"")</f>
        <v/>
      </c>
      <c r="C79" s="260" t="str">
        <f ca="1">IFERROR(VLOOKUP($B79,会计科目表!$A:$C,2,),"")</f>
        <v/>
      </c>
      <c r="D79" s="261" t="str">
        <f ca="1">IFERROR(VLOOKUP($B79,会计科目表!$A:$C,3,),"")</f>
        <v/>
      </c>
      <c r="E79" s="262">
        <f ca="1">IFERROR(INDEX(凭证录入!K:K,$AD79),0)</f>
        <v>0</v>
      </c>
      <c r="F79" s="262">
        <f ca="1">IFERROR(INDEX(凭证录入!L:L,$AD79),0)</f>
        <v>0</v>
      </c>
      <c r="G79" s="263" t="str">
        <f t="shared" ca="1" si="19"/>
        <v/>
      </c>
      <c r="H79" s="264" t="str">
        <f t="shared" ca="1" si="19"/>
        <v/>
      </c>
      <c r="I79" s="265" t="str">
        <f t="shared" ref="G79:Q117" ca="1" si="29">LEFT(RIGHT(TEXT($E79/1%," ￥0; ￥-0;"),18-COLUMN()))</f>
        <v/>
      </c>
      <c r="J79" s="266" t="str">
        <f t="shared" ca="1" si="29"/>
        <v/>
      </c>
      <c r="K79" s="264" t="str">
        <f t="shared" ca="1" si="29"/>
        <v/>
      </c>
      <c r="L79" s="265" t="str">
        <f t="shared" ca="1" si="29"/>
        <v/>
      </c>
      <c r="M79" s="266" t="str">
        <f t="shared" ca="1" si="29"/>
        <v/>
      </c>
      <c r="N79" s="264" t="str">
        <f t="shared" ca="1" si="29"/>
        <v/>
      </c>
      <c r="O79" s="265" t="str">
        <f t="shared" ca="1" si="29"/>
        <v/>
      </c>
      <c r="P79" s="266" t="str">
        <f t="shared" ca="1" si="29"/>
        <v/>
      </c>
      <c r="Q79" s="267" t="str">
        <f t="shared" ca="1" si="29"/>
        <v/>
      </c>
      <c r="R79" s="268" t="str">
        <f t="shared" ca="1" si="20"/>
        <v/>
      </c>
      <c r="S79" s="264" t="str">
        <f t="shared" ca="1" si="20"/>
        <v/>
      </c>
      <c r="T79" s="269" t="str">
        <f t="shared" ref="R79:AB117" ca="1" si="30">LEFT(RIGHT(TEXT($F79/1%," ￥0; ￥-0;"),29-COLUMN()))</f>
        <v/>
      </c>
      <c r="U79" s="268" t="str">
        <f t="shared" ca="1" si="30"/>
        <v/>
      </c>
      <c r="V79" s="264" t="str">
        <f t="shared" ca="1" si="30"/>
        <v/>
      </c>
      <c r="W79" s="265" t="str">
        <f t="shared" ca="1" si="30"/>
        <v/>
      </c>
      <c r="X79" s="266" t="str">
        <f t="shared" ca="1" si="30"/>
        <v/>
      </c>
      <c r="Y79" s="264" t="str">
        <f t="shared" ca="1" si="30"/>
        <v/>
      </c>
      <c r="Z79" s="265" t="str">
        <f t="shared" ca="1" si="30"/>
        <v/>
      </c>
      <c r="AA79" s="266" t="str">
        <f t="shared" ca="1" si="30"/>
        <v/>
      </c>
      <c r="AB79" s="267" t="str">
        <f t="shared" ca="1" si="30"/>
        <v/>
      </c>
      <c r="AC79" s="536" t="s">
        <v>623</v>
      </c>
      <c r="AD79" s="212" t="str">
        <f t="shared" ca="1" si="14"/>
        <v/>
      </c>
    </row>
    <row r="80" spans="1:30" s="45" customFormat="1" ht="22.5" customHeight="1">
      <c r="A80" s="258" t="str">
        <f ca="1">IFERROR(INDEX(凭证录入!H:H,$AD80),"")</f>
        <v/>
      </c>
      <c r="B80" s="259" t="str">
        <f ca="1">IFERROR(INDEX(凭证录入!I:I,$AD80),"")</f>
        <v/>
      </c>
      <c r="C80" s="260" t="str">
        <f ca="1">IFERROR(VLOOKUP($B80,会计科目表!$A:$C,2,),"")</f>
        <v/>
      </c>
      <c r="D80" s="261" t="str">
        <f ca="1">IFERROR(VLOOKUP($B80,会计科目表!$A:$C,3,),"")</f>
        <v/>
      </c>
      <c r="E80" s="262">
        <f ca="1">IFERROR(INDEX(凭证录入!K:K,$AD80),0)</f>
        <v>0</v>
      </c>
      <c r="F80" s="262">
        <f ca="1">IFERROR(INDEX(凭证录入!L:L,$AD80),0)</f>
        <v>0</v>
      </c>
      <c r="G80" s="263" t="str">
        <f t="shared" ca="1" si="29"/>
        <v/>
      </c>
      <c r="H80" s="264" t="str">
        <f t="shared" ca="1" si="29"/>
        <v/>
      </c>
      <c r="I80" s="265" t="str">
        <f t="shared" ca="1" si="29"/>
        <v/>
      </c>
      <c r="J80" s="266" t="str">
        <f t="shared" ca="1" si="29"/>
        <v/>
      </c>
      <c r="K80" s="264" t="str">
        <f t="shared" ca="1" si="29"/>
        <v/>
      </c>
      <c r="L80" s="265" t="str">
        <f t="shared" ca="1" si="29"/>
        <v/>
      </c>
      <c r="M80" s="266" t="str">
        <f t="shared" ca="1" si="29"/>
        <v/>
      </c>
      <c r="N80" s="264" t="str">
        <f t="shared" ca="1" si="29"/>
        <v/>
      </c>
      <c r="O80" s="265" t="str">
        <f t="shared" ca="1" si="29"/>
        <v/>
      </c>
      <c r="P80" s="266" t="str">
        <f t="shared" ca="1" si="29"/>
        <v/>
      </c>
      <c r="Q80" s="267" t="str">
        <f t="shared" ca="1" si="29"/>
        <v/>
      </c>
      <c r="R80" s="268" t="str">
        <f t="shared" ca="1" si="30"/>
        <v/>
      </c>
      <c r="S80" s="264" t="str">
        <f t="shared" ca="1" si="30"/>
        <v/>
      </c>
      <c r="T80" s="269" t="str">
        <f t="shared" ca="1" si="30"/>
        <v/>
      </c>
      <c r="U80" s="268" t="str">
        <f t="shared" ca="1" si="30"/>
        <v/>
      </c>
      <c r="V80" s="264" t="str">
        <f t="shared" ca="1" si="30"/>
        <v/>
      </c>
      <c r="W80" s="265" t="str">
        <f t="shared" ca="1" si="30"/>
        <v/>
      </c>
      <c r="X80" s="266" t="str">
        <f t="shared" ca="1" si="30"/>
        <v/>
      </c>
      <c r="Y80" s="264" t="str">
        <f t="shared" ca="1" si="30"/>
        <v/>
      </c>
      <c r="Z80" s="265" t="str">
        <f t="shared" ca="1" si="30"/>
        <v/>
      </c>
      <c r="AA80" s="266" t="str">
        <f t="shared" ca="1" si="30"/>
        <v/>
      </c>
      <c r="AB80" s="267" t="str">
        <f t="shared" ca="1" si="30"/>
        <v/>
      </c>
      <c r="AC80" s="537"/>
      <c r="AD80" s="212" t="str">
        <f t="shared" ca="1" si="14"/>
        <v/>
      </c>
    </row>
    <row r="81" spans="1:30" s="45" customFormat="1" ht="22.5" customHeight="1">
      <c r="A81" s="258" t="str">
        <f ca="1">IFERROR(INDEX(凭证录入!H:H,$AD81),"")</f>
        <v/>
      </c>
      <c r="B81" s="259" t="str">
        <f ca="1">IFERROR(INDEX(凭证录入!I:I,$AD81),"")</f>
        <v/>
      </c>
      <c r="C81" s="260" t="str">
        <f ca="1">IFERROR(VLOOKUP($B81,会计科目表!$A:$C,2,),"")</f>
        <v/>
      </c>
      <c r="D81" s="261" t="str">
        <f ca="1">IFERROR(VLOOKUP($B81,会计科目表!$A:$C,3,),"")</f>
        <v/>
      </c>
      <c r="E81" s="262">
        <f ca="1">IFERROR(INDEX(凭证录入!K:K,$AD81),0)</f>
        <v>0</v>
      </c>
      <c r="F81" s="262">
        <f ca="1">IFERROR(INDEX(凭证录入!L:L,$AD81),0)</f>
        <v>0</v>
      </c>
      <c r="G81" s="263" t="str">
        <f t="shared" ca="1" si="29"/>
        <v/>
      </c>
      <c r="H81" s="264" t="str">
        <f t="shared" ca="1" si="29"/>
        <v/>
      </c>
      <c r="I81" s="265" t="str">
        <f t="shared" ca="1" si="29"/>
        <v/>
      </c>
      <c r="J81" s="266" t="str">
        <f t="shared" ca="1" si="29"/>
        <v/>
      </c>
      <c r="K81" s="264" t="str">
        <f t="shared" ca="1" si="29"/>
        <v/>
      </c>
      <c r="L81" s="265" t="str">
        <f t="shared" ca="1" si="29"/>
        <v/>
      </c>
      <c r="M81" s="266" t="str">
        <f t="shared" ca="1" si="29"/>
        <v/>
      </c>
      <c r="N81" s="264" t="str">
        <f t="shared" ca="1" si="29"/>
        <v/>
      </c>
      <c r="O81" s="265" t="str">
        <f t="shared" ca="1" si="29"/>
        <v/>
      </c>
      <c r="P81" s="266" t="str">
        <f t="shared" ca="1" si="29"/>
        <v/>
      </c>
      <c r="Q81" s="267" t="str">
        <f t="shared" ca="1" si="29"/>
        <v/>
      </c>
      <c r="R81" s="268" t="str">
        <f t="shared" ca="1" si="30"/>
        <v/>
      </c>
      <c r="S81" s="264" t="str">
        <f t="shared" ca="1" si="30"/>
        <v/>
      </c>
      <c r="T81" s="269" t="str">
        <f t="shared" ca="1" si="30"/>
        <v/>
      </c>
      <c r="U81" s="268" t="str">
        <f t="shared" ca="1" si="30"/>
        <v/>
      </c>
      <c r="V81" s="264" t="str">
        <f t="shared" ca="1" si="30"/>
        <v/>
      </c>
      <c r="W81" s="265" t="str">
        <f t="shared" ca="1" si="30"/>
        <v/>
      </c>
      <c r="X81" s="266" t="str">
        <f t="shared" ca="1" si="30"/>
        <v/>
      </c>
      <c r="Y81" s="264" t="str">
        <f t="shared" ca="1" si="30"/>
        <v/>
      </c>
      <c r="Z81" s="265" t="str">
        <f t="shared" ca="1" si="30"/>
        <v/>
      </c>
      <c r="AA81" s="266" t="str">
        <f t="shared" ca="1" si="30"/>
        <v/>
      </c>
      <c r="AB81" s="267" t="str">
        <f t="shared" ca="1" si="30"/>
        <v/>
      </c>
      <c r="AC81" s="538"/>
      <c r="AD81" s="212" t="str">
        <f t="shared" ca="1" si="14"/>
        <v/>
      </c>
    </row>
    <row r="82" spans="1:30" s="45" customFormat="1" ht="22.5" customHeight="1">
      <c r="A82" s="258" t="str">
        <f ca="1">IFERROR(INDEX(凭证录入!H:H,$AD82),"")</f>
        <v/>
      </c>
      <c r="B82" s="259" t="str">
        <f ca="1">IFERROR(INDEX(凭证录入!I:I,$AD82),"")</f>
        <v/>
      </c>
      <c r="C82" s="260" t="str">
        <f ca="1">IFERROR(VLOOKUP($B82,会计科目表!$A:$C,2,),"")</f>
        <v/>
      </c>
      <c r="D82" s="261" t="str">
        <f ca="1">IFERROR(VLOOKUP($B82,会计科目表!$A:$C,3,),"")</f>
        <v/>
      </c>
      <c r="E82" s="262">
        <f ca="1">IFERROR(INDEX(凭证录入!K:K,$AD82),0)</f>
        <v>0</v>
      </c>
      <c r="F82" s="262">
        <f ca="1">IFERROR(INDEX(凭证录入!L:L,$AD82),0)</f>
        <v>0</v>
      </c>
      <c r="G82" s="263" t="str">
        <f t="shared" ca="1" si="29"/>
        <v/>
      </c>
      <c r="H82" s="264" t="str">
        <f t="shared" ca="1" si="29"/>
        <v/>
      </c>
      <c r="I82" s="265" t="str">
        <f t="shared" ca="1" si="29"/>
        <v/>
      </c>
      <c r="J82" s="266" t="str">
        <f t="shared" ca="1" si="29"/>
        <v/>
      </c>
      <c r="K82" s="264" t="str">
        <f t="shared" ca="1" si="29"/>
        <v/>
      </c>
      <c r="L82" s="265" t="str">
        <f t="shared" ca="1" si="29"/>
        <v/>
      </c>
      <c r="M82" s="266" t="str">
        <f t="shared" ca="1" si="29"/>
        <v/>
      </c>
      <c r="N82" s="264" t="str">
        <f t="shared" ca="1" si="29"/>
        <v/>
      </c>
      <c r="O82" s="265" t="str">
        <f t="shared" ca="1" si="29"/>
        <v/>
      </c>
      <c r="P82" s="266" t="str">
        <f t="shared" ca="1" si="29"/>
        <v/>
      </c>
      <c r="Q82" s="267" t="str">
        <f t="shared" ca="1" si="29"/>
        <v/>
      </c>
      <c r="R82" s="268" t="str">
        <f t="shared" ca="1" si="30"/>
        <v/>
      </c>
      <c r="S82" s="264" t="str">
        <f t="shared" ca="1" si="30"/>
        <v/>
      </c>
      <c r="T82" s="269" t="str">
        <f t="shared" ca="1" si="30"/>
        <v/>
      </c>
      <c r="U82" s="268" t="str">
        <f t="shared" ca="1" si="30"/>
        <v/>
      </c>
      <c r="V82" s="264" t="str">
        <f t="shared" ca="1" si="30"/>
        <v/>
      </c>
      <c r="W82" s="265" t="str">
        <f t="shared" ca="1" si="30"/>
        <v/>
      </c>
      <c r="X82" s="266" t="str">
        <f t="shared" ca="1" si="30"/>
        <v/>
      </c>
      <c r="Y82" s="264" t="str">
        <f t="shared" ca="1" si="30"/>
        <v/>
      </c>
      <c r="Z82" s="265" t="str">
        <f t="shared" ca="1" si="30"/>
        <v/>
      </c>
      <c r="AA82" s="266" t="str">
        <f t="shared" ca="1" si="30"/>
        <v/>
      </c>
      <c r="AB82" s="267" t="str">
        <f t="shared" ca="1" si="30"/>
        <v/>
      </c>
      <c r="AC82" s="538"/>
      <c r="AD82" s="212" t="str">
        <f t="shared" ca="1" si="14"/>
        <v/>
      </c>
    </row>
    <row r="83" spans="1:30" s="45" customFormat="1" ht="22.5" customHeight="1">
      <c r="A83" s="270" t="s">
        <v>625</v>
      </c>
      <c r="B83" s="271"/>
      <c r="C83" s="272" t="str">
        <f t="shared" ref="C83" ca="1" si="31">SUBSTITUTE(SUBSTITUTE(IF(-DOLLAR(E83),IF(E83&gt;0,,"负")&amp;TEXT(INT(ABS(E83)+0.5%),"[dbnum2]G/通用格式元;;")&amp;TEXT(RIGHT(DOLLAR(E83,2),2),"[dbnum2]0角0分;;整"),),"零角",IF(E83^2&lt;1,,"零")),"零分","整")</f>
        <v/>
      </c>
      <c r="D83" s="273"/>
      <c r="E83" s="274">
        <f t="shared" ref="E83:F83" ca="1" si="32">SUM(E77:E82)</f>
        <v>0</v>
      </c>
      <c r="F83" s="275">
        <f t="shared" ca="1" si="32"/>
        <v>0</v>
      </c>
      <c r="G83" s="276" t="str">
        <f t="shared" ca="1" si="29"/>
        <v/>
      </c>
      <c r="H83" s="277" t="str">
        <f t="shared" ca="1" si="29"/>
        <v/>
      </c>
      <c r="I83" s="278" t="str">
        <f t="shared" ca="1" si="29"/>
        <v/>
      </c>
      <c r="J83" s="279" t="str">
        <f t="shared" ca="1" si="29"/>
        <v/>
      </c>
      <c r="K83" s="277" t="str">
        <f t="shared" ca="1" si="29"/>
        <v/>
      </c>
      <c r="L83" s="278" t="str">
        <f t="shared" ca="1" si="29"/>
        <v/>
      </c>
      <c r="M83" s="279" t="str">
        <f t="shared" ca="1" si="29"/>
        <v/>
      </c>
      <c r="N83" s="277" t="str">
        <f t="shared" ca="1" si="29"/>
        <v/>
      </c>
      <c r="O83" s="278" t="str">
        <f t="shared" ca="1" si="29"/>
        <v/>
      </c>
      <c r="P83" s="279" t="str">
        <f t="shared" ca="1" si="29"/>
        <v/>
      </c>
      <c r="Q83" s="280" t="str">
        <f t="shared" ca="1" si="29"/>
        <v/>
      </c>
      <c r="R83" s="281" t="str">
        <f t="shared" ca="1" si="30"/>
        <v/>
      </c>
      <c r="S83" s="277" t="str">
        <f t="shared" ca="1" si="30"/>
        <v/>
      </c>
      <c r="T83" s="282" t="str">
        <f t="shared" ca="1" si="30"/>
        <v/>
      </c>
      <c r="U83" s="281" t="str">
        <f t="shared" ca="1" si="30"/>
        <v/>
      </c>
      <c r="V83" s="277" t="str">
        <f t="shared" ca="1" si="30"/>
        <v/>
      </c>
      <c r="W83" s="278" t="str">
        <f t="shared" ca="1" si="30"/>
        <v/>
      </c>
      <c r="X83" s="279" t="str">
        <f t="shared" ca="1" si="30"/>
        <v/>
      </c>
      <c r="Y83" s="277" t="str">
        <f t="shared" ca="1" si="30"/>
        <v/>
      </c>
      <c r="Z83" s="278" t="str">
        <f t="shared" ca="1" si="30"/>
        <v/>
      </c>
      <c r="AA83" s="279" t="str">
        <f t="shared" ca="1" si="30"/>
        <v/>
      </c>
      <c r="AB83" s="280" t="str">
        <f t="shared" ca="1" si="30"/>
        <v/>
      </c>
      <c r="AC83" s="283"/>
      <c r="AD83" s="212"/>
    </row>
    <row r="84" spans="1:30" s="22" customFormat="1" ht="22.5" customHeight="1">
      <c r="A84" s="284" t="s">
        <v>644</v>
      </c>
      <c r="B84" s="284"/>
      <c r="C84" s="284"/>
      <c r="D84" s="284" t="s">
        <v>645</v>
      </c>
      <c r="E84" s="284"/>
      <c r="F84" s="284"/>
      <c r="G84" s="284"/>
      <c r="H84" s="285"/>
      <c r="I84" s="284"/>
      <c r="J84" s="285"/>
      <c r="K84" s="285"/>
      <c r="L84" s="284"/>
      <c r="M84" s="285"/>
      <c r="N84" s="285"/>
      <c r="O84" s="285"/>
      <c r="P84" s="284"/>
      <c r="Q84" s="284" t="s">
        <v>646</v>
      </c>
      <c r="R84" s="284"/>
      <c r="S84" s="284"/>
      <c r="T84" s="284"/>
      <c r="U84" s="285"/>
      <c r="V84" s="284"/>
      <c r="W84" s="285"/>
      <c r="X84" s="284"/>
      <c r="Y84" s="284"/>
      <c r="Z84" s="285"/>
      <c r="AA84" s="285"/>
      <c r="AB84" s="285"/>
      <c r="AC84" s="286"/>
      <c r="AD84" s="212"/>
    </row>
    <row r="85" spans="1:30" ht="39.75" customHeight="1" thickBot="1">
      <c r="A85" s="226"/>
      <c r="B85" s="226"/>
      <c r="C85" s="227" t="s">
        <v>647</v>
      </c>
      <c r="D85" s="228"/>
      <c r="E85" s="226"/>
      <c r="F85" s="226"/>
      <c r="G85" s="228"/>
      <c r="H85" s="228"/>
      <c r="I85" s="228"/>
      <c r="J85" s="228"/>
      <c r="K85" s="228"/>
      <c r="L85" s="228"/>
      <c r="M85" s="228"/>
      <c r="N85" s="228"/>
      <c r="O85" s="228"/>
      <c r="P85" s="228"/>
      <c r="Q85" s="228"/>
      <c r="R85" s="229" t="s">
        <v>648</v>
      </c>
      <c r="S85" s="230"/>
      <c r="T85" s="230"/>
      <c r="U85" s="231" t="e">
        <f ca="1">DATE(AD$1,AF$1,INDEX(凭证录入!B:B,AD89))</f>
        <v>#VALUE!</v>
      </c>
      <c r="V85" s="232"/>
      <c r="W85" s="232"/>
      <c r="X85" s="232"/>
      <c r="Y85" s="232"/>
      <c r="Z85" s="232"/>
      <c r="AA85" s="232"/>
      <c r="AB85" s="232"/>
      <c r="AD85" s="212"/>
    </row>
    <row r="86" spans="1:30" s="45" customFormat="1" ht="23.25" customHeight="1" thickTop="1">
      <c r="A86" s="235" t="s">
        <v>649</v>
      </c>
      <c r="B86" s="235"/>
      <c r="C86" s="236" t="str">
        <f t="shared" si="17"/>
        <v>远大开发有限公司</v>
      </c>
      <c r="D86" s="236"/>
      <c r="E86" s="236"/>
      <c r="F86" s="236"/>
      <c r="G86" s="236"/>
      <c r="H86" s="236"/>
      <c r="I86" s="236"/>
      <c r="J86" s="236"/>
      <c r="K86" s="236"/>
      <c r="L86" s="236"/>
      <c r="M86" s="236"/>
      <c r="N86" s="236"/>
      <c r="O86" s="236"/>
      <c r="P86" s="236"/>
      <c r="Q86" s="236"/>
      <c r="R86" s="229" t="s">
        <v>650</v>
      </c>
      <c r="S86" s="229"/>
      <c r="T86" s="229"/>
      <c r="U86" s="237" t="str">
        <f t="shared" ref="U86" si="33">"第 "&amp;TEXT($AF$1,"00")&amp;TEXT($AC86,"0000 号")</f>
        <v>第 010007 号</v>
      </c>
      <c r="V86" s="237"/>
      <c r="W86" s="238"/>
      <c r="X86" s="238"/>
      <c r="Y86" s="238"/>
      <c r="Z86" s="238"/>
      <c r="AA86" s="238"/>
      <c r="AB86" s="238"/>
      <c r="AC86" s="239">
        <f t="shared" si="28"/>
        <v>7</v>
      </c>
      <c r="AD86" s="212"/>
    </row>
    <row r="87" spans="1:30" s="45" customFormat="1" ht="22.5" customHeight="1">
      <c r="A87" s="241" t="s">
        <v>651</v>
      </c>
      <c r="B87" s="542" t="s">
        <v>652</v>
      </c>
      <c r="C87" s="242" t="s">
        <v>653</v>
      </c>
      <c r="D87" s="243" t="s">
        <v>654</v>
      </c>
      <c r="E87" s="539" t="s">
        <v>655</v>
      </c>
      <c r="F87" s="539" t="s">
        <v>656</v>
      </c>
      <c r="G87" s="244" t="s">
        <v>657</v>
      </c>
      <c r="H87" s="245"/>
      <c r="I87" s="245"/>
      <c r="J87" s="245"/>
      <c r="K87" s="245"/>
      <c r="L87" s="245"/>
      <c r="M87" s="245"/>
      <c r="N87" s="245"/>
      <c r="O87" s="245"/>
      <c r="P87" s="245"/>
      <c r="Q87" s="246"/>
      <c r="R87" s="247" t="s">
        <v>658</v>
      </c>
      <c r="S87" s="245"/>
      <c r="T87" s="245"/>
      <c r="U87" s="245"/>
      <c r="V87" s="245"/>
      <c r="W87" s="245"/>
      <c r="X87" s="245"/>
      <c r="Y87" s="245"/>
      <c r="Z87" s="245"/>
      <c r="AA87" s="245"/>
      <c r="AB87" s="246"/>
      <c r="AC87" s="541" t="str">
        <f ca="1">"附单据数︵"&amp;INDEX(凭证录入!$D:$D,$AD$17)&amp;"︶张"</f>
        <v>附单据数︵4︶张</v>
      </c>
      <c r="AD87" s="235"/>
    </row>
    <row r="88" spans="1:30" s="45" customFormat="1" ht="22.5" customHeight="1">
      <c r="A88" s="248" t="s">
        <v>659</v>
      </c>
      <c r="B88" s="543"/>
      <c r="C88" s="249" t="s">
        <v>660</v>
      </c>
      <c r="D88" s="250" t="s">
        <v>660</v>
      </c>
      <c r="E88" s="540"/>
      <c r="F88" s="540"/>
      <c r="G88" s="251" t="s">
        <v>661</v>
      </c>
      <c r="H88" s="252" t="s">
        <v>662</v>
      </c>
      <c r="I88" s="253" t="s">
        <v>663</v>
      </c>
      <c r="J88" s="254" t="s">
        <v>664</v>
      </c>
      <c r="K88" s="252" t="s">
        <v>665</v>
      </c>
      <c r="L88" s="253" t="s">
        <v>662</v>
      </c>
      <c r="M88" s="254" t="s">
        <v>663</v>
      </c>
      <c r="N88" s="252" t="s">
        <v>664</v>
      </c>
      <c r="O88" s="253" t="s">
        <v>666</v>
      </c>
      <c r="P88" s="254" t="s">
        <v>667</v>
      </c>
      <c r="Q88" s="255" t="s">
        <v>668</v>
      </c>
      <c r="R88" s="256" t="s">
        <v>661</v>
      </c>
      <c r="S88" s="252" t="s">
        <v>662</v>
      </c>
      <c r="T88" s="257" t="s">
        <v>663</v>
      </c>
      <c r="U88" s="256" t="s">
        <v>664</v>
      </c>
      <c r="V88" s="252" t="s">
        <v>665</v>
      </c>
      <c r="W88" s="253" t="s">
        <v>662</v>
      </c>
      <c r="X88" s="254" t="s">
        <v>663</v>
      </c>
      <c r="Y88" s="252" t="s">
        <v>664</v>
      </c>
      <c r="Z88" s="253" t="s">
        <v>666</v>
      </c>
      <c r="AA88" s="254" t="s">
        <v>667</v>
      </c>
      <c r="AB88" s="255" t="s">
        <v>668</v>
      </c>
      <c r="AC88" s="541"/>
    </row>
    <row r="89" spans="1:30" s="45" customFormat="1" ht="22.5" customHeight="1">
      <c r="A89" s="258" t="str">
        <f ca="1">IFERROR(INDEX(凭证录入!H:H,$AD89),"")</f>
        <v/>
      </c>
      <c r="B89" s="259" t="str">
        <f ca="1">IFERROR(INDEX(凭证录入!I:I,$AD89),"")</f>
        <v/>
      </c>
      <c r="C89" s="260" t="str">
        <f ca="1">IFERROR(VLOOKUP($B89,会计科目表!$A:$C,2,),"")</f>
        <v/>
      </c>
      <c r="D89" s="261" t="str">
        <f ca="1">IFERROR(VLOOKUP($B89,会计科目表!$A:$C,3,),"")</f>
        <v/>
      </c>
      <c r="E89" s="262">
        <f ca="1">IFERROR(INDEX(凭证录入!K:K,$AD89),0)</f>
        <v>0</v>
      </c>
      <c r="F89" s="262">
        <f ca="1">IFERROR(INDEX(凭证录入!L:L,$AD89),0)</f>
        <v>0</v>
      </c>
      <c r="G89" s="263" t="str">
        <f t="shared" ca="1" si="29"/>
        <v/>
      </c>
      <c r="H89" s="264" t="str">
        <f t="shared" ca="1" si="29"/>
        <v/>
      </c>
      <c r="I89" s="265" t="str">
        <f t="shared" ca="1" si="29"/>
        <v/>
      </c>
      <c r="J89" s="266" t="str">
        <f t="shared" ca="1" si="29"/>
        <v/>
      </c>
      <c r="K89" s="264" t="str">
        <f t="shared" ca="1" si="29"/>
        <v/>
      </c>
      <c r="L89" s="265" t="str">
        <f t="shared" ca="1" si="29"/>
        <v/>
      </c>
      <c r="M89" s="266" t="str">
        <f t="shared" ca="1" si="29"/>
        <v/>
      </c>
      <c r="N89" s="264" t="str">
        <f t="shared" ca="1" si="29"/>
        <v/>
      </c>
      <c r="O89" s="265" t="str">
        <f t="shared" ca="1" si="29"/>
        <v/>
      </c>
      <c r="P89" s="266" t="str">
        <f t="shared" ca="1" si="29"/>
        <v/>
      </c>
      <c r="Q89" s="267" t="str">
        <f t="shared" ca="1" si="29"/>
        <v/>
      </c>
      <c r="R89" s="268" t="str">
        <f t="shared" ca="1" si="30"/>
        <v/>
      </c>
      <c r="S89" s="264" t="str">
        <f t="shared" ca="1" si="30"/>
        <v/>
      </c>
      <c r="T89" s="269" t="str">
        <f t="shared" ca="1" si="30"/>
        <v/>
      </c>
      <c r="U89" s="268" t="str">
        <f t="shared" ca="1" si="30"/>
        <v/>
      </c>
      <c r="V89" s="264" t="str">
        <f t="shared" ca="1" si="30"/>
        <v/>
      </c>
      <c r="W89" s="265" t="str">
        <f t="shared" ca="1" si="30"/>
        <v/>
      </c>
      <c r="X89" s="266" t="str">
        <f t="shared" ca="1" si="30"/>
        <v/>
      </c>
      <c r="Y89" s="264" t="str">
        <f t="shared" ca="1" si="30"/>
        <v/>
      </c>
      <c r="Z89" s="265" t="str">
        <f t="shared" ca="1" si="30"/>
        <v/>
      </c>
      <c r="AA89" s="266" t="str">
        <f t="shared" ca="1" si="30"/>
        <v/>
      </c>
      <c r="AB89" s="267" t="str">
        <f t="shared" ca="1" si="30"/>
        <v/>
      </c>
      <c r="AC89" s="541"/>
      <c r="AD89" s="212" t="str">
        <f t="shared" ca="1" si="14"/>
        <v/>
      </c>
    </row>
    <row r="90" spans="1:30" s="45" customFormat="1" ht="22.5" customHeight="1">
      <c r="A90" s="258" t="str">
        <f ca="1">IFERROR(INDEX(凭证录入!H:H,$AD90),"")</f>
        <v/>
      </c>
      <c r="B90" s="259" t="str">
        <f ca="1">IFERROR(INDEX(凭证录入!I:I,$AD90),"")</f>
        <v/>
      </c>
      <c r="C90" s="260" t="str">
        <f ca="1">IFERROR(VLOOKUP($B90,会计科目表!$A:$C,2,),"")</f>
        <v/>
      </c>
      <c r="D90" s="261" t="str">
        <f ca="1">IFERROR(VLOOKUP($B90,会计科目表!$A:$C,3,),"")</f>
        <v/>
      </c>
      <c r="E90" s="262">
        <f ca="1">IFERROR(INDEX(凭证录入!K:K,$AD90),0)</f>
        <v>0</v>
      </c>
      <c r="F90" s="262">
        <f ca="1">IFERROR(INDEX(凭证录入!L:L,$AD90),0)</f>
        <v>0</v>
      </c>
      <c r="G90" s="263" t="str">
        <f t="shared" ca="1" si="29"/>
        <v/>
      </c>
      <c r="H90" s="264" t="str">
        <f t="shared" ca="1" si="29"/>
        <v/>
      </c>
      <c r="I90" s="265" t="str">
        <f t="shared" ca="1" si="29"/>
        <v/>
      </c>
      <c r="J90" s="266" t="str">
        <f t="shared" ca="1" si="29"/>
        <v/>
      </c>
      <c r="K90" s="264" t="str">
        <f t="shared" ca="1" si="29"/>
        <v/>
      </c>
      <c r="L90" s="265" t="str">
        <f t="shared" ca="1" si="29"/>
        <v/>
      </c>
      <c r="M90" s="266" t="str">
        <f t="shared" ca="1" si="29"/>
        <v/>
      </c>
      <c r="N90" s="264" t="str">
        <f t="shared" ca="1" si="29"/>
        <v/>
      </c>
      <c r="O90" s="265" t="str">
        <f t="shared" ca="1" si="29"/>
        <v/>
      </c>
      <c r="P90" s="266" t="str">
        <f t="shared" ca="1" si="29"/>
        <v/>
      </c>
      <c r="Q90" s="267" t="str">
        <f t="shared" ca="1" si="29"/>
        <v/>
      </c>
      <c r="R90" s="268" t="str">
        <f t="shared" ca="1" si="30"/>
        <v/>
      </c>
      <c r="S90" s="264" t="str">
        <f t="shared" ca="1" si="30"/>
        <v/>
      </c>
      <c r="T90" s="269" t="str">
        <f t="shared" ca="1" si="30"/>
        <v/>
      </c>
      <c r="U90" s="268" t="str">
        <f t="shared" ca="1" si="30"/>
        <v/>
      </c>
      <c r="V90" s="264" t="str">
        <f t="shared" ca="1" si="30"/>
        <v/>
      </c>
      <c r="W90" s="265" t="str">
        <f t="shared" ca="1" si="30"/>
        <v/>
      </c>
      <c r="X90" s="266" t="str">
        <f t="shared" ca="1" si="30"/>
        <v/>
      </c>
      <c r="Y90" s="264" t="str">
        <f t="shared" ca="1" si="30"/>
        <v/>
      </c>
      <c r="Z90" s="265" t="str">
        <f t="shared" ca="1" si="30"/>
        <v/>
      </c>
      <c r="AA90" s="266" t="str">
        <f t="shared" ca="1" si="30"/>
        <v/>
      </c>
      <c r="AB90" s="267" t="str">
        <f t="shared" ca="1" si="30"/>
        <v/>
      </c>
      <c r="AC90" s="541"/>
      <c r="AD90" s="212" t="str">
        <f t="shared" ca="1" si="14"/>
        <v/>
      </c>
    </row>
    <row r="91" spans="1:30" s="45" customFormat="1" ht="22.5" customHeight="1">
      <c r="A91" s="258" t="str">
        <f ca="1">IFERROR(INDEX(凭证录入!H:H,$AD91),"")</f>
        <v/>
      </c>
      <c r="B91" s="259" t="str">
        <f ca="1">IFERROR(INDEX(凭证录入!I:I,$AD91),"")</f>
        <v/>
      </c>
      <c r="C91" s="260" t="str">
        <f ca="1">IFERROR(VLOOKUP($B91,会计科目表!$A:$C,2,),"")</f>
        <v/>
      </c>
      <c r="D91" s="261" t="str">
        <f ca="1">IFERROR(VLOOKUP($B91,会计科目表!$A:$C,3,),"")</f>
        <v/>
      </c>
      <c r="E91" s="262">
        <f ca="1">IFERROR(INDEX(凭证录入!K:K,$AD91),0)</f>
        <v>0</v>
      </c>
      <c r="F91" s="262">
        <f ca="1">IFERROR(INDEX(凭证录入!L:L,$AD91),0)</f>
        <v>0</v>
      </c>
      <c r="G91" s="263" t="str">
        <f t="shared" ca="1" si="29"/>
        <v/>
      </c>
      <c r="H91" s="264" t="str">
        <f t="shared" ca="1" si="29"/>
        <v/>
      </c>
      <c r="I91" s="265" t="str">
        <f t="shared" ca="1" si="29"/>
        <v/>
      </c>
      <c r="J91" s="266" t="str">
        <f t="shared" ca="1" si="29"/>
        <v/>
      </c>
      <c r="K91" s="264" t="str">
        <f t="shared" ca="1" si="29"/>
        <v/>
      </c>
      <c r="L91" s="265" t="str">
        <f t="shared" ca="1" si="29"/>
        <v/>
      </c>
      <c r="M91" s="266" t="str">
        <f t="shared" ca="1" si="29"/>
        <v/>
      </c>
      <c r="N91" s="264" t="str">
        <f t="shared" ca="1" si="29"/>
        <v/>
      </c>
      <c r="O91" s="265" t="str">
        <f t="shared" ca="1" si="29"/>
        <v/>
      </c>
      <c r="P91" s="266" t="str">
        <f t="shared" ca="1" si="29"/>
        <v/>
      </c>
      <c r="Q91" s="267" t="str">
        <f t="shared" ca="1" si="29"/>
        <v/>
      </c>
      <c r="R91" s="268" t="str">
        <f t="shared" ca="1" si="30"/>
        <v/>
      </c>
      <c r="S91" s="264" t="str">
        <f t="shared" ca="1" si="30"/>
        <v/>
      </c>
      <c r="T91" s="269" t="str">
        <f t="shared" ca="1" si="30"/>
        <v/>
      </c>
      <c r="U91" s="268" t="str">
        <f t="shared" ca="1" si="30"/>
        <v/>
      </c>
      <c r="V91" s="264" t="str">
        <f t="shared" ca="1" si="30"/>
        <v/>
      </c>
      <c r="W91" s="265" t="str">
        <f t="shared" ca="1" si="30"/>
        <v/>
      </c>
      <c r="X91" s="266" t="str">
        <f t="shared" ca="1" si="30"/>
        <v/>
      </c>
      <c r="Y91" s="264" t="str">
        <f t="shared" ca="1" si="30"/>
        <v/>
      </c>
      <c r="Z91" s="265" t="str">
        <f t="shared" ca="1" si="30"/>
        <v/>
      </c>
      <c r="AA91" s="266" t="str">
        <f t="shared" ca="1" si="30"/>
        <v/>
      </c>
      <c r="AB91" s="267" t="str">
        <f t="shared" ca="1" si="30"/>
        <v/>
      </c>
      <c r="AC91" s="536" t="s">
        <v>623</v>
      </c>
      <c r="AD91" s="212" t="str">
        <f t="shared" ca="1" si="14"/>
        <v/>
      </c>
    </row>
    <row r="92" spans="1:30" s="45" customFormat="1" ht="22.5" customHeight="1">
      <c r="A92" s="258" t="str">
        <f ca="1">IFERROR(INDEX(凭证录入!H:H,$AD92),"")</f>
        <v/>
      </c>
      <c r="B92" s="259" t="str">
        <f ca="1">IFERROR(INDEX(凭证录入!I:I,$AD92),"")</f>
        <v/>
      </c>
      <c r="C92" s="260" t="str">
        <f ca="1">IFERROR(VLOOKUP($B92,会计科目表!$A:$C,2,),"")</f>
        <v/>
      </c>
      <c r="D92" s="261" t="str">
        <f ca="1">IFERROR(VLOOKUP($B92,会计科目表!$A:$C,3,),"")</f>
        <v/>
      </c>
      <c r="E92" s="262">
        <f ca="1">IFERROR(INDEX(凭证录入!K:K,$AD92),0)</f>
        <v>0</v>
      </c>
      <c r="F92" s="262">
        <f ca="1">IFERROR(INDEX(凭证录入!L:L,$AD92),0)</f>
        <v>0</v>
      </c>
      <c r="G92" s="263" t="str">
        <f t="shared" ca="1" si="29"/>
        <v/>
      </c>
      <c r="H92" s="264" t="str">
        <f t="shared" ca="1" si="29"/>
        <v/>
      </c>
      <c r="I92" s="265" t="str">
        <f t="shared" ca="1" si="29"/>
        <v/>
      </c>
      <c r="J92" s="266" t="str">
        <f t="shared" ca="1" si="29"/>
        <v/>
      </c>
      <c r="K92" s="264" t="str">
        <f t="shared" ca="1" si="29"/>
        <v/>
      </c>
      <c r="L92" s="265" t="str">
        <f t="shared" ca="1" si="29"/>
        <v/>
      </c>
      <c r="M92" s="266" t="str">
        <f t="shared" ca="1" si="29"/>
        <v/>
      </c>
      <c r="N92" s="264" t="str">
        <f t="shared" ca="1" si="29"/>
        <v/>
      </c>
      <c r="O92" s="265" t="str">
        <f t="shared" ca="1" si="29"/>
        <v/>
      </c>
      <c r="P92" s="266" t="str">
        <f t="shared" ca="1" si="29"/>
        <v/>
      </c>
      <c r="Q92" s="267" t="str">
        <f t="shared" ca="1" si="29"/>
        <v/>
      </c>
      <c r="R92" s="268" t="str">
        <f t="shared" ca="1" si="30"/>
        <v/>
      </c>
      <c r="S92" s="264" t="str">
        <f t="shared" ca="1" si="30"/>
        <v/>
      </c>
      <c r="T92" s="269" t="str">
        <f t="shared" ca="1" si="30"/>
        <v/>
      </c>
      <c r="U92" s="268" t="str">
        <f t="shared" ca="1" si="30"/>
        <v/>
      </c>
      <c r="V92" s="264" t="str">
        <f t="shared" ca="1" si="30"/>
        <v/>
      </c>
      <c r="W92" s="265" t="str">
        <f t="shared" ca="1" si="30"/>
        <v/>
      </c>
      <c r="X92" s="266" t="str">
        <f t="shared" ca="1" si="30"/>
        <v/>
      </c>
      <c r="Y92" s="264" t="str">
        <f t="shared" ca="1" si="30"/>
        <v/>
      </c>
      <c r="Z92" s="265" t="str">
        <f t="shared" ca="1" si="30"/>
        <v/>
      </c>
      <c r="AA92" s="266" t="str">
        <f t="shared" ca="1" si="30"/>
        <v/>
      </c>
      <c r="AB92" s="267" t="str">
        <f t="shared" ca="1" si="30"/>
        <v/>
      </c>
      <c r="AC92" s="537"/>
      <c r="AD92" s="212" t="str">
        <f t="shared" ca="1" si="14"/>
        <v/>
      </c>
    </row>
    <row r="93" spans="1:30" s="45" customFormat="1" ht="22.5" customHeight="1">
      <c r="A93" s="258" t="str">
        <f ca="1">IFERROR(INDEX(凭证录入!H:H,$AD93),"")</f>
        <v/>
      </c>
      <c r="B93" s="259" t="str">
        <f ca="1">IFERROR(INDEX(凭证录入!I:I,$AD93),"")</f>
        <v/>
      </c>
      <c r="C93" s="260" t="str">
        <f ca="1">IFERROR(VLOOKUP($B93,会计科目表!$A:$C,2,),"")</f>
        <v/>
      </c>
      <c r="D93" s="261" t="str">
        <f ca="1">IFERROR(VLOOKUP($B93,会计科目表!$A:$C,3,),"")</f>
        <v/>
      </c>
      <c r="E93" s="262">
        <f ca="1">IFERROR(INDEX(凭证录入!K:K,$AD93),0)</f>
        <v>0</v>
      </c>
      <c r="F93" s="262">
        <f ca="1">IFERROR(INDEX(凭证录入!L:L,$AD93),0)</f>
        <v>0</v>
      </c>
      <c r="G93" s="263" t="str">
        <f t="shared" ca="1" si="29"/>
        <v/>
      </c>
      <c r="H93" s="264" t="str">
        <f t="shared" ca="1" si="29"/>
        <v/>
      </c>
      <c r="I93" s="265" t="str">
        <f t="shared" ca="1" si="29"/>
        <v/>
      </c>
      <c r="J93" s="266" t="str">
        <f t="shared" ca="1" si="29"/>
        <v/>
      </c>
      <c r="K93" s="264" t="str">
        <f t="shared" ca="1" si="29"/>
        <v/>
      </c>
      <c r="L93" s="265" t="str">
        <f t="shared" ca="1" si="29"/>
        <v/>
      </c>
      <c r="M93" s="266" t="str">
        <f t="shared" ca="1" si="29"/>
        <v/>
      </c>
      <c r="N93" s="264" t="str">
        <f t="shared" ca="1" si="29"/>
        <v/>
      </c>
      <c r="O93" s="265" t="str">
        <f t="shared" ca="1" si="29"/>
        <v/>
      </c>
      <c r="P93" s="266" t="str">
        <f t="shared" ca="1" si="29"/>
        <v/>
      </c>
      <c r="Q93" s="267" t="str">
        <f t="shared" ca="1" si="29"/>
        <v/>
      </c>
      <c r="R93" s="268" t="str">
        <f t="shared" ca="1" si="30"/>
        <v/>
      </c>
      <c r="S93" s="264" t="str">
        <f t="shared" ca="1" si="30"/>
        <v/>
      </c>
      <c r="T93" s="269" t="str">
        <f t="shared" ca="1" si="30"/>
        <v/>
      </c>
      <c r="U93" s="268" t="str">
        <f t="shared" ca="1" si="30"/>
        <v/>
      </c>
      <c r="V93" s="264" t="str">
        <f t="shared" ca="1" si="30"/>
        <v/>
      </c>
      <c r="W93" s="265" t="str">
        <f t="shared" ca="1" si="30"/>
        <v/>
      </c>
      <c r="X93" s="266" t="str">
        <f t="shared" ca="1" si="30"/>
        <v/>
      </c>
      <c r="Y93" s="264" t="str">
        <f t="shared" ca="1" si="30"/>
        <v/>
      </c>
      <c r="Z93" s="265" t="str">
        <f t="shared" ca="1" si="30"/>
        <v/>
      </c>
      <c r="AA93" s="266" t="str">
        <f t="shared" ca="1" si="30"/>
        <v/>
      </c>
      <c r="AB93" s="267" t="str">
        <f t="shared" ca="1" si="30"/>
        <v/>
      </c>
      <c r="AC93" s="538"/>
      <c r="AD93" s="212" t="str">
        <f t="shared" ref="AD93:AD154" ca="1" si="34">IFERROR(INDEX(记账行号,MOD(ROW()-4,12)),"")</f>
        <v/>
      </c>
    </row>
    <row r="94" spans="1:30" s="45" customFormat="1" ht="22.5" customHeight="1">
      <c r="A94" s="258" t="str">
        <f ca="1">IFERROR(INDEX(凭证录入!H:H,$AD94),"")</f>
        <v/>
      </c>
      <c r="B94" s="259" t="str">
        <f ca="1">IFERROR(INDEX(凭证录入!I:I,$AD94),"")</f>
        <v/>
      </c>
      <c r="C94" s="260" t="str">
        <f ca="1">IFERROR(VLOOKUP($B94,会计科目表!$A:$C,2,),"")</f>
        <v/>
      </c>
      <c r="D94" s="261" t="str">
        <f ca="1">IFERROR(VLOOKUP($B94,会计科目表!$A:$C,3,),"")</f>
        <v/>
      </c>
      <c r="E94" s="262">
        <f ca="1">IFERROR(INDEX(凭证录入!K:K,$AD94),0)</f>
        <v>0</v>
      </c>
      <c r="F94" s="262">
        <f ca="1">IFERROR(INDEX(凭证录入!L:L,$AD94),0)</f>
        <v>0</v>
      </c>
      <c r="G94" s="263" t="str">
        <f t="shared" ca="1" si="29"/>
        <v/>
      </c>
      <c r="H94" s="264" t="str">
        <f t="shared" ca="1" si="29"/>
        <v/>
      </c>
      <c r="I94" s="265" t="str">
        <f t="shared" ca="1" si="29"/>
        <v/>
      </c>
      <c r="J94" s="266" t="str">
        <f t="shared" ca="1" si="29"/>
        <v/>
      </c>
      <c r="K94" s="264" t="str">
        <f t="shared" ca="1" si="29"/>
        <v/>
      </c>
      <c r="L94" s="265" t="str">
        <f t="shared" ca="1" si="29"/>
        <v/>
      </c>
      <c r="M94" s="266" t="str">
        <f t="shared" ca="1" si="29"/>
        <v/>
      </c>
      <c r="N94" s="264" t="str">
        <f t="shared" ca="1" si="29"/>
        <v/>
      </c>
      <c r="O94" s="265" t="str">
        <f t="shared" ca="1" si="29"/>
        <v/>
      </c>
      <c r="P94" s="266" t="str">
        <f t="shared" ca="1" si="29"/>
        <v/>
      </c>
      <c r="Q94" s="267" t="str">
        <f t="shared" ca="1" si="29"/>
        <v/>
      </c>
      <c r="R94" s="268" t="str">
        <f t="shared" ca="1" si="30"/>
        <v/>
      </c>
      <c r="S94" s="264" t="str">
        <f t="shared" ca="1" si="30"/>
        <v/>
      </c>
      <c r="T94" s="269" t="str">
        <f t="shared" ca="1" si="30"/>
        <v/>
      </c>
      <c r="U94" s="268" t="str">
        <f t="shared" ca="1" si="30"/>
        <v/>
      </c>
      <c r="V94" s="264" t="str">
        <f t="shared" ca="1" si="30"/>
        <v/>
      </c>
      <c r="W94" s="265" t="str">
        <f t="shared" ca="1" si="30"/>
        <v/>
      </c>
      <c r="X94" s="266" t="str">
        <f t="shared" ca="1" si="30"/>
        <v/>
      </c>
      <c r="Y94" s="264" t="str">
        <f t="shared" ca="1" si="30"/>
        <v/>
      </c>
      <c r="Z94" s="265" t="str">
        <f t="shared" ca="1" si="30"/>
        <v/>
      </c>
      <c r="AA94" s="266" t="str">
        <f t="shared" ca="1" si="30"/>
        <v/>
      </c>
      <c r="AB94" s="267" t="str">
        <f t="shared" ca="1" si="30"/>
        <v/>
      </c>
      <c r="AC94" s="538"/>
      <c r="AD94" s="212" t="str">
        <f t="shared" ca="1" si="34"/>
        <v/>
      </c>
    </row>
    <row r="95" spans="1:30" s="45" customFormat="1" ht="22.5" customHeight="1">
      <c r="A95" s="270" t="s">
        <v>625</v>
      </c>
      <c r="B95" s="271"/>
      <c r="C95" s="272" t="str">
        <f t="shared" ref="C95" ca="1" si="35">SUBSTITUTE(SUBSTITUTE(IF(-DOLLAR(E95),IF(E95&gt;0,,"负")&amp;TEXT(INT(ABS(E95)+0.5%),"[dbnum2]G/通用格式元;;")&amp;TEXT(RIGHT(DOLLAR(E95,2),2),"[dbnum2]0角0分;;整"),),"零角",IF(E95^2&lt;1,,"零")),"零分","整")</f>
        <v/>
      </c>
      <c r="D95" s="273"/>
      <c r="E95" s="274">
        <f t="shared" ref="E95:F95" ca="1" si="36">SUM(E89:E94)</f>
        <v>0</v>
      </c>
      <c r="F95" s="275">
        <f t="shared" ca="1" si="36"/>
        <v>0</v>
      </c>
      <c r="G95" s="276" t="str">
        <f t="shared" ca="1" si="29"/>
        <v/>
      </c>
      <c r="H95" s="277" t="str">
        <f t="shared" ca="1" si="29"/>
        <v/>
      </c>
      <c r="I95" s="278" t="str">
        <f t="shared" ca="1" si="29"/>
        <v/>
      </c>
      <c r="J95" s="279" t="str">
        <f t="shared" ca="1" si="29"/>
        <v/>
      </c>
      <c r="K95" s="277" t="str">
        <f t="shared" ca="1" si="29"/>
        <v/>
      </c>
      <c r="L95" s="278" t="str">
        <f t="shared" ca="1" si="29"/>
        <v/>
      </c>
      <c r="M95" s="279" t="str">
        <f t="shared" ca="1" si="29"/>
        <v/>
      </c>
      <c r="N95" s="277" t="str">
        <f t="shared" ca="1" si="29"/>
        <v/>
      </c>
      <c r="O95" s="278" t="str">
        <f t="shared" ca="1" si="29"/>
        <v/>
      </c>
      <c r="P95" s="279" t="str">
        <f t="shared" ca="1" si="29"/>
        <v/>
      </c>
      <c r="Q95" s="280" t="str">
        <f t="shared" ca="1" si="29"/>
        <v/>
      </c>
      <c r="R95" s="281" t="str">
        <f t="shared" ca="1" si="30"/>
        <v/>
      </c>
      <c r="S95" s="277" t="str">
        <f t="shared" ca="1" si="30"/>
        <v/>
      </c>
      <c r="T95" s="282" t="str">
        <f t="shared" ca="1" si="30"/>
        <v/>
      </c>
      <c r="U95" s="281" t="str">
        <f t="shared" ca="1" si="30"/>
        <v/>
      </c>
      <c r="V95" s="277" t="str">
        <f t="shared" ca="1" si="30"/>
        <v/>
      </c>
      <c r="W95" s="278" t="str">
        <f t="shared" ca="1" si="30"/>
        <v/>
      </c>
      <c r="X95" s="279" t="str">
        <f t="shared" ca="1" si="30"/>
        <v/>
      </c>
      <c r="Y95" s="277" t="str">
        <f t="shared" ca="1" si="30"/>
        <v/>
      </c>
      <c r="Z95" s="278" t="str">
        <f t="shared" ca="1" si="30"/>
        <v/>
      </c>
      <c r="AA95" s="279" t="str">
        <f t="shared" ca="1" si="30"/>
        <v/>
      </c>
      <c r="AB95" s="280" t="str">
        <f t="shared" ca="1" si="30"/>
        <v/>
      </c>
      <c r="AC95" s="283"/>
      <c r="AD95" s="212"/>
    </row>
    <row r="96" spans="1:30" s="22" customFormat="1" ht="22.5" customHeight="1">
      <c r="A96" s="284" t="s">
        <v>627</v>
      </c>
      <c r="B96" s="284"/>
      <c r="C96" s="284"/>
      <c r="D96" s="284" t="s">
        <v>629</v>
      </c>
      <c r="E96" s="284"/>
      <c r="F96" s="284"/>
      <c r="G96" s="284"/>
      <c r="H96" s="285"/>
      <c r="I96" s="284"/>
      <c r="J96" s="285"/>
      <c r="K96" s="285"/>
      <c r="L96" s="284"/>
      <c r="M96" s="285"/>
      <c r="N96" s="285"/>
      <c r="O96" s="285"/>
      <c r="P96" s="284"/>
      <c r="Q96" s="284" t="s">
        <v>631</v>
      </c>
      <c r="R96" s="284"/>
      <c r="S96" s="284"/>
      <c r="T96" s="284"/>
      <c r="U96" s="285"/>
      <c r="V96" s="284"/>
      <c r="W96" s="285"/>
      <c r="X96" s="284"/>
      <c r="Y96" s="284"/>
      <c r="Z96" s="285"/>
      <c r="AA96" s="285"/>
      <c r="AB96" s="285"/>
      <c r="AC96" s="286"/>
      <c r="AD96" s="212"/>
    </row>
    <row r="97" spans="1:30" ht="39.75" customHeight="1" thickBot="1">
      <c r="A97" s="226"/>
      <c r="B97" s="226"/>
      <c r="C97" s="227" t="s">
        <v>632</v>
      </c>
      <c r="D97" s="228"/>
      <c r="E97" s="226"/>
      <c r="F97" s="226"/>
      <c r="G97" s="228"/>
      <c r="H97" s="228"/>
      <c r="I97" s="228"/>
      <c r="J97" s="228"/>
      <c r="K97" s="228"/>
      <c r="L97" s="228"/>
      <c r="M97" s="228"/>
      <c r="N97" s="228"/>
      <c r="O97" s="228"/>
      <c r="P97" s="228"/>
      <c r="Q97" s="228"/>
      <c r="R97" s="229" t="s">
        <v>633</v>
      </c>
      <c r="S97" s="230"/>
      <c r="T97" s="230"/>
      <c r="U97" s="231" t="e">
        <f ca="1">DATE(AD$1,AF$1,INDEX(凭证录入!B:B,AD101))</f>
        <v>#VALUE!</v>
      </c>
      <c r="V97" s="232"/>
      <c r="W97" s="232"/>
      <c r="X97" s="232"/>
      <c r="Y97" s="232"/>
      <c r="Z97" s="232"/>
      <c r="AA97" s="232"/>
      <c r="AB97" s="232"/>
      <c r="AD97" s="212"/>
    </row>
    <row r="98" spans="1:30" s="45" customFormat="1" ht="23.25" customHeight="1" thickTop="1">
      <c r="A98" s="235" t="s">
        <v>634</v>
      </c>
      <c r="B98" s="235"/>
      <c r="C98" s="236" t="str">
        <f t="shared" si="17"/>
        <v>远大开发有限公司</v>
      </c>
      <c r="D98" s="236"/>
      <c r="E98" s="236"/>
      <c r="F98" s="236"/>
      <c r="G98" s="236"/>
      <c r="H98" s="236"/>
      <c r="I98" s="236"/>
      <c r="J98" s="236"/>
      <c r="K98" s="236"/>
      <c r="L98" s="236"/>
      <c r="M98" s="236"/>
      <c r="N98" s="236"/>
      <c r="O98" s="236"/>
      <c r="P98" s="236"/>
      <c r="Q98" s="236"/>
      <c r="R98" s="229" t="s">
        <v>635</v>
      </c>
      <c r="S98" s="229"/>
      <c r="T98" s="229"/>
      <c r="U98" s="237" t="str">
        <f t="shared" ref="U98" si="37">"第 "&amp;TEXT($AF$1,"00")&amp;TEXT($AC98,"0000 号")</f>
        <v>第 010008 号</v>
      </c>
      <c r="V98" s="237"/>
      <c r="W98" s="238"/>
      <c r="X98" s="238"/>
      <c r="Y98" s="238"/>
      <c r="Z98" s="238"/>
      <c r="AA98" s="238"/>
      <c r="AB98" s="238"/>
      <c r="AC98" s="239">
        <f t="shared" si="28"/>
        <v>8</v>
      </c>
      <c r="AD98" s="212"/>
    </row>
    <row r="99" spans="1:30" s="45" customFormat="1" ht="22.5" customHeight="1">
      <c r="A99" s="241" t="s">
        <v>586</v>
      </c>
      <c r="B99" s="542" t="s">
        <v>587</v>
      </c>
      <c r="C99" s="242" t="s">
        <v>589</v>
      </c>
      <c r="D99" s="243" t="s">
        <v>591</v>
      </c>
      <c r="E99" s="539" t="s">
        <v>636</v>
      </c>
      <c r="F99" s="539" t="s">
        <v>637</v>
      </c>
      <c r="G99" s="244" t="s">
        <v>638</v>
      </c>
      <c r="H99" s="245"/>
      <c r="I99" s="245"/>
      <c r="J99" s="245"/>
      <c r="K99" s="245"/>
      <c r="L99" s="245"/>
      <c r="M99" s="245"/>
      <c r="N99" s="245"/>
      <c r="O99" s="245"/>
      <c r="P99" s="245"/>
      <c r="Q99" s="246"/>
      <c r="R99" s="247" t="s">
        <v>599</v>
      </c>
      <c r="S99" s="245"/>
      <c r="T99" s="245"/>
      <c r="U99" s="245"/>
      <c r="V99" s="245"/>
      <c r="W99" s="245"/>
      <c r="X99" s="245"/>
      <c r="Y99" s="245"/>
      <c r="Z99" s="245"/>
      <c r="AA99" s="245"/>
      <c r="AB99" s="246"/>
      <c r="AC99" s="541" t="str">
        <f ca="1">"附单据数︵"&amp;INDEX(凭证录入!$D:$D,$AD$17)&amp;"︶张"</f>
        <v>附单据数︵4︶张</v>
      </c>
      <c r="AD99" s="235"/>
    </row>
    <row r="100" spans="1:30" s="45" customFormat="1" ht="22.5" customHeight="1">
      <c r="A100" s="248" t="s">
        <v>601</v>
      </c>
      <c r="B100" s="543"/>
      <c r="C100" s="249" t="s">
        <v>603</v>
      </c>
      <c r="D100" s="250" t="s">
        <v>603</v>
      </c>
      <c r="E100" s="540"/>
      <c r="F100" s="540"/>
      <c r="G100" s="251" t="s">
        <v>605</v>
      </c>
      <c r="H100" s="252" t="s">
        <v>607</v>
      </c>
      <c r="I100" s="253" t="s">
        <v>609</v>
      </c>
      <c r="J100" s="254" t="s">
        <v>639</v>
      </c>
      <c r="K100" s="252" t="s">
        <v>640</v>
      </c>
      <c r="L100" s="253" t="s">
        <v>607</v>
      </c>
      <c r="M100" s="254" t="s">
        <v>609</v>
      </c>
      <c r="N100" s="252" t="s">
        <v>639</v>
      </c>
      <c r="O100" s="253" t="s">
        <v>641</v>
      </c>
      <c r="P100" s="254" t="s">
        <v>642</v>
      </c>
      <c r="Q100" s="255" t="s">
        <v>643</v>
      </c>
      <c r="R100" s="256" t="s">
        <v>605</v>
      </c>
      <c r="S100" s="252" t="s">
        <v>607</v>
      </c>
      <c r="T100" s="257" t="s">
        <v>609</v>
      </c>
      <c r="U100" s="256" t="s">
        <v>639</v>
      </c>
      <c r="V100" s="252" t="s">
        <v>640</v>
      </c>
      <c r="W100" s="253" t="s">
        <v>607</v>
      </c>
      <c r="X100" s="254" t="s">
        <v>609</v>
      </c>
      <c r="Y100" s="252" t="s">
        <v>639</v>
      </c>
      <c r="Z100" s="253" t="s">
        <v>641</v>
      </c>
      <c r="AA100" s="254" t="s">
        <v>642</v>
      </c>
      <c r="AB100" s="255" t="s">
        <v>643</v>
      </c>
      <c r="AC100" s="541"/>
    </row>
    <row r="101" spans="1:30" s="45" customFormat="1" ht="22.5" customHeight="1">
      <c r="A101" s="258" t="str">
        <f ca="1">IFERROR(INDEX(凭证录入!H:H,$AD101),"")</f>
        <v/>
      </c>
      <c r="B101" s="259" t="str">
        <f ca="1">IFERROR(INDEX(凭证录入!I:I,$AD101),"")</f>
        <v/>
      </c>
      <c r="C101" s="260" t="str">
        <f ca="1">IFERROR(VLOOKUP($B101,会计科目表!$A:$C,2,),"")</f>
        <v/>
      </c>
      <c r="D101" s="261" t="str">
        <f ca="1">IFERROR(VLOOKUP($B101,会计科目表!$A:$C,3,),"")</f>
        <v/>
      </c>
      <c r="E101" s="262">
        <f ca="1">IFERROR(INDEX(凭证录入!K:K,$AD101),0)</f>
        <v>0</v>
      </c>
      <c r="F101" s="262">
        <f ca="1">IFERROR(INDEX(凭证录入!L:L,$AD101),0)</f>
        <v>0</v>
      </c>
      <c r="G101" s="263" t="str">
        <f t="shared" ca="1" si="29"/>
        <v/>
      </c>
      <c r="H101" s="264" t="str">
        <f t="shared" ca="1" si="29"/>
        <v/>
      </c>
      <c r="I101" s="265" t="str">
        <f t="shared" ca="1" si="29"/>
        <v/>
      </c>
      <c r="J101" s="266" t="str">
        <f t="shared" ca="1" si="29"/>
        <v/>
      </c>
      <c r="K101" s="264" t="str">
        <f t="shared" ca="1" si="29"/>
        <v/>
      </c>
      <c r="L101" s="265" t="str">
        <f t="shared" ca="1" si="29"/>
        <v/>
      </c>
      <c r="M101" s="266" t="str">
        <f t="shared" ca="1" si="29"/>
        <v/>
      </c>
      <c r="N101" s="264" t="str">
        <f t="shared" ca="1" si="29"/>
        <v/>
      </c>
      <c r="O101" s="265" t="str">
        <f t="shared" ca="1" si="29"/>
        <v/>
      </c>
      <c r="P101" s="266" t="str">
        <f t="shared" ca="1" si="29"/>
        <v/>
      </c>
      <c r="Q101" s="267" t="str">
        <f t="shared" ca="1" si="29"/>
        <v/>
      </c>
      <c r="R101" s="268" t="str">
        <f t="shared" ca="1" si="30"/>
        <v/>
      </c>
      <c r="S101" s="264" t="str">
        <f t="shared" ca="1" si="30"/>
        <v/>
      </c>
      <c r="T101" s="269" t="str">
        <f t="shared" ca="1" si="30"/>
        <v/>
      </c>
      <c r="U101" s="268" t="str">
        <f t="shared" ca="1" si="30"/>
        <v/>
      </c>
      <c r="V101" s="264" t="str">
        <f t="shared" ca="1" si="30"/>
        <v/>
      </c>
      <c r="W101" s="265" t="str">
        <f t="shared" ca="1" si="30"/>
        <v/>
      </c>
      <c r="X101" s="266" t="str">
        <f t="shared" ca="1" si="30"/>
        <v/>
      </c>
      <c r="Y101" s="264" t="str">
        <f t="shared" ca="1" si="30"/>
        <v/>
      </c>
      <c r="Z101" s="265" t="str">
        <f t="shared" ca="1" si="30"/>
        <v/>
      </c>
      <c r="AA101" s="266" t="str">
        <f t="shared" ca="1" si="30"/>
        <v/>
      </c>
      <c r="AB101" s="267" t="str">
        <f t="shared" ca="1" si="30"/>
        <v/>
      </c>
      <c r="AC101" s="541"/>
      <c r="AD101" s="212" t="str">
        <f t="shared" ca="1" si="34"/>
        <v/>
      </c>
    </row>
    <row r="102" spans="1:30" s="45" customFormat="1" ht="22.5" customHeight="1">
      <c r="A102" s="258" t="str">
        <f ca="1">IFERROR(INDEX(凭证录入!H:H,$AD102),"")</f>
        <v/>
      </c>
      <c r="B102" s="259" t="str">
        <f ca="1">IFERROR(INDEX(凭证录入!I:I,$AD102),"")</f>
        <v/>
      </c>
      <c r="C102" s="260" t="str">
        <f ca="1">IFERROR(VLOOKUP($B102,会计科目表!$A:$C,2,),"")</f>
        <v/>
      </c>
      <c r="D102" s="261" t="str">
        <f ca="1">IFERROR(VLOOKUP($B102,会计科目表!$A:$C,3,),"")</f>
        <v/>
      </c>
      <c r="E102" s="262">
        <f ca="1">IFERROR(INDEX(凭证录入!K:K,$AD102),0)</f>
        <v>0</v>
      </c>
      <c r="F102" s="262">
        <f ca="1">IFERROR(INDEX(凭证录入!L:L,$AD102),0)</f>
        <v>0</v>
      </c>
      <c r="G102" s="263" t="str">
        <f t="shared" ca="1" si="29"/>
        <v/>
      </c>
      <c r="H102" s="264" t="str">
        <f t="shared" ca="1" si="29"/>
        <v/>
      </c>
      <c r="I102" s="265" t="str">
        <f t="shared" ca="1" si="29"/>
        <v/>
      </c>
      <c r="J102" s="266" t="str">
        <f t="shared" ca="1" si="29"/>
        <v/>
      </c>
      <c r="K102" s="264" t="str">
        <f t="shared" ca="1" si="29"/>
        <v/>
      </c>
      <c r="L102" s="265" t="str">
        <f t="shared" ca="1" si="29"/>
        <v/>
      </c>
      <c r="M102" s="266" t="str">
        <f t="shared" ca="1" si="29"/>
        <v/>
      </c>
      <c r="N102" s="264" t="str">
        <f t="shared" ca="1" si="29"/>
        <v/>
      </c>
      <c r="O102" s="265" t="str">
        <f t="shared" ca="1" si="29"/>
        <v/>
      </c>
      <c r="P102" s="266" t="str">
        <f t="shared" ca="1" si="29"/>
        <v/>
      </c>
      <c r="Q102" s="267" t="str">
        <f t="shared" ca="1" si="29"/>
        <v/>
      </c>
      <c r="R102" s="268" t="str">
        <f t="shared" ca="1" si="30"/>
        <v/>
      </c>
      <c r="S102" s="264" t="str">
        <f t="shared" ca="1" si="30"/>
        <v/>
      </c>
      <c r="T102" s="269" t="str">
        <f t="shared" ca="1" si="30"/>
        <v/>
      </c>
      <c r="U102" s="268" t="str">
        <f t="shared" ca="1" si="30"/>
        <v/>
      </c>
      <c r="V102" s="264" t="str">
        <f t="shared" ca="1" si="30"/>
        <v/>
      </c>
      <c r="W102" s="265" t="str">
        <f t="shared" ca="1" si="30"/>
        <v/>
      </c>
      <c r="X102" s="266" t="str">
        <f t="shared" ca="1" si="30"/>
        <v/>
      </c>
      <c r="Y102" s="264" t="str">
        <f t="shared" ca="1" si="30"/>
        <v/>
      </c>
      <c r="Z102" s="265" t="str">
        <f t="shared" ca="1" si="30"/>
        <v/>
      </c>
      <c r="AA102" s="266" t="str">
        <f t="shared" ca="1" si="30"/>
        <v/>
      </c>
      <c r="AB102" s="267" t="str">
        <f t="shared" ca="1" si="30"/>
        <v/>
      </c>
      <c r="AC102" s="541"/>
      <c r="AD102" s="212" t="str">
        <f t="shared" ca="1" si="34"/>
        <v/>
      </c>
    </row>
    <row r="103" spans="1:30" s="45" customFormat="1" ht="22.5" customHeight="1">
      <c r="A103" s="258" t="str">
        <f ca="1">IFERROR(INDEX(凭证录入!H:H,$AD103),"")</f>
        <v/>
      </c>
      <c r="B103" s="259" t="str">
        <f ca="1">IFERROR(INDEX(凭证录入!I:I,$AD103),"")</f>
        <v/>
      </c>
      <c r="C103" s="260" t="str">
        <f ca="1">IFERROR(VLOOKUP($B103,会计科目表!$A:$C,2,),"")</f>
        <v/>
      </c>
      <c r="D103" s="261" t="str">
        <f ca="1">IFERROR(VLOOKUP($B103,会计科目表!$A:$C,3,),"")</f>
        <v/>
      </c>
      <c r="E103" s="262">
        <f ca="1">IFERROR(INDEX(凭证录入!K:K,$AD103),0)</f>
        <v>0</v>
      </c>
      <c r="F103" s="262">
        <f ca="1">IFERROR(INDEX(凭证录入!L:L,$AD103),0)</f>
        <v>0</v>
      </c>
      <c r="G103" s="263" t="str">
        <f t="shared" ca="1" si="29"/>
        <v/>
      </c>
      <c r="H103" s="264" t="str">
        <f t="shared" ca="1" si="29"/>
        <v/>
      </c>
      <c r="I103" s="265" t="str">
        <f t="shared" ca="1" si="29"/>
        <v/>
      </c>
      <c r="J103" s="266" t="str">
        <f t="shared" ca="1" si="29"/>
        <v/>
      </c>
      <c r="K103" s="264" t="str">
        <f t="shared" ca="1" si="29"/>
        <v/>
      </c>
      <c r="L103" s="265" t="str">
        <f t="shared" ca="1" si="29"/>
        <v/>
      </c>
      <c r="M103" s="266" t="str">
        <f t="shared" ca="1" si="29"/>
        <v/>
      </c>
      <c r="N103" s="264" t="str">
        <f t="shared" ca="1" si="29"/>
        <v/>
      </c>
      <c r="O103" s="265" t="str">
        <f t="shared" ca="1" si="29"/>
        <v/>
      </c>
      <c r="P103" s="266" t="str">
        <f t="shared" ca="1" si="29"/>
        <v/>
      </c>
      <c r="Q103" s="267" t="str">
        <f t="shared" ca="1" si="29"/>
        <v/>
      </c>
      <c r="R103" s="268" t="str">
        <f t="shared" ca="1" si="30"/>
        <v/>
      </c>
      <c r="S103" s="264" t="str">
        <f t="shared" ca="1" si="30"/>
        <v/>
      </c>
      <c r="T103" s="269" t="str">
        <f t="shared" ca="1" si="30"/>
        <v/>
      </c>
      <c r="U103" s="268" t="str">
        <f t="shared" ca="1" si="30"/>
        <v/>
      </c>
      <c r="V103" s="264" t="str">
        <f t="shared" ca="1" si="30"/>
        <v/>
      </c>
      <c r="W103" s="265" t="str">
        <f t="shared" ca="1" si="30"/>
        <v/>
      </c>
      <c r="X103" s="266" t="str">
        <f t="shared" ca="1" si="30"/>
        <v/>
      </c>
      <c r="Y103" s="264" t="str">
        <f t="shared" ca="1" si="30"/>
        <v/>
      </c>
      <c r="Z103" s="265" t="str">
        <f t="shared" ca="1" si="30"/>
        <v/>
      </c>
      <c r="AA103" s="266" t="str">
        <f t="shared" ca="1" si="30"/>
        <v/>
      </c>
      <c r="AB103" s="267" t="str">
        <f t="shared" ca="1" si="30"/>
        <v/>
      </c>
      <c r="AC103" s="536" t="s">
        <v>669</v>
      </c>
      <c r="AD103" s="212" t="str">
        <f t="shared" ca="1" si="34"/>
        <v/>
      </c>
    </row>
    <row r="104" spans="1:30" s="45" customFormat="1" ht="22.5" customHeight="1">
      <c r="A104" s="258" t="str">
        <f ca="1">IFERROR(INDEX(凭证录入!H:H,$AD104),"")</f>
        <v/>
      </c>
      <c r="B104" s="259" t="str">
        <f ca="1">IFERROR(INDEX(凭证录入!I:I,$AD104),"")</f>
        <v/>
      </c>
      <c r="C104" s="260" t="str">
        <f ca="1">IFERROR(VLOOKUP($B104,会计科目表!$A:$C,2,),"")</f>
        <v/>
      </c>
      <c r="D104" s="261" t="str">
        <f ca="1">IFERROR(VLOOKUP($B104,会计科目表!$A:$C,3,),"")</f>
        <v/>
      </c>
      <c r="E104" s="262">
        <f ca="1">IFERROR(INDEX(凭证录入!K:K,$AD104),0)</f>
        <v>0</v>
      </c>
      <c r="F104" s="262">
        <f ca="1">IFERROR(INDEX(凭证录入!L:L,$AD104),0)</f>
        <v>0</v>
      </c>
      <c r="G104" s="263" t="str">
        <f t="shared" ca="1" si="29"/>
        <v/>
      </c>
      <c r="H104" s="264" t="str">
        <f t="shared" ca="1" si="29"/>
        <v/>
      </c>
      <c r="I104" s="265" t="str">
        <f t="shared" ca="1" si="29"/>
        <v/>
      </c>
      <c r="J104" s="266" t="str">
        <f t="shared" ca="1" si="29"/>
        <v/>
      </c>
      <c r="K104" s="264" t="str">
        <f t="shared" ca="1" si="29"/>
        <v/>
      </c>
      <c r="L104" s="265" t="str">
        <f t="shared" ca="1" si="29"/>
        <v/>
      </c>
      <c r="M104" s="266" t="str">
        <f t="shared" ca="1" si="29"/>
        <v/>
      </c>
      <c r="N104" s="264" t="str">
        <f t="shared" ca="1" si="29"/>
        <v/>
      </c>
      <c r="O104" s="265" t="str">
        <f t="shared" ca="1" si="29"/>
        <v/>
      </c>
      <c r="P104" s="266" t="str">
        <f t="shared" ca="1" si="29"/>
        <v/>
      </c>
      <c r="Q104" s="267" t="str">
        <f t="shared" ca="1" si="29"/>
        <v/>
      </c>
      <c r="R104" s="268" t="str">
        <f t="shared" ca="1" si="30"/>
        <v/>
      </c>
      <c r="S104" s="264" t="str">
        <f t="shared" ca="1" si="30"/>
        <v/>
      </c>
      <c r="T104" s="269" t="str">
        <f t="shared" ca="1" si="30"/>
        <v/>
      </c>
      <c r="U104" s="268" t="str">
        <f t="shared" ca="1" si="30"/>
        <v/>
      </c>
      <c r="V104" s="264" t="str">
        <f t="shared" ca="1" si="30"/>
        <v/>
      </c>
      <c r="W104" s="265" t="str">
        <f t="shared" ca="1" si="30"/>
        <v/>
      </c>
      <c r="X104" s="266" t="str">
        <f t="shared" ca="1" si="30"/>
        <v/>
      </c>
      <c r="Y104" s="264" t="str">
        <f t="shared" ca="1" si="30"/>
        <v/>
      </c>
      <c r="Z104" s="265" t="str">
        <f t="shared" ca="1" si="30"/>
        <v/>
      </c>
      <c r="AA104" s="266" t="str">
        <f t="shared" ca="1" si="30"/>
        <v/>
      </c>
      <c r="AB104" s="267" t="str">
        <f t="shared" ca="1" si="30"/>
        <v/>
      </c>
      <c r="AC104" s="537"/>
      <c r="AD104" s="212" t="str">
        <f t="shared" ca="1" si="34"/>
        <v/>
      </c>
    </row>
    <row r="105" spans="1:30" s="45" customFormat="1" ht="22.5" customHeight="1">
      <c r="A105" s="258" t="str">
        <f ca="1">IFERROR(INDEX(凭证录入!H:H,$AD105),"")</f>
        <v/>
      </c>
      <c r="B105" s="259" t="str">
        <f ca="1">IFERROR(INDEX(凭证录入!I:I,$AD105),"")</f>
        <v/>
      </c>
      <c r="C105" s="260" t="str">
        <f ca="1">IFERROR(VLOOKUP($B105,会计科目表!$A:$C,2,),"")</f>
        <v/>
      </c>
      <c r="D105" s="261" t="str">
        <f ca="1">IFERROR(VLOOKUP($B105,会计科目表!$A:$C,3,),"")</f>
        <v/>
      </c>
      <c r="E105" s="262">
        <f ca="1">IFERROR(INDEX(凭证录入!K:K,$AD105),0)</f>
        <v>0</v>
      </c>
      <c r="F105" s="262">
        <f ca="1">IFERROR(INDEX(凭证录入!L:L,$AD105),0)</f>
        <v>0</v>
      </c>
      <c r="G105" s="263" t="str">
        <f t="shared" ca="1" si="29"/>
        <v/>
      </c>
      <c r="H105" s="264" t="str">
        <f t="shared" ca="1" si="29"/>
        <v/>
      </c>
      <c r="I105" s="265" t="str">
        <f t="shared" ca="1" si="29"/>
        <v/>
      </c>
      <c r="J105" s="266" t="str">
        <f t="shared" ca="1" si="29"/>
        <v/>
      </c>
      <c r="K105" s="264" t="str">
        <f t="shared" ca="1" si="29"/>
        <v/>
      </c>
      <c r="L105" s="265" t="str">
        <f t="shared" ca="1" si="29"/>
        <v/>
      </c>
      <c r="M105" s="266" t="str">
        <f t="shared" ca="1" si="29"/>
        <v/>
      </c>
      <c r="N105" s="264" t="str">
        <f t="shared" ca="1" si="29"/>
        <v/>
      </c>
      <c r="O105" s="265" t="str">
        <f t="shared" ca="1" si="29"/>
        <v/>
      </c>
      <c r="P105" s="266" t="str">
        <f t="shared" ca="1" si="29"/>
        <v/>
      </c>
      <c r="Q105" s="267" t="str">
        <f t="shared" ca="1" si="29"/>
        <v/>
      </c>
      <c r="R105" s="268" t="str">
        <f t="shared" ca="1" si="30"/>
        <v/>
      </c>
      <c r="S105" s="264" t="str">
        <f t="shared" ca="1" si="30"/>
        <v/>
      </c>
      <c r="T105" s="269" t="str">
        <f t="shared" ca="1" si="30"/>
        <v/>
      </c>
      <c r="U105" s="268" t="str">
        <f t="shared" ca="1" si="30"/>
        <v/>
      </c>
      <c r="V105" s="264" t="str">
        <f t="shared" ca="1" si="30"/>
        <v/>
      </c>
      <c r="W105" s="265" t="str">
        <f t="shared" ca="1" si="30"/>
        <v/>
      </c>
      <c r="X105" s="266" t="str">
        <f t="shared" ca="1" si="30"/>
        <v/>
      </c>
      <c r="Y105" s="264" t="str">
        <f t="shared" ca="1" si="30"/>
        <v/>
      </c>
      <c r="Z105" s="265" t="str">
        <f t="shared" ca="1" si="30"/>
        <v/>
      </c>
      <c r="AA105" s="266" t="str">
        <f t="shared" ca="1" si="30"/>
        <v/>
      </c>
      <c r="AB105" s="267" t="str">
        <f t="shared" ca="1" si="30"/>
        <v/>
      </c>
      <c r="AC105" s="538"/>
      <c r="AD105" s="212" t="str">
        <f t="shared" ca="1" si="34"/>
        <v/>
      </c>
    </row>
    <row r="106" spans="1:30" s="45" customFormat="1" ht="22.5" customHeight="1">
      <c r="A106" s="258" t="str">
        <f ca="1">IFERROR(INDEX(凭证录入!H:H,$AD106),"")</f>
        <v/>
      </c>
      <c r="B106" s="259" t="str">
        <f ca="1">IFERROR(INDEX(凭证录入!I:I,$AD106),"")</f>
        <v/>
      </c>
      <c r="C106" s="260" t="str">
        <f ca="1">IFERROR(VLOOKUP($B106,会计科目表!$A:$C,2,),"")</f>
        <v/>
      </c>
      <c r="D106" s="261" t="str">
        <f ca="1">IFERROR(VLOOKUP($B106,会计科目表!$A:$C,3,),"")</f>
        <v/>
      </c>
      <c r="E106" s="262">
        <f ca="1">IFERROR(INDEX(凭证录入!K:K,$AD106),0)</f>
        <v>0</v>
      </c>
      <c r="F106" s="262">
        <f ca="1">IFERROR(INDEX(凭证录入!L:L,$AD106),0)</f>
        <v>0</v>
      </c>
      <c r="G106" s="263" t="str">
        <f t="shared" ca="1" si="29"/>
        <v/>
      </c>
      <c r="H106" s="264" t="str">
        <f t="shared" ca="1" si="29"/>
        <v/>
      </c>
      <c r="I106" s="265" t="str">
        <f t="shared" ca="1" si="29"/>
        <v/>
      </c>
      <c r="J106" s="266" t="str">
        <f t="shared" ca="1" si="29"/>
        <v/>
      </c>
      <c r="K106" s="264" t="str">
        <f t="shared" ca="1" si="29"/>
        <v/>
      </c>
      <c r="L106" s="265" t="str">
        <f t="shared" ca="1" si="29"/>
        <v/>
      </c>
      <c r="M106" s="266" t="str">
        <f t="shared" ca="1" si="29"/>
        <v/>
      </c>
      <c r="N106" s="264" t="str">
        <f t="shared" ca="1" si="29"/>
        <v/>
      </c>
      <c r="O106" s="265" t="str">
        <f t="shared" ca="1" si="29"/>
        <v/>
      </c>
      <c r="P106" s="266" t="str">
        <f t="shared" ca="1" si="29"/>
        <v/>
      </c>
      <c r="Q106" s="267" t="str">
        <f t="shared" ca="1" si="29"/>
        <v/>
      </c>
      <c r="R106" s="268" t="str">
        <f t="shared" ca="1" si="30"/>
        <v/>
      </c>
      <c r="S106" s="264" t="str">
        <f t="shared" ca="1" si="30"/>
        <v/>
      </c>
      <c r="T106" s="269" t="str">
        <f t="shared" ca="1" si="30"/>
        <v/>
      </c>
      <c r="U106" s="268" t="str">
        <f t="shared" ca="1" si="30"/>
        <v/>
      </c>
      <c r="V106" s="264" t="str">
        <f t="shared" ca="1" si="30"/>
        <v/>
      </c>
      <c r="W106" s="265" t="str">
        <f t="shared" ca="1" si="30"/>
        <v/>
      </c>
      <c r="X106" s="266" t="str">
        <f t="shared" ca="1" si="30"/>
        <v/>
      </c>
      <c r="Y106" s="264" t="str">
        <f t="shared" ca="1" si="30"/>
        <v/>
      </c>
      <c r="Z106" s="265" t="str">
        <f t="shared" ca="1" si="30"/>
        <v/>
      </c>
      <c r="AA106" s="266" t="str">
        <f t="shared" ca="1" si="30"/>
        <v/>
      </c>
      <c r="AB106" s="267" t="str">
        <f t="shared" ca="1" si="30"/>
        <v/>
      </c>
      <c r="AC106" s="538"/>
      <c r="AD106" s="212" t="str">
        <f t="shared" ca="1" si="34"/>
        <v/>
      </c>
    </row>
    <row r="107" spans="1:30" s="45" customFormat="1" ht="22.5" customHeight="1">
      <c r="A107" s="270" t="s">
        <v>670</v>
      </c>
      <c r="B107" s="271"/>
      <c r="C107" s="272" t="str">
        <f t="shared" ref="C107" ca="1" si="38">SUBSTITUTE(SUBSTITUTE(IF(-DOLLAR(E107),IF(E107&gt;0,,"负")&amp;TEXT(INT(ABS(E107)+0.5%),"[dbnum2]G/通用格式元;;")&amp;TEXT(RIGHT(DOLLAR(E107,2),2),"[dbnum2]0角0分;;整"),),"零角",IF(E107^2&lt;1,,"零")),"零分","整")</f>
        <v/>
      </c>
      <c r="D107" s="273"/>
      <c r="E107" s="274">
        <f t="shared" ref="E107:F107" ca="1" si="39">SUM(E101:E106)</f>
        <v>0</v>
      </c>
      <c r="F107" s="275">
        <f t="shared" ca="1" si="39"/>
        <v>0</v>
      </c>
      <c r="G107" s="276" t="str">
        <f t="shared" ca="1" si="29"/>
        <v/>
      </c>
      <c r="H107" s="277" t="str">
        <f t="shared" ca="1" si="29"/>
        <v/>
      </c>
      <c r="I107" s="278" t="str">
        <f t="shared" ca="1" si="29"/>
        <v/>
      </c>
      <c r="J107" s="279" t="str">
        <f t="shared" ca="1" si="29"/>
        <v/>
      </c>
      <c r="K107" s="277" t="str">
        <f t="shared" ca="1" si="29"/>
        <v/>
      </c>
      <c r="L107" s="278" t="str">
        <f t="shared" ca="1" si="29"/>
        <v/>
      </c>
      <c r="M107" s="279" t="str">
        <f t="shared" ca="1" si="29"/>
        <v/>
      </c>
      <c r="N107" s="277" t="str">
        <f t="shared" ca="1" si="29"/>
        <v/>
      </c>
      <c r="O107" s="278" t="str">
        <f t="shared" ca="1" si="29"/>
        <v/>
      </c>
      <c r="P107" s="279" t="str">
        <f t="shared" ca="1" si="29"/>
        <v/>
      </c>
      <c r="Q107" s="280" t="str">
        <f t="shared" ca="1" si="29"/>
        <v/>
      </c>
      <c r="R107" s="281" t="str">
        <f t="shared" ca="1" si="30"/>
        <v/>
      </c>
      <c r="S107" s="277" t="str">
        <f t="shared" ca="1" si="30"/>
        <v/>
      </c>
      <c r="T107" s="282" t="str">
        <f t="shared" ca="1" si="30"/>
        <v/>
      </c>
      <c r="U107" s="281" t="str">
        <f t="shared" ca="1" si="30"/>
        <v/>
      </c>
      <c r="V107" s="277" t="str">
        <f t="shared" ca="1" si="30"/>
        <v/>
      </c>
      <c r="W107" s="278" t="str">
        <f t="shared" ca="1" si="30"/>
        <v/>
      </c>
      <c r="X107" s="279" t="str">
        <f t="shared" ca="1" si="30"/>
        <v/>
      </c>
      <c r="Y107" s="277" t="str">
        <f t="shared" ca="1" si="30"/>
        <v/>
      </c>
      <c r="Z107" s="278" t="str">
        <f t="shared" ca="1" si="30"/>
        <v/>
      </c>
      <c r="AA107" s="279" t="str">
        <f t="shared" ca="1" si="30"/>
        <v/>
      </c>
      <c r="AB107" s="280" t="str">
        <f t="shared" ca="1" si="30"/>
        <v/>
      </c>
      <c r="AC107" s="283"/>
      <c r="AD107" s="212"/>
    </row>
    <row r="108" spans="1:30" s="22" customFormat="1" ht="22.5" customHeight="1">
      <c r="A108" s="284" t="s">
        <v>644</v>
      </c>
      <c r="B108" s="284"/>
      <c r="C108" s="284"/>
      <c r="D108" s="284" t="s">
        <v>645</v>
      </c>
      <c r="E108" s="284"/>
      <c r="F108" s="284"/>
      <c r="G108" s="284"/>
      <c r="H108" s="285"/>
      <c r="I108" s="284"/>
      <c r="J108" s="285"/>
      <c r="K108" s="285"/>
      <c r="L108" s="284"/>
      <c r="M108" s="285"/>
      <c r="N108" s="285"/>
      <c r="O108" s="285"/>
      <c r="P108" s="284"/>
      <c r="Q108" s="284" t="s">
        <v>646</v>
      </c>
      <c r="R108" s="284"/>
      <c r="S108" s="284"/>
      <c r="T108" s="284"/>
      <c r="U108" s="285"/>
      <c r="V108" s="284"/>
      <c r="W108" s="285"/>
      <c r="X108" s="284"/>
      <c r="Y108" s="284"/>
      <c r="Z108" s="285"/>
      <c r="AA108" s="285"/>
      <c r="AB108" s="285"/>
      <c r="AC108" s="286"/>
      <c r="AD108" s="212"/>
    </row>
    <row r="109" spans="1:30" ht="39.75" customHeight="1" thickBot="1">
      <c r="A109" s="226"/>
      <c r="B109" s="226"/>
      <c r="C109" s="227" t="s">
        <v>647</v>
      </c>
      <c r="D109" s="228"/>
      <c r="E109" s="226"/>
      <c r="F109" s="226"/>
      <c r="G109" s="228"/>
      <c r="H109" s="228"/>
      <c r="I109" s="228"/>
      <c r="J109" s="228"/>
      <c r="K109" s="228"/>
      <c r="L109" s="228"/>
      <c r="M109" s="228"/>
      <c r="N109" s="228"/>
      <c r="O109" s="228"/>
      <c r="P109" s="228"/>
      <c r="Q109" s="228"/>
      <c r="R109" s="229" t="s">
        <v>648</v>
      </c>
      <c r="S109" s="230"/>
      <c r="T109" s="230"/>
      <c r="U109" s="231" t="e">
        <f ca="1">DATE(AD$1,AF$1,INDEX(凭证录入!B:B,AD113))</f>
        <v>#VALUE!</v>
      </c>
      <c r="V109" s="232"/>
      <c r="W109" s="232"/>
      <c r="X109" s="232"/>
      <c r="Y109" s="232"/>
      <c r="Z109" s="232"/>
      <c r="AA109" s="232"/>
      <c r="AB109" s="232"/>
      <c r="AD109" s="212"/>
    </row>
    <row r="110" spans="1:30" s="45" customFormat="1" ht="23.25" customHeight="1" thickTop="1">
      <c r="A110" s="235" t="s">
        <v>649</v>
      </c>
      <c r="B110" s="235"/>
      <c r="C110" s="236" t="str">
        <f t="shared" ref="C110:C170" si="40">Co</f>
        <v>远大开发有限公司</v>
      </c>
      <c r="D110" s="236"/>
      <c r="E110" s="236"/>
      <c r="F110" s="236"/>
      <c r="G110" s="236"/>
      <c r="H110" s="236"/>
      <c r="I110" s="236"/>
      <c r="J110" s="236"/>
      <c r="K110" s="236"/>
      <c r="L110" s="236"/>
      <c r="M110" s="236"/>
      <c r="N110" s="236"/>
      <c r="O110" s="236"/>
      <c r="P110" s="236"/>
      <c r="Q110" s="236"/>
      <c r="R110" s="229" t="s">
        <v>650</v>
      </c>
      <c r="S110" s="229"/>
      <c r="T110" s="229"/>
      <c r="U110" s="237" t="str">
        <f t="shared" ref="U110" si="41">"第 "&amp;TEXT($AF$1,"00")&amp;TEXT($AC110,"0000 号")</f>
        <v>第 010009 号</v>
      </c>
      <c r="V110" s="237"/>
      <c r="W110" s="238"/>
      <c r="X110" s="238"/>
      <c r="Y110" s="238"/>
      <c r="Z110" s="238"/>
      <c r="AA110" s="238"/>
      <c r="AB110" s="238"/>
      <c r="AC110" s="239">
        <f t="shared" ref="AC110:AC170" si="42">N(LEFT((AC98),3)+1)</f>
        <v>9</v>
      </c>
      <c r="AD110" s="212"/>
    </row>
    <row r="111" spans="1:30" s="45" customFormat="1" ht="22.5" customHeight="1">
      <c r="A111" s="241" t="s">
        <v>651</v>
      </c>
      <c r="B111" s="542" t="s">
        <v>652</v>
      </c>
      <c r="C111" s="242" t="s">
        <v>653</v>
      </c>
      <c r="D111" s="243" t="s">
        <v>654</v>
      </c>
      <c r="E111" s="539" t="s">
        <v>655</v>
      </c>
      <c r="F111" s="539" t="s">
        <v>656</v>
      </c>
      <c r="G111" s="244" t="s">
        <v>657</v>
      </c>
      <c r="H111" s="245"/>
      <c r="I111" s="245"/>
      <c r="J111" s="245"/>
      <c r="K111" s="245"/>
      <c r="L111" s="245"/>
      <c r="M111" s="245"/>
      <c r="N111" s="245"/>
      <c r="O111" s="245"/>
      <c r="P111" s="245"/>
      <c r="Q111" s="246"/>
      <c r="R111" s="247" t="s">
        <v>658</v>
      </c>
      <c r="S111" s="245"/>
      <c r="T111" s="245"/>
      <c r="U111" s="245"/>
      <c r="V111" s="245"/>
      <c r="W111" s="245"/>
      <c r="X111" s="245"/>
      <c r="Y111" s="245"/>
      <c r="Z111" s="245"/>
      <c r="AA111" s="245"/>
      <c r="AB111" s="246"/>
      <c r="AC111" s="541" t="str">
        <f ca="1">"附单据数︵"&amp;INDEX(凭证录入!$D:$D,$AD$17)&amp;"︶张"</f>
        <v>附单据数︵4︶张</v>
      </c>
      <c r="AD111" s="235"/>
    </row>
    <row r="112" spans="1:30" s="45" customFormat="1" ht="22.5" customHeight="1">
      <c r="A112" s="248" t="s">
        <v>659</v>
      </c>
      <c r="B112" s="543"/>
      <c r="C112" s="249" t="s">
        <v>660</v>
      </c>
      <c r="D112" s="250" t="s">
        <v>660</v>
      </c>
      <c r="E112" s="540"/>
      <c r="F112" s="540"/>
      <c r="G112" s="251" t="s">
        <v>661</v>
      </c>
      <c r="H112" s="252" t="s">
        <v>662</v>
      </c>
      <c r="I112" s="253" t="s">
        <v>663</v>
      </c>
      <c r="J112" s="254" t="s">
        <v>664</v>
      </c>
      <c r="K112" s="252" t="s">
        <v>665</v>
      </c>
      <c r="L112" s="253" t="s">
        <v>662</v>
      </c>
      <c r="M112" s="254" t="s">
        <v>663</v>
      </c>
      <c r="N112" s="252" t="s">
        <v>664</v>
      </c>
      <c r="O112" s="253" t="s">
        <v>666</v>
      </c>
      <c r="P112" s="254" t="s">
        <v>667</v>
      </c>
      <c r="Q112" s="255" t="s">
        <v>668</v>
      </c>
      <c r="R112" s="256" t="s">
        <v>661</v>
      </c>
      <c r="S112" s="252" t="s">
        <v>662</v>
      </c>
      <c r="T112" s="257" t="s">
        <v>663</v>
      </c>
      <c r="U112" s="256" t="s">
        <v>664</v>
      </c>
      <c r="V112" s="252" t="s">
        <v>665</v>
      </c>
      <c r="W112" s="253" t="s">
        <v>662</v>
      </c>
      <c r="X112" s="254" t="s">
        <v>663</v>
      </c>
      <c r="Y112" s="252" t="s">
        <v>664</v>
      </c>
      <c r="Z112" s="253" t="s">
        <v>666</v>
      </c>
      <c r="AA112" s="254" t="s">
        <v>667</v>
      </c>
      <c r="AB112" s="255" t="s">
        <v>668</v>
      </c>
      <c r="AC112" s="541"/>
    </row>
    <row r="113" spans="1:30" s="45" customFormat="1" ht="22.5" customHeight="1">
      <c r="A113" s="258" t="str">
        <f ca="1">IFERROR(INDEX(凭证录入!H:H,$AD113),"")</f>
        <v/>
      </c>
      <c r="B113" s="259" t="str">
        <f ca="1">IFERROR(INDEX(凭证录入!I:I,$AD113),"")</f>
        <v/>
      </c>
      <c r="C113" s="260" t="str">
        <f ca="1">IFERROR(VLOOKUP($B113,会计科目表!$A:$C,2,),"")</f>
        <v/>
      </c>
      <c r="D113" s="261" t="str">
        <f ca="1">IFERROR(VLOOKUP($B113,会计科目表!$A:$C,3,),"")</f>
        <v/>
      </c>
      <c r="E113" s="262">
        <f ca="1">IFERROR(INDEX(凭证录入!K:K,$AD113),0)</f>
        <v>0</v>
      </c>
      <c r="F113" s="262">
        <f ca="1">IFERROR(INDEX(凭证录入!L:L,$AD113),0)</f>
        <v>0</v>
      </c>
      <c r="G113" s="263" t="str">
        <f t="shared" ca="1" si="29"/>
        <v/>
      </c>
      <c r="H113" s="264" t="str">
        <f t="shared" ca="1" si="29"/>
        <v/>
      </c>
      <c r="I113" s="265" t="str">
        <f t="shared" ca="1" si="29"/>
        <v/>
      </c>
      <c r="J113" s="266" t="str">
        <f t="shared" ca="1" si="29"/>
        <v/>
      </c>
      <c r="K113" s="264" t="str">
        <f t="shared" ca="1" si="29"/>
        <v/>
      </c>
      <c r="L113" s="265" t="str">
        <f t="shared" ca="1" si="29"/>
        <v/>
      </c>
      <c r="M113" s="266" t="str">
        <f t="shared" ca="1" si="29"/>
        <v/>
      </c>
      <c r="N113" s="264" t="str">
        <f t="shared" ca="1" si="29"/>
        <v/>
      </c>
      <c r="O113" s="265" t="str">
        <f t="shared" ca="1" si="29"/>
        <v/>
      </c>
      <c r="P113" s="266" t="str">
        <f t="shared" ca="1" si="29"/>
        <v/>
      </c>
      <c r="Q113" s="267" t="str">
        <f t="shared" ca="1" si="29"/>
        <v/>
      </c>
      <c r="R113" s="268" t="str">
        <f t="shared" ca="1" si="30"/>
        <v/>
      </c>
      <c r="S113" s="264" t="str">
        <f t="shared" ca="1" si="30"/>
        <v/>
      </c>
      <c r="T113" s="269" t="str">
        <f t="shared" ca="1" si="30"/>
        <v/>
      </c>
      <c r="U113" s="268" t="str">
        <f t="shared" ca="1" si="30"/>
        <v/>
      </c>
      <c r="V113" s="264" t="str">
        <f t="shared" ca="1" si="30"/>
        <v/>
      </c>
      <c r="W113" s="265" t="str">
        <f t="shared" ca="1" si="30"/>
        <v/>
      </c>
      <c r="X113" s="266" t="str">
        <f t="shared" ca="1" si="30"/>
        <v/>
      </c>
      <c r="Y113" s="264" t="str">
        <f t="shared" ca="1" si="30"/>
        <v/>
      </c>
      <c r="Z113" s="265" t="str">
        <f t="shared" ca="1" si="30"/>
        <v/>
      </c>
      <c r="AA113" s="266" t="str">
        <f t="shared" ca="1" si="30"/>
        <v/>
      </c>
      <c r="AB113" s="267" t="str">
        <f t="shared" ca="1" si="30"/>
        <v/>
      </c>
      <c r="AC113" s="541"/>
      <c r="AD113" s="212" t="str">
        <f t="shared" ca="1" si="34"/>
        <v/>
      </c>
    </row>
    <row r="114" spans="1:30" s="45" customFormat="1" ht="22.5" customHeight="1">
      <c r="A114" s="258" t="str">
        <f ca="1">IFERROR(INDEX(凭证录入!H:H,$AD114),"")</f>
        <v/>
      </c>
      <c r="B114" s="259" t="str">
        <f ca="1">IFERROR(INDEX(凭证录入!I:I,$AD114),"")</f>
        <v/>
      </c>
      <c r="C114" s="260" t="str">
        <f ca="1">IFERROR(VLOOKUP($B114,会计科目表!$A:$C,2,),"")</f>
        <v/>
      </c>
      <c r="D114" s="261" t="str">
        <f ca="1">IFERROR(VLOOKUP($B114,会计科目表!$A:$C,3,),"")</f>
        <v/>
      </c>
      <c r="E114" s="262">
        <f ca="1">IFERROR(INDEX(凭证录入!K:K,$AD114),0)</f>
        <v>0</v>
      </c>
      <c r="F114" s="262">
        <f ca="1">IFERROR(INDEX(凭证录入!L:L,$AD114),0)</f>
        <v>0</v>
      </c>
      <c r="G114" s="263" t="str">
        <f t="shared" ca="1" si="29"/>
        <v/>
      </c>
      <c r="H114" s="264" t="str">
        <f t="shared" ca="1" si="29"/>
        <v/>
      </c>
      <c r="I114" s="265" t="str">
        <f t="shared" ca="1" si="29"/>
        <v/>
      </c>
      <c r="J114" s="266" t="str">
        <f t="shared" ca="1" si="29"/>
        <v/>
      </c>
      <c r="K114" s="264" t="str">
        <f t="shared" ca="1" si="29"/>
        <v/>
      </c>
      <c r="L114" s="265" t="str">
        <f t="shared" ca="1" si="29"/>
        <v/>
      </c>
      <c r="M114" s="266" t="str">
        <f t="shared" ca="1" si="29"/>
        <v/>
      </c>
      <c r="N114" s="264" t="str">
        <f t="shared" ca="1" si="29"/>
        <v/>
      </c>
      <c r="O114" s="265" t="str">
        <f t="shared" ca="1" si="29"/>
        <v/>
      </c>
      <c r="P114" s="266" t="str">
        <f t="shared" ca="1" si="29"/>
        <v/>
      </c>
      <c r="Q114" s="267" t="str">
        <f t="shared" ca="1" si="29"/>
        <v/>
      </c>
      <c r="R114" s="268" t="str">
        <f t="shared" ca="1" si="30"/>
        <v/>
      </c>
      <c r="S114" s="264" t="str">
        <f t="shared" ca="1" si="30"/>
        <v/>
      </c>
      <c r="T114" s="269" t="str">
        <f t="shared" ca="1" si="30"/>
        <v/>
      </c>
      <c r="U114" s="268" t="str">
        <f t="shared" ca="1" si="30"/>
        <v/>
      </c>
      <c r="V114" s="264" t="str">
        <f t="shared" ca="1" si="30"/>
        <v/>
      </c>
      <c r="W114" s="265" t="str">
        <f t="shared" ca="1" si="30"/>
        <v/>
      </c>
      <c r="X114" s="266" t="str">
        <f t="shared" ca="1" si="30"/>
        <v/>
      </c>
      <c r="Y114" s="264" t="str">
        <f t="shared" ca="1" si="30"/>
        <v/>
      </c>
      <c r="Z114" s="265" t="str">
        <f t="shared" ca="1" si="30"/>
        <v/>
      </c>
      <c r="AA114" s="266" t="str">
        <f t="shared" ca="1" si="30"/>
        <v/>
      </c>
      <c r="AB114" s="267" t="str">
        <f t="shared" ca="1" si="30"/>
        <v/>
      </c>
      <c r="AC114" s="541"/>
      <c r="AD114" s="212" t="str">
        <f t="shared" ca="1" si="34"/>
        <v/>
      </c>
    </row>
    <row r="115" spans="1:30" s="45" customFormat="1" ht="22.5" customHeight="1">
      <c r="A115" s="258" t="str">
        <f ca="1">IFERROR(INDEX(凭证录入!H:H,$AD115),"")</f>
        <v/>
      </c>
      <c r="B115" s="259" t="str">
        <f ca="1">IFERROR(INDEX(凭证录入!I:I,$AD115),"")</f>
        <v/>
      </c>
      <c r="C115" s="260" t="str">
        <f ca="1">IFERROR(VLOOKUP($B115,会计科目表!$A:$C,2,),"")</f>
        <v/>
      </c>
      <c r="D115" s="261" t="str">
        <f ca="1">IFERROR(VLOOKUP($B115,会计科目表!$A:$C,3,),"")</f>
        <v/>
      </c>
      <c r="E115" s="262">
        <f ca="1">IFERROR(INDEX(凭证录入!K:K,$AD115),0)</f>
        <v>0</v>
      </c>
      <c r="F115" s="262">
        <f ca="1">IFERROR(INDEX(凭证录入!L:L,$AD115),0)</f>
        <v>0</v>
      </c>
      <c r="G115" s="263" t="str">
        <f t="shared" ca="1" si="29"/>
        <v/>
      </c>
      <c r="H115" s="264" t="str">
        <f t="shared" ca="1" si="29"/>
        <v/>
      </c>
      <c r="I115" s="265" t="str">
        <f t="shared" ca="1" si="29"/>
        <v/>
      </c>
      <c r="J115" s="266" t="str">
        <f t="shared" ca="1" si="29"/>
        <v/>
      </c>
      <c r="K115" s="264" t="str">
        <f t="shared" ca="1" si="29"/>
        <v/>
      </c>
      <c r="L115" s="265" t="str">
        <f t="shared" ca="1" si="29"/>
        <v/>
      </c>
      <c r="M115" s="266" t="str">
        <f t="shared" ca="1" si="29"/>
        <v/>
      </c>
      <c r="N115" s="264" t="str">
        <f t="shared" ca="1" si="29"/>
        <v/>
      </c>
      <c r="O115" s="265" t="str">
        <f t="shared" ca="1" si="29"/>
        <v/>
      </c>
      <c r="P115" s="266" t="str">
        <f t="shared" ca="1" si="29"/>
        <v/>
      </c>
      <c r="Q115" s="267" t="str">
        <f t="shared" ca="1" si="29"/>
        <v/>
      </c>
      <c r="R115" s="268" t="str">
        <f t="shared" ca="1" si="30"/>
        <v/>
      </c>
      <c r="S115" s="264" t="str">
        <f t="shared" ca="1" si="30"/>
        <v/>
      </c>
      <c r="T115" s="269" t="str">
        <f t="shared" ca="1" si="30"/>
        <v/>
      </c>
      <c r="U115" s="268" t="str">
        <f t="shared" ca="1" si="30"/>
        <v/>
      </c>
      <c r="V115" s="264" t="str">
        <f t="shared" ca="1" si="30"/>
        <v/>
      </c>
      <c r="W115" s="265" t="str">
        <f t="shared" ca="1" si="30"/>
        <v/>
      </c>
      <c r="X115" s="266" t="str">
        <f t="shared" ca="1" si="30"/>
        <v/>
      </c>
      <c r="Y115" s="264" t="str">
        <f t="shared" ca="1" si="30"/>
        <v/>
      </c>
      <c r="Z115" s="265" t="str">
        <f t="shared" ca="1" si="30"/>
        <v/>
      </c>
      <c r="AA115" s="266" t="str">
        <f t="shared" ca="1" si="30"/>
        <v/>
      </c>
      <c r="AB115" s="267" t="str">
        <f t="shared" ca="1" si="30"/>
        <v/>
      </c>
      <c r="AC115" s="536" t="s">
        <v>669</v>
      </c>
      <c r="AD115" s="212" t="str">
        <f t="shared" ca="1" si="34"/>
        <v/>
      </c>
    </row>
    <row r="116" spans="1:30" s="45" customFormat="1" ht="22.5" customHeight="1">
      <c r="A116" s="258" t="str">
        <f ca="1">IFERROR(INDEX(凭证录入!H:H,$AD116),"")</f>
        <v/>
      </c>
      <c r="B116" s="259" t="str">
        <f ca="1">IFERROR(INDEX(凭证录入!I:I,$AD116),"")</f>
        <v/>
      </c>
      <c r="C116" s="260" t="str">
        <f ca="1">IFERROR(VLOOKUP($B116,会计科目表!$A:$C,2,),"")</f>
        <v/>
      </c>
      <c r="D116" s="261" t="str">
        <f ca="1">IFERROR(VLOOKUP($B116,会计科目表!$A:$C,3,),"")</f>
        <v/>
      </c>
      <c r="E116" s="262">
        <f ca="1">IFERROR(INDEX(凭证录入!K:K,$AD116),0)</f>
        <v>0</v>
      </c>
      <c r="F116" s="262">
        <f ca="1">IFERROR(INDEX(凭证录入!L:L,$AD116),0)</f>
        <v>0</v>
      </c>
      <c r="G116" s="263" t="str">
        <f t="shared" ca="1" si="29"/>
        <v/>
      </c>
      <c r="H116" s="264" t="str">
        <f t="shared" ca="1" si="29"/>
        <v/>
      </c>
      <c r="I116" s="265" t="str">
        <f t="shared" ca="1" si="29"/>
        <v/>
      </c>
      <c r="J116" s="266" t="str">
        <f t="shared" ca="1" si="29"/>
        <v/>
      </c>
      <c r="K116" s="264" t="str">
        <f t="shared" ca="1" si="29"/>
        <v/>
      </c>
      <c r="L116" s="265" t="str">
        <f t="shared" ca="1" si="29"/>
        <v/>
      </c>
      <c r="M116" s="266" t="str">
        <f t="shared" ca="1" si="29"/>
        <v/>
      </c>
      <c r="N116" s="264" t="str">
        <f t="shared" ca="1" si="29"/>
        <v/>
      </c>
      <c r="O116" s="265" t="str">
        <f t="shared" ca="1" si="29"/>
        <v/>
      </c>
      <c r="P116" s="266" t="str">
        <f t="shared" ca="1" si="29"/>
        <v/>
      </c>
      <c r="Q116" s="267" t="str">
        <f t="shared" ca="1" si="29"/>
        <v/>
      </c>
      <c r="R116" s="268" t="str">
        <f t="shared" ca="1" si="30"/>
        <v/>
      </c>
      <c r="S116" s="264" t="str">
        <f t="shared" ca="1" si="30"/>
        <v/>
      </c>
      <c r="T116" s="269" t="str">
        <f t="shared" ca="1" si="30"/>
        <v/>
      </c>
      <c r="U116" s="268" t="str">
        <f t="shared" ca="1" si="30"/>
        <v/>
      </c>
      <c r="V116" s="264" t="str">
        <f t="shared" ca="1" si="30"/>
        <v/>
      </c>
      <c r="W116" s="265" t="str">
        <f t="shared" ca="1" si="30"/>
        <v/>
      </c>
      <c r="X116" s="266" t="str">
        <f t="shared" ca="1" si="30"/>
        <v/>
      </c>
      <c r="Y116" s="264" t="str">
        <f t="shared" ca="1" si="30"/>
        <v/>
      </c>
      <c r="Z116" s="265" t="str">
        <f t="shared" ca="1" si="30"/>
        <v/>
      </c>
      <c r="AA116" s="266" t="str">
        <f t="shared" ca="1" si="30"/>
        <v/>
      </c>
      <c r="AB116" s="267" t="str">
        <f t="shared" ca="1" si="30"/>
        <v/>
      </c>
      <c r="AC116" s="537"/>
      <c r="AD116" s="212" t="str">
        <f t="shared" ca="1" si="34"/>
        <v/>
      </c>
    </row>
    <row r="117" spans="1:30" s="45" customFormat="1" ht="22.5" customHeight="1">
      <c r="A117" s="258" t="str">
        <f ca="1">IFERROR(INDEX(凭证录入!H:H,$AD117),"")</f>
        <v/>
      </c>
      <c r="B117" s="259" t="str">
        <f ca="1">IFERROR(INDEX(凭证录入!I:I,$AD117),"")</f>
        <v/>
      </c>
      <c r="C117" s="260" t="str">
        <f ca="1">IFERROR(VLOOKUP($B117,会计科目表!$A:$C,2,),"")</f>
        <v/>
      </c>
      <c r="D117" s="261" t="str">
        <f ca="1">IFERROR(VLOOKUP($B117,会计科目表!$A:$C,3,),"")</f>
        <v/>
      </c>
      <c r="E117" s="262">
        <f ca="1">IFERROR(INDEX(凭证录入!K:K,$AD117),0)</f>
        <v>0</v>
      </c>
      <c r="F117" s="262">
        <f ca="1">IFERROR(INDEX(凭证录入!L:L,$AD117),0)</f>
        <v>0</v>
      </c>
      <c r="G117" s="263" t="str">
        <f t="shared" ca="1" si="29"/>
        <v/>
      </c>
      <c r="H117" s="264" t="str">
        <f t="shared" ca="1" si="29"/>
        <v/>
      </c>
      <c r="I117" s="265" t="str">
        <f t="shared" ca="1" si="29"/>
        <v/>
      </c>
      <c r="J117" s="266" t="str">
        <f t="shared" ca="1" si="29"/>
        <v/>
      </c>
      <c r="K117" s="264" t="str">
        <f t="shared" ref="G117:Q155" ca="1" si="43">LEFT(RIGHT(TEXT($E117/1%," ￥0; ￥-0;"),18-COLUMN()))</f>
        <v/>
      </c>
      <c r="L117" s="265" t="str">
        <f t="shared" ca="1" si="43"/>
        <v/>
      </c>
      <c r="M117" s="266" t="str">
        <f t="shared" ca="1" si="43"/>
        <v/>
      </c>
      <c r="N117" s="264" t="str">
        <f t="shared" ca="1" si="43"/>
        <v/>
      </c>
      <c r="O117" s="265" t="str">
        <f t="shared" ca="1" si="43"/>
        <v/>
      </c>
      <c r="P117" s="266" t="str">
        <f t="shared" ca="1" si="43"/>
        <v/>
      </c>
      <c r="Q117" s="267" t="str">
        <f t="shared" ca="1" si="43"/>
        <v/>
      </c>
      <c r="R117" s="268" t="str">
        <f t="shared" ca="1" si="30"/>
        <v/>
      </c>
      <c r="S117" s="264" t="str">
        <f t="shared" ca="1" si="30"/>
        <v/>
      </c>
      <c r="T117" s="269" t="str">
        <f t="shared" ca="1" si="30"/>
        <v/>
      </c>
      <c r="U117" s="268" t="str">
        <f t="shared" ca="1" si="30"/>
        <v/>
      </c>
      <c r="V117" s="264" t="str">
        <f t="shared" ref="R117:AB155" ca="1" si="44">LEFT(RIGHT(TEXT($F117/1%," ￥0; ￥-0;"),29-COLUMN()))</f>
        <v/>
      </c>
      <c r="W117" s="265" t="str">
        <f t="shared" ca="1" si="44"/>
        <v/>
      </c>
      <c r="X117" s="266" t="str">
        <f t="shared" ca="1" si="44"/>
        <v/>
      </c>
      <c r="Y117" s="264" t="str">
        <f t="shared" ca="1" si="44"/>
        <v/>
      </c>
      <c r="Z117" s="265" t="str">
        <f t="shared" ca="1" si="44"/>
        <v/>
      </c>
      <c r="AA117" s="266" t="str">
        <f t="shared" ca="1" si="44"/>
        <v/>
      </c>
      <c r="AB117" s="267" t="str">
        <f t="shared" ca="1" si="44"/>
        <v/>
      </c>
      <c r="AC117" s="538"/>
      <c r="AD117" s="212" t="str">
        <f t="shared" ca="1" si="34"/>
        <v/>
      </c>
    </row>
    <row r="118" spans="1:30" s="45" customFormat="1" ht="22.5" customHeight="1">
      <c r="A118" s="258" t="str">
        <f ca="1">IFERROR(INDEX(凭证录入!H:H,$AD118),"")</f>
        <v/>
      </c>
      <c r="B118" s="259" t="str">
        <f ca="1">IFERROR(INDEX(凭证录入!I:I,$AD118),"")</f>
        <v/>
      </c>
      <c r="C118" s="260" t="str">
        <f ca="1">IFERROR(VLOOKUP($B118,会计科目表!$A:$C,2,),"")</f>
        <v/>
      </c>
      <c r="D118" s="261" t="str">
        <f ca="1">IFERROR(VLOOKUP($B118,会计科目表!$A:$C,3,),"")</f>
        <v/>
      </c>
      <c r="E118" s="262">
        <f ca="1">IFERROR(INDEX(凭证录入!K:K,$AD118),0)</f>
        <v>0</v>
      </c>
      <c r="F118" s="262">
        <f ca="1">IFERROR(INDEX(凭证录入!L:L,$AD118),0)</f>
        <v>0</v>
      </c>
      <c r="G118" s="263" t="str">
        <f t="shared" ca="1" si="43"/>
        <v/>
      </c>
      <c r="H118" s="264" t="str">
        <f t="shared" ca="1" si="43"/>
        <v/>
      </c>
      <c r="I118" s="265" t="str">
        <f t="shared" ca="1" si="43"/>
        <v/>
      </c>
      <c r="J118" s="266" t="str">
        <f t="shared" ca="1" si="43"/>
        <v/>
      </c>
      <c r="K118" s="264" t="str">
        <f t="shared" ca="1" si="43"/>
        <v/>
      </c>
      <c r="L118" s="265" t="str">
        <f t="shared" ca="1" si="43"/>
        <v/>
      </c>
      <c r="M118" s="266" t="str">
        <f t="shared" ca="1" si="43"/>
        <v/>
      </c>
      <c r="N118" s="264" t="str">
        <f t="shared" ca="1" si="43"/>
        <v/>
      </c>
      <c r="O118" s="265" t="str">
        <f t="shared" ca="1" si="43"/>
        <v/>
      </c>
      <c r="P118" s="266" t="str">
        <f t="shared" ca="1" si="43"/>
        <v/>
      </c>
      <c r="Q118" s="267" t="str">
        <f t="shared" ca="1" si="43"/>
        <v/>
      </c>
      <c r="R118" s="268" t="str">
        <f t="shared" ca="1" si="44"/>
        <v/>
      </c>
      <c r="S118" s="264" t="str">
        <f t="shared" ca="1" si="44"/>
        <v/>
      </c>
      <c r="T118" s="269" t="str">
        <f t="shared" ca="1" si="44"/>
        <v/>
      </c>
      <c r="U118" s="268" t="str">
        <f t="shared" ca="1" si="44"/>
        <v/>
      </c>
      <c r="V118" s="264" t="str">
        <f t="shared" ca="1" si="44"/>
        <v/>
      </c>
      <c r="W118" s="265" t="str">
        <f t="shared" ca="1" si="44"/>
        <v/>
      </c>
      <c r="X118" s="266" t="str">
        <f t="shared" ca="1" si="44"/>
        <v/>
      </c>
      <c r="Y118" s="264" t="str">
        <f t="shared" ca="1" si="44"/>
        <v/>
      </c>
      <c r="Z118" s="265" t="str">
        <f t="shared" ca="1" si="44"/>
        <v/>
      </c>
      <c r="AA118" s="266" t="str">
        <f t="shared" ca="1" si="44"/>
        <v/>
      </c>
      <c r="AB118" s="267" t="str">
        <f t="shared" ca="1" si="44"/>
        <v/>
      </c>
      <c r="AC118" s="538"/>
      <c r="AD118" s="212" t="str">
        <f t="shared" ca="1" si="34"/>
        <v/>
      </c>
    </row>
    <row r="119" spans="1:30" s="45" customFormat="1" ht="22.5" customHeight="1">
      <c r="A119" s="270" t="s">
        <v>670</v>
      </c>
      <c r="B119" s="271"/>
      <c r="C119" s="272" t="str">
        <f t="shared" ref="C119" ca="1" si="45">SUBSTITUTE(SUBSTITUTE(IF(-DOLLAR(E119),IF(E119&gt;0,,"负")&amp;TEXT(INT(ABS(E119)+0.5%),"[dbnum2]G/通用格式元;;")&amp;TEXT(RIGHT(DOLLAR(E119,2),2),"[dbnum2]0角0分;;整"),),"零角",IF(E119^2&lt;1,,"零")),"零分","整")</f>
        <v/>
      </c>
      <c r="D119" s="273"/>
      <c r="E119" s="274">
        <f t="shared" ref="E119:F119" ca="1" si="46">SUM(E113:E118)</f>
        <v>0</v>
      </c>
      <c r="F119" s="275">
        <f t="shared" ca="1" si="46"/>
        <v>0</v>
      </c>
      <c r="G119" s="276" t="str">
        <f t="shared" ca="1" si="43"/>
        <v/>
      </c>
      <c r="H119" s="277" t="str">
        <f t="shared" ca="1" si="43"/>
        <v/>
      </c>
      <c r="I119" s="278" t="str">
        <f t="shared" ca="1" si="43"/>
        <v/>
      </c>
      <c r="J119" s="279" t="str">
        <f t="shared" ca="1" si="43"/>
        <v/>
      </c>
      <c r="K119" s="277" t="str">
        <f t="shared" ca="1" si="43"/>
        <v/>
      </c>
      <c r="L119" s="278" t="str">
        <f t="shared" ca="1" si="43"/>
        <v/>
      </c>
      <c r="M119" s="279" t="str">
        <f t="shared" ca="1" si="43"/>
        <v/>
      </c>
      <c r="N119" s="277" t="str">
        <f t="shared" ca="1" si="43"/>
        <v/>
      </c>
      <c r="O119" s="278" t="str">
        <f t="shared" ca="1" si="43"/>
        <v/>
      </c>
      <c r="P119" s="279" t="str">
        <f t="shared" ca="1" si="43"/>
        <v/>
      </c>
      <c r="Q119" s="280" t="str">
        <f t="shared" ca="1" si="43"/>
        <v/>
      </c>
      <c r="R119" s="281" t="str">
        <f t="shared" ca="1" si="44"/>
        <v/>
      </c>
      <c r="S119" s="277" t="str">
        <f t="shared" ca="1" si="44"/>
        <v/>
      </c>
      <c r="T119" s="282" t="str">
        <f t="shared" ca="1" si="44"/>
        <v/>
      </c>
      <c r="U119" s="281" t="str">
        <f t="shared" ca="1" si="44"/>
        <v/>
      </c>
      <c r="V119" s="277" t="str">
        <f t="shared" ca="1" si="44"/>
        <v/>
      </c>
      <c r="W119" s="278" t="str">
        <f t="shared" ca="1" si="44"/>
        <v/>
      </c>
      <c r="X119" s="279" t="str">
        <f t="shared" ca="1" si="44"/>
        <v/>
      </c>
      <c r="Y119" s="277" t="str">
        <f t="shared" ca="1" si="44"/>
        <v/>
      </c>
      <c r="Z119" s="278" t="str">
        <f t="shared" ca="1" si="44"/>
        <v/>
      </c>
      <c r="AA119" s="279" t="str">
        <f t="shared" ca="1" si="44"/>
        <v/>
      </c>
      <c r="AB119" s="280" t="str">
        <f t="shared" ca="1" si="44"/>
        <v/>
      </c>
      <c r="AC119" s="283"/>
      <c r="AD119" s="212"/>
    </row>
    <row r="120" spans="1:30" s="22" customFormat="1" ht="22.5" customHeight="1">
      <c r="A120" s="284" t="s">
        <v>644</v>
      </c>
      <c r="B120" s="284"/>
      <c r="C120" s="284"/>
      <c r="D120" s="284" t="s">
        <v>645</v>
      </c>
      <c r="E120" s="284"/>
      <c r="F120" s="284"/>
      <c r="G120" s="284"/>
      <c r="H120" s="285"/>
      <c r="I120" s="284"/>
      <c r="J120" s="285"/>
      <c r="K120" s="285"/>
      <c r="L120" s="284"/>
      <c r="M120" s="285"/>
      <c r="N120" s="285"/>
      <c r="O120" s="285"/>
      <c r="P120" s="284"/>
      <c r="Q120" s="284" t="s">
        <v>646</v>
      </c>
      <c r="R120" s="284"/>
      <c r="S120" s="284"/>
      <c r="T120" s="284"/>
      <c r="U120" s="285"/>
      <c r="V120" s="284"/>
      <c r="W120" s="285"/>
      <c r="X120" s="284"/>
      <c r="Y120" s="284"/>
      <c r="Z120" s="285"/>
      <c r="AA120" s="285"/>
      <c r="AB120" s="285"/>
      <c r="AC120" s="286"/>
      <c r="AD120" s="212"/>
    </row>
    <row r="121" spans="1:30" ht="39.75" customHeight="1" thickBot="1">
      <c r="A121" s="226"/>
      <c r="B121" s="226"/>
      <c r="C121" s="227" t="s">
        <v>647</v>
      </c>
      <c r="D121" s="228"/>
      <c r="E121" s="226"/>
      <c r="F121" s="226"/>
      <c r="G121" s="228"/>
      <c r="H121" s="228"/>
      <c r="I121" s="228"/>
      <c r="J121" s="228"/>
      <c r="K121" s="228"/>
      <c r="L121" s="228"/>
      <c r="M121" s="228"/>
      <c r="N121" s="228"/>
      <c r="O121" s="228"/>
      <c r="P121" s="228"/>
      <c r="Q121" s="228"/>
      <c r="R121" s="229" t="s">
        <v>648</v>
      </c>
      <c r="S121" s="230"/>
      <c r="T121" s="230"/>
      <c r="U121" s="231" t="e">
        <f ca="1">DATE(AD$1,AF$1,INDEX(凭证录入!B:B,AD125))</f>
        <v>#VALUE!</v>
      </c>
      <c r="V121" s="232"/>
      <c r="W121" s="232"/>
      <c r="X121" s="232"/>
      <c r="Y121" s="232"/>
      <c r="Z121" s="232"/>
      <c r="AA121" s="232"/>
      <c r="AB121" s="232"/>
      <c r="AD121" s="212"/>
    </row>
    <row r="122" spans="1:30" s="45" customFormat="1" ht="23.25" customHeight="1" thickTop="1">
      <c r="A122" s="235" t="s">
        <v>649</v>
      </c>
      <c r="B122" s="235"/>
      <c r="C122" s="236" t="str">
        <f t="shared" si="40"/>
        <v>远大开发有限公司</v>
      </c>
      <c r="D122" s="236"/>
      <c r="E122" s="236"/>
      <c r="F122" s="236"/>
      <c r="G122" s="236"/>
      <c r="H122" s="236"/>
      <c r="I122" s="236"/>
      <c r="J122" s="236"/>
      <c r="K122" s="236"/>
      <c r="L122" s="236"/>
      <c r="M122" s="236"/>
      <c r="N122" s="236"/>
      <c r="O122" s="236"/>
      <c r="P122" s="236"/>
      <c r="Q122" s="236"/>
      <c r="R122" s="229" t="s">
        <v>650</v>
      </c>
      <c r="S122" s="229"/>
      <c r="T122" s="229"/>
      <c r="U122" s="237" t="str">
        <f t="shared" ref="U122" si="47">"第 "&amp;TEXT($AF$1,"00")&amp;TEXT($AC122,"0000 号")</f>
        <v>第 010010 号</v>
      </c>
      <c r="V122" s="237"/>
      <c r="W122" s="238"/>
      <c r="X122" s="238"/>
      <c r="Y122" s="238"/>
      <c r="Z122" s="238"/>
      <c r="AA122" s="238"/>
      <c r="AB122" s="238"/>
      <c r="AC122" s="239">
        <f t="shared" si="42"/>
        <v>10</v>
      </c>
      <c r="AD122" s="212"/>
    </row>
    <row r="123" spans="1:30" s="45" customFormat="1" ht="22.5" customHeight="1">
      <c r="A123" s="241" t="s">
        <v>651</v>
      </c>
      <c r="B123" s="542" t="s">
        <v>652</v>
      </c>
      <c r="C123" s="242" t="s">
        <v>653</v>
      </c>
      <c r="D123" s="243" t="s">
        <v>654</v>
      </c>
      <c r="E123" s="539" t="s">
        <v>655</v>
      </c>
      <c r="F123" s="539" t="s">
        <v>656</v>
      </c>
      <c r="G123" s="244" t="s">
        <v>657</v>
      </c>
      <c r="H123" s="245"/>
      <c r="I123" s="245"/>
      <c r="J123" s="245"/>
      <c r="K123" s="245"/>
      <c r="L123" s="245"/>
      <c r="M123" s="245"/>
      <c r="N123" s="245"/>
      <c r="O123" s="245"/>
      <c r="P123" s="245"/>
      <c r="Q123" s="246"/>
      <c r="R123" s="247" t="s">
        <v>658</v>
      </c>
      <c r="S123" s="245"/>
      <c r="T123" s="245"/>
      <c r="U123" s="245"/>
      <c r="V123" s="245"/>
      <c r="W123" s="245"/>
      <c r="X123" s="245"/>
      <c r="Y123" s="245"/>
      <c r="Z123" s="245"/>
      <c r="AA123" s="245"/>
      <c r="AB123" s="246"/>
      <c r="AC123" s="541" t="str">
        <f ca="1">"附单据数︵"&amp;INDEX(凭证录入!$D:$D,$AD$17)&amp;"︶张"</f>
        <v>附单据数︵4︶张</v>
      </c>
      <c r="AD123" s="235"/>
    </row>
    <row r="124" spans="1:30" s="45" customFormat="1" ht="22.5" customHeight="1">
      <c r="A124" s="248" t="s">
        <v>659</v>
      </c>
      <c r="B124" s="543"/>
      <c r="C124" s="249" t="s">
        <v>660</v>
      </c>
      <c r="D124" s="250" t="s">
        <v>660</v>
      </c>
      <c r="E124" s="540"/>
      <c r="F124" s="540"/>
      <c r="G124" s="251" t="s">
        <v>661</v>
      </c>
      <c r="H124" s="252" t="s">
        <v>662</v>
      </c>
      <c r="I124" s="253" t="s">
        <v>663</v>
      </c>
      <c r="J124" s="254" t="s">
        <v>664</v>
      </c>
      <c r="K124" s="252" t="s">
        <v>665</v>
      </c>
      <c r="L124" s="253" t="s">
        <v>662</v>
      </c>
      <c r="M124" s="254" t="s">
        <v>663</v>
      </c>
      <c r="N124" s="252" t="s">
        <v>664</v>
      </c>
      <c r="O124" s="253" t="s">
        <v>666</v>
      </c>
      <c r="P124" s="254" t="s">
        <v>667</v>
      </c>
      <c r="Q124" s="255" t="s">
        <v>668</v>
      </c>
      <c r="R124" s="256" t="s">
        <v>661</v>
      </c>
      <c r="S124" s="252" t="s">
        <v>662</v>
      </c>
      <c r="T124" s="257" t="s">
        <v>663</v>
      </c>
      <c r="U124" s="256" t="s">
        <v>664</v>
      </c>
      <c r="V124" s="252" t="s">
        <v>665</v>
      </c>
      <c r="W124" s="253" t="s">
        <v>662</v>
      </c>
      <c r="X124" s="254" t="s">
        <v>663</v>
      </c>
      <c r="Y124" s="252" t="s">
        <v>664</v>
      </c>
      <c r="Z124" s="253" t="s">
        <v>666</v>
      </c>
      <c r="AA124" s="254" t="s">
        <v>667</v>
      </c>
      <c r="AB124" s="255" t="s">
        <v>668</v>
      </c>
      <c r="AC124" s="541"/>
    </row>
    <row r="125" spans="1:30" s="45" customFormat="1" ht="22.5" customHeight="1">
      <c r="A125" s="258" t="str">
        <f ca="1">IFERROR(INDEX(凭证录入!H:H,$AD125),"")</f>
        <v/>
      </c>
      <c r="B125" s="259" t="str">
        <f ca="1">IFERROR(INDEX(凭证录入!I:I,$AD125),"")</f>
        <v/>
      </c>
      <c r="C125" s="260" t="str">
        <f ca="1">IFERROR(VLOOKUP($B125,会计科目表!$A:$C,2,),"")</f>
        <v/>
      </c>
      <c r="D125" s="261" t="str">
        <f ca="1">IFERROR(VLOOKUP($B125,会计科目表!$A:$C,3,),"")</f>
        <v/>
      </c>
      <c r="E125" s="262">
        <f ca="1">IFERROR(INDEX(凭证录入!K:K,$AD125),0)</f>
        <v>0</v>
      </c>
      <c r="F125" s="262">
        <f ca="1">IFERROR(INDEX(凭证录入!L:L,$AD125),0)</f>
        <v>0</v>
      </c>
      <c r="G125" s="263" t="str">
        <f t="shared" ca="1" si="43"/>
        <v/>
      </c>
      <c r="H125" s="264" t="str">
        <f t="shared" ca="1" si="43"/>
        <v/>
      </c>
      <c r="I125" s="265" t="str">
        <f t="shared" ca="1" si="43"/>
        <v/>
      </c>
      <c r="J125" s="266" t="str">
        <f t="shared" ca="1" si="43"/>
        <v/>
      </c>
      <c r="K125" s="264" t="str">
        <f t="shared" ca="1" si="43"/>
        <v/>
      </c>
      <c r="L125" s="265" t="str">
        <f t="shared" ca="1" si="43"/>
        <v/>
      </c>
      <c r="M125" s="266" t="str">
        <f t="shared" ca="1" si="43"/>
        <v/>
      </c>
      <c r="N125" s="264" t="str">
        <f t="shared" ca="1" si="43"/>
        <v/>
      </c>
      <c r="O125" s="265" t="str">
        <f t="shared" ca="1" si="43"/>
        <v/>
      </c>
      <c r="P125" s="266" t="str">
        <f t="shared" ca="1" si="43"/>
        <v/>
      </c>
      <c r="Q125" s="267" t="str">
        <f t="shared" ca="1" si="43"/>
        <v/>
      </c>
      <c r="R125" s="268" t="str">
        <f t="shared" ca="1" si="44"/>
        <v/>
      </c>
      <c r="S125" s="264" t="str">
        <f t="shared" ca="1" si="44"/>
        <v/>
      </c>
      <c r="T125" s="269" t="str">
        <f t="shared" ca="1" si="44"/>
        <v/>
      </c>
      <c r="U125" s="268" t="str">
        <f t="shared" ca="1" si="44"/>
        <v/>
      </c>
      <c r="V125" s="264" t="str">
        <f t="shared" ca="1" si="44"/>
        <v/>
      </c>
      <c r="W125" s="265" t="str">
        <f t="shared" ca="1" si="44"/>
        <v/>
      </c>
      <c r="X125" s="266" t="str">
        <f t="shared" ca="1" si="44"/>
        <v/>
      </c>
      <c r="Y125" s="264" t="str">
        <f t="shared" ca="1" si="44"/>
        <v/>
      </c>
      <c r="Z125" s="265" t="str">
        <f t="shared" ca="1" si="44"/>
        <v/>
      </c>
      <c r="AA125" s="266" t="str">
        <f t="shared" ca="1" si="44"/>
        <v/>
      </c>
      <c r="AB125" s="267" t="str">
        <f t="shared" ca="1" si="44"/>
        <v/>
      </c>
      <c r="AC125" s="541"/>
      <c r="AD125" s="212" t="str">
        <f t="shared" ca="1" si="34"/>
        <v/>
      </c>
    </row>
    <row r="126" spans="1:30" s="45" customFormat="1" ht="22.5" customHeight="1">
      <c r="A126" s="258" t="str">
        <f ca="1">IFERROR(INDEX(凭证录入!H:H,$AD126),"")</f>
        <v/>
      </c>
      <c r="B126" s="259" t="str">
        <f ca="1">IFERROR(INDEX(凭证录入!I:I,$AD126),"")</f>
        <v/>
      </c>
      <c r="C126" s="260" t="str">
        <f ca="1">IFERROR(VLOOKUP($B126,会计科目表!$A:$C,2,),"")</f>
        <v/>
      </c>
      <c r="D126" s="261" t="str">
        <f ca="1">IFERROR(VLOOKUP($B126,会计科目表!$A:$C,3,),"")</f>
        <v/>
      </c>
      <c r="E126" s="262">
        <f ca="1">IFERROR(INDEX(凭证录入!K:K,$AD126),0)</f>
        <v>0</v>
      </c>
      <c r="F126" s="262">
        <f ca="1">IFERROR(INDEX(凭证录入!L:L,$AD126),0)</f>
        <v>0</v>
      </c>
      <c r="G126" s="263" t="str">
        <f t="shared" ca="1" si="43"/>
        <v/>
      </c>
      <c r="H126" s="264" t="str">
        <f t="shared" ca="1" si="43"/>
        <v/>
      </c>
      <c r="I126" s="265" t="str">
        <f t="shared" ca="1" si="43"/>
        <v/>
      </c>
      <c r="J126" s="266" t="str">
        <f t="shared" ca="1" si="43"/>
        <v/>
      </c>
      <c r="K126" s="264" t="str">
        <f t="shared" ca="1" si="43"/>
        <v/>
      </c>
      <c r="L126" s="265" t="str">
        <f t="shared" ca="1" si="43"/>
        <v/>
      </c>
      <c r="M126" s="266" t="str">
        <f t="shared" ca="1" si="43"/>
        <v/>
      </c>
      <c r="N126" s="264" t="str">
        <f t="shared" ca="1" si="43"/>
        <v/>
      </c>
      <c r="O126" s="265" t="str">
        <f t="shared" ca="1" si="43"/>
        <v/>
      </c>
      <c r="P126" s="266" t="str">
        <f t="shared" ca="1" si="43"/>
        <v/>
      </c>
      <c r="Q126" s="267" t="str">
        <f t="shared" ca="1" si="43"/>
        <v/>
      </c>
      <c r="R126" s="268" t="str">
        <f t="shared" ca="1" si="44"/>
        <v/>
      </c>
      <c r="S126" s="264" t="str">
        <f t="shared" ca="1" si="44"/>
        <v/>
      </c>
      <c r="T126" s="269" t="str">
        <f t="shared" ca="1" si="44"/>
        <v/>
      </c>
      <c r="U126" s="268" t="str">
        <f t="shared" ca="1" si="44"/>
        <v/>
      </c>
      <c r="V126" s="264" t="str">
        <f t="shared" ca="1" si="44"/>
        <v/>
      </c>
      <c r="W126" s="265" t="str">
        <f t="shared" ca="1" si="44"/>
        <v/>
      </c>
      <c r="X126" s="266" t="str">
        <f t="shared" ca="1" si="44"/>
        <v/>
      </c>
      <c r="Y126" s="264" t="str">
        <f t="shared" ca="1" si="44"/>
        <v/>
      </c>
      <c r="Z126" s="265" t="str">
        <f t="shared" ca="1" si="44"/>
        <v/>
      </c>
      <c r="AA126" s="266" t="str">
        <f t="shared" ca="1" si="44"/>
        <v/>
      </c>
      <c r="AB126" s="267" t="str">
        <f t="shared" ca="1" si="44"/>
        <v/>
      </c>
      <c r="AC126" s="541"/>
      <c r="AD126" s="212" t="str">
        <f t="shared" ca="1" si="34"/>
        <v/>
      </c>
    </row>
    <row r="127" spans="1:30" s="45" customFormat="1" ht="22.5" customHeight="1">
      <c r="A127" s="258" t="str">
        <f ca="1">IFERROR(INDEX(凭证录入!H:H,$AD127),"")</f>
        <v/>
      </c>
      <c r="B127" s="259" t="str">
        <f ca="1">IFERROR(INDEX(凭证录入!I:I,$AD127),"")</f>
        <v/>
      </c>
      <c r="C127" s="260" t="str">
        <f ca="1">IFERROR(VLOOKUP($B127,会计科目表!$A:$C,2,),"")</f>
        <v/>
      </c>
      <c r="D127" s="261" t="str">
        <f ca="1">IFERROR(VLOOKUP($B127,会计科目表!$A:$C,3,),"")</f>
        <v/>
      </c>
      <c r="E127" s="262">
        <f ca="1">IFERROR(INDEX(凭证录入!K:K,$AD127),0)</f>
        <v>0</v>
      </c>
      <c r="F127" s="262">
        <f ca="1">IFERROR(INDEX(凭证录入!L:L,$AD127),0)</f>
        <v>0</v>
      </c>
      <c r="G127" s="263" t="str">
        <f t="shared" ca="1" si="43"/>
        <v/>
      </c>
      <c r="H127" s="264" t="str">
        <f t="shared" ca="1" si="43"/>
        <v/>
      </c>
      <c r="I127" s="265" t="str">
        <f t="shared" ca="1" si="43"/>
        <v/>
      </c>
      <c r="J127" s="266" t="str">
        <f t="shared" ca="1" si="43"/>
        <v/>
      </c>
      <c r="K127" s="264" t="str">
        <f t="shared" ca="1" si="43"/>
        <v/>
      </c>
      <c r="L127" s="265" t="str">
        <f t="shared" ca="1" si="43"/>
        <v/>
      </c>
      <c r="M127" s="266" t="str">
        <f t="shared" ca="1" si="43"/>
        <v/>
      </c>
      <c r="N127" s="264" t="str">
        <f t="shared" ca="1" si="43"/>
        <v/>
      </c>
      <c r="O127" s="265" t="str">
        <f t="shared" ca="1" si="43"/>
        <v/>
      </c>
      <c r="P127" s="266" t="str">
        <f t="shared" ca="1" si="43"/>
        <v/>
      </c>
      <c r="Q127" s="267" t="str">
        <f t="shared" ca="1" si="43"/>
        <v/>
      </c>
      <c r="R127" s="268" t="str">
        <f t="shared" ca="1" si="44"/>
        <v/>
      </c>
      <c r="S127" s="264" t="str">
        <f t="shared" ca="1" si="44"/>
        <v/>
      </c>
      <c r="T127" s="269" t="str">
        <f t="shared" ca="1" si="44"/>
        <v/>
      </c>
      <c r="U127" s="268" t="str">
        <f t="shared" ca="1" si="44"/>
        <v/>
      </c>
      <c r="V127" s="264" t="str">
        <f t="shared" ca="1" si="44"/>
        <v/>
      </c>
      <c r="W127" s="265" t="str">
        <f t="shared" ca="1" si="44"/>
        <v/>
      </c>
      <c r="X127" s="266" t="str">
        <f t="shared" ca="1" si="44"/>
        <v/>
      </c>
      <c r="Y127" s="264" t="str">
        <f t="shared" ca="1" si="44"/>
        <v/>
      </c>
      <c r="Z127" s="265" t="str">
        <f t="shared" ca="1" si="44"/>
        <v/>
      </c>
      <c r="AA127" s="266" t="str">
        <f t="shared" ca="1" si="44"/>
        <v/>
      </c>
      <c r="AB127" s="267" t="str">
        <f t="shared" ca="1" si="44"/>
        <v/>
      </c>
      <c r="AC127" s="536" t="s">
        <v>669</v>
      </c>
      <c r="AD127" s="212" t="str">
        <f t="shared" ca="1" si="34"/>
        <v/>
      </c>
    </row>
    <row r="128" spans="1:30" s="45" customFormat="1" ht="22.5" customHeight="1">
      <c r="A128" s="258" t="str">
        <f ca="1">IFERROR(INDEX(凭证录入!H:H,$AD128),"")</f>
        <v/>
      </c>
      <c r="B128" s="259" t="str">
        <f ca="1">IFERROR(INDEX(凭证录入!I:I,$AD128),"")</f>
        <v/>
      </c>
      <c r="C128" s="260" t="str">
        <f ca="1">IFERROR(VLOOKUP($B128,会计科目表!$A:$C,2,),"")</f>
        <v/>
      </c>
      <c r="D128" s="261" t="str">
        <f ca="1">IFERROR(VLOOKUP($B128,会计科目表!$A:$C,3,),"")</f>
        <v/>
      </c>
      <c r="E128" s="262">
        <f ca="1">IFERROR(INDEX(凭证录入!K:K,$AD128),0)</f>
        <v>0</v>
      </c>
      <c r="F128" s="262">
        <f ca="1">IFERROR(INDEX(凭证录入!L:L,$AD128),0)</f>
        <v>0</v>
      </c>
      <c r="G128" s="263" t="str">
        <f t="shared" ca="1" si="43"/>
        <v/>
      </c>
      <c r="H128" s="264" t="str">
        <f t="shared" ca="1" si="43"/>
        <v/>
      </c>
      <c r="I128" s="265" t="str">
        <f t="shared" ca="1" si="43"/>
        <v/>
      </c>
      <c r="J128" s="266" t="str">
        <f t="shared" ca="1" si="43"/>
        <v/>
      </c>
      <c r="K128" s="264" t="str">
        <f t="shared" ca="1" si="43"/>
        <v/>
      </c>
      <c r="L128" s="265" t="str">
        <f t="shared" ca="1" si="43"/>
        <v/>
      </c>
      <c r="M128" s="266" t="str">
        <f t="shared" ca="1" si="43"/>
        <v/>
      </c>
      <c r="N128" s="264" t="str">
        <f t="shared" ca="1" si="43"/>
        <v/>
      </c>
      <c r="O128" s="265" t="str">
        <f t="shared" ca="1" si="43"/>
        <v/>
      </c>
      <c r="P128" s="266" t="str">
        <f t="shared" ca="1" si="43"/>
        <v/>
      </c>
      <c r="Q128" s="267" t="str">
        <f t="shared" ca="1" si="43"/>
        <v/>
      </c>
      <c r="R128" s="268" t="str">
        <f t="shared" ca="1" si="44"/>
        <v/>
      </c>
      <c r="S128" s="264" t="str">
        <f t="shared" ca="1" si="44"/>
        <v/>
      </c>
      <c r="T128" s="269" t="str">
        <f t="shared" ca="1" si="44"/>
        <v/>
      </c>
      <c r="U128" s="268" t="str">
        <f t="shared" ca="1" si="44"/>
        <v/>
      </c>
      <c r="V128" s="264" t="str">
        <f t="shared" ca="1" si="44"/>
        <v/>
      </c>
      <c r="W128" s="265" t="str">
        <f t="shared" ca="1" si="44"/>
        <v/>
      </c>
      <c r="X128" s="266" t="str">
        <f t="shared" ca="1" si="44"/>
        <v/>
      </c>
      <c r="Y128" s="264" t="str">
        <f t="shared" ca="1" si="44"/>
        <v/>
      </c>
      <c r="Z128" s="265" t="str">
        <f t="shared" ca="1" si="44"/>
        <v/>
      </c>
      <c r="AA128" s="266" t="str">
        <f t="shared" ca="1" si="44"/>
        <v/>
      </c>
      <c r="AB128" s="267" t="str">
        <f t="shared" ca="1" si="44"/>
        <v/>
      </c>
      <c r="AC128" s="537"/>
      <c r="AD128" s="212" t="str">
        <f t="shared" ca="1" si="34"/>
        <v/>
      </c>
    </row>
    <row r="129" spans="1:30" s="45" customFormat="1" ht="22.5" customHeight="1">
      <c r="A129" s="258" t="str">
        <f ca="1">IFERROR(INDEX(凭证录入!H:H,$AD129),"")</f>
        <v/>
      </c>
      <c r="B129" s="259" t="str">
        <f ca="1">IFERROR(INDEX(凭证录入!I:I,$AD129),"")</f>
        <v/>
      </c>
      <c r="C129" s="260" t="str">
        <f ca="1">IFERROR(VLOOKUP($B129,会计科目表!$A:$C,2,),"")</f>
        <v/>
      </c>
      <c r="D129" s="261" t="str">
        <f ca="1">IFERROR(VLOOKUP($B129,会计科目表!$A:$C,3,),"")</f>
        <v/>
      </c>
      <c r="E129" s="262">
        <f ca="1">IFERROR(INDEX(凭证录入!K:K,$AD129),0)</f>
        <v>0</v>
      </c>
      <c r="F129" s="262">
        <f ca="1">IFERROR(INDEX(凭证录入!L:L,$AD129),0)</f>
        <v>0</v>
      </c>
      <c r="G129" s="263" t="str">
        <f t="shared" ca="1" si="43"/>
        <v/>
      </c>
      <c r="H129" s="264" t="str">
        <f t="shared" ca="1" si="43"/>
        <v/>
      </c>
      <c r="I129" s="265" t="str">
        <f t="shared" ca="1" si="43"/>
        <v/>
      </c>
      <c r="J129" s="266" t="str">
        <f t="shared" ca="1" si="43"/>
        <v/>
      </c>
      <c r="K129" s="264" t="str">
        <f t="shared" ca="1" si="43"/>
        <v/>
      </c>
      <c r="L129" s="265" t="str">
        <f t="shared" ca="1" si="43"/>
        <v/>
      </c>
      <c r="M129" s="266" t="str">
        <f t="shared" ca="1" si="43"/>
        <v/>
      </c>
      <c r="N129" s="264" t="str">
        <f t="shared" ca="1" si="43"/>
        <v/>
      </c>
      <c r="O129" s="265" t="str">
        <f t="shared" ca="1" si="43"/>
        <v/>
      </c>
      <c r="P129" s="266" t="str">
        <f t="shared" ca="1" si="43"/>
        <v/>
      </c>
      <c r="Q129" s="267" t="str">
        <f t="shared" ca="1" si="43"/>
        <v/>
      </c>
      <c r="R129" s="268" t="str">
        <f t="shared" ca="1" si="44"/>
        <v/>
      </c>
      <c r="S129" s="264" t="str">
        <f t="shared" ca="1" si="44"/>
        <v/>
      </c>
      <c r="T129" s="269" t="str">
        <f t="shared" ca="1" si="44"/>
        <v/>
      </c>
      <c r="U129" s="268" t="str">
        <f t="shared" ca="1" si="44"/>
        <v/>
      </c>
      <c r="V129" s="264" t="str">
        <f t="shared" ca="1" si="44"/>
        <v/>
      </c>
      <c r="W129" s="265" t="str">
        <f t="shared" ca="1" si="44"/>
        <v/>
      </c>
      <c r="X129" s="266" t="str">
        <f t="shared" ca="1" si="44"/>
        <v/>
      </c>
      <c r="Y129" s="264" t="str">
        <f t="shared" ca="1" si="44"/>
        <v/>
      </c>
      <c r="Z129" s="265" t="str">
        <f t="shared" ca="1" si="44"/>
        <v/>
      </c>
      <c r="AA129" s="266" t="str">
        <f t="shared" ca="1" si="44"/>
        <v/>
      </c>
      <c r="AB129" s="267" t="str">
        <f t="shared" ca="1" si="44"/>
        <v/>
      </c>
      <c r="AC129" s="538"/>
      <c r="AD129" s="212" t="str">
        <f t="shared" ca="1" si="34"/>
        <v/>
      </c>
    </row>
    <row r="130" spans="1:30" s="45" customFormat="1" ht="22.5" customHeight="1">
      <c r="A130" s="258" t="str">
        <f ca="1">IFERROR(INDEX(凭证录入!H:H,$AD130),"")</f>
        <v/>
      </c>
      <c r="B130" s="259" t="str">
        <f ca="1">IFERROR(INDEX(凭证录入!I:I,$AD130),"")</f>
        <v/>
      </c>
      <c r="C130" s="260" t="str">
        <f ca="1">IFERROR(VLOOKUP($B130,会计科目表!$A:$C,2,),"")</f>
        <v/>
      </c>
      <c r="D130" s="261" t="str">
        <f ca="1">IFERROR(VLOOKUP($B130,会计科目表!$A:$C,3,),"")</f>
        <v/>
      </c>
      <c r="E130" s="262">
        <f ca="1">IFERROR(INDEX(凭证录入!K:K,$AD130),0)</f>
        <v>0</v>
      </c>
      <c r="F130" s="262">
        <f ca="1">IFERROR(INDEX(凭证录入!L:L,$AD130),0)</f>
        <v>0</v>
      </c>
      <c r="G130" s="263" t="str">
        <f t="shared" ca="1" si="43"/>
        <v/>
      </c>
      <c r="H130" s="264" t="str">
        <f t="shared" ca="1" si="43"/>
        <v/>
      </c>
      <c r="I130" s="265" t="str">
        <f t="shared" ca="1" si="43"/>
        <v/>
      </c>
      <c r="J130" s="266" t="str">
        <f t="shared" ca="1" si="43"/>
        <v/>
      </c>
      <c r="K130" s="264" t="str">
        <f t="shared" ca="1" si="43"/>
        <v/>
      </c>
      <c r="L130" s="265" t="str">
        <f t="shared" ca="1" si="43"/>
        <v/>
      </c>
      <c r="M130" s="266" t="str">
        <f t="shared" ca="1" si="43"/>
        <v/>
      </c>
      <c r="N130" s="264" t="str">
        <f t="shared" ca="1" si="43"/>
        <v/>
      </c>
      <c r="O130" s="265" t="str">
        <f t="shared" ca="1" si="43"/>
        <v/>
      </c>
      <c r="P130" s="266" t="str">
        <f t="shared" ca="1" si="43"/>
        <v/>
      </c>
      <c r="Q130" s="267" t="str">
        <f t="shared" ca="1" si="43"/>
        <v/>
      </c>
      <c r="R130" s="268" t="str">
        <f t="shared" ca="1" si="44"/>
        <v/>
      </c>
      <c r="S130" s="264" t="str">
        <f t="shared" ca="1" si="44"/>
        <v/>
      </c>
      <c r="T130" s="269" t="str">
        <f t="shared" ca="1" si="44"/>
        <v/>
      </c>
      <c r="U130" s="268" t="str">
        <f t="shared" ca="1" si="44"/>
        <v/>
      </c>
      <c r="V130" s="264" t="str">
        <f t="shared" ca="1" si="44"/>
        <v/>
      </c>
      <c r="W130" s="265" t="str">
        <f t="shared" ca="1" si="44"/>
        <v/>
      </c>
      <c r="X130" s="266" t="str">
        <f t="shared" ca="1" si="44"/>
        <v/>
      </c>
      <c r="Y130" s="264" t="str">
        <f t="shared" ca="1" si="44"/>
        <v/>
      </c>
      <c r="Z130" s="265" t="str">
        <f t="shared" ca="1" si="44"/>
        <v/>
      </c>
      <c r="AA130" s="266" t="str">
        <f t="shared" ca="1" si="44"/>
        <v/>
      </c>
      <c r="AB130" s="267" t="str">
        <f t="shared" ca="1" si="44"/>
        <v/>
      </c>
      <c r="AC130" s="538"/>
      <c r="AD130" s="212" t="str">
        <f t="shared" ca="1" si="34"/>
        <v/>
      </c>
    </row>
    <row r="131" spans="1:30" s="45" customFormat="1" ht="22.5" customHeight="1">
      <c r="A131" s="270" t="s">
        <v>670</v>
      </c>
      <c r="B131" s="271"/>
      <c r="C131" s="272" t="str">
        <f t="shared" ref="C131" ca="1" si="48">SUBSTITUTE(SUBSTITUTE(IF(-DOLLAR(E131),IF(E131&gt;0,,"负")&amp;TEXT(INT(ABS(E131)+0.5%),"[dbnum2]G/通用格式元;;")&amp;TEXT(RIGHT(DOLLAR(E131,2),2),"[dbnum2]0角0分;;整"),),"零角",IF(E131^2&lt;1,,"零")),"零分","整")</f>
        <v/>
      </c>
      <c r="D131" s="273"/>
      <c r="E131" s="274">
        <f t="shared" ref="E131:F131" ca="1" si="49">SUM(E125:E130)</f>
        <v>0</v>
      </c>
      <c r="F131" s="275">
        <f t="shared" ca="1" si="49"/>
        <v>0</v>
      </c>
      <c r="G131" s="276" t="str">
        <f t="shared" ca="1" si="43"/>
        <v/>
      </c>
      <c r="H131" s="277" t="str">
        <f t="shared" ca="1" si="43"/>
        <v/>
      </c>
      <c r="I131" s="278" t="str">
        <f t="shared" ca="1" si="43"/>
        <v/>
      </c>
      <c r="J131" s="279" t="str">
        <f t="shared" ca="1" si="43"/>
        <v/>
      </c>
      <c r="K131" s="277" t="str">
        <f t="shared" ca="1" si="43"/>
        <v/>
      </c>
      <c r="L131" s="278" t="str">
        <f t="shared" ca="1" si="43"/>
        <v/>
      </c>
      <c r="M131" s="279" t="str">
        <f t="shared" ca="1" si="43"/>
        <v/>
      </c>
      <c r="N131" s="277" t="str">
        <f t="shared" ca="1" si="43"/>
        <v/>
      </c>
      <c r="O131" s="278" t="str">
        <f t="shared" ca="1" si="43"/>
        <v/>
      </c>
      <c r="P131" s="279" t="str">
        <f t="shared" ca="1" si="43"/>
        <v/>
      </c>
      <c r="Q131" s="280" t="str">
        <f t="shared" ca="1" si="43"/>
        <v/>
      </c>
      <c r="R131" s="281" t="str">
        <f t="shared" ca="1" si="44"/>
        <v/>
      </c>
      <c r="S131" s="277" t="str">
        <f t="shared" ca="1" si="44"/>
        <v/>
      </c>
      <c r="T131" s="282" t="str">
        <f t="shared" ca="1" si="44"/>
        <v/>
      </c>
      <c r="U131" s="281" t="str">
        <f t="shared" ca="1" si="44"/>
        <v/>
      </c>
      <c r="V131" s="277" t="str">
        <f t="shared" ca="1" si="44"/>
        <v/>
      </c>
      <c r="W131" s="278" t="str">
        <f t="shared" ca="1" si="44"/>
        <v/>
      </c>
      <c r="X131" s="279" t="str">
        <f t="shared" ca="1" si="44"/>
        <v/>
      </c>
      <c r="Y131" s="277" t="str">
        <f t="shared" ca="1" si="44"/>
        <v/>
      </c>
      <c r="Z131" s="278" t="str">
        <f t="shared" ca="1" si="44"/>
        <v/>
      </c>
      <c r="AA131" s="279" t="str">
        <f t="shared" ca="1" si="44"/>
        <v/>
      </c>
      <c r="AB131" s="280" t="str">
        <f t="shared" ca="1" si="44"/>
        <v/>
      </c>
      <c r="AC131" s="283"/>
      <c r="AD131" s="212"/>
    </row>
    <row r="132" spans="1:30" s="22" customFormat="1" ht="22.5" customHeight="1">
      <c r="A132" s="284" t="s">
        <v>644</v>
      </c>
      <c r="B132" s="284"/>
      <c r="C132" s="284"/>
      <c r="D132" s="284" t="s">
        <v>645</v>
      </c>
      <c r="E132" s="284"/>
      <c r="F132" s="284"/>
      <c r="G132" s="284"/>
      <c r="H132" s="285"/>
      <c r="I132" s="284"/>
      <c r="J132" s="285"/>
      <c r="K132" s="285"/>
      <c r="L132" s="284"/>
      <c r="M132" s="285"/>
      <c r="N132" s="285"/>
      <c r="O132" s="285"/>
      <c r="P132" s="284"/>
      <c r="Q132" s="284" t="s">
        <v>646</v>
      </c>
      <c r="R132" s="284"/>
      <c r="S132" s="284"/>
      <c r="T132" s="284"/>
      <c r="U132" s="285"/>
      <c r="V132" s="284"/>
      <c r="W132" s="285"/>
      <c r="X132" s="284"/>
      <c r="Y132" s="284"/>
      <c r="Z132" s="285"/>
      <c r="AA132" s="285"/>
      <c r="AB132" s="285"/>
      <c r="AC132" s="286"/>
      <c r="AD132" s="212"/>
    </row>
    <row r="133" spans="1:30" ht="39.75" customHeight="1" thickBot="1">
      <c r="A133" s="226"/>
      <c r="B133" s="226"/>
      <c r="C133" s="227" t="s">
        <v>647</v>
      </c>
      <c r="D133" s="228"/>
      <c r="E133" s="226"/>
      <c r="F133" s="226"/>
      <c r="G133" s="228"/>
      <c r="H133" s="228"/>
      <c r="I133" s="228"/>
      <c r="J133" s="228"/>
      <c r="K133" s="228"/>
      <c r="L133" s="228"/>
      <c r="M133" s="228"/>
      <c r="N133" s="228"/>
      <c r="O133" s="228"/>
      <c r="P133" s="228"/>
      <c r="Q133" s="228"/>
      <c r="R133" s="229" t="s">
        <v>648</v>
      </c>
      <c r="S133" s="230"/>
      <c r="T133" s="230"/>
      <c r="U133" s="231" t="e">
        <f ca="1">DATE(AD$1,AF$1,INDEX(凭证录入!B:B,AD137))</f>
        <v>#VALUE!</v>
      </c>
      <c r="V133" s="232"/>
      <c r="W133" s="232"/>
      <c r="X133" s="232"/>
      <c r="Y133" s="232"/>
      <c r="Z133" s="232"/>
      <c r="AA133" s="232"/>
      <c r="AB133" s="232"/>
      <c r="AD133" s="212"/>
    </row>
    <row r="134" spans="1:30" s="45" customFormat="1" ht="23.25" customHeight="1" thickTop="1">
      <c r="A134" s="235" t="s">
        <v>649</v>
      </c>
      <c r="B134" s="235"/>
      <c r="C134" s="236" t="str">
        <f t="shared" si="40"/>
        <v>远大开发有限公司</v>
      </c>
      <c r="D134" s="236"/>
      <c r="E134" s="236"/>
      <c r="F134" s="236"/>
      <c r="G134" s="236"/>
      <c r="H134" s="236"/>
      <c r="I134" s="236"/>
      <c r="J134" s="236"/>
      <c r="K134" s="236"/>
      <c r="L134" s="236"/>
      <c r="M134" s="236"/>
      <c r="N134" s="236"/>
      <c r="O134" s="236"/>
      <c r="P134" s="236"/>
      <c r="Q134" s="236"/>
      <c r="R134" s="229" t="s">
        <v>650</v>
      </c>
      <c r="S134" s="229"/>
      <c r="T134" s="229"/>
      <c r="U134" s="237" t="str">
        <f t="shared" ref="U134" si="50">"第 "&amp;TEXT($AF$1,"00")&amp;TEXT($AC134,"0000 号")</f>
        <v>第 010011 号</v>
      </c>
      <c r="V134" s="237"/>
      <c r="W134" s="238"/>
      <c r="X134" s="238"/>
      <c r="Y134" s="238"/>
      <c r="Z134" s="238"/>
      <c r="AA134" s="238"/>
      <c r="AB134" s="238"/>
      <c r="AC134" s="239">
        <f t="shared" si="42"/>
        <v>11</v>
      </c>
      <c r="AD134" s="212"/>
    </row>
    <row r="135" spans="1:30" s="45" customFormat="1" ht="22.5" customHeight="1">
      <c r="A135" s="241" t="s">
        <v>651</v>
      </c>
      <c r="B135" s="542" t="s">
        <v>652</v>
      </c>
      <c r="C135" s="242" t="s">
        <v>653</v>
      </c>
      <c r="D135" s="243" t="s">
        <v>654</v>
      </c>
      <c r="E135" s="539" t="s">
        <v>655</v>
      </c>
      <c r="F135" s="539" t="s">
        <v>656</v>
      </c>
      <c r="G135" s="244" t="s">
        <v>657</v>
      </c>
      <c r="H135" s="245"/>
      <c r="I135" s="245"/>
      <c r="J135" s="245"/>
      <c r="K135" s="245"/>
      <c r="L135" s="245"/>
      <c r="M135" s="245"/>
      <c r="N135" s="245"/>
      <c r="O135" s="245"/>
      <c r="P135" s="245"/>
      <c r="Q135" s="246"/>
      <c r="R135" s="247" t="s">
        <v>658</v>
      </c>
      <c r="S135" s="245"/>
      <c r="T135" s="245"/>
      <c r="U135" s="245"/>
      <c r="V135" s="245"/>
      <c r="W135" s="245"/>
      <c r="X135" s="245"/>
      <c r="Y135" s="245"/>
      <c r="Z135" s="245"/>
      <c r="AA135" s="245"/>
      <c r="AB135" s="246"/>
      <c r="AC135" s="541" t="str">
        <f ca="1">"附单据数︵"&amp;INDEX(凭证录入!$D:$D,$AD$17)&amp;"︶张"</f>
        <v>附单据数︵4︶张</v>
      </c>
      <c r="AD135" s="235"/>
    </row>
    <row r="136" spans="1:30" s="45" customFormat="1" ht="22.5" customHeight="1">
      <c r="A136" s="248" t="s">
        <v>659</v>
      </c>
      <c r="B136" s="543"/>
      <c r="C136" s="249" t="s">
        <v>660</v>
      </c>
      <c r="D136" s="250" t="s">
        <v>660</v>
      </c>
      <c r="E136" s="540"/>
      <c r="F136" s="540"/>
      <c r="G136" s="251" t="s">
        <v>661</v>
      </c>
      <c r="H136" s="252" t="s">
        <v>662</v>
      </c>
      <c r="I136" s="253" t="s">
        <v>663</v>
      </c>
      <c r="J136" s="254" t="s">
        <v>664</v>
      </c>
      <c r="K136" s="252" t="s">
        <v>665</v>
      </c>
      <c r="L136" s="253" t="s">
        <v>662</v>
      </c>
      <c r="M136" s="254" t="s">
        <v>663</v>
      </c>
      <c r="N136" s="252" t="s">
        <v>664</v>
      </c>
      <c r="O136" s="253" t="s">
        <v>666</v>
      </c>
      <c r="P136" s="254" t="s">
        <v>667</v>
      </c>
      <c r="Q136" s="255" t="s">
        <v>668</v>
      </c>
      <c r="R136" s="256" t="s">
        <v>661</v>
      </c>
      <c r="S136" s="252" t="s">
        <v>662</v>
      </c>
      <c r="T136" s="257" t="s">
        <v>663</v>
      </c>
      <c r="U136" s="256" t="s">
        <v>664</v>
      </c>
      <c r="V136" s="252" t="s">
        <v>665</v>
      </c>
      <c r="W136" s="253" t="s">
        <v>662</v>
      </c>
      <c r="X136" s="254" t="s">
        <v>663</v>
      </c>
      <c r="Y136" s="252" t="s">
        <v>664</v>
      </c>
      <c r="Z136" s="253" t="s">
        <v>666</v>
      </c>
      <c r="AA136" s="254" t="s">
        <v>667</v>
      </c>
      <c r="AB136" s="255" t="s">
        <v>668</v>
      </c>
      <c r="AC136" s="541"/>
    </row>
    <row r="137" spans="1:30" s="45" customFormat="1" ht="22.5" customHeight="1">
      <c r="A137" s="258" t="str">
        <f ca="1">IFERROR(INDEX(凭证录入!H:H,$AD137),"")</f>
        <v/>
      </c>
      <c r="B137" s="259" t="str">
        <f ca="1">IFERROR(INDEX(凭证录入!I:I,$AD137),"")</f>
        <v/>
      </c>
      <c r="C137" s="260" t="str">
        <f ca="1">IFERROR(VLOOKUP($B137,会计科目表!$A:$C,2,),"")</f>
        <v/>
      </c>
      <c r="D137" s="261" t="str">
        <f ca="1">IFERROR(VLOOKUP($B137,会计科目表!$A:$C,3,),"")</f>
        <v/>
      </c>
      <c r="E137" s="262">
        <f ca="1">IFERROR(INDEX(凭证录入!K:K,$AD137),0)</f>
        <v>0</v>
      </c>
      <c r="F137" s="262">
        <f ca="1">IFERROR(INDEX(凭证录入!L:L,$AD137),0)</f>
        <v>0</v>
      </c>
      <c r="G137" s="263" t="str">
        <f t="shared" ca="1" si="43"/>
        <v/>
      </c>
      <c r="H137" s="264" t="str">
        <f t="shared" ca="1" si="43"/>
        <v/>
      </c>
      <c r="I137" s="265" t="str">
        <f t="shared" ca="1" si="43"/>
        <v/>
      </c>
      <c r="J137" s="266" t="str">
        <f t="shared" ca="1" si="43"/>
        <v/>
      </c>
      <c r="K137" s="264" t="str">
        <f t="shared" ca="1" si="43"/>
        <v/>
      </c>
      <c r="L137" s="265" t="str">
        <f t="shared" ca="1" si="43"/>
        <v/>
      </c>
      <c r="M137" s="266" t="str">
        <f t="shared" ca="1" si="43"/>
        <v/>
      </c>
      <c r="N137" s="264" t="str">
        <f t="shared" ca="1" si="43"/>
        <v/>
      </c>
      <c r="O137" s="265" t="str">
        <f t="shared" ca="1" si="43"/>
        <v/>
      </c>
      <c r="P137" s="266" t="str">
        <f t="shared" ca="1" si="43"/>
        <v/>
      </c>
      <c r="Q137" s="267" t="str">
        <f t="shared" ca="1" si="43"/>
        <v/>
      </c>
      <c r="R137" s="268" t="str">
        <f t="shared" ca="1" si="44"/>
        <v/>
      </c>
      <c r="S137" s="264" t="str">
        <f t="shared" ca="1" si="44"/>
        <v/>
      </c>
      <c r="T137" s="269" t="str">
        <f t="shared" ca="1" si="44"/>
        <v/>
      </c>
      <c r="U137" s="268" t="str">
        <f t="shared" ca="1" si="44"/>
        <v/>
      </c>
      <c r="V137" s="264" t="str">
        <f t="shared" ca="1" si="44"/>
        <v/>
      </c>
      <c r="W137" s="265" t="str">
        <f t="shared" ca="1" si="44"/>
        <v/>
      </c>
      <c r="X137" s="266" t="str">
        <f t="shared" ca="1" si="44"/>
        <v/>
      </c>
      <c r="Y137" s="264" t="str">
        <f t="shared" ca="1" si="44"/>
        <v/>
      </c>
      <c r="Z137" s="265" t="str">
        <f t="shared" ca="1" si="44"/>
        <v/>
      </c>
      <c r="AA137" s="266" t="str">
        <f t="shared" ca="1" si="44"/>
        <v/>
      </c>
      <c r="AB137" s="267" t="str">
        <f t="shared" ca="1" si="44"/>
        <v/>
      </c>
      <c r="AC137" s="541"/>
      <c r="AD137" s="212" t="str">
        <f t="shared" ca="1" si="34"/>
        <v/>
      </c>
    </row>
    <row r="138" spans="1:30" s="45" customFormat="1" ht="22.5" customHeight="1">
      <c r="A138" s="258" t="str">
        <f ca="1">IFERROR(INDEX(凭证录入!H:H,$AD138),"")</f>
        <v/>
      </c>
      <c r="B138" s="259" t="str">
        <f ca="1">IFERROR(INDEX(凭证录入!I:I,$AD138),"")</f>
        <v/>
      </c>
      <c r="C138" s="260" t="str">
        <f ca="1">IFERROR(VLOOKUP($B138,会计科目表!$A:$C,2,),"")</f>
        <v/>
      </c>
      <c r="D138" s="261" t="str">
        <f ca="1">IFERROR(VLOOKUP($B138,会计科目表!$A:$C,3,),"")</f>
        <v/>
      </c>
      <c r="E138" s="262">
        <f ca="1">IFERROR(INDEX(凭证录入!K:K,$AD138),0)</f>
        <v>0</v>
      </c>
      <c r="F138" s="262">
        <f ca="1">IFERROR(INDEX(凭证录入!L:L,$AD138),0)</f>
        <v>0</v>
      </c>
      <c r="G138" s="263" t="str">
        <f t="shared" ca="1" si="43"/>
        <v/>
      </c>
      <c r="H138" s="264" t="str">
        <f t="shared" ca="1" si="43"/>
        <v/>
      </c>
      <c r="I138" s="265" t="str">
        <f t="shared" ca="1" si="43"/>
        <v/>
      </c>
      <c r="J138" s="266" t="str">
        <f t="shared" ca="1" si="43"/>
        <v/>
      </c>
      <c r="K138" s="264" t="str">
        <f t="shared" ca="1" si="43"/>
        <v/>
      </c>
      <c r="L138" s="265" t="str">
        <f t="shared" ca="1" si="43"/>
        <v/>
      </c>
      <c r="M138" s="266" t="str">
        <f t="shared" ca="1" si="43"/>
        <v/>
      </c>
      <c r="N138" s="264" t="str">
        <f t="shared" ca="1" si="43"/>
        <v/>
      </c>
      <c r="O138" s="265" t="str">
        <f t="shared" ca="1" si="43"/>
        <v/>
      </c>
      <c r="P138" s="266" t="str">
        <f t="shared" ca="1" si="43"/>
        <v/>
      </c>
      <c r="Q138" s="267" t="str">
        <f t="shared" ca="1" si="43"/>
        <v/>
      </c>
      <c r="R138" s="268" t="str">
        <f t="shared" ca="1" si="44"/>
        <v/>
      </c>
      <c r="S138" s="264" t="str">
        <f t="shared" ca="1" si="44"/>
        <v/>
      </c>
      <c r="T138" s="269" t="str">
        <f t="shared" ca="1" si="44"/>
        <v/>
      </c>
      <c r="U138" s="268" t="str">
        <f t="shared" ca="1" si="44"/>
        <v/>
      </c>
      <c r="V138" s="264" t="str">
        <f t="shared" ca="1" si="44"/>
        <v/>
      </c>
      <c r="W138" s="265" t="str">
        <f t="shared" ca="1" si="44"/>
        <v/>
      </c>
      <c r="X138" s="266" t="str">
        <f t="shared" ca="1" si="44"/>
        <v/>
      </c>
      <c r="Y138" s="264" t="str">
        <f t="shared" ca="1" si="44"/>
        <v/>
      </c>
      <c r="Z138" s="265" t="str">
        <f t="shared" ca="1" si="44"/>
        <v/>
      </c>
      <c r="AA138" s="266" t="str">
        <f t="shared" ca="1" si="44"/>
        <v/>
      </c>
      <c r="AB138" s="267" t="str">
        <f t="shared" ca="1" si="44"/>
        <v/>
      </c>
      <c r="AC138" s="541"/>
      <c r="AD138" s="212" t="str">
        <f t="shared" ca="1" si="34"/>
        <v/>
      </c>
    </row>
    <row r="139" spans="1:30" s="45" customFormat="1" ht="22.5" customHeight="1">
      <c r="A139" s="258" t="str">
        <f ca="1">IFERROR(INDEX(凭证录入!H:H,$AD139),"")</f>
        <v/>
      </c>
      <c r="B139" s="259" t="str">
        <f ca="1">IFERROR(INDEX(凭证录入!I:I,$AD139),"")</f>
        <v/>
      </c>
      <c r="C139" s="260" t="str">
        <f ca="1">IFERROR(VLOOKUP($B139,会计科目表!$A:$C,2,),"")</f>
        <v/>
      </c>
      <c r="D139" s="261" t="str">
        <f ca="1">IFERROR(VLOOKUP($B139,会计科目表!$A:$C,3,),"")</f>
        <v/>
      </c>
      <c r="E139" s="262">
        <f ca="1">IFERROR(INDEX(凭证录入!K:K,$AD139),0)</f>
        <v>0</v>
      </c>
      <c r="F139" s="262">
        <f ca="1">IFERROR(INDEX(凭证录入!L:L,$AD139),0)</f>
        <v>0</v>
      </c>
      <c r="G139" s="263" t="str">
        <f t="shared" ca="1" si="43"/>
        <v/>
      </c>
      <c r="H139" s="264" t="str">
        <f t="shared" ca="1" si="43"/>
        <v/>
      </c>
      <c r="I139" s="265" t="str">
        <f t="shared" ca="1" si="43"/>
        <v/>
      </c>
      <c r="J139" s="266" t="str">
        <f t="shared" ca="1" si="43"/>
        <v/>
      </c>
      <c r="K139" s="264" t="str">
        <f t="shared" ca="1" si="43"/>
        <v/>
      </c>
      <c r="L139" s="265" t="str">
        <f t="shared" ca="1" si="43"/>
        <v/>
      </c>
      <c r="M139" s="266" t="str">
        <f t="shared" ca="1" si="43"/>
        <v/>
      </c>
      <c r="N139" s="264" t="str">
        <f t="shared" ca="1" si="43"/>
        <v/>
      </c>
      <c r="O139" s="265" t="str">
        <f t="shared" ca="1" si="43"/>
        <v/>
      </c>
      <c r="P139" s="266" t="str">
        <f t="shared" ca="1" si="43"/>
        <v/>
      </c>
      <c r="Q139" s="267" t="str">
        <f t="shared" ca="1" si="43"/>
        <v/>
      </c>
      <c r="R139" s="268" t="str">
        <f t="shared" ca="1" si="44"/>
        <v/>
      </c>
      <c r="S139" s="264" t="str">
        <f t="shared" ca="1" si="44"/>
        <v/>
      </c>
      <c r="T139" s="269" t="str">
        <f t="shared" ca="1" si="44"/>
        <v/>
      </c>
      <c r="U139" s="268" t="str">
        <f t="shared" ca="1" si="44"/>
        <v/>
      </c>
      <c r="V139" s="264" t="str">
        <f t="shared" ca="1" si="44"/>
        <v/>
      </c>
      <c r="W139" s="265" t="str">
        <f t="shared" ca="1" si="44"/>
        <v/>
      </c>
      <c r="X139" s="266" t="str">
        <f t="shared" ca="1" si="44"/>
        <v/>
      </c>
      <c r="Y139" s="264" t="str">
        <f t="shared" ca="1" si="44"/>
        <v/>
      </c>
      <c r="Z139" s="265" t="str">
        <f t="shared" ca="1" si="44"/>
        <v/>
      </c>
      <c r="AA139" s="266" t="str">
        <f t="shared" ca="1" si="44"/>
        <v/>
      </c>
      <c r="AB139" s="267" t="str">
        <f t="shared" ca="1" si="44"/>
        <v/>
      </c>
      <c r="AC139" s="536" t="s">
        <v>669</v>
      </c>
      <c r="AD139" s="212" t="str">
        <f t="shared" ca="1" si="34"/>
        <v/>
      </c>
    </row>
    <row r="140" spans="1:30" s="45" customFormat="1" ht="22.5" customHeight="1">
      <c r="A140" s="258" t="str">
        <f ca="1">IFERROR(INDEX(凭证录入!H:H,$AD140),"")</f>
        <v/>
      </c>
      <c r="B140" s="259" t="str">
        <f ca="1">IFERROR(INDEX(凭证录入!I:I,$AD140),"")</f>
        <v/>
      </c>
      <c r="C140" s="260" t="str">
        <f ca="1">IFERROR(VLOOKUP($B140,会计科目表!$A:$C,2,),"")</f>
        <v/>
      </c>
      <c r="D140" s="261" t="str">
        <f ca="1">IFERROR(VLOOKUP($B140,会计科目表!$A:$C,3,),"")</f>
        <v/>
      </c>
      <c r="E140" s="262">
        <f ca="1">IFERROR(INDEX(凭证录入!K:K,$AD140),0)</f>
        <v>0</v>
      </c>
      <c r="F140" s="262">
        <f ca="1">IFERROR(INDEX(凭证录入!L:L,$AD140),0)</f>
        <v>0</v>
      </c>
      <c r="G140" s="263" t="str">
        <f t="shared" ca="1" si="43"/>
        <v/>
      </c>
      <c r="H140" s="264" t="str">
        <f t="shared" ca="1" si="43"/>
        <v/>
      </c>
      <c r="I140" s="265" t="str">
        <f t="shared" ca="1" si="43"/>
        <v/>
      </c>
      <c r="J140" s="266" t="str">
        <f t="shared" ca="1" si="43"/>
        <v/>
      </c>
      <c r="K140" s="264" t="str">
        <f t="shared" ca="1" si="43"/>
        <v/>
      </c>
      <c r="L140" s="265" t="str">
        <f t="shared" ca="1" si="43"/>
        <v/>
      </c>
      <c r="M140" s="266" t="str">
        <f t="shared" ca="1" si="43"/>
        <v/>
      </c>
      <c r="N140" s="264" t="str">
        <f t="shared" ca="1" si="43"/>
        <v/>
      </c>
      <c r="O140" s="265" t="str">
        <f t="shared" ca="1" si="43"/>
        <v/>
      </c>
      <c r="P140" s="266" t="str">
        <f t="shared" ca="1" si="43"/>
        <v/>
      </c>
      <c r="Q140" s="267" t="str">
        <f t="shared" ca="1" si="43"/>
        <v/>
      </c>
      <c r="R140" s="268" t="str">
        <f t="shared" ca="1" si="44"/>
        <v/>
      </c>
      <c r="S140" s="264" t="str">
        <f t="shared" ca="1" si="44"/>
        <v/>
      </c>
      <c r="T140" s="269" t="str">
        <f t="shared" ca="1" si="44"/>
        <v/>
      </c>
      <c r="U140" s="268" t="str">
        <f t="shared" ca="1" si="44"/>
        <v/>
      </c>
      <c r="V140" s="264" t="str">
        <f t="shared" ca="1" si="44"/>
        <v/>
      </c>
      <c r="W140" s="265" t="str">
        <f t="shared" ca="1" si="44"/>
        <v/>
      </c>
      <c r="X140" s="266" t="str">
        <f t="shared" ca="1" si="44"/>
        <v/>
      </c>
      <c r="Y140" s="264" t="str">
        <f t="shared" ca="1" si="44"/>
        <v/>
      </c>
      <c r="Z140" s="265" t="str">
        <f t="shared" ca="1" si="44"/>
        <v/>
      </c>
      <c r="AA140" s="266" t="str">
        <f t="shared" ca="1" si="44"/>
        <v/>
      </c>
      <c r="AB140" s="267" t="str">
        <f t="shared" ca="1" si="44"/>
        <v/>
      </c>
      <c r="AC140" s="537"/>
      <c r="AD140" s="212" t="str">
        <f t="shared" ca="1" si="34"/>
        <v/>
      </c>
    </row>
    <row r="141" spans="1:30" s="45" customFormat="1" ht="22.5" customHeight="1">
      <c r="A141" s="258" t="str">
        <f ca="1">IFERROR(INDEX(凭证录入!H:H,$AD141),"")</f>
        <v/>
      </c>
      <c r="B141" s="259" t="str">
        <f ca="1">IFERROR(INDEX(凭证录入!I:I,$AD141),"")</f>
        <v/>
      </c>
      <c r="C141" s="260" t="str">
        <f ca="1">IFERROR(VLOOKUP($B141,会计科目表!$A:$C,2,),"")</f>
        <v/>
      </c>
      <c r="D141" s="261" t="str">
        <f ca="1">IFERROR(VLOOKUP($B141,会计科目表!$A:$C,3,),"")</f>
        <v/>
      </c>
      <c r="E141" s="262">
        <f ca="1">IFERROR(INDEX(凭证录入!K:K,$AD141),0)</f>
        <v>0</v>
      </c>
      <c r="F141" s="262">
        <f ca="1">IFERROR(INDEX(凭证录入!L:L,$AD141),0)</f>
        <v>0</v>
      </c>
      <c r="G141" s="263" t="str">
        <f t="shared" ca="1" si="43"/>
        <v/>
      </c>
      <c r="H141" s="264" t="str">
        <f t="shared" ca="1" si="43"/>
        <v/>
      </c>
      <c r="I141" s="265" t="str">
        <f t="shared" ca="1" si="43"/>
        <v/>
      </c>
      <c r="J141" s="266" t="str">
        <f t="shared" ca="1" si="43"/>
        <v/>
      </c>
      <c r="K141" s="264" t="str">
        <f t="shared" ca="1" si="43"/>
        <v/>
      </c>
      <c r="L141" s="265" t="str">
        <f t="shared" ca="1" si="43"/>
        <v/>
      </c>
      <c r="M141" s="266" t="str">
        <f t="shared" ca="1" si="43"/>
        <v/>
      </c>
      <c r="N141" s="264" t="str">
        <f t="shared" ca="1" si="43"/>
        <v/>
      </c>
      <c r="O141" s="265" t="str">
        <f t="shared" ca="1" si="43"/>
        <v/>
      </c>
      <c r="P141" s="266" t="str">
        <f t="shared" ca="1" si="43"/>
        <v/>
      </c>
      <c r="Q141" s="267" t="str">
        <f t="shared" ca="1" si="43"/>
        <v/>
      </c>
      <c r="R141" s="268" t="str">
        <f t="shared" ca="1" si="44"/>
        <v/>
      </c>
      <c r="S141" s="264" t="str">
        <f t="shared" ca="1" si="44"/>
        <v/>
      </c>
      <c r="T141" s="269" t="str">
        <f t="shared" ca="1" si="44"/>
        <v/>
      </c>
      <c r="U141" s="268" t="str">
        <f t="shared" ca="1" si="44"/>
        <v/>
      </c>
      <c r="V141" s="264" t="str">
        <f t="shared" ca="1" si="44"/>
        <v/>
      </c>
      <c r="W141" s="265" t="str">
        <f t="shared" ca="1" si="44"/>
        <v/>
      </c>
      <c r="X141" s="266" t="str">
        <f t="shared" ca="1" si="44"/>
        <v/>
      </c>
      <c r="Y141" s="264" t="str">
        <f t="shared" ca="1" si="44"/>
        <v/>
      </c>
      <c r="Z141" s="265" t="str">
        <f t="shared" ca="1" si="44"/>
        <v/>
      </c>
      <c r="AA141" s="266" t="str">
        <f t="shared" ca="1" si="44"/>
        <v/>
      </c>
      <c r="AB141" s="267" t="str">
        <f t="shared" ca="1" si="44"/>
        <v/>
      </c>
      <c r="AC141" s="538"/>
      <c r="AD141" s="212" t="str">
        <f t="shared" ca="1" si="34"/>
        <v/>
      </c>
    </row>
    <row r="142" spans="1:30" s="45" customFormat="1" ht="22.5" customHeight="1">
      <c r="A142" s="258" t="str">
        <f ca="1">IFERROR(INDEX(凭证录入!H:H,$AD142),"")</f>
        <v/>
      </c>
      <c r="B142" s="259" t="str">
        <f ca="1">IFERROR(INDEX(凭证录入!I:I,$AD142),"")</f>
        <v/>
      </c>
      <c r="C142" s="260" t="str">
        <f ca="1">IFERROR(VLOOKUP($B142,会计科目表!$A:$C,2,),"")</f>
        <v/>
      </c>
      <c r="D142" s="261" t="str">
        <f ca="1">IFERROR(VLOOKUP($B142,会计科目表!$A:$C,3,),"")</f>
        <v/>
      </c>
      <c r="E142" s="262">
        <f ca="1">IFERROR(INDEX(凭证录入!K:K,$AD142),0)</f>
        <v>0</v>
      </c>
      <c r="F142" s="262">
        <f ca="1">IFERROR(INDEX(凭证录入!L:L,$AD142),0)</f>
        <v>0</v>
      </c>
      <c r="G142" s="263" t="str">
        <f t="shared" ca="1" si="43"/>
        <v/>
      </c>
      <c r="H142" s="264" t="str">
        <f t="shared" ca="1" si="43"/>
        <v/>
      </c>
      <c r="I142" s="265" t="str">
        <f t="shared" ca="1" si="43"/>
        <v/>
      </c>
      <c r="J142" s="266" t="str">
        <f t="shared" ca="1" si="43"/>
        <v/>
      </c>
      <c r="K142" s="264" t="str">
        <f t="shared" ca="1" si="43"/>
        <v/>
      </c>
      <c r="L142" s="265" t="str">
        <f t="shared" ca="1" si="43"/>
        <v/>
      </c>
      <c r="M142" s="266" t="str">
        <f t="shared" ca="1" si="43"/>
        <v/>
      </c>
      <c r="N142" s="264" t="str">
        <f t="shared" ca="1" si="43"/>
        <v/>
      </c>
      <c r="O142" s="265" t="str">
        <f t="shared" ca="1" si="43"/>
        <v/>
      </c>
      <c r="P142" s="266" t="str">
        <f t="shared" ca="1" si="43"/>
        <v/>
      </c>
      <c r="Q142" s="267" t="str">
        <f t="shared" ca="1" si="43"/>
        <v/>
      </c>
      <c r="R142" s="268" t="str">
        <f t="shared" ca="1" si="44"/>
        <v/>
      </c>
      <c r="S142" s="264" t="str">
        <f t="shared" ca="1" si="44"/>
        <v/>
      </c>
      <c r="T142" s="269" t="str">
        <f t="shared" ca="1" si="44"/>
        <v/>
      </c>
      <c r="U142" s="268" t="str">
        <f t="shared" ca="1" si="44"/>
        <v/>
      </c>
      <c r="V142" s="264" t="str">
        <f t="shared" ca="1" si="44"/>
        <v/>
      </c>
      <c r="W142" s="265" t="str">
        <f t="shared" ca="1" si="44"/>
        <v/>
      </c>
      <c r="X142" s="266" t="str">
        <f t="shared" ca="1" si="44"/>
        <v/>
      </c>
      <c r="Y142" s="264" t="str">
        <f t="shared" ca="1" si="44"/>
        <v/>
      </c>
      <c r="Z142" s="265" t="str">
        <f t="shared" ca="1" si="44"/>
        <v/>
      </c>
      <c r="AA142" s="266" t="str">
        <f t="shared" ca="1" si="44"/>
        <v/>
      </c>
      <c r="AB142" s="267" t="str">
        <f t="shared" ca="1" si="44"/>
        <v/>
      </c>
      <c r="AC142" s="538"/>
      <c r="AD142" s="212" t="str">
        <f t="shared" ca="1" si="34"/>
        <v/>
      </c>
    </row>
    <row r="143" spans="1:30" s="45" customFormat="1" ht="22.5" customHeight="1">
      <c r="A143" s="270" t="s">
        <v>670</v>
      </c>
      <c r="B143" s="271"/>
      <c r="C143" s="272" t="str">
        <f t="shared" ref="C143" ca="1" si="51">SUBSTITUTE(SUBSTITUTE(IF(-DOLLAR(E143),IF(E143&gt;0,,"负")&amp;TEXT(INT(ABS(E143)+0.5%),"[dbnum2]G/通用格式元;;")&amp;TEXT(RIGHT(DOLLAR(E143,2),2),"[dbnum2]0角0分;;整"),),"零角",IF(E143^2&lt;1,,"零")),"零分","整")</f>
        <v/>
      </c>
      <c r="D143" s="273"/>
      <c r="E143" s="274">
        <f t="shared" ref="E143:F143" ca="1" si="52">SUM(E137:E142)</f>
        <v>0</v>
      </c>
      <c r="F143" s="275">
        <f t="shared" ca="1" si="52"/>
        <v>0</v>
      </c>
      <c r="G143" s="276" t="str">
        <f t="shared" ca="1" si="43"/>
        <v/>
      </c>
      <c r="H143" s="277" t="str">
        <f t="shared" ca="1" si="43"/>
        <v/>
      </c>
      <c r="I143" s="278" t="str">
        <f t="shared" ca="1" si="43"/>
        <v/>
      </c>
      <c r="J143" s="279" t="str">
        <f t="shared" ca="1" si="43"/>
        <v/>
      </c>
      <c r="K143" s="277" t="str">
        <f t="shared" ca="1" si="43"/>
        <v/>
      </c>
      <c r="L143" s="278" t="str">
        <f t="shared" ca="1" si="43"/>
        <v/>
      </c>
      <c r="M143" s="279" t="str">
        <f t="shared" ca="1" si="43"/>
        <v/>
      </c>
      <c r="N143" s="277" t="str">
        <f t="shared" ca="1" si="43"/>
        <v/>
      </c>
      <c r="O143" s="278" t="str">
        <f t="shared" ca="1" si="43"/>
        <v/>
      </c>
      <c r="P143" s="279" t="str">
        <f t="shared" ca="1" si="43"/>
        <v/>
      </c>
      <c r="Q143" s="280" t="str">
        <f t="shared" ca="1" si="43"/>
        <v/>
      </c>
      <c r="R143" s="281" t="str">
        <f t="shared" ca="1" si="44"/>
        <v/>
      </c>
      <c r="S143" s="277" t="str">
        <f t="shared" ca="1" si="44"/>
        <v/>
      </c>
      <c r="T143" s="282" t="str">
        <f t="shared" ca="1" si="44"/>
        <v/>
      </c>
      <c r="U143" s="281" t="str">
        <f t="shared" ca="1" si="44"/>
        <v/>
      </c>
      <c r="V143" s="277" t="str">
        <f t="shared" ca="1" si="44"/>
        <v/>
      </c>
      <c r="W143" s="278" t="str">
        <f t="shared" ca="1" si="44"/>
        <v/>
      </c>
      <c r="X143" s="279" t="str">
        <f t="shared" ca="1" si="44"/>
        <v/>
      </c>
      <c r="Y143" s="277" t="str">
        <f t="shared" ca="1" si="44"/>
        <v/>
      </c>
      <c r="Z143" s="278" t="str">
        <f t="shared" ca="1" si="44"/>
        <v/>
      </c>
      <c r="AA143" s="279" t="str">
        <f t="shared" ca="1" si="44"/>
        <v/>
      </c>
      <c r="AB143" s="280" t="str">
        <f t="shared" ca="1" si="44"/>
        <v/>
      </c>
      <c r="AC143" s="283"/>
      <c r="AD143" s="212"/>
    </row>
    <row r="144" spans="1:30" s="22" customFormat="1" ht="22.5" customHeight="1">
      <c r="A144" s="284" t="s">
        <v>644</v>
      </c>
      <c r="B144" s="284"/>
      <c r="C144" s="284"/>
      <c r="D144" s="284" t="s">
        <v>645</v>
      </c>
      <c r="E144" s="284"/>
      <c r="F144" s="284"/>
      <c r="G144" s="284"/>
      <c r="H144" s="285"/>
      <c r="I144" s="284"/>
      <c r="J144" s="285"/>
      <c r="K144" s="285"/>
      <c r="L144" s="284"/>
      <c r="M144" s="285"/>
      <c r="N144" s="285"/>
      <c r="O144" s="285"/>
      <c r="P144" s="284"/>
      <c r="Q144" s="284" t="s">
        <v>646</v>
      </c>
      <c r="R144" s="284"/>
      <c r="S144" s="284"/>
      <c r="T144" s="284"/>
      <c r="U144" s="285"/>
      <c r="V144" s="284"/>
      <c r="W144" s="285"/>
      <c r="X144" s="284"/>
      <c r="Y144" s="284"/>
      <c r="Z144" s="285"/>
      <c r="AA144" s="285"/>
      <c r="AB144" s="285"/>
      <c r="AC144" s="286"/>
      <c r="AD144" s="212"/>
    </row>
    <row r="145" spans="1:30" ht="39.75" customHeight="1" thickBot="1">
      <c r="A145" s="226"/>
      <c r="B145" s="226"/>
      <c r="C145" s="227" t="s">
        <v>647</v>
      </c>
      <c r="D145" s="228"/>
      <c r="E145" s="226"/>
      <c r="F145" s="226"/>
      <c r="G145" s="228"/>
      <c r="H145" s="228"/>
      <c r="I145" s="228"/>
      <c r="J145" s="228"/>
      <c r="K145" s="228"/>
      <c r="L145" s="228"/>
      <c r="M145" s="228"/>
      <c r="N145" s="228"/>
      <c r="O145" s="228"/>
      <c r="P145" s="228"/>
      <c r="Q145" s="228"/>
      <c r="R145" s="229" t="s">
        <v>648</v>
      </c>
      <c r="S145" s="230"/>
      <c r="T145" s="230"/>
      <c r="U145" s="231" t="e">
        <f ca="1">DATE(AD$1,AF$1,INDEX(凭证录入!B:B,AD149))</f>
        <v>#VALUE!</v>
      </c>
      <c r="V145" s="232"/>
      <c r="W145" s="232"/>
      <c r="X145" s="232"/>
      <c r="Y145" s="232"/>
      <c r="Z145" s="232"/>
      <c r="AA145" s="232"/>
      <c r="AB145" s="232"/>
      <c r="AD145" s="212"/>
    </row>
    <row r="146" spans="1:30" s="45" customFormat="1" ht="23.25" customHeight="1" thickTop="1">
      <c r="A146" s="235" t="s">
        <v>649</v>
      </c>
      <c r="B146" s="235"/>
      <c r="C146" s="236" t="str">
        <f t="shared" si="40"/>
        <v>远大开发有限公司</v>
      </c>
      <c r="D146" s="236"/>
      <c r="E146" s="236"/>
      <c r="F146" s="236"/>
      <c r="G146" s="236"/>
      <c r="H146" s="236"/>
      <c r="I146" s="236"/>
      <c r="J146" s="236"/>
      <c r="K146" s="236"/>
      <c r="L146" s="236"/>
      <c r="M146" s="236"/>
      <c r="N146" s="236"/>
      <c r="O146" s="236"/>
      <c r="P146" s="236"/>
      <c r="Q146" s="236"/>
      <c r="R146" s="229" t="s">
        <v>650</v>
      </c>
      <c r="S146" s="229"/>
      <c r="T146" s="229"/>
      <c r="U146" s="237" t="str">
        <f t="shared" ref="U146" si="53">"第 "&amp;TEXT($AF$1,"00")&amp;TEXT($AC146,"0000 号")</f>
        <v>第 010012 号</v>
      </c>
      <c r="V146" s="237"/>
      <c r="W146" s="238"/>
      <c r="X146" s="238"/>
      <c r="Y146" s="238"/>
      <c r="Z146" s="238"/>
      <c r="AA146" s="238"/>
      <c r="AB146" s="238"/>
      <c r="AC146" s="239">
        <f t="shared" si="42"/>
        <v>12</v>
      </c>
      <c r="AD146" s="212"/>
    </row>
    <row r="147" spans="1:30" s="45" customFormat="1" ht="22.5" customHeight="1">
      <c r="A147" s="241" t="s">
        <v>651</v>
      </c>
      <c r="B147" s="542" t="s">
        <v>652</v>
      </c>
      <c r="C147" s="242" t="s">
        <v>653</v>
      </c>
      <c r="D147" s="243" t="s">
        <v>654</v>
      </c>
      <c r="E147" s="539" t="s">
        <v>655</v>
      </c>
      <c r="F147" s="539" t="s">
        <v>656</v>
      </c>
      <c r="G147" s="244" t="s">
        <v>657</v>
      </c>
      <c r="H147" s="245"/>
      <c r="I147" s="245"/>
      <c r="J147" s="245"/>
      <c r="K147" s="245"/>
      <c r="L147" s="245"/>
      <c r="M147" s="245"/>
      <c r="N147" s="245"/>
      <c r="O147" s="245"/>
      <c r="P147" s="245"/>
      <c r="Q147" s="246"/>
      <c r="R147" s="247" t="s">
        <v>658</v>
      </c>
      <c r="S147" s="245"/>
      <c r="T147" s="245"/>
      <c r="U147" s="245"/>
      <c r="V147" s="245"/>
      <c r="W147" s="245"/>
      <c r="X147" s="245"/>
      <c r="Y147" s="245"/>
      <c r="Z147" s="245"/>
      <c r="AA147" s="245"/>
      <c r="AB147" s="246"/>
      <c r="AC147" s="541" t="str">
        <f ca="1">"附单据数︵"&amp;INDEX(凭证录入!$D:$D,$AD$17)&amp;"︶张"</f>
        <v>附单据数︵4︶张</v>
      </c>
      <c r="AD147" s="235"/>
    </row>
    <row r="148" spans="1:30" s="45" customFormat="1" ht="22.5" customHeight="1">
      <c r="A148" s="248" t="s">
        <v>659</v>
      </c>
      <c r="B148" s="543"/>
      <c r="C148" s="249" t="s">
        <v>660</v>
      </c>
      <c r="D148" s="250" t="s">
        <v>660</v>
      </c>
      <c r="E148" s="540"/>
      <c r="F148" s="540"/>
      <c r="G148" s="251" t="s">
        <v>661</v>
      </c>
      <c r="H148" s="252" t="s">
        <v>662</v>
      </c>
      <c r="I148" s="253" t="s">
        <v>663</v>
      </c>
      <c r="J148" s="254" t="s">
        <v>664</v>
      </c>
      <c r="K148" s="252" t="s">
        <v>665</v>
      </c>
      <c r="L148" s="253" t="s">
        <v>662</v>
      </c>
      <c r="M148" s="254" t="s">
        <v>663</v>
      </c>
      <c r="N148" s="252" t="s">
        <v>664</v>
      </c>
      <c r="O148" s="253" t="s">
        <v>666</v>
      </c>
      <c r="P148" s="254" t="s">
        <v>667</v>
      </c>
      <c r="Q148" s="255" t="s">
        <v>668</v>
      </c>
      <c r="R148" s="256" t="s">
        <v>661</v>
      </c>
      <c r="S148" s="252" t="s">
        <v>662</v>
      </c>
      <c r="T148" s="257" t="s">
        <v>663</v>
      </c>
      <c r="U148" s="256" t="s">
        <v>664</v>
      </c>
      <c r="V148" s="252" t="s">
        <v>665</v>
      </c>
      <c r="W148" s="253" t="s">
        <v>662</v>
      </c>
      <c r="X148" s="254" t="s">
        <v>663</v>
      </c>
      <c r="Y148" s="252" t="s">
        <v>664</v>
      </c>
      <c r="Z148" s="253" t="s">
        <v>666</v>
      </c>
      <c r="AA148" s="254" t="s">
        <v>667</v>
      </c>
      <c r="AB148" s="255" t="s">
        <v>668</v>
      </c>
      <c r="AC148" s="541"/>
    </row>
    <row r="149" spans="1:30" s="45" customFormat="1" ht="22.5" customHeight="1">
      <c r="A149" s="258" t="str">
        <f ca="1">IFERROR(INDEX(凭证录入!H:H,$AD149),"")</f>
        <v/>
      </c>
      <c r="B149" s="259" t="str">
        <f ca="1">IFERROR(INDEX(凭证录入!I:I,$AD149),"")</f>
        <v/>
      </c>
      <c r="C149" s="260" t="str">
        <f ca="1">IFERROR(VLOOKUP($B149,会计科目表!$A:$C,2,),"")</f>
        <v/>
      </c>
      <c r="D149" s="261" t="str">
        <f ca="1">IFERROR(VLOOKUP($B149,会计科目表!$A:$C,3,),"")</f>
        <v/>
      </c>
      <c r="E149" s="262">
        <f ca="1">IFERROR(INDEX(凭证录入!K:K,$AD149),0)</f>
        <v>0</v>
      </c>
      <c r="F149" s="262">
        <f ca="1">IFERROR(INDEX(凭证录入!L:L,$AD149),0)</f>
        <v>0</v>
      </c>
      <c r="G149" s="263" t="str">
        <f t="shared" ca="1" si="43"/>
        <v/>
      </c>
      <c r="H149" s="264" t="str">
        <f t="shared" ca="1" si="43"/>
        <v/>
      </c>
      <c r="I149" s="265" t="str">
        <f t="shared" ca="1" si="43"/>
        <v/>
      </c>
      <c r="J149" s="266" t="str">
        <f t="shared" ca="1" si="43"/>
        <v/>
      </c>
      <c r="K149" s="264" t="str">
        <f t="shared" ca="1" si="43"/>
        <v/>
      </c>
      <c r="L149" s="265" t="str">
        <f t="shared" ca="1" si="43"/>
        <v/>
      </c>
      <c r="M149" s="266" t="str">
        <f t="shared" ca="1" si="43"/>
        <v/>
      </c>
      <c r="N149" s="264" t="str">
        <f t="shared" ca="1" si="43"/>
        <v/>
      </c>
      <c r="O149" s="265" t="str">
        <f t="shared" ca="1" si="43"/>
        <v/>
      </c>
      <c r="P149" s="266" t="str">
        <f t="shared" ca="1" si="43"/>
        <v/>
      </c>
      <c r="Q149" s="267" t="str">
        <f t="shared" ca="1" si="43"/>
        <v/>
      </c>
      <c r="R149" s="268" t="str">
        <f t="shared" ca="1" si="44"/>
        <v/>
      </c>
      <c r="S149" s="264" t="str">
        <f t="shared" ca="1" si="44"/>
        <v/>
      </c>
      <c r="T149" s="269" t="str">
        <f t="shared" ca="1" si="44"/>
        <v/>
      </c>
      <c r="U149" s="268" t="str">
        <f t="shared" ca="1" si="44"/>
        <v/>
      </c>
      <c r="V149" s="264" t="str">
        <f t="shared" ca="1" si="44"/>
        <v/>
      </c>
      <c r="W149" s="265" t="str">
        <f t="shared" ca="1" si="44"/>
        <v/>
      </c>
      <c r="X149" s="266" t="str">
        <f t="shared" ca="1" si="44"/>
        <v/>
      </c>
      <c r="Y149" s="264" t="str">
        <f t="shared" ca="1" si="44"/>
        <v/>
      </c>
      <c r="Z149" s="265" t="str">
        <f t="shared" ca="1" si="44"/>
        <v/>
      </c>
      <c r="AA149" s="266" t="str">
        <f t="shared" ca="1" si="44"/>
        <v/>
      </c>
      <c r="AB149" s="267" t="str">
        <f t="shared" ca="1" si="44"/>
        <v/>
      </c>
      <c r="AC149" s="541"/>
      <c r="AD149" s="212" t="str">
        <f t="shared" ca="1" si="34"/>
        <v/>
      </c>
    </row>
    <row r="150" spans="1:30" s="45" customFormat="1" ht="22.5" customHeight="1">
      <c r="A150" s="258" t="str">
        <f ca="1">IFERROR(INDEX(凭证录入!H:H,$AD150),"")</f>
        <v/>
      </c>
      <c r="B150" s="259" t="str">
        <f ca="1">IFERROR(INDEX(凭证录入!I:I,$AD150),"")</f>
        <v/>
      </c>
      <c r="C150" s="260" t="str">
        <f ca="1">IFERROR(VLOOKUP($B150,会计科目表!$A:$C,2,),"")</f>
        <v/>
      </c>
      <c r="D150" s="261" t="str">
        <f ca="1">IFERROR(VLOOKUP($B150,会计科目表!$A:$C,3,),"")</f>
        <v/>
      </c>
      <c r="E150" s="262">
        <f ca="1">IFERROR(INDEX(凭证录入!K:K,$AD150),0)</f>
        <v>0</v>
      </c>
      <c r="F150" s="262">
        <f ca="1">IFERROR(INDEX(凭证录入!L:L,$AD150),0)</f>
        <v>0</v>
      </c>
      <c r="G150" s="263" t="str">
        <f t="shared" ca="1" si="43"/>
        <v/>
      </c>
      <c r="H150" s="264" t="str">
        <f t="shared" ca="1" si="43"/>
        <v/>
      </c>
      <c r="I150" s="265" t="str">
        <f t="shared" ca="1" si="43"/>
        <v/>
      </c>
      <c r="J150" s="266" t="str">
        <f t="shared" ca="1" si="43"/>
        <v/>
      </c>
      <c r="K150" s="264" t="str">
        <f t="shared" ca="1" si="43"/>
        <v/>
      </c>
      <c r="L150" s="265" t="str">
        <f t="shared" ca="1" si="43"/>
        <v/>
      </c>
      <c r="M150" s="266" t="str">
        <f t="shared" ca="1" si="43"/>
        <v/>
      </c>
      <c r="N150" s="264" t="str">
        <f t="shared" ca="1" si="43"/>
        <v/>
      </c>
      <c r="O150" s="265" t="str">
        <f t="shared" ca="1" si="43"/>
        <v/>
      </c>
      <c r="P150" s="266" t="str">
        <f t="shared" ca="1" si="43"/>
        <v/>
      </c>
      <c r="Q150" s="267" t="str">
        <f t="shared" ca="1" si="43"/>
        <v/>
      </c>
      <c r="R150" s="268" t="str">
        <f t="shared" ca="1" si="44"/>
        <v/>
      </c>
      <c r="S150" s="264" t="str">
        <f t="shared" ca="1" si="44"/>
        <v/>
      </c>
      <c r="T150" s="269" t="str">
        <f t="shared" ca="1" si="44"/>
        <v/>
      </c>
      <c r="U150" s="268" t="str">
        <f t="shared" ca="1" si="44"/>
        <v/>
      </c>
      <c r="V150" s="264" t="str">
        <f t="shared" ca="1" si="44"/>
        <v/>
      </c>
      <c r="W150" s="265" t="str">
        <f t="shared" ca="1" si="44"/>
        <v/>
      </c>
      <c r="X150" s="266" t="str">
        <f t="shared" ca="1" si="44"/>
        <v/>
      </c>
      <c r="Y150" s="264" t="str">
        <f t="shared" ca="1" si="44"/>
        <v/>
      </c>
      <c r="Z150" s="265" t="str">
        <f t="shared" ca="1" si="44"/>
        <v/>
      </c>
      <c r="AA150" s="266" t="str">
        <f t="shared" ca="1" si="44"/>
        <v/>
      </c>
      <c r="AB150" s="267" t="str">
        <f t="shared" ca="1" si="44"/>
        <v/>
      </c>
      <c r="AC150" s="541"/>
      <c r="AD150" s="212" t="str">
        <f t="shared" ca="1" si="34"/>
        <v/>
      </c>
    </row>
    <row r="151" spans="1:30" s="45" customFormat="1" ht="22.5" customHeight="1">
      <c r="A151" s="258" t="str">
        <f ca="1">IFERROR(INDEX(凭证录入!H:H,$AD151),"")</f>
        <v/>
      </c>
      <c r="B151" s="259" t="str">
        <f ca="1">IFERROR(INDEX(凭证录入!I:I,$AD151),"")</f>
        <v/>
      </c>
      <c r="C151" s="260" t="str">
        <f ca="1">IFERROR(VLOOKUP($B151,会计科目表!$A:$C,2,),"")</f>
        <v/>
      </c>
      <c r="D151" s="261" t="str">
        <f ca="1">IFERROR(VLOOKUP($B151,会计科目表!$A:$C,3,),"")</f>
        <v/>
      </c>
      <c r="E151" s="262">
        <f ca="1">IFERROR(INDEX(凭证录入!K:K,$AD151),0)</f>
        <v>0</v>
      </c>
      <c r="F151" s="262">
        <f ca="1">IFERROR(INDEX(凭证录入!L:L,$AD151),0)</f>
        <v>0</v>
      </c>
      <c r="G151" s="263" t="str">
        <f t="shared" ca="1" si="43"/>
        <v/>
      </c>
      <c r="H151" s="264" t="str">
        <f t="shared" ca="1" si="43"/>
        <v/>
      </c>
      <c r="I151" s="265" t="str">
        <f t="shared" ca="1" si="43"/>
        <v/>
      </c>
      <c r="J151" s="266" t="str">
        <f t="shared" ca="1" si="43"/>
        <v/>
      </c>
      <c r="K151" s="264" t="str">
        <f t="shared" ca="1" si="43"/>
        <v/>
      </c>
      <c r="L151" s="265" t="str">
        <f t="shared" ca="1" si="43"/>
        <v/>
      </c>
      <c r="M151" s="266" t="str">
        <f t="shared" ca="1" si="43"/>
        <v/>
      </c>
      <c r="N151" s="264" t="str">
        <f t="shared" ca="1" si="43"/>
        <v/>
      </c>
      <c r="O151" s="265" t="str">
        <f t="shared" ca="1" si="43"/>
        <v/>
      </c>
      <c r="P151" s="266" t="str">
        <f t="shared" ca="1" si="43"/>
        <v/>
      </c>
      <c r="Q151" s="267" t="str">
        <f t="shared" ca="1" si="43"/>
        <v/>
      </c>
      <c r="R151" s="268" t="str">
        <f t="shared" ca="1" si="44"/>
        <v/>
      </c>
      <c r="S151" s="264" t="str">
        <f t="shared" ca="1" si="44"/>
        <v/>
      </c>
      <c r="T151" s="269" t="str">
        <f t="shared" ca="1" si="44"/>
        <v/>
      </c>
      <c r="U151" s="268" t="str">
        <f t="shared" ca="1" si="44"/>
        <v/>
      </c>
      <c r="V151" s="264" t="str">
        <f t="shared" ca="1" si="44"/>
        <v/>
      </c>
      <c r="W151" s="265" t="str">
        <f t="shared" ca="1" si="44"/>
        <v/>
      </c>
      <c r="X151" s="266" t="str">
        <f t="shared" ca="1" si="44"/>
        <v/>
      </c>
      <c r="Y151" s="264" t="str">
        <f t="shared" ca="1" si="44"/>
        <v/>
      </c>
      <c r="Z151" s="265" t="str">
        <f t="shared" ca="1" si="44"/>
        <v/>
      </c>
      <c r="AA151" s="266" t="str">
        <f t="shared" ca="1" si="44"/>
        <v/>
      </c>
      <c r="AB151" s="267" t="str">
        <f t="shared" ca="1" si="44"/>
        <v/>
      </c>
      <c r="AC151" s="536" t="s">
        <v>669</v>
      </c>
      <c r="AD151" s="212" t="str">
        <f t="shared" ca="1" si="34"/>
        <v/>
      </c>
    </row>
    <row r="152" spans="1:30" s="45" customFormat="1" ht="22.5" customHeight="1">
      <c r="A152" s="258" t="str">
        <f ca="1">IFERROR(INDEX(凭证录入!H:H,$AD152),"")</f>
        <v/>
      </c>
      <c r="B152" s="259" t="str">
        <f ca="1">IFERROR(INDEX(凭证录入!I:I,$AD152),"")</f>
        <v/>
      </c>
      <c r="C152" s="260" t="str">
        <f ca="1">IFERROR(VLOOKUP($B152,会计科目表!$A:$C,2,),"")</f>
        <v/>
      </c>
      <c r="D152" s="261" t="str">
        <f ca="1">IFERROR(VLOOKUP($B152,会计科目表!$A:$C,3,),"")</f>
        <v/>
      </c>
      <c r="E152" s="262">
        <f ca="1">IFERROR(INDEX(凭证录入!K:K,$AD152),0)</f>
        <v>0</v>
      </c>
      <c r="F152" s="262">
        <f ca="1">IFERROR(INDEX(凭证录入!L:L,$AD152),0)</f>
        <v>0</v>
      </c>
      <c r="G152" s="263" t="str">
        <f t="shared" ca="1" si="43"/>
        <v/>
      </c>
      <c r="H152" s="264" t="str">
        <f t="shared" ca="1" si="43"/>
        <v/>
      </c>
      <c r="I152" s="265" t="str">
        <f t="shared" ca="1" si="43"/>
        <v/>
      </c>
      <c r="J152" s="266" t="str">
        <f t="shared" ca="1" si="43"/>
        <v/>
      </c>
      <c r="K152" s="264" t="str">
        <f t="shared" ca="1" si="43"/>
        <v/>
      </c>
      <c r="L152" s="265" t="str">
        <f t="shared" ca="1" si="43"/>
        <v/>
      </c>
      <c r="M152" s="266" t="str">
        <f t="shared" ca="1" si="43"/>
        <v/>
      </c>
      <c r="N152" s="264" t="str">
        <f t="shared" ca="1" si="43"/>
        <v/>
      </c>
      <c r="O152" s="265" t="str">
        <f t="shared" ca="1" si="43"/>
        <v/>
      </c>
      <c r="P152" s="266" t="str">
        <f t="shared" ca="1" si="43"/>
        <v/>
      </c>
      <c r="Q152" s="267" t="str">
        <f t="shared" ca="1" si="43"/>
        <v/>
      </c>
      <c r="R152" s="268" t="str">
        <f t="shared" ca="1" si="44"/>
        <v/>
      </c>
      <c r="S152" s="264" t="str">
        <f t="shared" ca="1" si="44"/>
        <v/>
      </c>
      <c r="T152" s="269" t="str">
        <f t="shared" ca="1" si="44"/>
        <v/>
      </c>
      <c r="U152" s="268" t="str">
        <f t="shared" ca="1" si="44"/>
        <v/>
      </c>
      <c r="V152" s="264" t="str">
        <f t="shared" ca="1" si="44"/>
        <v/>
      </c>
      <c r="W152" s="265" t="str">
        <f t="shared" ca="1" si="44"/>
        <v/>
      </c>
      <c r="X152" s="266" t="str">
        <f t="shared" ca="1" si="44"/>
        <v/>
      </c>
      <c r="Y152" s="264" t="str">
        <f t="shared" ca="1" si="44"/>
        <v/>
      </c>
      <c r="Z152" s="265" t="str">
        <f t="shared" ca="1" si="44"/>
        <v/>
      </c>
      <c r="AA152" s="266" t="str">
        <f t="shared" ca="1" si="44"/>
        <v/>
      </c>
      <c r="AB152" s="267" t="str">
        <f t="shared" ca="1" si="44"/>
        <v/>
      </c>
      <c r="AC152" s="537"/>
      <c r="AD152" s="212" t="str">
        <f t="shared" ca="1" si="34"/>
        <v/>
      </c>
    </row>
    <row r="153" spans="1:30" s="45" customFormat="1" ht="22.5" customHeight="1">
      <c r="A153" s="258" t="str">
        <f ca="1">IFERROR(INDEX(凭证录入!H:H,$AD153),"")</f>
        <v/>
      </c>
      <c r="B153" s="259" t="str">
        <f ca="1">IFERROR(INDEX(凭证录入!I:I,$AD153),"")</f>
        <v/>
      </c>
      <c r="C153" s="260" t="str">
        <f ca="1">IFERROR(VLOOKUP($B153,会计科目表!$A:$C,2,),"")</f>
        <v/>
      </c>
      <c r="D153" s="261" t="str">
        <f ca="1">IFERROR(VLOOKUP($B153,会计科目表!$A:$C,3,),"")</f>
        <v/>
      </c>
      <c r="E153" s="262">
        <f ca="1">IFERROR(INDEX(凭证录入!K:K,$AD153),0)</f>
        <v>0</v>
      </c>
      <c r="F153" s="262">
        <f ca="1">IFERROR(INDEX(凭证录入!L:L,$AD153),0)</f>
        <v>0</v>
      </c>
      <c r="G153" s="263" t="str">
        <f t="shared" ca="1" si="43"/>
        <v/>
      </c>
      <c r="H153" s="264" t="str">
        <f t="shared" ca="1" si="43"/>
        <v/>
      </c>
      <c r="I153" s="265" t="str">
        <f t="shared" ca="1" si="43"/>
        <v/>
      </c>
      <c r="J153" s="266" t="str">
        <f t="shared" ca="1" si="43"/>
        <v/>
      </c>
      <c r="K153" s="264" t="str">
        <f t="shared" ca="1" si="43"/>
        <v/>
      </c>
      <c r="L153" s="265" t="str">
        <f t="shared" ca="1" si="43"/>
        <v/>
      </c>
      <c r="M153" s="266" t="str">
        <f t="shared" ca="1" si="43"/>
        <v/>
      </c>
      <c r="N153" s="264" t="str">
        <f t="shared" ca="1" si="43"/>
        <v/>
      </c>
      <c r="O153" s="265" t="str">
        <f t="shared" ca="1" si="43"/>
        <v/>
      </c>
      <c r="P153" s="266" t="str">
        <f t="shared" ca="1" si="43"/>
        <v/>
      </c>
      <c r="Q153" s="267" t="str">
        <f t="shared" ca="1" si="43"/>
        <v/>
      </c>
      <c r="R153" s="268" t="str">
        <f t="shared" ca="1" si="44"/>
        <v/>
      </c>
      <c r="S153" s="264" t="str">
        <f t="shared" ca="1" si="44"/>
        <v/>
      </c>
      <c r="T153" s="269" t="str">
        <f t="shared" ca="1" si="44"/>
        <v/>
      </c>
      <c r="U153" s="268" t="str">
        <f t="shared" ca="1" si="44"/>
        <v/>
      </c>
      <c r="V153" s="264" t="str">
        <f t="shared" ca="1" si="44"/>
        <v/>
      </c>
      <c r="W153" s="265" t="str">
        <f t="shared" ca="1" si="44"/>
        <v/>
      </c>
      <c r="X153" s="266" t="str">
        <f t="shared" ca="1" si="44"/>
        <v/>
      </c>
      <c r="Y153" s="264" t="str">
        <f t="shared" ca="1" si="44"/>
        <v/>
      </c>
      <c r="Z153" s="265" t="str">
        <f t="shared" ca="1" si="44"/>
        <v/>
      </c>
      <c r="AA153" s="266" t="str">
        <f t="shared" ca="1" si="44"/>
        <v/>
      </c>
      <c r="AB153" s="267" t="str">
        <f t="shared" ca="1" si="44"/>
        <v/>
      </c>
      <c r="AC153" s="538"/>
      <c r="AD153" s="212" t="str">
        <f t="shared" ca="1" si="34"/>
        <v/>
      </c>
    </row>
    <row r="154" spans="1:30" s="45" customFormat="1" ht="22.5" customHeight="1">
      <c r="A154" s="258" t="str">
        <f ca="1">IFERROR(INDEX(凭证录入!H:H,$AD154),"")</f>
        <v/>
      </c>
      <c r="B154" s="259" t="str">
        <f ca="1">IFERROR(INDEX(凭证录入!I:I,$AD154),"")</f>
        <v/>
      </c>
      <c r="C154" s="260" t="str">
        <f ca="1">IFERROR(VLOOKUP($B154,会计科目表!$A:$C,2,),"")</f>
        <v/>
      </c>
      <c r="D154" s="261" t="str">
        <f ca="1">IFERROR(VLOOKUP($B154,会计科目表!$A:$C,3,),"")</f>
        <v/>
      </c>
      <c r="E154" s="262">
        <f ca="1">IFERROR(INDEX(凭证录入!K:K,$AD154),0)</f>
        <v>0</v>
      </c>
      <c r="F154" s="262">
        <f ca="1">IFERROR(INDEX(凭证录入!L:L,$AD154),0)</f>
        <v>0</v>
      </c>
      <c r="G154" s="263" t="str">
        <f t="shared" ca="1" si="43"/>
        <v/>
      </c>
      <c r="H154" s="264" t="str">
        <f t="shared" ca="1" si="43"/>
        <v/>
      </c>
      <c r="I154" s="265" t="str">
        <f t="shared" ca="1" si="43"/>
        <v/>
      </c>
      <c r="J154" s="266" t="str">
        <f t="shared" ca="1" si="43"/>
        <v/>
      </c>
      <c r="K154" s="264" t="str">
        <f t="shared" ca="1" si="43"/>
        <v/>
      </c>
      <c r="L154" s="265" t="str">
        <f t="shared" ca="1" si="43"/>
        <v/>
      </c>
      <c r="M154" s="266" t="str">
        <f t="shared" ca="1" si="43"/>
        <v/>
      </c>
      <c r="N154" s="264" t="str">
        <f t="shared" ca="1" si="43"/>
        <v/>
      </c>
      <c r="O154" s="265" t="str">
        <f t="shared" ca="1" si="43"/>
        <v/>
      </c>
      <c r="P154" s="266" t="str">
        <f t="shared" ca="1" si="43"/>
        <v/>
      </c>
      <c r="Q154" s="267" t="str">
        <f t="shared" ca="1" si="43"/>
        <v/>
      </c>
      <c r="R154" s="268" t="str">
        <f t="shared" ca="1" si="44"/>
        <v/>
      </c>
      <c r="S154" s="264" t="str">
        <f t="shared" ca="1" si="44"/>
        <v/>
      </c>
      <c r="T154" s="269" t="str">
        <f t="shared" ca="1" si="44"/>
        <v/>
      </c>
      <c r="U154" s="268" t="str">
        <f t="shared" ca="1" si="44"/>
        <v/>
      </c>
      <c r="V154" s="264" t="str">
        <f t="shared" ca="1" si="44"/>
        <v/>
      </c>
      <c r="W154" s="265" t="str">
        <f t="shared" ca="1" si="44"/>
        <v/>
      </c>
      <c r="X154" s="266" t="str">
        <f t="shared" ca="1" si="44"/>
        <v/>
      </c>
      <c r="Y154" s="264" t="str">
        <f t="shared" ca="1" si="44"/>
        <v/>
      </c>
      <c r="Z154" s="265" t="str">
        <f t="shared" ca="1" si="44"/>
        <v/>
      </c>
      <c r="AA154" s="266" t="str">
        <f t="shared" ca="1" si="44"/>
        <v/>
      </c>
      <c r="AB154" s="267" t="str">
        <f t="shared" ca="1" si="44"/>
        <v/>
      </c>
      <c r="AC154" s="538"/>
      <c r="AD154" s="212" t="str">
        <f t="shared" ca="1" si="34"/>
        <v/>
      </c>
    </row>
    <row r="155" spans="1:30" s="45" customFormat="1" ht="22.5" customHeight="1">
      <c r="A155" s="270" t="s">
        <v>671</v>
      </c>
      <c r="B155" s="271"/>
      <c r="C155" s="272" t="str">
        <f t="shared" ref="C155" ca="1" si="54">SUBSTITUTE(SUBSTITUTE(IF(-DOLLAR(E155),IF(E155&gt;0,,"负")&amp;TEXT(INT(ABS(E155)+0.5%),"[dbnum2]G/通用格式元;;")&amp;TEXT(RIGHT(DOLLAR(E155,2),2),"[dbnum2]0角0分;;整"),),"零角",IF(E155^2&lt;1,,"零")),"零分","整")</f>
        <v/>
      </c>
      <c r="D155" s="273"/>
      <c r="E155" s="274">
        <f t="shared" ref="E155:F155" ca="1" si="55">SUM(E149:E154)</f>
        <v>0</v>
      </c>
      <c r="F155" s="275">
        <f t="shared" ca="1" si="55"/>
        <v>0</v>
      </c>
      <c r="G155" s="276" t="str">
        <f t="shared" ca="1" si="43"/>
        <v/>
      </c>
      <c r="H155" s="277" t="str">
        <f t="shared" ca="1" si="43"/>
        <v/>
      </c>
      <c r="I155" s="278" t="str">
        <f t="shared" ca="1" si="43"/>
        <v/>
      </c>
      <c r="J155" s="279" t="str">
        <f t="shared" ca="1" si="43"/>
        <v/>
      </c>
      <c r="K155" s="277" t="str">
        <f t="shared" ca="1" si="43"/>
        <v/>
      </c>
      <c r="L155" s="278" t="str">
        <f t="shared" ca="1" si="43"/>
        <v/>
      </c>
      <c r="M155" s="279" t="str">
        <f t="shared" ref="M155:Q155" ca="1" si="56">LEFT(RIGHT(TEXT($E155/1%," ￥0; ￥-0;"),18-COLUMN()))</f>
        <v/>
      </c>
      <c r="N155" s="277" t="str">
        <f t="shared" ca="1" si="56"/>
        <v/>
      </c>
      <c r="O155" s="278" t="str">
        <f t="shared" ca="1" si="56"/>
        <v/>
      </c>
      <c r="P155" s="279" t="str">
        <f t="shared" ca="1" si="56"/>
        <v/>
      </c>
      <c r="Q155" s="280" t="str">
        <f t="shared" ca="1" si="56"/>
        <v/>
      </c>
      <c r="R155" s="281" t="str">
        <f t="shared" ca="1" si="44"/>
        <v/>
      </c>
      <c r="S155" s="277" t="str">
        <f t="shared" ca="1" si="44"/>
        <v/>
      </c>
      <c r="T155" s="282" t="str">
        <f t="shared" ca="1" si="44"/>
        <v/>
      </c>
      <c r="U155" s="281" t="str">
        <f t="shared" ca="1" si="44"/>
        <v/>
      </c>
      <c r="V155" s="277" t="str">
        <f t="shared" ca="1" si="44"/>
        <v/>
      </c>
      <c r="W155" s="278" t="str">
        <f t="shared" ca="1" si="44"/>
        <v/>
      </c>
      <c r="X155" s="279" t="str">
        <f t="shared" ref="X155:AB155" ca="1" si="57">LEFT(RIGHT(TEXT($F155/1%," ￥0; ￥-0;"),29-COLUMN()))</f>
        <v/>
      </c>
      <c r="Y155" s="277" t="str">
        <f t="shared" ca="1" si="57"/>
        <v/>
      </c>
      <c r="Z155" s="278" t="str">
        <f t="shared" ca="1" si="57"/>
        <v/>
      </c>
      <c r="AA155" s="279" t="str">
        <f t="shared" ca="1" si="57"/>
        <v/>
      </c>
      <c r="AB155" s="280" t="str">
        <f t="shared" ca="1" si="57"/>
        <v/>
      </c>
      <c r="AC155" s="283"/>
      <c r="AD155" s="212"/>
    </row>
    <row r="156" spans="1:30" s="22" customFormat="1" ht="22.5" customHeight="1">
      <c r="A156" s="284" t="s">
        <v>672</v>
      </c>
      <c r="B156" s="284"/>
      <c r="C156" s="284"/>
      <c r="D156" s="284" t="s">
        <v>673</v>
      </c>
      <c r="E156" s="284"/>
      <c r="F156" s="284"/>
      <c r="G156" s="284"/>
      <c r="H156" s="285"/>
      <c r="I156" s="284"/>
      <c r="J156" s="285"/>
      <c r="K156" s="285"/>
      <c r="L156" s="284"/>
      <c r="M156" s="285"/>
      <c r="N156" s="285"/>
      <c r="O156" s="285"/>
      <c r="P156" s="284"/>
      <c r="Q156" s="284" t="s">
        <v>674</v>
      </c>
      <c r="R156" s="284"/>
      <c r="S156" s="284"/>
      <c r="T156" s="284"/>
      <c r="U156" s="285"/>
      <c r="V156" s="284"/>
      <c r="W156" s="285"/>
      <c r="X156" s="284"/>
      <c r="Y156" s="284"/>
      <c r="Z156" s="285"/>
      <c r="AA156" s="285"/>
      <c r="AB156" s="285"/>
      <c r="AC156" s="286"/>
      <c r="AD156" s="212"/>
    </row>
    <row r="157" spans="1:30" ht="39.75" customHeight="1" thickBot="1">
      <c r="A157" s="226"/>
      <c r="B157" s="226"/>
      <c r="C157" s="227" t="s">
        <v>675</v>
      </c>
      <c r="D157" s="228"/>
      <c r="E157" s="226"/>
      <c r="F157" s="226"/>
      <c r="G157" s="228"/>
      <c r="H157" s="228"/>
      <c r="I157" s="228"/>
      <c r="J157" s="228"/>
      <c r="K157" s="228"/>
      <c r="L157" s="228"/>
      <c r="M157" s="228"/>
      <c r="N157" s="228"/>
      <c r="O157" s="228"/>
      <c r="P157" s="228"/>
      <c r="Q157" s="228"/>
      <c r="R157" s="229" t="s">
        <v>676</v>
      </c>
      <c r="S157" s="230"/>
      <c r="T157" s="230"/>
      <c r="U157" s="231" t="e">
        <f ca="1">DATE(AD$1,AF$1,INDEX(凭证录入!B:B,AD161))</f>
        <v>#VALUE!</v>
      </c>
      <c r="V157" s="232"/>
      <c r="W157" s="232"/>
      <c r="X157" s="232"/>
      <c r="Y157" s="232"/>
      <c r="Z157" s="232"/>
      <c r="AA157" s="232"/>
      <c r="AB157" s="232"/>
      <c r="AD157" s="212"/>
    </row>
    <row r="158" spans="1:30" s="45" customFormat="1" ht="23.25" customHeight="1" thickTop="1">
      <c r="A158" s="235" t="s">
        <v>677</v>
      </c>
      <c r="B158" s="235"/>
      <c r="C158" s="236" t="str">
        <f t="shared" si="40"/>
        <v>远大开发有限公司</v>
      </c>
      <c r="D158" s="236"/>
      <c r="E158" s="236"/>
      <c r="F158" s="236"/>
      <c r="G158" s="236"/>
      <c r="H158" s="236"/>
      <c r="I158" s="236"/>
      <c r="J158" s="236"/>
      <c r="K158" s="236"/>
      <c r="L158" s="236"/>
      <c r="M158" s="236"/>
      <c r="N158" s="236"/>
      <c r="O158" s="236"/>
      <c r="P158" s="236"/>
      <c r="Q158" s="236"/>
      <c r="R158" s="229" t="s">
        <v>678</v>
      </c>
      <c r="S158" s="229"/>
      <c r="T158" s="229"/>
      <c r="U158" s="237" t="str">
        <f t="shared" ref="U158" si="58">"第 "&amp;TEXT($AF$1,"00")&amp;TEXT($AC158,"0000 号")</f>
        <v>第 010013 号</v>
      </c>
      <c r="V158" s="237"/>
      <c r="W158" s="238"/>
      <c r="X158" s="238"/>
      <c r="Y158" s="238"/>
      <c r="Z158" s="238"/>
      <c r="AA158" s="238"/>
      <c r="AB158" s="238"/>
      <c r="AC158" s="239">
        <f t="shared" si="42"/>
        <v>13</v>
      </c>
      <c r="AD158" s="212"/>
    </row>
    <row r="159" spans="1:30" s="45" customFormat="1" ht="22.5" customHeight="1">
      <c r="A159" s="241" t="s">
        <v>679</v>
      </c>
      <c r="B159" s="542" t="s">
        <v>680</v>
      </c>
      <c r="C159" s="242" t="s">
        <v>681</v>
      </c>
      <c r="D159" s="243" t="s">
        <v>682</v>
      </c>
      <c r="E159" s="539" t="s">
        <v>683</v>
      </c>
      <c r="F159" s="539" t="s">
        <v>684</v>
      </c>
      <c r="G159" s="244" t="s">
        <v>685</v>
      </c>
      <c r="H159" s="245"/>
      <c r="I159" s="245"/>
      <c r="J159" s="245"/>
      <c r="K159" s="245"/>
      <c r="L159" s="245"/>
      <c r="M159" s="245"/>
      <c r="N159" s="245"/>
      <c r="O159" s="245"/>
      <c r="P159" s="245"/>
      <c r="Q159" s="246"/>
      <c r="R159" s="247" t="s">
        <v>686</v>
      </c>
      <c r="S159" s="245"/>
      <c r="T159" s="245"/>
      <c r="U159" s="245"/>
      <c r="V159" s="245"/>
      <c r="W159" s="245"/>
      <c r="X159" s="245"/>
      <c r="Y159" s="245"/>
      <c r="Z159" s="245"/>
      <c r="AA159" s="245"/>
      <c r="AB159" s="246"/>
      <c r="AC159" s="541" t="str">
        <f ca="1">"附单据数︵"&amp;INDEX(凭证录入!$D:$D,$AD$17)&amp;"︶张"</f>
        <v>附单据数︵4︶张</v>
      </c>
      <c r="AD159" s="235"/>
    </row>
    <row r="160" spans="1:30" s="45" customFormat="1" ht="22.5" customHeight="1">
      <c r="A160" s="248" t="s">
        <v>687</v>
      </c>
      <c r="B160" s="543"/>
      <c r="C160" s="249" t="s">
        <v>688</v>
      </c>
      <c r="D160" s="250" t="s">
        <v>688</v>
      </c>
      <c r="E160" s="540"/>
      <c r="F160" s="540"/>
      <c r="G160" s="251" t="s">
        <v>689</v>
      </c>
      <c r="H160" s="252" t="s">
        <v>690</v>
      </c>
      <c r="I160" s="253" t="s">
        <v>691</v>
      </c>
      <c r="J160" s="254" t="s">
        <v>692</v>
      </c>
      <c r="K160" s="252" t="s">
        <v>693</v>
      </c>
      <c r="L160" s="253" t="s">
        <v>690</v>
      </c>
      <c r="M160" s="254" t="s">
        <v>691</v>
      </c>
      <c r="N160" s="252" t="s">
        <v>692</v>
      </c>
      <c r="O160" s="253" t="s">
        <v>694</v>
      </c>
      <c r="P160" s="254" t="s">
        <v>695</v>
      </c>
      <c r="Q160" s="255" t="s">
        <v>696</v>
      </c>
      <c r="R160" s="256" t="s">
        <v>689</v>
      </c>
      <c r="S160" s="252" t="s">
        <v>690</v>
      </c>
      <c r="T160" s="257" t="s">
        <v>691</v>
      </c>
      <c r="U160" s="256" t="s">
        <v>692</v>
      </c>
      <c r="V160" s="252" t="s">
        <v>693</v>
      </c>
      <c r="W160" s="253" t="s">
        <v>690</v>
      </c>
      <c r="X160" s="254" t="s">
        <v>691</v>
      </c>
      <c r="Y160" s="252" t="s">
        <v>692</v>
      </c>
      <c r="Z160" s="253" t="s">
        <v>694</v>
      </c>
      <c r="AA160" s="254" t="s">
        <v>695</v>
      </c>
      <c r="AB160" s="255" t="s">
        <v>696</v>
      </c>
      <c r="AC160" s="541"/>
    </row>
    <row r="161" spans="1:30" s="45" customFormat="1" ht="22.5" customHeight="1">
      <c r="A161" s="258" t="str">
        <f ca="1">IFERROR(INDEX(凭证录入!H:H,$AD161),"")</f>
        <v/>
      </c>
      <c r="B161" s="259" t="str">
        <f ca="1">IFERROR(INDEX(凭证录入!I:I,$AD161),"")</f>
        <v/>
      </c>
      <c r="C161" s="260" t="str">
        <f ca="1">IFERROR(VLOOKUP($B161,会计科目表!$A:$C,2,),"")</f>
        <v/>
      </c>
      <c r="D161" s="261" t="str">
        <f ca="1">IFERROR(VLOOKUP($B161,会计科目表!$A:$C,3,),"")</f>
        <v/>
      </c>
      <c r="E161" s="262">
        <f ca="1">IFERROR(INDEX(凭证录入!K:K,$AD161),0)</f>
        <v>0</v>
      </c>
      <c r="F161" s="262">
        <f ca="1">IFERROR(INDEX(凭证录入!L:L,$AD161),0)</f>
        <v>0</v>
      </c>
      <c r="G161" s="263" t="str">
        <f t="shared" ref="G161:Q199" ca="1" si="59">LEFT(RIGHT(TEXT($E161/1%," ￥0; ￥-0;"),18-COLUMN()))</f>
        <v/>
      </c>
      <c r="H161" s="264" t="str">
        <f t="shared" ca="1" si="59"/>
        <v/>
      </c>
      <c r="I161" s="265" t="str">
        <f t="shared" ca="1" si="59"/>
        <v/>
      </c>
      <c r="J161" s="266" t="str">
        <f t="shared" ca="1" si="59"/>
        <v/>
      </c>
      <c r="K161" s="264" t="str">
        <f t="shared" ca="1" si="59"/>
        <v/>
      </c>
      <c r="L161" s="265" t="str">
        <f t="shared" ca="1" si="59"/>
        <v/>
      </c>
      <c r="M161" s="266" t="str">
        <f t="shared" ca="1" si="59"/>
        <v/>
      </c>
      <c r="N161" s="264" t="str">
        <f t="shared" ca="1" si="59"/>
        <v/>
      </c>
      <c r="O161" s="265" t="str">
        <f t="shared" ca="1" si="59"/>
        <v/>
      </c>
      <c r="P161" s="266" t="str">
        <f t="shared" ca="1" si="59"/>
        <v/>
      </c>
      <c r="Q161" s="267" t="str">
        <f t="shared" ca="1" si="59"/>
        <v/>
      </c>
      <c r="R161" s="268" t="str">
        <f t="shared" ref="R161:AB199" ca="1" si="60">LEFT(RIGHT(TEXT($F161/1%," ￥0; ￥-0;"),29-COLUMN()))</f>
        <v/>
      </c>
      <c r="S161" s="264" t="str">
        <f t="shared" ca="1" si="60"/>
        <v/>
      </c>
      <c r="T161" s="269" t="str">
        <f t="shared" ca="1" si="60"/>
        <v/>
      </c>
      <c r="U161" s="268" t="str">
        <f t="shared" ca="1" si="60"/>
        <v/>
      </c>
      <c r="V161" s="264" t="str">
        <f t="shared" ca="1" si="60"/>
        <v/>
      </c>
      <c r="W161" s="265" t="str">
        <f t="shared" ca="1" si="60"/>
        <v/>
      </c>
      <c r="X161" s="266" t="str">
        <f t="shared" ca="1" si="60"/>
        <v/>
      </c>
      <c r="Y161" s="264" t="str">
        <f t="shared" ca="1" si="60"/>
        <v/>
      </c>
      <c r="Z161" s="265" t="str">
        <f t="shared" ca="1" si="60"/>
        <v/>
      </c>
      <c r="AA161" s="266" t="str">
        <f t="shared" ca="1" si="60"/>
        <v/>
      </c>
      <c r="AB161" s="267" t="str">
        <f t="shared" ca="1" si="60"/>
        <v/>
      </c>
      <c r="AC161" s="541"/>
      <c r="AD161" s="212" t="str">
        <f t="shared" ref="AD161:AD224" ca="1" si="61">IFERROR(INDEX(记账行号,MOD(ROW()-4,12)),"")</f>
        <v/>
      </c>
    </row>
    <row r="162" spans="1:30" s="45" customFormat="1" ht="22.5" customHeight="1">
      <c r="A162" s="258" t="str">
        <f ca="1">IFERROR(INDEX(凭证录入!H:H,$AD162),"")</f>
        <v/>
      </c>
      <c r="B162" s="259" t="str">
        <f ca="1">IFERROR(INDEX(凭证录入!I:I,$AD162),"")</f>
        <v/>
      </c>
      <c r="C162" s="260" t="str">
        <f ca="1">IFERROR(VLOOKUP($B162,会计科目表!$A:$C,2,),"")</f>
        <v/>
      </c>
      <c r="D162" s="261" t="str">
        <f ca="1">IFERROR(VLOOKUP($B162,会计科目表!$A:$C,3,),"")</f>
        <v/>
      </c>
      <c r="E162" s="262">
        <f ca="1">IFERROR(INDEX(凭证录入!K:K,$AD162),0)</f>
        <v>0</v>
      </c>
      <c r="F162" s="262">
        <f ca="1">IFERROR(INDEX(凭证录入!L:L,$AD162),0)</f>
        <v>0</v>
      </c>
      <c r="G162" s="263" t="str">
        <f t="shared" ca="1" si="59"/>
        <v/>
      </c>
      <c r="H162" s="264" t="str">
        <f t="shared" ca="1" si="59"/>
        <v/>
      </c>
      <c r="I162" s="265" t="str">
        <f t="shared" ca="1" si="59"/>
        <v/>
      </c>
      <c r="J162" s="266" t="str">
        <f t="shared" ca="1" si="59"/>
        <v/>
      </c>
      <c r="K162" s="264" t="str">
        <f t="shared" ca="1" si="59"/>
        <v/>
      </c>
      <c r="L162" s="265" t="str">
        <f t="shared" ca="1" si="59"/>
        <v/>
      </c>
      <c r="M162" s="266" t="str">
        <f t="shared" ca="1" si="59"/>
        <v/>
      </c>
      <c r="N162" s="264" t="str">
        <f t="shared" ca="1" si="59"/>
        <v/>
      </c>
      <c r="O162" s="265" t="str">
        <f t="shared" ca="1" si="59"/>
        <v/>
      </c>
      <c r="P162" s="266" t="str">
        <f t="shared" ca="1" si="59"/>
        <v/>
      </c>
      <c r="Q162" s="267" t="str">
        <f t="shared" ca="1" si="59"/>
        <v/>
      </c>
      <c r="R162" s="268" t="str">
        <f t="shared" ca="1" si="60"/>
        <v/>
      </c>
      <c r="S162" s="264" t="str">
        <f t="shared" ca="1" si="60"/>
        <v/>
      </c>
      <c r="T162" s="269" t="str">
        <f t="shared" ca="1" si="60"/>
        <v/>
      </c>
      <c r="U162" s="268" t="str">
        <f t="shared" ca="1" si="60"/>
        <v/>
      </c>
      <c r="V162" s="264" t="str">
        <f t="shared" ca="1" si="60"/>
        <v/>
      </c>
      <c r="W162" s="265" t="str">
        <f t="shared" ca="1" si="60"/>
        <v/>
      </c>
      <c r="X162" s="266" t="str">
        <f t="shared" ca="1" si="60"/>
        <v/>
      </c>
      <c r="Y162" s="264" t="str">
        <f t="shared" ca="1" si="60"/>
        <v/>
      </c>
      <c r="Z162" s="265" t="str">
        <f t="shared" ca="1" si="60"/>
        <v/>
      </c>
      <c r="AA162" s="266" t="str">
        <f t="shared" ca="1" si="60"/>
        <v/>
      </c>
      <c r="AB162" s="267" t="str">
        <f t="shared" ca="1" si="60"/>
        <v/>
      </c>
      <c r="AC162" s="541"/>
      <c r="AD162" s="212" t="str">
        <f t="shared" ca="1" si="61"/>
        <v/>
      </c>
    </row>
    <row r="163" spans="1:30" s="45" customFormat="1" ht="22.5" customHeight="1">
      <c r="A163" s="258" t="str">
        <f ca="1">IFERROR(INDEX(凭证录入!H:H,$AD163),"")</f>
        <v/>
      </c>
      <c r="B163" s="259" t="str">
        <f ca="1">IFERROR(INDEX(凭证录入!I:I,$AD163),"")</f>
        <v/>
      </c>
      <c r="C163" s="260" t="str">
        <f ca="1">IFERROR(VLOOKUP($B163,会计科目表!$A:$C,2,),"")</f>
        <v/>
      </c>
      <c r="D163" s="261" t="str">
        <f ca="1">IFERROR(VLOOKUP($B163,会计科目表!$A:$C,3,),"")</f>
        <v/>
      </c>
      <c r="E163" s="262">
        <f ca="1">IFERROR(INDEX(凭证录入!K:K,$AD163),0)</f>
        <v>0</v>
      </c>
      <c r="F163" s="262">
        <f ca="1">IFERROR(INDEX(凭证录入!L:L,$AD163),0)</f>
        <v>0</v>
      </c>
      <c r="G163" s="263" t="str">
        <f t="shared" ca="1" si="59"/>
        <v/>
      </c>
      <c r="H163" s="264" t="str">
        <f t="shared" ca="1" si="59"/>
        <v/>
      </c>
      <c r="I163" s="265" t="str">
        <f t="shared" ca="1" si="59"/>
        <v/>
      </c>
      <c r="J163" s="266" t="str">
        <f t="shared" ca="1" si="59"/>
        <v/>
      </c>
      <c r="K163" s="264" t="str">
        <f t="shared" ca="1" si="59"/>
        <v/>
      </c>
      <c r="L163" s="265" t="str">
        <f t="shared" ca="1" si="59"/>
        <v/>
      </c>
      <c r="M163" s="266" t="str">
        <f t="shared" ca="1" si="59"/>
        <v/>
      </c>
      <c r="N163" s="264" t="str">
        <f t="shared" ca="1" si="59"/>
        <v/>
      </c>
      <c r="O163" s="265" t="str">
        <f t="shared" ca="1" si="59"/>
        <v/>
      </c>
      <c r="P163" s="266" t="str">
        <f t="shared" ca="1" si="59"/>
        <v/>
      </c>
      <c r="Q163" s="267" t="str">
        <f t="shared" ca="1" si="59"/>
        <v/>
      </c>
      <c r="R163" s="268" t="str">
        <f t="shared" ca="1" si="60"/>
        <v/>
      </c>
      <c r="S163" s="264" t="str">
        <f t="shared" ca="1" si="60"/>
        <v/>
      </c>
      <c r="T163" s="269" t="str">
        <f t="shared" ca="1" si="60"/>
        <v/>
      </c>
      <c r="U163" s="268" t="str">
        <f t="shared" ca="1" si="60"/>
        <v/>
      </c>
      <c r="V163" s="264" t="str">
        <f t="shared" ca="1" si="60"/>
        <v/>
      </c>
      <c r="W163" s="265" t="str">
        <f t="shared" ca="1" si="60"/>
        <v/>
      </c>
      <c r="X163" s="266" t="str">
        <f t="shared" ca="1" si="60"/>
        <v/>
      </c>
      <c r="Y163" s="264" t="str">
        <f t="shared" ca="1" si="60"/>
        <v/>
      </c>
      <c r="Z163" s="265" t="str">
        <f t="shared" ca="1" si="60"/>
        <v/>
      </c>
      <c r="AA163" s="266" t="str">
        <f t="shared" ca="1" si="60"/>
        <v/>
      </c>
      <c r="AB163" s="267" t="str">
        <f t="shared" ca="1" si="60"/>
        <v/>
      </c>
      <c r="AC163" s="536" t="s">
        <v>697</v>
      </c>
      <c r="AD163" s="212" t="str">
        <f t="shared" ca="1" si="61"/>
        <v/>
      </c>
    </row>
    <row r="164" spans="1:30" s="45" customFormat="1" ht="22.5" customHeight="1">
      <c r="A164" s="258" t="str">
        <f ca="1">IFERROR(INDEX(凭证录入!H:H,$AD164),"")</f>
        <v/>
      </c>
      <c r="B164" s="259" t="str">
        <f ca="1">IFERROR(INDEX(凭证录入!I:I,$AD164),"")</f>
        <v/>
      </c>
      <c r="C164" s="260" t="str">
        <f ca="1">IFERROR(VLOOKUP($B164,会计科目表!$A:$C,2,),"")</f>
        <v/>
      </c>
      <c r="D164" s="261" t="str">
        <f ca="1">IFERROR(VLOOKUP($B164,会计科目表!$A:$C,3,),"")</f>
        <v/>
      </c>
      <c r="E164" s="262">
        <f ca="1">IFERROR(INDEX(凭证录入!K:K,$AD164),0)</f>
        <v>0</v>
      </c>
      <c r="F164" s="262">
        <f ca="1">IFERROR(INDEX(凭证录入!L:L,$AD164),0)</f>
        <v>0</v>
      </c>
      <c r="G164" s="263" t="str">
        <f t="shared" ca="1" si="59"/>
        <v/>
      </c>
      <c r="H164" s="264" t="str">
        <f t="shared" ca="1" si="59"/>
        <v/>
      </c>
      <c r="I164" s="265" t="str">
        <f t="shared" ca="1" si="59"/>
        <v/>
      </c>
      <c r="J164" s="266" t="str">
        <f t="shared" ca="1" si="59"/>
        <v/>
      </c>
      <c r="K164" s="264" t="str">
        <f t="shared" ca="1" si="59"/>
        <v/>
      </c>
      <c r="L164" s="265" t="str">
        <f t="shared" ca="1" si="59"/>
        <v/>
      </c>
      <c r="M164" s="266" t="str">
        <f t="shared" ca="1" si="59"/>
        <v/>
      </c>
      <c r="N164" s="264" t="str">
        <f t="shared" ca="1" si="59"/>
        <v/>
      </c>
      <c r="O164" s="265" t="str">
        <f t="shared" ca="1" si="59"/>
        <v/>
      </c>
      <c r="P164" s="266" t="str">
        <f t="shared" ca="1" si="59"/>
        <v/>
      </c>
      <c r="Q164" s="267" t="str">
        <f t="shared" ca="1" si="59"/>
        <v/>
      </c>
      <c r="R164" s="268" t="str">
        <f t="shared" ca="1" si="60"/>
        <v/>
      </c>
      <c r="S164" s="264" t="str">
        <f t="shared" ca="1" si="60"/>
        <v/>
      </c>
      <c r="T164" s="269" t="str">
        <f t="shared" ca="1" si="60"/>
        <v/>
      </c>
      <c r="U164" s="268" t="str">
        <f t="shared" ca="1" si="60"/>
        <v/>
      </c>
      <c r="V164" s="264" t="str">
        <f t="shared" ca="1" si="60"/>
        <v/>
      </c>
      <c r="W164" s="265" t="str">
        <f t="shared" ca="1" si="60"/>
        <v/>
      </c>
      <c r="X164" s="266" t="str">
        <f t="shared" ca="1" si="60"/>
        <v/>
      </c>
      <c r="Y164" s="264" t="str">
        <f t="shared" ca="1" si="60"/>
        <v/>
      </c>
      <c r="Z164" s="265" t="str">
        <f t="shared" ca="1" si="60"/>
        <v/>
      </c>
      <c r="AA164" s="266" t="str">
        <f t="shared" ca="1" si="60"/>
        <v/>
      </c>
      <c r="AB164" s="267" t="str">
        <f t="shared" ca="1" si="60"/>
        <v/>
      </c>
      <c r="AC164" s="537"/>
      <c r="AD164" s="212" t="str">
        <f t="shared" ca="1" si="61"/>
        <v/>
      </c>
    </row>
    <row r="165" spans="1:30" s="45" customFormat="1" ht="22.5" customHeight="1">
      <c r="A165" s="258" t="str">
        <f ca="1">IFERROR(INDEX(凭证录入!H:H,$AD165),"")</f>
        <v/>
      </c>
      <c r="B165" s="259" t="str">
        <f ca="1">IFERROR(INDEX(凭证录入!I:I,$AD165),"")</f>
        <v/>
      </c>
      <c r="C165" s="260" t="str">
        <f ca="1">IFERROR(VLOOKUP($B165,会计科目表!$A:$C,2,),"")</f>
        <v/>
      </c>
      <c r="D165" s="261" t="str">
        <f ca="1">IFERROR(VLOOKUP($B165,会计科目表!$A:$C,3,),"")</f>
        <v/>
      </c>
      <c r="E165" s="262">
        <f ca="1">IFERROR(INDEX(凭证录入!K:K,$AD165),0)</f>
        <v>0</v>
      </c>
      <c r="F165" s="262">
        <f ca="1">IFERROR(INDEX(凭证录入!L:L,$AD165),0)</f>
        <v>0</v>
      </c>
      <c r="G165" s="263" t="str">
        <f t="shared" ca="1" si="59"/>
        <v/>
      </c>
      <c r="H165" s="264" t="str">
        <f t="shared" ca="1" si="59"/>
        <v/>
      </c>
      <c r="I165" s="265" t="str">
        <f t="shared" ca="1" si="59"/>
        <v/>
      </c>
      <c r="J165" s="266" t="str">
        <f t="shared" ca="1" si="59"/>
        <v/>
      </c>
      <c r="K165" s="264" t="str">
        <f t="shared" ca="1" si="59"/>
        <v/>
      </c>
      <c r="L165" s="265" t="str">
        <f t="shared" ca="1" si="59"/>
        <v/>
      </c>
      <c r="M165" s="266" t="str">
        <f t="shared" ca="1" si="59"/>
        <v/>
      </c>
      <c r="N165" s="264" t="str">
        <f t="shared" ca="1" si="59"/>
        <v/>
      </c>
      <c r="O165" s="265" t="str">
        <f t="shared" ca="1" si="59"/>
        <v/>
      </c>
      <c r="P165" s="266" t="str">
        <f t="shared" ca="1" si="59"/>
        <v/>
      </c>
      <c r="Q165" s="267" t="str">
        <f t="shared" ca="1" si="59"/>
        <v/>
      </c>
      <c r="R165" s="268" t="str">
        <f t="shared" ca="1" si="60"/>
        <v/>
      </c>
      <c r="S165" s="264" t="str">
        <f t="shared" ca="1" si="60"/>
        <v/>
      </c>
      <c r="T165" s="269" t="str">
        <f t="shared" ca="1" si="60"/>
        <v/>
      </c>
      <c r="U165" s="268" t="str">
        <f t="shared" ca="1" si="60"/>
        <v/>
      </c>
      <c r="V165" s="264" t="str">
        <f t="shared" ca="1" si="60"/>
        <v/>
      </c>
      <c r="W165" s="265" t="str">
        <f t="shared" ca="1" si="60"/>
        <v/>
      </c>
      <c r="X165" s="266" t="str">
        <f t="shared" ca="1" si="60"/>
        <v/>
      </c>
      <c r="Y165" s="264" t="str">
        <f t="shared" ca="1" si="60"/>
        <v/>
      </c>
      <c r="Z165" s="265" t="str">
        <f t="shared" ca="1" si="60"/>
        <v/>
      </c>
      <c r="AA165" s="266" t="str">
        <f t="shared" ca="1" si="60"/>
        <v/>
      </c>
      <c r="AB165" s="267" t="str">
        <f t="shared" ca="1" si="60"/>
        <v/>
      </c>
      <c r="AC165" s="538"/>
      <c r="AD165" s="212" t="str">
        <f t="shared" ca="1" si="61"/>
        <v/>
      </c>
    </row>
    <row r="166" spans="1:30" s="45" customFormat="1" ht="22.5" customHeight="1">
      <c r="A166" s="258" t="str">
        <f ca="1">IFERROR(INDEX(凭证录入!H:H,$AD166),"")</f>
        <v/>
      </c>
      <c r="B166" s="259" t="str">
        <f ca="1">IFERROR(INDEX(凭证录入!I:I,$AD166),"")</f>
        <v/>
      </c>
      <c r="C166" s="260" t="str">
        <f ca="1">IFERROR(VLOOKUP($B166,会计科目表!$A:$C,2,),"")</f>
        <v/>
      </c>
      <c r="D166" s="261" t="str">
        <f ca="1">IFERROR(VLOOKUP($B166,会计科目表!$A:$C,3,),"")</f>
        <v/>
      </c>
      <c r="E166" s="262">
        <f ca="1">IFERROR(INDEX(凭证录入!K:K,$AD166),0)</f>
        <v>0</v>
      </c>
      <c r="F166" s="262">
        <f ca="1">IFERROR(INDEX(凭证录入!L:L,$AD166),0)</f>
        <v>0</v>
      </c>
      <c r="G166" s="263" t="str">
        <f t="shared" ca="1" si="59"/>
        <v/>
      </c>
      <c r="H166" s="264" t="str">
        <f t="shared" ca="1" si="59"/>
        <v/>
      </c>
      <c r="I166" s="265" t="str">
        <f t="shared" ca="1" si="59"/>
        <v/>
      </c>
      <c r="J166" s="266" t="str">
        <f t="shared" ca="1" si="59"/>
        <v/>
      </c>
      <c r="K166" s="264" t="str">
        <f t="shared" ca="1" si="59"/>
        <v/>
      </c>
      <c r="L166" s="265" t="str">
        <f t="shared" ca="1" si="59"/>
        <v/>
      </c>
      <c r="M166" s="266" t="str">
        <f t="shared" ca="1" si="59"/>
        <v/>
      </c>
      <c r="N166" s="264" t="str">
        <f t="shared" ca="1" si="59"/>
        <v/>
      </c>
      <c r="O166" s="265" t="str">
        <f t="shared" ca="1" si="59"/>
        <v/>
      </c>
      <c r="P166" s="266" t="str">
        <f t="shared" ca="1" si="59"/>
        <v/>
      </c>
      <c r="Q166" s="267" t="str">
        <f t="shared" ca="1" si="59"/>
        <v/>
      </c>
      <c r="R166" s="268" t="str">
        <f t="shared" ca="1" si="60"/>
        <v/>
      </c>
      <c r="S166" s="264" t="str">
        <f t="shared" ca="1" si="60"/>
        <v/>
      </c>
      <c r="T166" s="269" t="str">
        <f t="shared" ca="1" si="60"/>
        <v/>
      </c>
      <c r="U166" s="268" t="str">
        <f t="shared" ca="1" si="60"/>
        <v/>
      </c>
      <c r="V166" s="264" t="str">
        <f t="shared" ca="1" si="60"/>
        <v/>
      </c>
      <c r="W166" s="265" t="str">
        <f t="shared" ca="1" si="60"/>
        <v/>
      </c>
      <c r="X166" s="266" t="str">
        <f t="shared" ca="1" si="60"/>
        <v/>
      </c>
      <c r="Y166" s="264" t="str">
        <f t="shared" ca="1" si="60"/>
        <v/>
      </c>
      <c r="Z166" s="265" t="str">
        <f t="shared" ca="1" si="60"/>
        <v/>
      </c>
      <c r="AA166" s="266" t="str">
        <f t="shared" ca="1" si="60"/>
        <v/>
      </c>
      <c r="AB166" s="267" t="str">
        <f t="shared" ca="1" si="60"/>
        <v/>
      </c>
      <c r="AC166" s="538"/>
      <c r="AD166" s="212" t="str">
        <f t="shared" ca="1" si="61"/>
        <v/>
      </c>
    </row>
    <row r="167" spans="1:30" s="45" customFormat="1" ht="22.5" customHeight="1">
      <c r="A167" s="270" t="s">
        <v>698</v>
      </c>
      <c r="B167" s="271"/>
      <c r="C167" s="272" t="str">
        <f t="shared" ref="C167" ca="1" si="62">SUBSTITUTE(SUBSTITUTE(IF(-DOLLAR(E167),IF(E167&gt;0,,"负")&amp;TEXT(INT(ABS(E167)+0.5%),"[dbnum2]G/通用格式元;;")&amp;TEXT(RIGHT(DOLLAR(E167,2),2),"[dbnum2]0角0分;;整"),),"零角",IF(E167^2&lt;1,,"零")),"零分","整")</f>
        <v/>
      </c>
      <c r="D167" s="273"/>
      <c r="E167" s="274">
        <f t="shared" ref="E167:F167" ca="1" si="63">SUM(E161:E166)</f>
        <v>0</v>
      </c>
      <c r="F167" s="275">
        <f t="shared" ca="1" si="63"/>
        <v>0</v>
      </c>
      <c r="G167" s="276" t="str">
        <f t="shared" ca="1" si="59"/>
        <v/>
      </c>
      <c r="H167" s="277" t="str">
        <f t="shared" ca="1" si="59"/>
        <v/>
      </c>
      <c r="I167" s="278" t="str">
        <f t="shared" ca="1" si="59"/>
        <v/>
      </c>
      <c r="J167" s="279" t="str">
        <f t="shared" ca="1" si="59"/>
        <v/>
      </c>
      <c r="K167" s="277" t="str">
        <f t="shared" ca="1" si="59"/>
        <v/>
      </c>
      <c r="L167" s="278" t="str">
        <f t="shared" ca="1" si="59"/>
        <v/>
      </c>
      <c r="M167" s="279" t="str">
        <f t="shared" ca="1" si="59"/>
        <v/>
      </c>
      <c r="N167" s="277" t="str">
        <f t="shared" ca="1" si="59"/>
        <v/>
      </c>
      <c r="O167" s="278" t="str">
        <f t="shared" ca="1" si="59"/>
        <v/>
      </c>
      <c r="P167" s="279" t="str">
        <f t="shared" ca="1" si="59"/>
        <v/>
      </c>
      <c r="Q167" s="280" t="str">
        <f t="shared" ca="1" si="59"/>
        <v/>
      </c>
      <c r="R167" s="281" t="str">
        <f t="shared" ca="1" si="60"/>
        <v/>
      </c>
      <c r="S167" s="277" t="str">
        <f t="shared" ca="1" si="60"/>
        <v/>
      </c>
      <c r="T167" s="282" t="str">
        <f t="shared" ca="1" si="60"/>
        <v/>
      </c>
      <c r="U167" s="281" t="str">
        <f t="shared" ca="1" si="60"/>
        <v/>
      </c>
      <c r="V167" s="277" t="str">
        <f t="shared" ca="1" si="60"/>
        <v/>
      </c>
      <c r="W167" s="278" t="str">
        <f t="shared" ca="1" si="60"/>
        <v/>
      </c>
      <c r="X167" s="279" t="str">
        <f t="shared" ca="1" si="60"/>
        <v/>
      </c>
      <c r="Y167" s="277" t="str">
        <f t="shared" ca="1" si="60"/>
        <v/>
      </c>
      <c r="Z167" s="278" t="str">
        <f t="shared" ca="1" si="60"/>
        <v/>
      </c>
      <c r="AA167" s="279" t="str">
        <f t="shared" ca="1" si="60"/>
        <v/>
      </c>
      <c r="AB167" s="280" t="str">
        <f t="shared" ca="1" si="60"/>
        <v/>
      </c>
      <c r="AC167" s="283"/>
      <c r="AD167" s="212"/>
    </row>
    <row r="168" spans="1:30" s="22" customFormat="1" ht="22.5" customHeight="1">
      <c r="A168" s="284" t="s">
        <v>699</v>
      </c>
      <c r="B168" s="284"/>
      <c r="C168" s="284"/>
      <c r="D168" s="284" t="s">
        <v>700</v>
      </c>
      <c r="E168" s="284"/>
      <c r="F168" s="284"/>
      <c r="G168" s="284"/>
      <c r="H168" s="285"/>
      <c r="I168" s="284"/>
      <c r="J168" s="285"/>
      <c r="K168" s="285"/>
      <c r="L168" s="284"/>
      <c r="M168" s="285"/>
      <c r="N168" s="285"/>
      <c r="O168" s="285"/>
      <c r="P168" s="284"/>
      <c r="Q168" s="284" t="s">
        <v>701</v>
      </c>
      <c r="R168" s="284"/>
      <c r="S168" s="284"/>
      <c r="T168" s="284"/>
      <c r="U168" s="285"/>
      <c r="V168" s="284"/>
      <c r="W168" s="285"/>
      <c r="X168" s="284"/>
      <c r="Y168" s="284"/>
      <c r="Z168" s="285"/>
      <c r="AA168" s="285"/>
      <c r="AB168" s="285"/>
      <c r="AC168" s="286"/>
      <c r="AD168" s="212"/>
    </row>
    <row r="169" spans="1:30" ht="39.75" customHeight="1" thickBot="1">
      <c r="A169" s="226"/>
      <c r="B169" s="226"/>
      <c r="C169" s="227" t="s">
        <v>702</v>
      </c>
      <c r="D169" s="228"/>
      <c r="E169" s="226"/>
      <c r="F169" s="226"/>
      <c r="G169" s="228"/>
      <c r="H169" s="228"/>
      <c r="I169" s="228"/>
      <c r="J169" s="228"/>
      <c r="K169" s="228"/>
      <c r="L169" s="228"/>
      <c r="M169" s="228"/>
      <c r="N169" s="228"/>
      <c r="O169" s="228"/>
      <c r="P169" s="228"/>
      <c r="Q169" s="228"/>
      <c r="R169" s="229" t="s">
        <v>703</v>
      </c>
      <c r="S169" s="230"/>
      <c r="T169" s="230"/>
      <c r="U169" s="231" t="e">
        <f ca="1">DATE(AD$1,AF$1,INDEX(凭证录入!B:B,AD173))</f>
        <v>#VALUE!</v>
      </c>
      <c r="V169" s="232"/>
      <c r="W169" s="232"/>
      <c r="X169" s="232"/>
      <c r="Y169" s="232"/>
      <c r="Z169" s="232"/>
      <c r="AA169" s="232"/>
      <c r="AB169" s="232"/>
      <c r="AD169" s="212"/>
    </row>
    <row r="170" spans="1:30" s="45" customFormat="1" ht="23.25" customHeight="1" thickTop="1">
      <c r="A170" s="235" t="s">
        <v>704</v>
      </c>
      <c r="B170" s="235"/>
      <c r="C170" s="236" t="str">
        <f t="shared" si="40"/>
        <v>远大开发有限公司</v>
      </c>
      <c r="D170" s="236"/>
      <c r="E170" s="236"/>
      <c r="F170" s="236"/>
      <c r="G170" s="236"/>
      <c r="H170" s="236"/>
      <c r="I170" s="236"/>
      <c r="J170" s="236"/>
      <c r="K170" s="236"/>
      <c r="L170" s="236"/>
      <c r="M170" s="236"/>
      <c r="N170" s="236"/>
      <c r="O170" s="236"/>
      <c r="P170" s="236"/>
      <c r="Q170" s="236"/>
      <c r="R170" s="229" t="s">
        <v>705</v>
      </c>
      <c r="S170" s="229"/>
      <c r="T170" s="229"/>
      <c r="U170" s="237" t="str">
        <f t="shared" ref="U170" si="64">"第 "&amp;TEXT($AF$1,"00")&amp;TEXT($AC170,"0000 号")</f>
        <v>第 010014 号</v>
      </c>
      <c r="V170" s="237"/>
      <c r="W170" s="238"/>
      <c r="X170" s="238"/>
      <c r="Y170" s="238"/>
      <c r="Z170" s="238"/>
      <c r="AA170" s="238"/>
      <c r="AB170" s="238"/>
      <c r="AC170" s="239">
        <f t="shared" si="42"/>
        <v>14</v>
      </c>
      <c r="AD170" s="212"/>
    </row>
    <row r="171" spans="1:30" s="45" customFormat="1" ht="22.5" customHeight="1">
      <c r="A171" s="241" t="s">
        <v>706</v>
      </c>
      <c r="B171" s="542" t="s">
        <v>707</v>
      </c>
      <c r="C171" s="242" t="s">
        <v>708</v>
      </c>
      <c r="D171" s="243" t="s">
        <v>709</v>
      </c>
      <c r="E171" s="539" t="s">
        <v>710</v>
      </c>
      <c r="F171" s="539" t="s">
        <v>711</v>
      </c>
      <c r="G171" s="244" t="s">
        <v>712</v>
      </c>
      <c r="H171" s="245"/>
      <c r="I171" s="245"/>
      <c r="J171" s="245"/>
      <c r="K171" s="245"/>
      <c r="L171" s="245"/>
      <c r="M171" s="245"/>
      <c r="N171" s="245"/>
      <c r="O171" s="245"/>
      <c r="P171" s="245"/>
      <c r="Q171" s="246"/>
      <c r="R171" s="247" t="s">
        <v>713</v>
      </c>
      <c r="S171" s="245"/>
      <c r="T171" s="245"/>
      <c r="U171" s="245"/>
      <c r="V171" s="245"/>
      <c r="W171" s="245"/>
      <c r="X171" s="245"/>
      <c r="Y171" s="245"/>
      <c r="Z171" s="245"/>
      <c r="AA171" s="245"/>
      <c r="AB171" s="246"/>
      <c r="AC171" s="541" t="str">
        <f ca="1">"附单据数︵"&amp;INDEX(凭证录入!$D:$D,$AD$17)&amp;"︶张"</f>
        <v>附单据数︵4︶张</v>
      </c>
      <c r="AD171" s="235"/>
    </row>
    <row r="172" spans="1:30" s="45" customFormat="1" ht="22.5" customHeight="1">
      <c r="A172" s="248" t="s">
        <v>714</v>
      </c>
      <c r="B172" s="543"/>
      <c r="C172" s="249" t="s">
        <v>715</v>
      </c>
      <c r="D172" s="250" t="s">
        <v>715</v>
      </c>
      <c r="E172" s="540"/>
      <c r="F172" s="540"/>
      <c r="G172" s="251" t="s">
        <v>716</v>
      </c>
      <c r="H172" s="252" t="s">
        <v>717</v>
      </c>
      <c r="I172" s="253" t="s">
        <v>718</v>
      </c>
      <c r="J172" s="254" t="s">
        <v>719</v>
      </c>
      <c r="K172" s="252" t="s">
        <v>720</v>
      </c>
      <c r="L172" s="253" t="s">
        <v>717</v>
      </c>
      <c r="M172" s="254" t="s">
        <v>718</v>
      </c>
      <c r="N172" s="252" t="s">
        <v>719</v>
      </c>
      <c r="O172" s="253" t="s">
        <v>721</v>
      </c>
      <c r="P172" s="254" t="s">
        <v>722</v>
      </c>
      <c r="Q172" s="255" t="s">
        <v>723</v>
      </c>
      <c r="R172" s="256" t="s">
        <v>716</v>
      </c>
      <c r="S172" s="252" t="s">
        <v>717</v>
      </c>
      <c r="T172" s="257" t="s">
        <v>718</v>
      </c>
      <c r="U172" s="256" t="s">
        <v>719</v>
      </c>
      <c r="V172" s="252" t="s">
        <v>720</v>
      </c>
      <c r="W172" s="253" t="s">
        <v>717</v>
      </c>
      <c r="X172" s="254" t="s">
        <v>718</v>
      </c>
      <c r="Y172" s="252" t="s">
        <v>719</v>
      </c>
      <c r="Z172" s="253" t="s">
        <v>721</v>
      </c>
      <c r="AA172" s="254" t="s">
        <v>722</v>
      </c>
      <c r="AB172" s="255" t="s">
        <v>723</v>
      </c>
      <c r="AC172" s="541"/>
    </row>
    <row r="173" spans="1:30" s="45" customFormat="1" ht="22.5" customHeight="1">
      <c r="A173" s="258" t="str">
        <f ca="1">IFERROR(INDEX(凭证录入!H:H,$AD173),"")</f>
        <v/>
      </c>
      <c r="B173" s="259" t="str">
        <f ca="1">IFERROR(INDEX(凭证录入!I:I,$AD173),"")</f>
        <v/>
      </c>
      <c r="C173" s="260" t="str">
        <f ca="1">IFERROR(VLOOKUP($B173,会计科目表!$A:$C,2,),"")</f>
        <v/>
      </c>
      <c r="D173" s="261" t="str">
        <f ca="1">IFERROR(VLOOKUP($B173,会计科目表!$A:$C,3,),"")</f>
        <v/>
      </c>
      <c r="E173" s="262">
        <f ca="1">IFERROR(INDEX(凭证录入!K:K,$AD173),0)</f>
        <v>0</v>
      </c>
      <c r="F173" s="262">
        <f ca="1">IFERROR(INDEX(凭证录入!L:L,$AD173),0)</f>
        <v>0</v>
      </c>
      <c r="G173" s="263" t="str">
        <f t="shared" ca="1" si="59"/>
        <v/>
      </c>
      <c r="H173" s="264" t="str">
        <f t="shared" ca="1" si="59"/>
        <v/>
      </c>
      <c r="I173" s="265" t="str">
        <f t="shared" ca="1" si="59"/>
        <v/>
      </c>
      <c r="J173" s="266" t="str">
        <f t="shared" ca="1" si="59"/>
        <v/>
      </c>
      <c r="K173" s="264" t="str">
        <f t="shared" ca="1" si="59"/>
        <v/>
      </c>
      <c r="L173" s="265" t="str">
        <f t="shared" ca="1" si="59"/>
        <v/>
      </c>
      <c r="M173" s="266" t="str">
        <f t="shared" ca="1" si="59"/>
        <v/>
      </c>
      <c r="N173" s="264" t="str">
        <f t="shared" ca="1" si="59"/>
        <v/>
      </c>
      <c r="O173" s="265" t="str">
        <f t="shared" ca="1" si="59"/>
        <v/>
      </c>
      <c r="P173" s="266" t="str">
        <f t="shared" ca="1" si="59"/>
        <v/>
      </c>
      <c r="Q173" s="267" t="str">
        <f t="shared" ca="1" si="59"/>
        <v/>
      </c>
      <c r="R173" s="268" t="str">
        <f t="shared" ca="1" si="60"/>
        <v/>
      </c>
      <c r="S173" s="264" t="str">
        <f t="shared" ca="1" si="60"/>
        <v/>
      </c>
      <c r="T173" s="269" t="str">
        <f t="shared" ca="1" si="60"/>
        <v/>
      </c>
      <c r="U173" s="268" t="str">
        <f t="shared" ca="1" si="60"/>
        <v/>
      </c>
      <c r="V173" s="264" t="str">
        <f t="shared" ca="1" si="60"/>
        <v/>
      </c>
      <c r="W173" s="265" t="str">
        <f t="shared" ca="1" si="60"/>
        <v/>
      </c>
      <c r="X173" s="266" t="str">
        <f t="shared" ca="1" si="60"/>
        <v/>
      </c>
      <c r="Y173" s="264" t="str">
        <f t="shared" ca="1" si="60"/>
        <v/>
      </c>
      <c r="Z173" s="265" t="str">
        <f t="shared" ca="1" si="60"/>
        <v/>
      </c>
      <c r="AA173" s="266" t="str">
        <f t="shared" ca="1" si="60"/>
        <v/>
      </c>
      <c r="AB173" s="267" t="str">
        <f t="shared" ca="1" si="60"/>
        <v/>
      </c>
      <c r="AC173" s="541"/>
      <c r="AD173" s="212" t="str">
        <f t="shared" ca="1" si="61"/>
        <v/>
      </c>
    </row>
    <row r="174" spans="1:30" s="45" customFormat="1" ht="22.5" customHeight="1">
      <c r="A174" s="258" t="str">
        <f ca="1">IFERROR(INDEX(凭证录入!H:H,$AD174),"")</f>
        <v/>
      </c>
      <c r="B174" s="259" t="str">
        <f ca="1">IFERROR(INDEX(凭证录入!I:I,$AD174),"")</f>
        <v/>
      </c>
      <c r="C174" s="260" t="str">
        <f ca="1">IFERROR(VLOOKUP($B174,会计科目表!$A:$C,2,),"")</f>
        <v/>
      </c>
      <c r="D174" s="261" t="str">
        <f ca="1">IFERROR(VLOOKUP($B174,会计科目表!$A:$C,3,),"")</f>
        <v/>
      </c>
      <c r="E174" s="262">
        <f ca="1">IFERROR(INDEX(凭证录入!K:K,$AD174),0)</f>
        <v>0</v>
      </c>
      <c r="F174" s="262">
        <f ca="1">IFERROR(INDEX(凭证录入!L:L,$AD174),0)</f>
        <v>0</v>
      </c>
      <c r="G174" s="263" t="str">
        <f t="shared" ca="1" si="59"/>
        <v/>
      </c>
      <c r="H174" s="264" t="str">
        <f t="shared" ca="1" si="59"/>
        <v/>
      </c>
      <c r="I174" s="265" t="str">
        <f t="shared" ca="1" si="59"/>
        <v/>
      </c>
      <c r="J174" s="266" t="str">
        <f t="shared" ca="1" si="59"/>
        <v/>
      </c>
      <c r="K174" s="264" t="str">
        <f t="shared" ca="1" si="59"/>
        <v/>
      </c>
      <c r="L174" s="265" t="str">
        <f t="shared" ca="1" si="59"/>
        <v/>
      </c>
      <c r="M174" s="266" t="str">
        <f t="shared" ca="1" si="59"/>
        <v/>
      </c>
      <c r="N174" s="264" t="str">
        <f t="shared" ca="1" si="59"/>
        <v/>
      </c>
      <c r="O174" s="265" t="str">
        <f t="shared" ca="1" si="59"/>
        <v/>
      </c>
      <c r="P174" s="266" t="str">
        <f t="shared" ca="1" si="59"/>
        <v/>
      </c>
      <c r="Q174" s="267" t="str">
        <f t="shared" ca="1" si="59"/>
        <v/>
      </c>
      <c r="R174" s="268" t="str">
        <f t="shared" ca="1" si="60"/>
        <v/>
      </c>
      <c r="S174" s="264" t="str">
        <f t="shared" ca="1" si="60"/>
        <v/>
      </c>
      <c r="T174" s="269" t="str">
        <f t="shared" ca="1" si="60"/>
        <v/>
      </c>
      <c r="U174" s="268" t="str">
        <f t="shared" ca="1" si="60"/>
        <v/>
      </c>
      <c r="V174" s="264" t="str">
        <f t="shared" ca="1" si="60"/>
        <v/>
      </c>
      <c r="W174" s="265" t="str">
        <f t="shared" ca="1" si="60"/>
        <v/>
      </c>
      <c r="X174" s="266" t="str">
        <f t="shared" ca="1" si="60"/>
        <v/>
      </c>
      <c r="Y174" s="264" t="str">
        <f t="shared" ca="1" si="60"/>
        <v/>
      </c>
      <c r="Z174" s="265" t="str">
        <f t="shared" ca="1" si="60"/>
        <v/>
      </c>
      <c r="AA174" s="266" t="str">
        <f t="shared" ca="1" si="60"/>
        <v/>
      </c>
      <c r="AB174" s="267" t="str">
        <f t="shared" ca="1" si="60"/>
        <v/>
      </c>
      <c r="AC174" s="541"/>
      <c r="AD174" s="212" t="str">
        <f t="shared" ca="1" si="61"/>
        <v/>
      </c>
    </row>
    <row r="175" spans="1:30" s="45" customFormat="1" ht="22.5" customHeight="1">
      <c r="A175" s="258" t="str">
        <f ca="1">IFERROR(INDEX(凭证录入!H:H,$AD175),"")</f>
        <v/>
      </c>
      <c r="B175" s="259" t="str">
        <f ca="1">IFERROR(INDEX(凭证录入!I:I,$AD175),"")</f>
        <v/>
      </c>
      <c r="C175" s="260" t="str">
        <f ca="1">IFERROR(VLOOKUP($B175,会计科目表!$A:$C,2,),"")</f>
        <v/>
      </c>
      <c r="D175" s="261" t="str">
        <f ca="1">IFERROR(VLOOKUP($B175,会计科目表!$A:$C,3,),"")</f>
        <v/>
      </c>
      <c r="E175" s="262">
        <f ca="1">IFERROR(INDEX(凭证录入!K:K,$AD175),0)</f>
        <v>0</v>
      </c>
      <c r="F175" s="262">
        <f ca="1">IFERROR(INDEX(凭证录入!L:L,$AD175),0)</f>
        <v>0</v>
      </c>
      <c r="G175" s="263" t="str">
        <f t="shared" ca="1" si="59"/>
        <v/>
      </c>
      <c r="H175" s="264" t="str">
        <f t="shared" ca="1" si="59"/>
        <v/>
      </c>
      <c r="I175" s="265" t="str">
        <f t="shared" ca="1" si="59"/>
        <v/>
      </c>
      <c r="J175" s="266" t="str">
        <f t="shared" ca="1" si="59"/>
        <v/>
      </c>
      <c r="K175" s="264" t="str">
        <f t="shared" ca="1" si="59"/>
        <v/>
      </c>
      <c r="L175" s="265" t="str">
        <f t="shared" ca="1" si="59"/>
        <v/>
      </c>
      <c r="M175" s="266" t="str">
        <f t="shared" ca="1" si="59"/>
        <v/>
      </c>
      <c r="N175" s="264" t="str">
        <f t="shared" ca="1" si="59"/>
        <v/>
      </c>
      <c r="O175" s="265" t="str">
        <f t="shared" ca="1" si="59"/>
        <v/>
      </c>
      <c r="P175" s="266" t="str">
        <f t="shared" ca="1" si="59"/>
        <v/>
      </c>
      <c r="Q175" s="267" t="str">
        <f t="shared" ca="1" si="59"/>
        <v/>
      </c>
      <c r="R175" s="268" t="str">
        <f t="shared" ca="1" si="60"/>
        <v/>
      </c>
      <c r="S175" s="264" t="str">
        <f t="shared" ca="1" si="60"/>
        <v/>
      </c>
      <c r="T175" s="269" t="str">
        <f t="shared" ca="1" si="60"/>
        <v/>
      </c>
      <c r="U175" s="268" t="str">
        <f t="shared" ca="1" si="60"/>
        <v/>
      </c>
      <c r="V175" s="264" t="str">
        <f t="shared" ca="1" si="60"/>
        <v/>
      </c>
      <c r="W175" s="265" t="str">
        <f t="shared" ca="1" si="60"/>
        <v/>
      </c>
      <c r="X175" s="266" t="str">
        <f t="shared" ca="1" si="60"/>
        <v/>
      </c>
      <c r="Y175" s="264" t="str">
        <f t="shared" ca="1" si="60"/>
        <v/>
      </c>
      <c r="Z175" s="265" t="str">
        <f t="shared" ca="1" si="60"/>
        <v/>
      </c>
      <c r="AA175" s="266" t="str">
        <f t="shared" ca="1" si="60"/>
        <v/>
      </c>
      <c r="AB175" s="267" t="str">
        <f t="shared" ca="1" si="60"/>
        <v/>
      </c>
      <c r="AC175" s="536" t="s">
        <v>669</v>
      </c>
      <c r="AD175" s="212" t="str">
        <f t="shared" ca="1" si="61"/>
        <v/>
      </c>
    </row>
    <row r="176" spans="1:30" s="45" customFormat="1" ht="22.5" customHeight="1">
      <c r="A176" s="258" t="str">
        <f ca="1">IFERROR(INDEX(凭证录入!H:H,$AD176),"")</f>
        <v/>
      </c>
      <c r="B176" s="259" t="str">
        <f ca="1">IFERROR(INDEX(凭证录入!I:I,$AD176),"")</f>
        <v/>
      </c>
      <c r="C176" s="260" t="str">
        <f ca="1">IFERROR(VLOOKUP($B176,会计科目表!$A:$C,2,),"")</f>
        <v/>
      </c>
      <c r="D176" s="261" t="str">
        <f ca="1">IFERROR(VLOOKUP($B176,会计科目表!$A:$C,3,),"")</f>
        <v/>
      </c>
      <c r="E176" s="262">
        <f ca="1">IFERROR(INDEX(凭证录入!K:K,$AD176),0)</f>
        <v>0</v>
      </c>
      <c r="F176" s="262">
        <f ca="1">IFERROR(INDEX(凭证录入!L:L,$AD176),0)</f>
        <v>0</v>
      </c>
      <c r="G176" s="263" t="str">
        <f t="shared" ca="1" si="59"/>
        <v/>
      </c>
      <c r="H176" s="264" t="str">
        <f t="shared" ca="1" si="59"/>
        <v/>
      </c>
      <c r="I176" s="265" t="str">
        <f t="shared" ca="1" si="59"/>
        <v/>
      </c>
      <c r="J176" s="266" t="str">
        <f t="shared" ca="1" si="59"/>
        <v/>
      </c>
      <c r="K176" s="264" t="str">
        <f t="shared" ca="1" si="59"/>
        <v/>
      </c>
      <c r="L176" s="265" t="str">
        <f t="shared" ca="1" si="59"/>
        <v/>
      </c>
      <c r="M176" s="266" t="str">
        <f t="shared" ca="1" si="59"/>
        <v/>
      </c>
      <c r="N176" s="264" t="str">
        <f t="shared" ca="1" si="59"/>
        <v/>
      </c>
      <c r="O176" s="265" t="str">
        <f t="shared" ca="1" si="59"/>
        <v/>
      </c>
      <c r="P176" s="266" t="str">
        <f t="shared" ca="1" si="59"/>
        <v/>
      </c>
      <c r="Q176" s="267" t="str">
        <f t="shared" ca="1" si="59"/>
        <v/>
      </c>
      <c r="R176" s="268" t="str">
        <f t="shared" ca="1" si="60"/>
        <v/>
      </c>
      <c r="S176" s="264" t="str">
        <f t="shared" ca="1" si="60"/>
        <v/>
      </c>
      <c r="T176" s="269" t="str">
        <f t="shared" ca="1" si="60"/>
        <v/>
      </c>
      <c r="U176" s="268" t="str">
        <f t="shared" ca="1" si="60"/>
        <v/>
      </c>
      <c r="V176" s="264" t="str">
        <f t="shared" ca="1" si="60"/>
        <v/>
      </c>
      <c r="W176" s="265" t="str">
        <f t="shared" ca="1" si="60"/>
        <v/>
      </c>
      <c r="X176" s="266" t="str">
        <f t="shared" ca="1" si="60"/>
        <v/>
      </c>
      <c r="Y176" s="264" t="str">
        <f t="shared" ca="1" si="60"/>
        <v/>
      </c>
      <c r="Z176" s="265" t="str">
        <f t="shared" ca="1" si="60"/>
        <v/>
      </c>
      <c r="AA176" s="266" t="str">
        <f t="shared" ca="1" si="60"/>
        <v/>
      </c>
      <c r="AB176" s="267" t="str">
        <f t="shared" ca="1" si="60"/>
        <v/>
      </c>
      <c r="AC176" s="537"/>
      <c r="AD176" s="212" t="str">
        <f t="shared" ca="1" si="61"/>
        <v/>
      </c>
    </row>
    <row r="177" spans="1:30" s="45" customFormat="1" ht="22.5" customHeight="1">
      <c r="A177" s="258" t="str">
        <f ca="1">IFERROR(INDEX(凭证录入!H:H,$AD177),"")</f>
        <v/>
      </c>
      <c r="B177" s="259" t="str">
        <f ca="1">IFERROR(INDEX(凭证录入!I:I,$AD177),"")</f>
        <v/>
      </c>
      <c r="C177" s="260" t="str">
        <f ca="1">IFERROR(VLOOKUP($B177,会计科目表!$A:$C,2,),"")</f>
        <v/>
      </c>
      <c r="D177" s="261" t="str">
        <f ca="1">IFERROR(VLOOKUP($B177,会计科目表!$A:$C,3,),"")</f>
        <v/>
      </c>
      <c r="E177" s="262">
        <f ca="1">IFERROR(INDEX(凭证录入!K:K,$AD177),0)</f>
        <v>0</v>
      </c>
      <c r="F177" s="262">
        <f ca="1">IFERROR(INDEX(凭证录入!L:L,$AD177),0)</f>
        <v>0</v>
      </c>
      <c r="G177" s="263" t="str">
        <f t="shared" ca="1" si="59"/>
        <v/>
      </c>
      <c r="H177" s="264" t="str">
        <f t="shared" ca="1" si="59"/>
        <v/>
      </c>
      <c r="I177" s="265" t="str">
        <f t="shared" ca="1" si="59"/>
        <v/>
      </c>
      <c r="J177" s="266" t="str">
        <f t="shared" ca="1" si="59"/>
        <v/>
      </c>
      <c r="K177" s="264" t="str">
        <f t="shared" ca="1" si="59"/>
        <v/>
      </c>
      <c r="L177" s="265" t="str">
        <f t="shared" ca="1" si="59"/>
        <v/>
      </c>
      <c r="M177" s="266" t="str">
        <f t="shared" ca="1" si="59"/>
        <v/>
      </c>
      <c r="N177" s="264" t="str">
        <f t="shared" ca="1" si="59"/>
        <v/>
      </c>
      <c r="O177" s="265" t="str">
        <f t="shared" ca="1" si="59"/>
        <v/>
      </c>
      <c r="P177" s="266" t="str">
        <f t="shared" ca="1" si="59"/>
        <v/>
      </c>
      <c r="Q177" s="267" t="str">
        <f t="shared" ca="1" si="59"/>
        <v/>
      </c>
      <c r="R177" s="268" t="str">
        <f t="shared" ca="1" si="60"/>
        <v/>
      </c>
      <c r="S177" s="264" t="str">
        <f t="shared" ca="1" si="60"/>
        <v/>
      </c>
      <c r="T177" s="269" t="str">
        <f t="shared" ca="1" si="60"/>
        <v/>
      </c>
      <c r="U177" s="268" t="str">
        <f t="shared" ca="1" si="60"/>
        <v/>
      </c>
      <c r="V177" s="264" t="str">
        <f t="shared" ca="1" si="60"/>
        <v/>
      </c>
      <c r="W177" s="265" t="str">
        <f t="shared" ca="1" si="60"/>
        <v/>
      </c>
      <c r="X177" s="266" t="str">
        <f t="shared" ca="1" si="60"/>
        <v/>
      </c>
      <c r="Y177" s="264" t="str">
        <f t="shared" ca="1" si="60"/>
        <v/>
      </c>
      <c r="Z177" s="265" t="str">
        <f t="shared" ca="1" si="60"/>
        <v/>
      </c>
      <c r="AA177" s="266" t="str">
        <f t="shared" ca="1" si="60"/>
        <v/>
      </c>
      <c r="AB177" s="267" t="str">
        <f t="shared" ca="1" si="60"/>
        <v/>
      </c>
      <c r="AC177" s="538"/>
      <c r="AD177" s="212" t="str">
        <f t="shared" ca="1" si="61"/>
        <v/>
      </c>
    </row>
    <row r="178" spans="1:30" s="45" customFormat="1" ht="22.5" customHeight="1">
      <c r="A178" s="258" t="str">
        <f ca="1">IFERROR(INDEX(凭证录入!H:H,$AD178),"")</f>
        <v/>
      </c>
      <c r="B178" s="259" t="str">
        <f ca="1">IFERROR(INDEX(凭证录入!I:I,$AD178),"")</f>
        <v/>
      </c>
      <c r="C178" s="260" t="str">
        <f ca="1">IFERROR(VLOOKUP($B178,会计科目表!$A:$C,2,),"")</f>
        <v/>
      </c>
      <c r="D178" s="261" t="str">
        <f ca="1">IFERROR(VLOOKUP($B178,会计科目表!$A:$C,3,),"")</f>
        <v/>
      </c>
      <c r="E178" s="262">
        <f ca="1">IFERROR(INDEX(凭证录入!K:K,$AD178),0)</f>
        <v>0</v>
      </c>
      <c r="F178" s="262">
        <f ca="1">IFERROR(INDEX(凭证录入!L:L,$AD178),0)</f>
        <v>0</v>
      </c>
      <c r="G178" s="263" t="str">
        <f t="shared" ca="1" si="59"/>
        <v/>
      </c>
      <c r="H178" s="264" t="str">
        <f t="shared" ca="1" si="59"/>
        <v/>
      </c>
      <c r="I178" s="265" t="str">
        <f t="shared" ca="1" si="59"/>
        <v/>
      </c>
      <c r="J178" s="266" t="str">
        <f t="shared" ca="1" si="59"/>
        <v/>
      </c>
      <c r="K178" s="264" t="str">
        <f t="shared" ca="1" si="59"/>
        <v/>
      </c>
      <c r="L178" s="265" t="str">
        <f t="shared" ca="1" si="59"/>
        <v/>
      </c>
      <c r="M178" s="266" t="str">
        <f t="shared" ca="1" si="59"/>
        <v/>
      </c>
      <c r="N178" s="264" t="str">
        <f t="shared" ca="1" si="59"/>
        <v/>
      </c>
      <c r="O178" s="265" t="str">
        <f t="shared" ca="1" si="59"/>
        <v/>
      </c>
      <c r="P178" s="266" t="str">
        <f t="shared" ca="1" si="59"/>
        <v/>
      </c>
      <c r="Q178" s="267" t="str">
        <f t="shared" ca="1" si="59"/>
        <v/>
      </c>
      <c r="R178" s="268" t="str">
        <f t="shared" ca="1" si="60"/>
        <v/>
      </c>
      <c r="S178" s="264" t="str">
        <f t="shared" ca="1" si="60"/>
        <v/>
      </c>
      <c r="T178" s="269" t="str">
        <f t="shared" ca="1" si="60"/>
        <v/>
      </c>
      <c r="U178" s="268" t="str">
        <f t="shared" ca="1" si="60"/>
        <v/>
      </c>
      <c r="V178" s="264" t="str">
        <f t="shared" ca="1" si="60"/>
        <v/>
      </c>
      <c r="W178" s="265" t="str">
        <f t="shared" ca="1" si="60"/>
        <v/>
      </c>
      <c r="X178" s="266" t="str">
        <f t="shared" ca="1" si="60"/>
        <v/>
      </c>
      <c r="Y178" s="264" t="str">
        <f t="shared" ca="1" si="60"/>
        <v/>
      </c>
      <c r="Z178" s="265" t="str">
        <f t="shared" ca="1" si="60"/>
        <v/>
      </c>
      <c r="AA178" s="266" t="str">
        <f t="shared" ca="1" si="60"/>
        <v/>
      </c>
      <c r="AB178" s="267" t="str">
        <f t="shared" ca="1" si="60"/>
        <v/>
      </c>
      <c r="AC178" s="538"/>
      <c r="AD178" s="212" t="str">
        <f t="shared" ca="1" si="61"/>
        <v/>
      </c>
    </row>
    <row r="179" spans="1:30" s="45" customFormat="1" ht="22.5" customHeight="1">
      <c r="A179" s="270" t="s">
        <v>670</v>
      </c>
      <c r="B179" s="271"/>
      <c r="C179" s="272" t="str">
        <f t="shared" ref="C179" ca="1" si="65">SUBSTITUTE(SUBSTITUTE(IF(-DOLLAR(E179),IF(E179&gt;0,,"负")&amp;TEXT(INT(ABS(E179)+0.5%),"[dbnum2]G/通用格式元;;")&amp;TEXT(RIGHT(DOLLAR(E179,2),2),"[dbnum2]0角0分;;整"),),"零角",IF(E179^2&lt;1,,"零")),"零分","整")</f>
        <v/>
      </c>
      <c r="D179" s="273"/>
      <c r="E179" s="274">
        <f t="shared" ref="E179:F179" ca="1" si="66">SUM(E173:E178)</f>
        <v>0</v>
      </c>
      <c r="F179" s="275">
        <f t="shared" ca="1" si="66"/>
        <v>0</v>
      </c>
      <c r="G179" s="276" t="str">
        <f t="shared" ca="1" si="59"/>
        <v/>
      </c>
      <c r="H179" s="277" t="str">
        <f t="shared" ca="1" si="59"/>
        <v/>
      </c>
      <c r="I179" s="278" t="str">
        <f t="shared" ca="1" si="59"/>
        <v/>
      </c>
      <c r="J179" s="279" t="str">
        <f t="shared" ca="1" si="59"/>
        <v/>
      </c>
      <c r="K179" s="277" t="str">
        <f t="shared" ca="1" si="59"/>
        <v/>
      </c>
      <c r="L179" s="278" t="str">
        <f t="shared" ca="1" si="59"/>
        <v/>
      </c>
      <c r="M179" s="279" t="str">
        <f t="shared" ca="1" si="59"/>
        <v/>
      </c>
      <c r="N179" s="277" t="str">
        <f t="shared" ca="1" si="59"/>
        <v/>
      </c>
      <c r="O179" s="278" t="str">
        <f t="shared" ca="1" si="59"/>
        <v/>
      </c>
      <c r="P179" s="279" t="str">
        <f t="shared" ca="1" si="59"/>
        <v/>
      </c>
      <c r="Q179" s="280" t="str">
        <f t="shared" ca="1" si="59"/>
        <v/>
      </c>
      <c r="R179" s="281" t="str">
        <f t="shared" ca="1" si="60"/>
        <v/>
      </c>
      <c r="S179" s="277" t="str">
        <f t="shared" ca="1" si="60"/>
        <v/>
      </c>
      <c r="T179" s="282" t="str">
        <f t="shared" ca="1" si="60"/>
        <v/>
      </c>
      <c r="U179" s="281" t="str">
        <f t="shared" ca="1" si="60"/>
        <v/>
      </c>
      <c r="V179" s="277" t="str">
        <f t="shared" ca="1" si="60"/>
        <v/>
      </c>
      <c r="W179" s="278" t="str">
        <f t="shared" ca="1" si="60"/>
        <v/>
      </c>
      <c r="X179" s="279" t="str">
        <f t="shared" ca="1" si="60"/>
        <v/>
      </c>
      <c r="Y179" s="277" t="str">
        <f t="shared" ca="1" si="60"/>
        <v/>
      </c>
      <c r="Z179" s="278" t="str">
        <f t="shared" ca="1" si="60"/>
        <v/>
      </c>
      <c r="AA179" s="279" t="str">
        <f t="shared" ca="1" si="60"/>
        <v/>
      </c>
      <c r="AB179" s="280" t="str">
        <f t="shared" ca="1" si="60"/>
        <v/>
      </c>
      <c r="AC179" s="283"/>
      <c r="AD179" s="212"/>
    </row>
    <row r="180" spans="1:30" s="22" customFormat="1" ht="22.5" customHeight="1">
      <c r="A180" s="284" t="s">
        <v>644</v>
      </c>
      <c r="B180" s="284"/>
      <c r="C180" s="284"/>
      <c r="D180" s="284" t="s">
        <v>645</v>
      </c>
      <c r="E180" s="284"/>
      <c r="F180" s="284"/>
      <c r="G180" s="284"/>
      <c r="H180" s="285"/>
      <c r="I180" s="284"/>
      <c r="J180" s="285"/>
      <c r="K180" s="285"/>
      <c r="L180" s="284"/>
      <c r="M180" s="285"/>
      <c r="N180" s="285"/>
      <c r="O180" s="285"/>
      <c r="P180" s="284"/>
      <c r="Q180" s="284" t="s">
        <v>646</v>
      </c>
      <c r="R180" s="284"/>
      <c r="S180" s="284"/>
      <c r="T180" s="284"/>
      <c r="U180" s="285"/>
      <c r="V180" s="284"/>
      <c r="W180" s="285"/>
      <c r="X180" s="284"/>
      <c r="Y180" s="284"/>
      <c r="Z180" s="285"/>
      <c r="AA180" s="285"/>
      <c r="AB180" s="285"/>
      <c r="AC180" s="286"/>
      <c r="AD180" s="212"/>
    </row>
    <row r="181" spans="1:30" ht="39.75" customHeight="1" thickBot="1">
      <c r="A181" s="226"/>
      <c r="B181" s="226"/>
      <c r="C181" s="227" t="s">
        <v>647</v>
      </c>
      <c r="D181" s="228"/>
      <c r="E181" s="226"/>
      <c r="F181" s="226"/>
      <c r="G181" s="228"/>
      <c r="H181" s="228"/>
      <c r="I181" s="228"/>
      <c r="J181" s="228"/>
      <c r="K181" s="228"/>
      <c r="L181" s="228"/>
      <c r="M181" s="228"/>
      <c r="N181" s="228"/>
      <c r="O181" s="228"/>
      <c r="P181" s="228"/>
      <c r="Q181" s="228"/>
      <c r="R181" s="229" t="s">
        <v>648</v>
      </c>
      <c r="S181" s="230"/>
      <c r="T181" s="230"/>
      <c r="U181" s="231" t="e">
        <f ca="1">DATE(AD$1,AF$1,INDEX(凭证录入!B:B,AD185))</f>
        <v>#VALUE!</v>
      </c>
      <c r="V181" s="232"/>
      <c r="W181" s="232"/>
      <c r="X181" s="232"/>
      <c r="Y181" s="232"/>
      <c r="Z181" s="232"/>
      <c r="AA181" s="232"/>
      <c r="AB181" s="232"/>
      <c r="AD181" s="212"/>
    </row>
    <row r="182" spans="1:30" s="45" customFormat="1" ht="23.25" customHeight="1" thickTop="1">
      <c r="A182" s="235" t="s">
        <v>649</v>
      </c>
      <c r="B182" s="235"/>
      <c r="C182" s="236" t="str">
        <f t="shared" ref="C182:C242" si="67">Co</f>
        <v>远大开发有限公司</v>
      </c>
      <c r="D182" s="236"/>
      <c r="E182" s="236"/>
      <c r="F182" s="236"/>
      <c r="G182" s="236"/>
      <c r="H182" s="236"/>
      <c r="I182" s="236"/>
      <c r="J182" s="236"/>
      <c r="K182" s="236"/>
      <c r="L182" s="236"/>
      <c r="M182" s="236"/>
      <c r="N182" s="236"/>
      <c r="O182" s="236"/>
      <c r="P182" s="236"/>
      <c r="Q182" s="236"/>
      <c r="R182" s="229" t="s">
        <v>650</v>
      </c>
      <c r="S182" s="229"/>
      <c r="T182" s="229"/>
      <c r="U182" s="237" t="str">
        <f t="shared" ref="U182" si="68">"第 "&amp;TEXT($AF$1,"00")&amp;TEXT($AC182,"0000 号")</f>
        <v>第 010015 号</v>
      </c>
      <c r="V182" s="237"/>
      <c r="W182" s="238"/>
      <c r="X182" s="238"/>
      <c r="Y182" s="238"/>
      <c r="Z182" s="238"/>
      <c r="AA182" s="238"/>
      <c r="AB182" s="238"/>
      <c r="AC182" s="239">
        <f t="shared" ref="AC182:AC242" si="69">N(LEFT((AC170),3)+1)</f>
        <v>15</v>
      </c>
      <c r="AD182" s="212"/>
    </row>
    <row r="183" spans="1:30" s="45" customFormat="1" ht="22.5" customHeight="1">
      <c r="A183" s="241" t="s">
        <v>651</v>
      </c>
      <c r="B183" s="542" t="s">
        <v>652</v>
      </c>
      <c r="C183" s="242" t="s">
        <v>653</v>
      </c>
      <c r="D183" s="243" t="s">
        <v>654</v>
      </c>
      <c r="E183" s="539" t="s">
        <v>655</v>
      </c>
      <c r="F183" s="539" t="s">
        <v>656</v>
      </c>
      <c r="G183" s="244" t="s">
        <v>657</v>
      </c>
      <c r="H183" s="245"/>
      <c r="I183" s="245"/>
      <c r="J183" s="245"/>
      <c r="K183" s="245"/>
      <c r="L183" s="245"/>
      <c r="M183" s="245"/>
      <c r="N183" s="245"/>
      <c r="O183" s="245"/>
      <c r="P183" s="245"/>
      <c r="Q183" s="246"/>
      <c r="R183" s="247" t="s">
        <v>658</v>
      </c>
      <c r="S183" s="245"/>
      <c r="T183" s="245"/>
      <c r="U183" s="245"/>
      <c r="V183" s="245"/>
      <c r="W183" s="245"/>
      <c r="X183" s="245"/>
      <c r="Y183" s="245"/>
      <c r="Z183" s="245"/>
      <c r="AA183" s="245"/>
      <c r="AB183" s="246"/>
      <c r="AC183" s="541" t="str">
        <f ca="1">"附单据数︵"&amp;INDEX(凭证录入!$D:$D,$AD$17)&amp;"︶张"</f>
        <v>附单据数︵4︶张</v>
      </c>
      <c r="AD183" s="235"/>
    </row>
    <row r="184" spans="1:30" s="45" customFormat="1" ht="22.5" customHeight="1">
      <c r="A184" s="248" t="s">
        <v>659</v>
      </c>
      <c r="B184" s="543"/>
      <c r="C184" s="249" t="s">
        <v>660</v>
      </c>
      <c r="D184" s="250" t="s">
        <v>660</v>
      </c>
      <c r="E184" s="540"/>
      <c r="F184" s="540"/>
      <c r="G184" s="251" t="s">
        <v>661</v>
      </c>
      <c r="H184" s="252" t="s">
        <v>662</v>
      </c>
      <c r="I184" s="253" t="s">
        <v>663</v>
      </c>
      <c r="J184" s="254" t="s">
        <v>664</v>
      </c>
      <c r="K184" s="252" t="s">
        <v>665</v>
      </c>
      <c r="L184" s="253" t="s">
        <v>662</v>
      </c>
      <c r="M184" s="254" t="s">
        <v>663</v>
      </c>
      <c r="N184" s="252" t="s">
        <v>664</v>
      </c>
      <c r="O184" s="253" t="s">
        <v>666</v>
      </c>
      <c r="P184" s="254" t="s">
        <v>667</v>
      </c>
      <c r="Q184" s="255" t="s">
        <v>668</v>
      </c>
      <c r="R184" s="256" t="s">
        <v>661</v>
      </c>
      <c r="S184" s="252" t="s">
        <v>662</v>
      </c>
      <c r="T184" s="257" t="s">
        <v>663</v>
      </c>
      <c r="U184" s="256" t="s">
        <v>664</v>
      </c>
      <c r="V184" s="252" t="s">
        <v>665</v>
      </c>
      <c r="W184" s="253" t="s">
        <v>662</v>
      </c>
      <c r="X184" s="254" t="s">
        <v>663</v>
      </c>
      <c r="Y184" s="252" t="s">
        <v>664</v>
      </c>
      <c r="Z184" s="253" t="s">
        <v>666</v>
      </c>
      <c r="AA184" s="254" t="s">
        <v>667</v>
      </c>
      <c r="AB184" s="255" t="s">
        <v>668</v>
      </c>
      <c r="AC184" s="541"/>
    </row>
    <row r="185" spans="1:30" s="45" customFormat="1" ht="22.5" customHeight="1">
      <c r="A185" s="258" t="str">
        <f ca="1">IFERROR(INDEX(凭证录入!H:H,$AD185),"")</f>
        <v/>
      </c>
      <c r="B185" s="259" t="str">
        <f ca="1">IFERROR(INDEX(凭证录入!I:I,$AD185),"")</f>
        <v/>
      </c>
      <c r="C185" s="260" t="str">
        <f ca="1">IFERROR(VLOOKUP($B185,会计科目表!$A:$C,2,),"")</f>
        <v/>
      </c>
      <c r="D185" s="261" t="str">
        <f ca="1">IFERROR(VLOOKUP($B185,会计科目表!$A:$C,3,),"")</f>
        <v/>
      </c>
      <c r="E185" s="262">
        <f ca="1">IFERROR(INDEX(凭证录入!K:K,$AD185),0)</f>
        <v>0</v>
      </c>
      <c r="F185" s="262">
        <f ca="1">IFERROR(INDEX(凭证录入!L:L,$AD185),0)</f>
        <v>0</v>
      </c>
      <c r="G185" s="263" t="str">
        <f t="shared" ca="1" si="59"/>
        <v/>
      </c>
      <c r="H185" s="264" t="str">
        <f t="shared" ca="1" si="59"/>
        <v/>
      </c>
      <c r="I185" s="265" t="str">
        <f t="shared" ca="1" si="59"/>
        <v/>
      </c>
      <c r="J185" s="266" t="str">
        <f t="shared" ca="1" si="59"/>
        <v/>
      </c>
      <c r="K185" s="264" t="str">
        <f t="shared" ca="1" si="59"/>
        <v/>
      </c>
      <c r="L185" s="265" t="str">
        <f t="shared" ca="1" si="59"/>
        <v/>
      </c>
      <c r="M185" s="266" t="str">
        <f t="shared" ca="1" si="59"/>
        <v/>
      </c>
      <c r="N185" s="264" t="str">
        <f t="shared" ca="1" si="59"/>
        <v/>
      </c>
      <c r="O185" s="265" t="str">
        <f t="shared" ca="1" si="59"/>
        <v/>
      </c>
      <c r="P185" s="266" t="str">
        <f t="shared" ca="1" si="59"/>
        <v/>
      </c>
      <c r="Q185" s="267" t="str">
        <f t="shared" ca="1" si="59"/>
        <v/>
      </c>
      <c r="R185" s="268" t="str">
        <f t="shared" ca="1" si="60"/>
        <v/>
      </c>
      <c r="S185" s="264" t="str">
        <f t="shared" ca="1" si="60"/>
        <v/>
      </c>
      <c r="T185" s="269" t="str">
        <f t="shared" ca="1" si="60"/>
        <v/>
      </c>
      <c r="U185" s="268" t="str">
        <f t="shared" ca="1" si="60"/>
        <v/>
      </c>
      <c r="V185" s="264" t="str">
        <f t="shared" ca="1" si="60"/>
        <v/>
      </c>
      <c r="W185" s="265" t="str">
        <f t="shared" ca="1" si="60"/>
        <v/>
      </c>
      <c r="X185" s="266" t="str">
        <f t="shared" ca="1" si="60"/>
        <v/>
      </c>
      <c r="Y185" s="264" t="str">
        <f t="shared" ca="1" si="60"/>
        <v/>
      </c>
      <c r="Z185" s="265" t="str">
        <f t="shared" ca="1" si="60"/>
        <v/>
      </c>
      <c r="AA185" s="266" t="str">
        <f t="shared" ca="1" si="60"/>
        <v/>
      </c>
      <c r="AB185" s="267" t="str">
        <f t="shared" ca="1" si="60"/>
        <v/>
      </c>
      <c r="AC185" s="541"/>
      <c r="AD185" s="212" t="str">
        <f t="shared" ca="1" si="61"/>
        <v/>
      </c>
    </row>
    <row r="186" spans="1:30" s="45" customFormat="1" ht="22.5" customHeight="1">
      <c r="A186" s="258" t="str">
        <f ca="1">IFERROR(INDEX(凭证录入!H:H,$AD186),"")</f>
        <v/>
      </c>
      <c r="B186" s="259" t="str">
        <f ca="1">IFERROR(INDEX(凭证录入!I:I,$AD186),"")</f>
        <v/>
      </c>
      <c r="C186" s="260" t="str">
        <f ca="1">IFERROR(VLOOKUP($B186,会计科目表!$A:$C,2,),"")</f>
        <v/>
      </c>
      <c r="D186" s="261" t="str">
        <f ca="1">IFERROR(VLOOKUP($B186,会计科目表!$A:$C,3,),"")</f>
        <v/>
      </c>
      <c r="E186" s="262">
        <f ca="1">IFERROR(INDEX(凭证录入!K:K,$AD186),0)</f>
        <v>0</v>
      </c>
      <c r="F186" s="262">
        <f ca="1">IFERROR(INDEX(凭证录入!L:L,$AD186),0)</f>
        <v>0</v>
      </c>
      <c r="G186" s="263" t="str">
        <f t="shared" ca="1" si="59"/>
        <v/>
      </c>
      <c r="H186" s="264" t="str">
        <f t="shared" ca="1" si="59"/>
        <v/>
      </c>
      <c r="I186" s="265" t="str">
        <f t="shared" ca="1" si="59"/>
        <v/>
      </c>
      <c r="J186" s="266" t="str">
        <f t="shared" ca="1" si="59"/>
        <v/>
      </c>
      <c r="K186" s="264" t="str">
        <f t="shared" ca="1" si="59"/>
        <v/>
      </c>
      <c r="L186" s="265" t="str">
        <f t="shared" ca="1" si="59"/>
        <v/>
      </c>
      <c r="M186" s="266" t="str">
        <f t="shared" ca="1" si="59"/>
        <v/>
      </c>
      <c r="N186" s="264" t="str">
        <f t="shared" ca="1" si="59"/>
        <v/>
      </c>
      <c r="O186" s="265" t="str">
        <f t="shared" ca="1" si="59"/>
        <v/>
      </c>
      <c r="P186" s="266" t="str">
        <f t="shared" ca="1" si="59"/>
        <v/>
      </c>
      <c r="Q186" s="267" t="str">
        <f t="shared" ca="1" si="59"/>
        <v/>
      </c>
      <c r="R186" s="268" t="str">
        <f t="shared" ca="1" si="60"/>
        <v/>
      </c>
      <c r="S186" s="264" t="str">
        <f t="shared" ca="1" si="60"/>
        <v/>
      </c>
      <c r="T186" s="269" t="str">
        <f t="shared" ca="1" si="60"/>
        <v/>
      </c>
      <c r="U186" s="268" t="str">
        <f t="shared" ca="1" si="60"/>
        <v/>
      </c>
      <c r="V186" s="264" t="str">
        <f t="shared" ca="1" si="60"/>
        <v/>
      </c>
      <c r="W186" s="265" t="str">
        <f t="shared" ca="1" si="60"/>
        <v/>
      </c>
      <c r="X186" s="266" t="str">
        <f t="shared" ca="1" si="60"/>
        <v/>
      </c>
      <c r="Y186" s="264" t="str">
        <f t="shared" ca="1" si="60"/>
        <v/>
      </c>
      <c r="Z186" s="265" t="str">
        <f t="shared" ca="1" si="60"/>
        <v/>
      </c>
      <c r="AA186" s="266" t="str">
        <f t="shared" ca="1" si="60"/>
        <v/>
      </c>
      <c r="AB186" s="267" t="str">
        <f t="shared" ca="1" si="60"/>
        <v/>
      </c>
      <c r="AC186" s="541"/>
      <c r="AD186" s="212" t="str">
        <f t="shared" ca="1" si="61"/>
        <v/>
      </c>
    </row>
    <row r="187" spans="1:30" s="45" customFormat="1" ht="22.5" customHeight="1">
      <c r="A187" s="258" t="str">
        <f ca="1">IFERROR(INDEX(凭证录入!H:H,$AD187),"")</f>
        <v/>
      </c>
      <c r="B187" s="259" t="str">
        <f ca="1">IFERROR(INDEX(凭证录入!I:I,$AD187),"")</f>
        <v/>
      </c>
      <c r="C187" s="260" t="str">
        <f ca="1">IFERROR(VLOOKUP($B187,会计科目表!$A:$C,2,),"")</f>
        <v/>
      </c>
      <c r="D187" s="261" t="str">
        <f ca="1">IFERROR(VLOOKUP($B187,会计科目表!$A:$C,3,),"")</f>
        <v/>
      </c>
      <c r="E187" s="262">
        <f ca="1">IFERROR(INDEX(凭证录入!K:K,$AD187),0)</f>
        <v>0</v>
      </c>
      <c r="F187" s="262">
        <f ca="1">IFERROR(INDEX(凭证录入!L:L,$AD187),0)</f>
        <v>0</v>
      </c>
      <c r="G187" s="263" t="str">
        <f t="shared" ca="1" si="59"/>
        <v/>
      </c>
      <c r="H187" s="264" t="str">
        <f t="shared" ca="1" si="59"/>
        <v/>
      </c>
      <c r="I187" s="265" t="str">
        <f t="shared" ca="1" si="59"/>
        <v/>
      </c>
      <c r="J187" s="266" t="str">
        <f t="shared" ca="1" si="59"/>
        <v/>
      </c>
      <c r="K187" s="264" t="str">
        <f t="shared" ca="1" si="59"/>
        <v/>
      </c>
      <c r="L187" s="265" t="str">
        <f t="shared" ca="1" si="59"/>
        <v/>
      </c>
      <c r="M187" s="266" t="str">
        <f t="shared" ca="1" si="59"/>
        <v/>
      </c>
      <c r="N187" s="264" t="str">
        <f t="shared" ca="1" si="59"/>
        <v/>
      </c>
      <c r="O187" s="265" t="str">
        <f t="shared" ca="1" si="59"/>
        <v/>
      </c>
      <c r="P187" s="266" t="str">
        <f t="shared" ca="1" si="59"/>
        <v/>
      </c>
      <c r="Q187" s="267" t="str">
        <f t="shared" ca="1" si="59"/>
        <v/>
      </c>
      <c r="R187" s="268" t="str">
        <f t="shared" ca="1" si="60"/>
        <v/>
      </c>
      <c r="S187" s="264" t="str">
        <f t="shared" ca="1" si="60"/>
        <v/>
      </c>
      <c r="T187" s="269" t="str">
        <f t="shared" ca="1" si="60"/>
        <v/>
      </c>
      <c r="U187" s="268" t="str">
        <f t="shared" ca="1" si="60"/>
        <v/>
      </c>
      <c r="V187" s="264" t="str">
        <f t="shared" ca="1" si="60"/>
        <v/>
      </c>
      <c r="W187" s="265" t="str">
        <f t="shared" ca="1" si="60"/>
        <v/>
      </c>
      <c r="X187" s="266" t="str">
        <f t="shared" ca="1" si="60"/>
        <v/>
      </c>
      <c r="Y187" s="264" t="str">
        <f t="shared" ca="1" si="60"/>
        <v/>
      </c>
      <c r="Z187" s="265" t="str">
        <f t="shared" ca="1" si="60"/>
        <v/>
      </c>
      <c r="AA187" s="266" t="str">
        <f t="shared" ca="1" si="60"/>
        <v/>
      </c>
      <c r="AB187" s="267" t="str">
        <f t="shared" ca="1" si="60"/>
        <v/>
      </c>
      <c r="AC187" s="536" t="s">
        <v>669</v>
      </c>
      <c r="AD187" s="212" t="str">
        <f t="shared" ca="1" si="61"/>
        <v/>
      </c>
    </row>
    <row r="188" spans="1:30" s="45" customFormat="1" ht="22.5" customHeight="1">
      <c r="A188" s="258" t="str">
        <f ca="1">IFERROR(INDEX(凭证录入!H:H,$AD188),"")</f>
        <v/>
      </c>
      <c r="B188" s="259" t="str">
        <f ca="1">IFERROR(INDEX(凭证录入!I:I,$AD188),"")</f>
        <v/>
      </c>
      <c r="C188" s="260" t="str">
        <f ca="1">IFERROR(VLOOKUP($B188,会计科目表!$A:$C,2,),"")</f>
        <v/>
      </c>
      <c r="D188" s="261" t="str">
        <f ca="1">IFERROR(VLOOKUP($B188,会计科目表!$A:$C,3,),"")</f>
        <v/>
      </c>
      <c r="E188" s="262">
        <f ca="1">IFERROR(INDEX(凭证录入!K:K,$AD188),0)</f>
        <v>0</v>
      </c>
      <c r="F188" s="262">
        <f ca="1">IFERROR(INDEX(凭证录入!L:L,$AD188),0)</f>
        <v>0</v>
      </c>
      <c r="G188" s="263" t="str">
        <f t="shared" ca="1" si="59"/>
        <v/>
      </c>
      <c r="H188" s="264" t="str">
        <f t="shared" ca="1" si="59"/>
        <v/>
      </c>
      <c r="I188" s="265" t="str">
        <f t="shared" ca="1" si="59"/>
        <v/>
      </c>
      <c r="J188" s="266" t="str">
        <f t="shared" ca="1" si="59"/>
        <v/>
      </c>
      <c r="K188" s="264" t="str">
        <f t="shared" ca="1" si="59"/>
        <v/>
      </c>
      <c r="L188" s="265" t="str">
        <f t="shared" ca="1" si="59"/>
        <v/>
      </c>
      <c r="M188" s="266" t="str">
        <f t="shared" ca="1" si="59"/>
        <v/>
      </c>
      <c r="N188" s="264" t="str">
        <f t="shared" ca="1" si="59"/>
        <v/>
      </c>
      <c r="O188" s="265" t="str">
        <f t="shared" ca="1" si="59"/>
        <v/>
      </c>
      <c r="P188" s="266" t="str">
        <f t="shared" ca="1" si="59"/>
        <v/>
      </c>
      <c r="Q188" s="267" t="str">
        <f t="shared" ca="1" si="59"/>
        <v/>
      </c>
      <c r="R188" s="268" t="str">
        <f t="shared" ca="1" si="60"/>
        <v/>
      </c>
      <c r="S188" s="264" t="str">
        <f t="shared" ca="1" si="60"/>
        <v/>
      </c>
      <c r="T188" s="269" t="str">
        <f t="shared" ca="1" si="60"/>
        <v/>
      </c>
      <c r="U188" s="268" t="str">
        <f t="shared" ca="1" si="60"/>
        <v/>
      </c>
      <c r="V188" s="264" t="str">
        <f t="shared" ca="1" si="60"/>
        <v/>
      </c>
      <c r="W188" s="265" t="str">
        <f t="shared" ca="1" si="60"/>
        <v/>
      </c>
      <c r="X188" s="266" t="str">
        <f t="shared" ca="1" si="60"/>
        <v/>
      </c>
      <c r="Y188" s="264" t="str">
        <f t="shared" ca="1" si="60"/>
        <v/>
      </c>
      <c r="Z188" s="265" t="str">
        <f t="shared" ca="1" si="60"/>
        <v/>
      </c>
      <c r="AA188" s="266" t="str">
        <f t="shared" ca="1" si="60"/>
        <v/>
      </c>
      <c r="AB188" s="267" t="str">
        <f t="shared" ca="1" si="60"/>
        <v/>
      </c>
      <c r="AC188" s="537"/>
      <c r="AD188" s="212" t="str">
        <f t="shared" ca="1" si="61"/>
        <v/>
      </c>
    </row>
    <row r="189" spans="1:30" s="45" customFormat="1" ht="22.5" customHeight="1">
      <c r="A189" s="258" t="str">
        <f ca="1">IFERROR(INDEX(凭证录入!H:H,$AD189),"")</f>
        <v/>
      </c>
      <c r="B189" s="259" t="str">
        <f ca="1">IFERROR(INDEX(凭证录入!I:I,$AD189),"")</f>
        <v/>
      </c>
      <c r="C189" s="260" t="str">
        <f ca="1">IFERROR(VLOOKUP($B189,会计科目表!$A:$C,2,),"")</f>
        <v/>
      </c>
      <c r="D189" s="261" t="str">
        <f ca="1">IFERROR(VLOOKUP($B189,会计科目表!$A:$C,3,),"")</f>
        <v/>
      </c>
      <c r="E189" s="262">
        <f ca="1">IFERROR(INDEX(凭证录入!K:K,$AD189),0)</f>
        <v>0</v>
      </c>
      <c r="F189" s="262">
        <f ca="1">IFERROR(INDEX(凭证录入!L:L,$AD189),0)</f>
        <v>0</v>
      </c>
      <c r="G189" s="263" t="str">
        <f t="shared" ca="1" si="59"/>
        <v/>
      </c>
      <c r="H189" s="264" t="str">
        <f t="shared" ca="1" si="59"/>
        <v/>
      </c>
      <c r="I189" s="265" t="str">
        <f t="shared" ca="1" si="59"/>
        <v/>
      </c>
      <c r="J189" s="266" t="str">
        <f t="shared" ca="1" si="59"/>
        <v/>
      </c>
      <c r="K189" s="264" t="str">
        <f t="shared" ca="1" si="59"/>
        <v/>
      </c>
      <c r="L189" s="265" t="str">
        <f t="shared" ca="1" si="59"/>
        <v/>
      </c>
      <c r="M189" s="266" t="str">
        <f t="shared" ca="1" si="59"/>
        <v/>
      </c>
      <c r="N189" s="264" t="str">
        <f t="shared" ca="1" si="59"/>
        <v/>
      </c>
      <c r="O189" s="265" t="str">
        <f t="shared" ca="1" si="59"/>
        <v/>
      </c>
      <c r="P189" s="266" t="str">
        <f t="shared" ca="1" si="59"/>
        <v/>
      </c>
      <c r="Q189" s="267" t="str">
        <f t="shared" ca="1" si="59"/>
        <v/>
      </c>
      <c r="R189" s="268" t="str">
        <f t="shared" ca="1" si="60"/>
        <v/>
      </c>
      <c r="S189" s="264" t="str">
        <f t="shared" ca="1" si="60"/>
        <v/>
      </c>
      <c r="T189" s="269" t="str">
        <f t="shared" ca="1" si="60"/>
        <v/>
      </c>
      <c r="U189" s="268" t="str">
        <f t="shared" ca="1" si="60"/>
        <v/>
      </c>
      <c r="V189" s="264" t="str">
        <f t="shared" ca="1" si="60"/>
        <v/>
      </c>
      <c r="W189" s="265" t="str">
        <f t="shared" ca="1" si="60"/>
        <v/>
      </c>
      <c r="X189" s="266" t="str">
        <f t="shared" ca="1" si="60"/>
        <v/>
      </c>
      <c r="Y189" s="264" t="str">
        <f t="shared" ca="1" si="60"/>
        <v/>
      </c>
      <c r="Z189" s="265" t="str">
        <f t="shared" ca="1" si="60"/>
        <v/>
      </c>
      <c r="AA189" s="266" t="str">
        <f t="shared" ca="1" si="60"/>
        <v/>
      </c>
      <c r="AB189" s="267" t="str">
        <f t="shared" ca="1" si="60"/>
        <v/>
      </c>
      <c r="AC189" s="538"/>
      <c r="AD189" s="212" t="str">
        <f t="shared" ca="1" si="61"/>
        <v/>
      </c>
    </row>
    <row r="190" spans="1:30" s="45" customFormat="1" ht="22.5" customHeight="1">
      <c r="A190" s="258" t="str">
        <f ca="1">IFERROR(INDEX(凭证录入!H:H,$AD190),"")</f>
        <v/>
      </c>
      <c r="B190" s="259" t="str">
        <f ca="1">IFERROR(INDEX(凭证录入!I:I,$AD190),"")</f>
        <v/>
      </c>
      <c r="C190" s="260" t="str">
        <f ca="1">IFERROR(VLOOKUP($B190,会计科目表!$A:$C,2,),"")</f>
        <v/>
      </c>
      <c r="D190" s="261" t="str">
        <f ca="1">IFERROR(VLOOKUP($B190,会计科目表!$A:$C,3,),"")</f>
        <v/>
      </c>
      <c r="E190" s="262">
        <f ca="1">IFERROR(INDEX(凭证录入!K:K,$AD190),0)</f>
        <v>0</v>
      </c>
      <c r="F190" s="262">
        <f ca="1">IFERROR(INDEX(凭证录入!L:L,$AD190),0)</f>
        <v>0</v>
      </c>
      <c r="G190" s="263" t="str">
        <f t="shared" ca="1" si="59"/>
        <v/>
      </c>
      <c r="H190" s="264" t="str">
        <f t="shared" ca="1" si="59"/>
        <v/>
      </c>
      <c r="I190" s="265" t="str">
        <f t="shared" ca="1" si="59"/>
        <v/>
      </c>
      <c r="J190" s="266" t="str">
        <f t="shared" ca="1" si="59"/>
        <v/>
      </c>
      <c r="K190" s="264" t="str">
        <f t="shared" ca="1" si="59"/>
        <v/>
      </c>
      <c r="L190" s="265" t="str">
        <f t="shared" ca="1" si="59"/>
        <v/>
      </c>
      <c r="M190" s="266" t="str">
        <f t="shared" ca="1" si="59"/>
        <v/>
      </c>
      <c r="N190" s="264" t="str">
        <f t="shared" ca="1" si="59"/>
        <v/>
      </c>
      <c r="O190" s="265" t="str">
        <f t="shared" ca="1" si="59"/>
        <v/>
      </c>
      <c r="P190" s="266" t="str">
        <f t="shared" ca="1" si="59"/>
        <v/>
      </c>
      <c r="Q190" s="267" t="str">
        <f t="shared" ca="1" si="59"/>
        <v/>
      </c>
      <c r="R190" s="268" t="str">
        <f t="shared" ca="1" si="60"/>
        <v/>
      </c>
      <c r="S190" s="264" t="str">
        <f t="shared" ca="1" si="60"/>
        <v/>
      </c>
      <c r="T190" s="269" t="str">
        <f t="shared" ca="1" si="60"/>
        <v/>
      </c>
      <c r="U190" s="268" t="str">
        <f t="shared" ca="1" si="60"/>
        <v/>
      </c>
      <c r="V190" s="264" t="str">
        <f t="shared" ca="1" si="60"/>
        <v/>
      </c>
      <c r="W190" s="265" t="str">
        <f t="shared" ca="1" si="60"/>
        <v/>
      </c>
      <c r="X190" s="266" t="str">
        <f t="shared" ca="1" si="60"/>
        <v/>
      </c>
      <c r="Y190" s="264" t="str">
        <f t="shared" ca="1" si="60"/>
        <v/>
      </c>
      <c r="Z190" s="265" t="str">
        <f t="shared" ca="1" si="60"/>
        <v/>
      </c>
      <c r="AA190" s="266" t="str">
        <f t="shared" ca="1" si="60"/>
        <v/>
      </c>
      <c r="AB190" s="267" t="str">
        <f t="shared" ca="1" si="60"/>
        <v/>
      </c>
      <c r="AC190" s="538"/>
      <c r="AD190" s="212" t="str">
        <f t="shared" ca="1" si="61"/>
        <v/>
      </c>
    </row>
    <row r="191" spans="1:30" s="45" customFormat="1" ht="22.5" customHeight="1">
      <c r="A191" s="270" t="s">
        <v>670</v>
      </c>
      <c r="B191" s="271"/>
      <c r="C191" s="272" t="str">
        <f t="shared" ref="C191" ca="1" si="70">SUBSTITUTE(SUBSTITUTE(IF(-DOLLAR(E191),IF(E191&gt;0,,"负")&amp;TEXT(INT(ABS(E191)+0.5%),"[dbnum2]G/通用格式元;;")&amp;TEXT(RIGHT(DOLLAR(E191,2),2),"[dbnum2]0角0分;;整"),),"零角",IF(E191^2&lt;1,,"零")),"零分","整")</f>
        <v/>
      </c>
      <c r="D191" s="273"/>
      <c r="E191" s="274">
        <f t="shared" ref="E191:F191" ca="1" si="71">SUM(E185:E190)</f>
        <v>0</v>
      </c>
      <c r="F191" s="275">
        <f t="shared" ca="1" si="71"/>
        <v>0</v>
      </c>
      <c r="G191" s="276" t="str">
        <f t="shared" ca="1" si="59"/>
        <v/>
      </c>
      <c r="H191" s="277" t="str">
        <f t="shared" ca="1" si="59"/>
        <v/>
      </c>
      <c r="I191" s="278" t="str">
        <f t="shared" ca="1" si="59"/>
        <v/>
      </c>
      <c r="J191" s="279" t="str">
        <f t="shared" ca="1" si="59"/>
        <v/>
      </c>
      <c r="K191" s="277" t="str">
        <f t="shared" ca="1" si="59"/>
        <v/>
      </c>
      <c r="L191" s="278" t="str">
        <f t="shared" ca="1" si="59"/>
        <v/>
      </c>
      <c r="M191" s="279" t="str">
        <f t="shared" ca="1" si="59"/>
        <v/>
      </c>
      <c r="N191" s="277" t="str">
        <f t="shared" ca="1" si="59"/>
        <v/>
      </c>
      <c r="O191" s="278" t="str">
        <f t="shared" ca="1" si="59"/>
        <v/>
      </c>
      <c r="P191" s="279" t="str">
        <f t="shared" ca="1" si="59"/>
        <v/>
      </c>
      <c r="Q191" s="280" t="str">
        <f t="shared" ca="1" si="59"/>
        <v/>
      </c>
      <c r="R191" s="281" t="str">
        <f t="shared" ca="1" si="60"/>
        <v/>
      </c>
      <c r="S191" s="277" t="str">
        <f t="shared" ca="1" si="60"/>
        <v/>
      </c>
      <c r="T191" s="282" t="str">
        <f t="shared" ca="1" si="60"/>
        <v/>
      </c>
      <c r="U191" s="281" t="str">
        <f t="shared" ca="1" si="60"/>
        <v/>
      </c>
      <c r="V191" s="277" t="str">
        <f t="shared" ca="1" si="60"/>
        <v/>
      </c>
      <c r="W191" s="278" t="str">
        <f t="shared" ca="1" si="60"/>
        <v/>
      </c>
      <c r="X191" s="279" t="str">
        <f t="shared" ca="1" si="60"/>
        <v/>
      </c>
      <c r="Y191" s="277" t="str">
        <f t="shared" ca="1" si="60"/>
        <v/>
      </c>
      <c r="Z191" s="278" t="str">
        <f t="shared" ca="1" si="60"/>
        <v/>
      </c>
      <c r="AA191" s="279" t="str">
        <f t="shared" ca="1" si="60"/>
        <v/>
      </c>
      <c r="AB191" s="280" t="str">
        <f t="shared" ca="1" si="60"/>
        <v/>
      </c>
      <c r="AC191" s="283"/>
      <c r="AD191" s="212"/>
    </row>
    <row r="192" spans="1:30" s="22" customFormat="1" ht="22.5" customHeight="1">
      <c r="A192" s="284" t="s">
        <v>644</v>
      </c>
      <c r="B192" s="284"/>
      <c r="C192" s="284"/>
      <c r="D192" s="284" t="s">
        <v>645</v>
      </c>
      <c r="E192" s="284"/>
      <c r="F192" s="284"/>
      <c r="G192" s="284"/>
      <c r="H192" s="285"/>
      <c r="I192" s="284"/>
      <c r="J192" s="285"/>
      <c r="K192" s="285"/>
      <c r="L192" s="284"/>
      <c r="M192" s="285"/>
      <c r="N192" s="285"/>
      <c r="O192" s="285"/>
      <c r="P192" s="284"/>
      <c r="Q192" s="284" t="s">
        <v>646</v>
      </c>
      <c r="R192" s="284"/>
      <c r="S192" s="284"/>
      <c r="T192" s="284"/>
      <c r="U192" s="285"/>
      <c r="V192" s="284"/>
      <c r="W192" s="285"/>
      <c r="X192" s="284"/>
      <c r="Y192" s="284"/>
      <c r="Z192" s="285"/>
      <c r="AA192" s="285"/>
      <c r="AB192" s="285"/>
      <c r="AC192" s="286"/>
      <c r="AD192" s="212"/>
    </row>
    <row r="193" spans="1:30" ht="39.75" customHeight="1" thickBot="1">
      <c r="A193" s="226"/>
      <c r="B193" s="226"/>
      <c r="C193" s="227" t="s">
        <v>647</v>
      </c>
      <c r="D193" s="228"/>
      <c r="E193" s="226"/>
      <c r="F193" s="226"/>
      <c r="G193" s="228"/>
      <c r="H193" s="228"/>
      <c r="I193" s="228"/>
      <c r="J193" s="228"/>
      <c r="K193" s="228"/>
      <c r="L193" s="228"/>
      <c r="M193" s="228"/>
      <c r="N193" s="228"/>
      <c r="O193" s="228"/>
      <c r="P193" s="228"/>
      <c r="Q193" s="228"/>
      <c r="R193" s="229" t="s">
        <v>648</v>
      </c>
      <c r="S193" s="230"/>
      <c r="T193" s="230"/>
      <c r="U193" s="231" t="e">
        <f ca="1">DATE(AD$1,AF$1,INDEX(凭证录入!B:B,AD197))</f>
        <v>#VALUE!</v>
      </c>
      <c r="V193" s="232"/>
      <c r="W193" s="232"/>
      <c r="X193" s="232"/>
      <c r="Y193" s="232"/>
      <c r="Z193" s="232"/>
      <c r="AA193" s="232"/>
      <c r="AB193" s="232"/>
      <c r="AD193" s="212"/>
    </row>
    <row r="194" spans="1:30" s="45" customFormat="1" ht="23.25" customHeight="1" thickTop="1">
      <c r="A194" s="235" t="s">
        <v>649</v>
      </c>
      <c r="B194" s="235"/>
      <c r="C194" s="236" t="str">
        <f t="shared" si="67"/>
        <v>远大开发有限公司</v>
      </c>
      <c r="D194" s="236"/>
      <c r="E194" s="236"/>
      <c r="F194" s="236"/>
      <c r="G194" s="236"/>
      <c r="H194" s="236"/>
      <c r="I194" s="236"/>
      <c r="J194" s="236"/>
      <c r="K194" s="236"/>
      <c r="L194" s="236"/>
      <c r="M194" s="236"/>
      <c r="N194" s="236"/>
      <c r="O194" s="236"/>
      <c r="P194" s="236"/>
      <c r="Q194" s="236"/>
      <c r="R194" s="229" t="s">
        <v>650</v>
      </c>
      <c r="S194" s="229"/>
      <c r="T194" s="229"/>
      <c r="U194" s="237" t="str">
        <f t="shared" ref="U194" si="72">"第 "&amp;TEXT($AF$1,"00")&amp;TEXT($AC194,"0000 号")</f>
        <v>第 010016 号</v>
      </c>
      <c r="V194" s="237"/>
      <c r="W194" s="238"/>
      <c r="X194" s="238"/>
      <c r="Y194" s="238"/>
      <c r="Z194" s="238"/>
      <c r="AA194" s="238"/>
      <c r="AB194" s="238"/>
      <c r="AC194" s="239">
        <f t="shared" si="69"/>
        <v>16</v>
      </c>
      <c r="AD194" s="212"/>
    </row>
    <row r="195" spans="1:30" s="45" customFormat="1" ht="22.5" customHeight="1">
      <c r="A195" s="241" t="s">
        <v>651</v>
      </c>
      <c r="B195" s="542" t="s">
        <v>652</v>
      </c>
      <c r="C195" s="242" t="s">
        <v>653</v>
      </c>
      <c r="D195" s="243" t="s">
        <v>654</v>
      </c>
      <c r="E195" s="539" t="s">
        <v>655</v>
      </c>
      <c r="F195" s="539" t="s">
        <v>656</v>
      </c>
      <c r="G195" s="244" t="s">
        <v>657</v>
      </c>
      <c r="H195" s="245"/>
      <c r="I195" s="245"/>
      <c r="J195" s="245"/>
      <c r="K195" s="245"/>
      <c r="L195" s="245"/>
      <c r="M195" s="245"/>
      <c r="N195" s="245"/>
      <c r="O195" s="245"/>
      <c r="P195" s="245"/>
      <c r="Q195" s="246"/>
      <c r="R195" s="247" t="s">
        <v>658</v>
      </c>
      <c r="S195" s="245"/>
      <c r="T195" s="245"/>
      <c r="U195" s="245"/>
      <c r="V195" s="245"/>
      <c r="W195" s="245"/>
      <c r="X195" s="245"/>
      <c r="Y195" s="245"/>
      <c r="Z195" s="245"/>
      <c r="AA195" s="245"/>
      <c r="AB195" s="246"/>
      <c r="AC195" s="541" t="str">
        <f ca="1">"附单据数︵"&amp;INDEX(凭证录入!$D:$D,$AD$17)&amp;"︶张"</f>
        <v>附单据数︵4︶张</v>
      </c>
      <c r="AD195" s="235"/>
    </row>
    <row r="196" spans="1:30" s="45" customFormat="1" ht="22.5" customHeight="1">
      <c r="A196" s="248" t="s">
        <v>659</v>
      </c>
      <c r="B196" s="543"/>
      <c r="C196" s="249" t="s">
        <v>660</v>
      </c>
      <c r="D196" s="250" t="s">
        <v>660</v>
      </c>
      <c r="E196" s="540"/>
      <c r="F196" s="540"/>
      <c r="G196" s="251" t="s">
        <v>661</v>
      </c>
      <c r="H196" s="252" t="s">
        <v>662</v>
      </c>
      <c r="I196" s="253" t="s">
        <v>663</v>
      </c>
      <c r="J196" s="254" t="s">
        <v>664</v>
      </c>
      <c r="K196" s="252" t="s">
        <v>665</v>
      </c>
      <c r="L196" s="253" t="s">
        <v>662</v>
      </c>
      <c r="M196" s="254" t="s">
        <v>663</v>
      </c>
      <c r="N196" s="252" t="s">
        <v>664</v>
      </c>
      <c r="O196" s="253" t="s">
        <v>666</v>
      </c>
      <c r="P196" s="254" t="s">
        <v>667</v>
      </c>
      <c r="Q196" s="255" t="s">
        <v>668</v>
      </c>
      <c r="R196" s="256" t="s">
        <v>661</v>
      </c>
      <c r="S196" s="252" t="s">
        <v>662</v>
      </c>
      <c r="T196" s="257" t="s">
        <v>663</v>
      </c>
      <c r="U196" s="256" t="s">
        <v>664</v>
      </c>
      <c r="V196" s="252" t="s">
        <v>665</v>
      </c>
      <c r="W196" s="253" t="s">
        <v>662</v>
      </c>
      <c r="X196" s="254" t="s">
        <v>663</v>
      </c>
      <c r="Y196" s="252" t="s">
        <v>664</v>
      </c>
      <c r="Z196" s="253" t="s">
        <v>666</v>
      </c>
      <c r="AA196" s="254" t="s">
        <v>667</v>
      </c>
      <c r="AB196" s="255" t="s">
        <v>668</v>
      </c>
      <c r="AC196" s="541"/>
    </row>
    <row r="197" spans="1:30" s="45" customFormat="1" ht="22.5" customHeight="1">
      <c r="A197" s="258" t="str">
        <f ca="1">IFERROR(INDEX(凭证录入!H:H,$AD197),"")</f>
        <v/>
      </c>
      <c r="B197" s="259" t="str">
        <f ca="1">IFERROR(INDEX(凭证录入!I:I,$AD197),"")</f>
        <v/>
      </c>
      <c r="C197" s="260" t="str">
        <f ca="1">IFERROR(VLOOKUP($B197,会计科目表!$A:$C,2,),"")</f>
        <v/>
      </c>
      <c r="D197" s="261" t="str">
        <f ca="1">IFERROR(VLOOKUP($B197,会计科目表!$A:$C,3,),"")</f>
        <v/>
      </c>
      <c r="E197" s="262">
        <f ca="1">IFERROR(INDEX(凭证录入!K:K,$AD197),0)</f>
        <v>0</v>
      </c>
      <c r="F197" s="262">
        <f ca="1">IFERROR(INDEX(凭证录入!L:L,$AD197),0)</f>
        <v>0</v>
      </c>
      <c r="G197" s="263" t="str">
        <f t="shared" ca="1" si="59"/>
        <v/>
      </c>
      <c r="H197" s="264" t="str">
        <f t="shared" ca="1" si="59"/>
        <v/>
      </c>
      <c r="I197" s="265" t="str">
        <f t="shared" ca="1" si="59"/>
        <v/>
      </c>
      <c r="J197" s="266" t="str">
        <f t="shared" ca="1" si="59"/>
        <v/>
      </c>
      <c r="K197" s="264" t="str">
        <f t="shared" ca="1" si="59"/>
        <v/>
      </c>
      <c r="L197" s="265" t="str">
        <f t="shared" ca="1" si="59"/>
        <v/>
      </c>
      <c r="M197" s="266" t="str">
        <f t="shared" ca="1" si="59"/>
        <v/>
      </c>
      <c r="N197" s="264" t="str">
        <f t="shared" ca="1" si="59"/>
        <v/>
      </c>
      <c r="O197" s="265" t="str">
        <f t="shared" ca="1" si="59"/>
        <v/>
      </c>
      <c r="P197" s="266" t="str">
        <f t="shared" ca="1" si="59"/>
        <v/>
      </c>
      <c r="Q197" s="267" t="str">
        <f t="shared" ca="1" si="59"/>
        <v/>
      </c>
      <c r="R197" s="268" t="str">
        <f t="shared" ca="1" si="60"/>
        <v/>
      </c>
      <c r="S197" s="264" t="str">
        <f t="shared" ca="1" si="60"/>
        <v/>
      </c>
      <c r="T197" s="269" t="str">
        <f t="shared" ca="1" si="60"/>
        <v/>
      </c>
      <c r="U197" s="268" t="str">
        <f t="shared" ca="1" si="60"/>
        <v/>
      </c>
      <c r="V197" s="264" t="str">
        <f t="shared" ca="1" si="60"/>
        <v/>
      </c>
      <c r="W197" s="265" t="str">
        <f t="shared" ca="1" si="60"/>
        <v/>
      </c>
      <c r="X197" s="266" t="str">
        <f t="shared" ca="1" si="60"/>
        <v/>
      </c>
      <c r="Y197" s="264" t="str">
        <f t="shared" ca="1" si="60"/>
        <v/>
      </c>
      <c r="Z197" s="265" t="str">
        <f t="shared" ca="1" si="60"/>
        <v/>
      </c>
      <c r="AA197" s="266" t="str">
        <f t="shared" ca="1" si="60"/>
        <v/>
      </c>
      <c r="AB197" s="267" t="str">
        <f t="shared" ca="1" si="60"/>
        <v/>
      </c>
      <c r="AC197" s="541"/>
      <c r="AD197" s="212" t="str">
        <f t="shared" ca="1" si="61"/>
        <v/>
      </c>
    </row>
    <row r="198" spans="1:30" s="45" customFormat="1" ht="22.5" customHeight="1">
      <c r="A198" s="258" t="str">
        <f ca="1">IFERROR(INDEX(凭证录入!H:H,$AD198),"")</f>
        <v/>
      </c>
      <c r="B198" s="259" t="str">
        <f ca="1">IFERROR(INDEX(凭证录入!I:I,$AD198),"")</f>
        <v/>
      </c>
      <c r="C198" s="260" t="str">
        <f ca="1">IFERROR(VLOOKUP($B198,会计科目表!$A:$C,2,),"")</f>
        <v/>
      </c>
      <c r="D198" s="261" t="str">
        <f ca="1">IFERROR(VLOOKUP($B198,会计科目表!$A:$C,3,),"")</f>
        <v/>
      </c>
      <c r="E198" s="262">
        <f ca="1">IFERROR(INDEX(凭证录入!K:K,$AD198),0)</f>
        <v>0</v>
      </c>
      <c r="F198" s="262">
        <f ca="1">IFERROR(INDEX(凭证录入!L:L,$AD198),0)</f>
        <v>0</v>
      </c>
      <c r="G198" s="263" t="str">
        <f t="shared" ca="1" si="59"/>
        <v/>
      </c>
      <c r="H198" s="264" t="str">
        <f t="shared" ca="1" si="59"/>
        <v/>
      </c>
      <c r="I198" s="265" t="str">
        <f t="shared" ca="1" si="59"/>
        <v/>
      </c>
      <c r="J198" s="266" t="str">
        <f t="shared" ca="1" si="59"/>
        <v/>
      </c>
      <c r="K198" s="264" t="str">
        <f t="shared" ca="1" si="59"/>
        <v/>
      </c>
      <c r="L198" s="265" t="str">
        <f t="shared" ca="1" si="59"/>
        <v/>
      </c>
      <c r="M198" s="266" t="str">
        <f t="shared" ca="1" si="59"/>
        <v/>
      </c>
      <c r="N198" s="264" t="str">
        <f t="shared" ca="1" si="59"/>
        <v/>
      </c>
      <c r="O198" s="265" t="str">
        <f t="shared" ca="1" si="59"/>
        <v/>
      </c>
      <c r="P198" s="266" t="str">
        <f t="shared" ca="1" si="59"/>
        <v/>
      </c>
      <c r="Q198" s="267" t="str">
        <f t="shared" ca="1" si="59"/>
        <v/>
      </c>
      <c r="R198" s="268" t="str">
        <f t="shared" ca="1" si="60"/>
        <v/>
      </c>
      <c r="S198" s="264" t="str">
        <f t="shared" ca="1" si="60"/>
        <v/>
      </c>
      <c r="T198" s="269" t="str">
        <f t="shared" ca="1" si="60"/>
        <v/>
      </c>
      <c r="U198" s="268" t="str">
        <f t="shared" ca="1" si="60"/>
        <v/>
      </c>
      <c r="V198" s="264" t="str">
        <f t="shared" ca="1" si="60"/>
        <v/>
      </c>
      <c r="W198" s="265" t="str">
        <f t="shared" ca="1" si="60"/>
        <v/>
      </c>
      <c r="X198" s="266" t="str">
        <f t="shared" ca="1" si="60"/>
        <v/>
      </c>
      <c r="Y198" s="264" t="str">
        <f t="shared" ca="1" si="60"/>
        <v/>
      </c>
      <c r="Z198" s="265" t="str">
        <f t="shared" ca="1" si="60"/>
        <v/>
      </c>
      <c r="AA198" s="266" t="str">
        <f t="shared" ca="1" si="60"/>
        <v/>
      </c>
      <c r="AB198" s="267" t="str">
        <f t="shared" ca="1" si="60"/>
        <v/>
      </c>
      <c r="AC198" s="541"/>
      <c r="AD198" s="212" t="str">
        <f t="shared" ca="1" si="61"/>
        <v/>
      </c>
    </row>
    <row r="199" spans="1:30" s="45" customFormat="1" ht="22.5" customHeight="1">
      <c r="A199" s="258" t="str">
        <f ca="1">IFERROR(INDEX(凭证录入!H:H,$AD199),"")</f>
        <v/>
      </c>
      <c r="B199" s="259" t="str">
        <f ca="1">IFERROR(INDEX(凭证录入!I:I,$AD199),"")</f>
        <v/>
      </c>
      <c r="C199" s="260" t="str">
        <f ca="1">IFERROR(VLOOKUP($B199,会计科目表!$A:$C,2,),"")</f>
        <v/>
      </c>
      <c r="D199" s="261" t="str">
        <f ca="1">IFERROR(VLOOKUP($B199,会计科目表!$A:$C,3,),"")</f>
        <v/>
      </c>
      <c r="E199" s="262">
        <f ca="1">IFERROR(INDEX(凭证录入!K:K,$AD199),0)</f>
        <v>0</v>
      </c>
      <c r="F199" s="262">
        <f ca="1">IFERROR(INDEX(凭证录入!L:L,$AD199),0)</f>
        <v>0</v>
      </c>
      <c r="G199" s="263" t="str">
        <f t="shared" ca="1" si="59"/>
        <v/>
      </c>
      <c r="H199" s="264" t="str">
        <f t="shared" ca="1" si="59"/>
        <v/>
      </c>
      <c r="I199" s="265" t="str">
        <f t="shared" ref="G199:Q237" ca="1" si="73">LEFT(RIGHT(TEXT($E199/1%," ￥0; ￥-0;"),18-COLUMN()))</f>
        <v/>
      </c>
      <c r="J199" s="266" t="str">
        <f t="shared" ca="1" si="73"/>
        <v/>
      </c>
      <c r="K199" s="264" t="str">
        <f t="shared" ca="1" si="73"/>
        <v/>
      </c>
      <c r="L199" s="265" t="str">
        <f t="shared" ca="1" si="73"/>
        <v/>
      </c>
      <c r="M199" s="266" t="str">
        <f t="shared" ca="1" si="73"/>
        <v/>
      </c>
      <c r="N199" s="264" t="str">
        <f t="shared" ca="1" si="73"/>
        <v/>
      </c>
      <c r="O199" s="265" t="str">
        <f t="shared" ca="1" si="73"/>
        <v/>
      </c>
      <c r="P199" s="266" t="str">
        <f t="shared" ca="1" si="73"/>
        <v/>
      </c>
      <c r="Q199" s="267" t="str">
        <f t="shared" ca="1" si="73"/>
        <v/>
      </c>
      <c r="R199" s="268" t="str">
        <f t="shared" ca="1" si="60"/>
        <v/>
      </c>
      <c r="S199" s="264" t="str">
        <f t="shared" ca="1" si="60"/>
        <v/>
      </c>
      <c r="T199" s="269" t="str">
        <f t="shared" ref="R199:AB237" ca="1" si="74">LEFT(RIGHT(TEXT($F199/1%," ￥0; ￥-0;"),29-COLUMN()))</f>
        <v/>
      </c>
      <c r="U199" s="268" t="str">
        <f t="shared" ca="1" si="74"/>
        <v/>
      </c>
      <c r="V199" s="264" t="str">
        <f t="shared" ca="1" si="74"/>
        <v/>
      </c>
      <c r="W199" s="265" t="str">
        <f t="shared" ca="1" si="74"/>
        <v/>
      </c>
      <c r="X199" s="266" t="str">
        <f t="shared" ca="1" si="74"/>
        <v/>
      </c>
      <c r="Y199" s="264" t="str">
        <f t="shared" ca="1" si="74"/>
        <v/>
      </c>
      <c r="Z199" s="265" t="str">
        <f t="shared" ca="1" si="74"/>
        <v/>
      </c>
      <c r="AA199" s="266" t="str">
        <f t="shared" ca="1" si="74"/>
        <v/>
      </c>
      <c r="AB199" s="267" t="str">
        <f t="shared" ca="1" si="74"/>
        <v/>
      </c>
      <c r="AC199" s="536" t="s">
        <v>669</v>
      </c>
      <c r="AD199" s="212" t="str">
        <f t="shared" ca="1" si="61"/>
        <v/>
      </c>
    </row>
    <row r="200" spans="1:30" s="45" customFormat="1" ht="22.5" customHeight="1">
      <c r="A200" s="258" t="str">
        <f ca="1">IFERROR(INDEX(凭证录入!H:H,$AD200),"")</f>
        <v/>
      </c>
      <c r="B200" s="259" t="str">
        <f ca="1">IFERROR(INDEX(凭证录入!I:I,$AD200),"")</f>
        <v/>
      </c>
      <c r="C200" s="260" t="str">
        <f ca="1">IFERROR(VLOOKUP($B200,会计科目表!$A:$C,2,),"")</f>
        <v/>
      </c>
      <c r="D200" s="261" t="str">
        <f ca="1">IFERROR(VLOOKUP($B200,会计科目表!$A:$C,3,),"")</f>
        <v/>
      </c>
      <c r="E200" s="262">
        <f ca="1">IFERROR(INDEX(凭证录入!K:K,$AD200),0)</f>
        <v>0</v>
      </c>
      <c r="F200" s="262">
        <f ca="1">IFERROR(INDEX(凭证录入!L:L,$AD200),0)</f>
        <v>0</v>
      </c>
      <c r="G200" s="263" t="str">
        <f t="shared" ca="1" si="73"/>
        <v/>
      </c>
      <c r="H200" s="264" t="str">
        <f t="shared" ca="1" si="73"/>
        <v/>
      </c>
      <c r="I200" s="265" t="str">
        <f t="shared" ca="1" si="73"/>
        <v/>
      </c>
      <c r="J200" s="266" t="str">
        <f t="shared" ca="1" si="73"/>
        <v/>
      </c>
      <c r="K200" s="264" t="str">
        <f t="shared" ca="1" si="73"/>
        <v/>
      </c>
      <c r="L200" s="265" t="str">
        <f t="shared" ca="1" si="73"/>
        <v/>
      </c>
      <c r="M200" s="266" t="str">
        <f t="shared" ca="1" si="73"/>
        <v/>
      </c>
      <c r="N200" s="264" t="str">
        <f t="shared" ca="1" si="73"/>
        <v/>
      </c>
      <c r="O200" s="265" t="str">
        <f t="shared" ca="1" si="73"/>
        <v/>
      </c>
      <c r="P200" s="266" t="str">
        <f t="shared" ca="1" si="73"/>
        <v/>
      </c>
      <c r="Q200" s="267" t="str">
        <f t="shared" ca="1" si="73"/>
        <v/>
      </c>
      <c r="R200" s="268" t="str">
        <f t="shared" ca="1" si="74"/>
        <v/>
      </c>
      <c r="S200" s="264" t="str">
        <f t="shared" ca="1" si="74"/>
        <v/>
      </c>
      <c r="T200" s="269" t="str">
        <f t="shared" ca="1" si="74"/>
        <v/>
      </c>
      <c r="U200" s="268" t="str">
        <f t="shared" ca="1" si="74"/>
        <v/>
      </c>
      <c r="V200" s="264" t="str">
        <f t="shared" ca="1" si="74"/>
        <v/>
      </c>
      <c r="W200" s="265" t="str">
        <f t="shared" ca="1" si="74"/>
        <v/>
      </c>
      <c r="X200" s="266" t="str">
        <f t="shared" ca="1" si="74"/>
        <v/>
      </c>
      <c r="Y200" s="264" t="str">
        <f t="shared" ca="1" si="74"/>
        <v/>
      </c>
      <c r="Z200" s="265" t="str">
        <f t="shared" ca="1" si="74"/>
        <v/>
      </c>
      <c r="AA200" s="266" t="str">
        <f t="shared" ca="1" si="74"/>
        <v/>
      </c>
      <c r="AB200" s="267" t="str">
        <f t="shared" ca="1" si="74"/>
        <v/>
      </c>
      <c r="AC200" s="537"/>
      <c r="AD200" s="212" t="str">
        <f t="shared" ca="1" si="61"/>
        <v/>
      </c>
    </row>
    <row r="201" spans="1:30" s="45" customFormat="1" ht="22.5" customHeight="1">
      <c r="A201" s="258" t="str">
        <f ca="1">IFERROR(INDEX(凭证录入!H:H,$AD201),"")</f>
        <v/>
      </c>
      <c r="B201" s="259" t="str">
        <f ca="1">IFERROR(INDEX(凭证录入!I:I,$AD201),"")</f>
        <v/>
      </c>
      <c r="C201" s="260" t="str">
        <f ca="1">IFERROR(VLOOKUP($B201,会计科目表!$A:$C,2,),"")</f>
        <v/>
      </c>
      <c r="D201" s="261" t="str">
        <f ca="1">IFERROR(VLOOKUP($B201,会计科目表!$A:$C,3,),"")</f>
        <v/>
      </c>
      <c r="E201" s="262">
        <f ca="1">IFERROR(INDEX(凭证录入!K:K,$AD201),0)</f>
        <v>0</v>
      </c>
      <c r="F201" s="262">
        <f ca="1">IFERROR(INDEX(凭证录入!L:L,$AD201),0)</f>
        <v>0</v>
      </c>
      <c r="G201" s="263" t="str">
        <f t="shared" ca="1" si="73"/>
        <v/>
      </c>
      <c r="H201" s="264" t="str">
        <f t="shared" ca="1" si="73"/>
        <v/>
      </c>
      <c r="I201" s="265" t="str">
        <f t="shared" ca="1" si="73"/>
        <v/>
      </c>
      <c r="J201" s="266" t="str">
        <f t="shared" ca="1" si="73"/>
        <v/>
      </c>
      <c r="K201" s="264" t="str">
        <f t="shared" ca="1" si="73"/>
        <v/>
      </c>
      <c r="L201" s="265" t="str">
        <f t="shared" ca="1" si="73"/>
        <v/>
      </c>
      <c r="M201" s="266" t="str">
        <f t="shared" ca="1" si="73"/>
        <v/>
      </c>
      <c r="N201" s="264" t="str">
        <f t="shared" ca="1" si="73"/>
        <v/>
      </c>
      <c r="O201" s="265" t="str">
        <f t="shared" ca="1" si="73"/>
        <v/>
      </c>
      <c r="P201" s="266" t="str">
        <f t="shared" ca="1" si="73"/>
        <v/>
      </c>
      <c r="Q201" s="267" t="str">
        <f t="shared" ca="1" si="73"/>
        <v/>
      </c>
      <c r="R201" s="268" t="str">
        <f t="shared" ca="1" si="74"/>
        <v/>
      </c>
      <c r="S201" s="264" t="str">
        <f t="shared" ca="1" si="74"/>
        <v/>
      </c>
      <c r="T201" s="269" t="str">
        <f t="shared" ca="1" si="74"/>
        <v/>
      </c>
      <c r="U201" s="268" t="str">
        <f t="shared" ca="1" si="74"/>
        <v/>
      </c>
      <c r="V201" s="264" t="str">
        <f t="shared" ca="1" si="74"/>
        <v/>
      </c>
      <c r="W201" s="265" t="str">
        <f t="shared" ca="1" si="74"/>
        <v/>
      </c>
      <c r="X201" s="266" t="str">
        <f t="shared" ca="1" si="74"/>
        <v/>
      </c>
      <c r="Y201" s="264" t="str">
        <f t="shared" ca="1" si="74"/>
        <v/>
      </c>
      <c r="Z201" s="265" t="str">
        <f t="shared" ca="1" si="74"/>
        <v/>
      </c>
      <c r="AA201" s="266" t="str">
        <f t="shared" ca="1" si="74"/>
        <v/>
      </c>
      <c r="AB201" s="267" t="str">
        <f t="shared" ca="1" si="74"/>
        <v/>
      </c>
      <c r="AC201" s="538"/>
      <c r="AD201" s="212" t="str">
        <f t="shared" ca="1" si="61"/>
        <v/>
      </c>
    </row>
    <row r="202" spans="1:30" s="45" customFormat="1" ht="22.5" customHeight="1">
      <c r="A202" s="258" t="str">
        <f ca="1">IFERROR(INDEX(凭证录入!H:H,$AD202),"")</f>
        <v/>
      </c>
      <c r="B202" s="259" t="str">
        <f ca="1">IFERROR(INDEX(凭证录入!I:I,$AD202),"")</f>
        <v/>
      </c>
      <c r="C202" s="260" t="str">
        <f ca="1">IFERROR(VLOOKUP($B202,会计科目表!$A:$C,2,),"")</f>
        <v/>
      </c>
      <c r="D202" s="261" t="str">
        <f ca="1">IFERROR(VLOOKUP($B202,会计科目表!$A:$C,3,),"")</f>
        <v/>
      </c>
      <c r="E202" s="262">
        <f ca="1">IFERROR(INDEX(凭证录入!K:K,$AD202),0)</f>
        <v>0</v>
      </c>
      <c r="F202" s="262">
        <f ca="1">IFERROR(INDEX(凭证录入!L:L,$AD202),0)</f>
        <v>0</v>
      </c>
      <c r="G202" s="263" t="str">
        <f t="shared" ca="1" si="73"/>
        <v/>
      </c>
      <c r="H202" s="264" t="str">
        <f t="shared" ca="1" si="73"/>
        <v/>
      </c>
      <c r="I202" s="265" t="str">
        <f t="shared" ca="1" si="73"/>
        <v/>
      </c>
      <c r="J202" s="266" t="str">
        <f t="shared" ca="1" si="73"/>
        <v/>
      </c>
      <c r="K202" s="264" t="str">
        <f t="shared" ca="1" si="73"/>
        <v/>
      </c>
      <c r="L202" s="265" t="str">
        <f t="shared" ca="1" si="73"/>
        <v/>
      </c>
      <c r="M202" s="266" t="str">
        <f t="shared" ca="1" si="73"/>
        <v/>
      </c>
      <c r="N202" s="264" t="str">
        <f t="shared" ca="1" si="73"/>
        <v/>
      </c>
      <c r="O202" s="265" t="str">
        <f t="shared" ca="1" si="73"/>
        <v/>
      </c>
      <c r="P202" s="266" t="str">
        <f t="shared" ca="1" si="73"/>
        <v/>
      </c>
      <c r="Q202" s="267" t="str">
        <f t="shared" ca="1" si="73"/>
        <v/>
      </c>
      <c r="R202" s="268" t="str">
        <f t="shared" ca="1" si="74"/>
        <v/>
      </c>
      <c r="S202" s="264" t="str">
        <f t="shared" ca="1" si="74"/>
        <v/>
      </c>
      <c r="T202" s="269" t="str">
        <f t="shared" ca="1" si="74"/>
        <v/>
      </c>
      <c r="U202" s="268" t="str">
        <f t="shared" ca="1" si="74"/>
        <v/>
      </c>
      <c r="V202" s="264" t="str">
        <f t="shared" ca="1" si="74"/>
        <v/>
      </c>
      <c r="W202" s="265" t="str">
        <f t="shared" ca="1" si="74"/>
        <v/>
      </c>
      <c r="X202" s="266" t="str">
        <f t="shared" ca="1" si="74"/>
        <v/>
      </c>
      <c r="Y202" s="264" t="str">
        <f t="shared" ca="1" si="74"/>
        <v/>
      </c>
      <c r="Z202" s="265" t="str">
        <f t="shared" ca="1" si="74"/>
        <v/>
      </c>
      <c r="AA202" s="266" t="str">
        <f t="shared" ca="1" si="74"/>
        <v/>
      </c>
      <c r="AB202" s="267" t="str">
        <f t="shared" ca="1" si="74"/>
        <v/>
      </c>
      <c r="AC202" s="538"/>
      <c r="AD202" s="212" t="str">
        <f t="shared" ca="1" si="61"/>
        <v/>
      </c>
    </row>
    <row r="203" spans="1:30" s="45" customFormat="1" ht="22.5" customHeight="1">
      <c r="A203" s="270" t="s">
        <v>670</v>
      </c>
      <c r="B203" s="271"/>
      <c r="C203" s="272" t="str">
        <f t="shared" ref="C203" ca="1" si="75">SUBSTITUTE(SUBSTITUTE(IF(-DOLLAR(E203),IF(E203&gt;0,,"负")&amp;TEXT(INT(ABS(E203)+0.5%),"[dbnum2]G/通用格式元;;")&amp;TEXT(RIGHT(DOLLAR(E203,2),2),"[dbnum2]0角0分;;整"),),"零角",IF(E203^2&lt;1,,"零")),"零分","整")</f>
        <v/>
      </c>
      <c r="D203" s="273"/>
      <c r="E203" s="274">
        <f t="shared" ref="E203:F203" ca="1" si="76">SUM(E197:E202)</f>
        <v>0</v>
      </c>
      <c r="F203" s="275">
        <f t="shared" ca="1" si="76"/>
        <v>0</v>
      </c>
      <c r="G203" s="276" t="str">
        <f t="shared" ca="1" si="73"/>
        <v/>
      </c>
      <c r="H203" s="277" t="str">
        <f t="shared" ca="1" si="73"/>
        <v/>
      </c>
      <c r="I203" s="278" t="str">
        <f t="shared" ca="1" si="73"/>
        <v/>
      </c>
      <c r="J203" s="279" t="str">
        <f t="shared" ca="1" si="73"/>
        <v/>
      </c>
      <c r="K203" s="277" t="str">
        <f t="shared" ca="1" si="73"/>
        <v/>
      </c>
      <c r="L203" s="278" t="str">
        <f t="shared" ca="1" si="73"/>
        <v/>
      </c>
      <c r="M203" s="279" t="str">
        <f t="shared" ca="1" si="73"/>
        <v/>
      </c>
      <c r="N203" s="277" t="str">
        <f t="shared" ca="1" si="73"/>
        <v/>
      </c>
      <c r="O203" s="278" t="str">
        <f t="shared" ca="1" si="73"/>
        <v/>
      </c>
      <c r="P203" s="279" t="str">
        <f t="shared" ca="1" si="73"/>
        <v/>
      </c>
      <c r="Q203" s="280" t="str">
        <f t="shared" ca="1" si="73"/>
        <v/>
      </c>
      <c r="R203" s="281" t="str">
        <f t="shared" ca="1" si="74"/>
        <v/>
      </c>
      <c r="S203" s="277" t="str">
        <f t="shared" ca="1" si="74"/>
        <v/>
      </c>
      <c r="T203" s="282" t="str">
        <f t="shared" ca="1" si="74"/>
        <v/>
      </c>
      <c r="U203" s="281" t="str">
        <f t="shared" ca="1" si="74"/>
        <v/>
      </c>
      <c r="V203" s="277" t="str">
        <f t="shared" ca="1" si="74"/>
        <v/>
      </c>
      <c r="W203" s="278" t="str">
        <f t="shared" ca="1" si="74"/>
        <v/>
      </c>
      <c r="X203" s="279" t="str">
        <f t="shared" ca="1" si="74"/>
        <v/>
      </c>
      <c r="Y203" s="277" t="str">
        <f t="shared" ca="1" si="74"/>
        <v/>
      </c>
      <c r="Z203" s="278" t="str">
        <f t="shared" ca="1" si="74"/>
        <v/>
      </c>
      <c r="AA203" s="279" t="str">
        <f t="shared" ca="1" si="74"/>
        <v/>
      </c>
      <c r="AB203" s="280" t="str">
        <f t="shared" ca="1" si="74"/>
        <v/>
      </c>
      <c r="AC203" s="283"/>
      <c r="AD203" s="212"/>
    </row>
    <row r="204" spans="1:30" s="22" customFormat="1" ht="22.5" customHeight="1">
      <c r="A204" s="284" t="s">
        <v>644</v>
      </c>
      <c r="B204" s="284"/>
      <c r="C204" s="284"/>
      <c r="D204" s="284" t="s">
        <v>645</v>
      </c>
      <c r="E204" s="284"/>
      <c r="F204" s="284"/>
      <c r="G204" s="284"/>
      <c r="H204" s="285"/>
      <c r="I204" s="284"/>
      <c r="J204" s="285"/>
      <c r="K204" s="285"/>
      <c r="L204" s="284"/>
      <c r="M204" s="285"/>
      <c r="N204" s="285"/>
      <c r="O204" s="285"/>
      <c r="P204" s="284"/>
      <c r="Q204" s="284" t="s">
        <v>646</v>
      </c>
      <c r="R204" s="284"/>
      <c r="S204" s="284"/>
      <c r="T204" s="284"/>
      <c r="U204" s="285"/>
      <c r="V204" s="284"/>
      <c r="W204" s="285"/>
      <c r="X204" s="284"/>
      <c r="Y204" s="284"/>
      <c r="Z204" s="285"/>
      <c r="AA204" s="285"/>
      <c r="AB204" s="285"/>
      <c r="AC204" s="286"/>
      <c r="AD204" s="212"/>
    </row>
    <row r="205" spans="1:30" ht="39.75" customHeight="1" thickBot="1">
      <c r="A205" s="226"/>
      <c r="B205" s="226"/>
      <c r="C205" s="227" t="s">
        <v>647</v>
      </c>
      <c r="D205" s="228"/>
      <c r="E205" s="226"/>
      <c r="F205" s="226"/>
      <c r="G205" s="228"/>
      <c r="H205" s="228"/>
      <c r="I205" s="228"/>
      <c r="J205" s="228"/>
      <c r="K205" s="228"/>
      <c r="L205" s="228"/>
      <c r="M205" s="228"/>
      <c r="N205" s="228"/>
      <c r="O205" s="228"/>
      <c r="P205" s="228"/>
      <c r="Q205" s="228"/>
      <c r="R205" s="229" t="s">
        <v>648</v>
      </c>
      <c r="S205" s="230"/>
      <c r="T205" s="230"/>
      <c r="U205" s="231" t="e">
        <f ca="1">DATE(AD$1,AF$1,INDEX(凭证录入!B:B,AD209))</f>
        <v>#VALUE!</v>
      </c>
      <c r="V205" s="232"/>
      <c r="W205" s="232"/>
      <c r="X205" s="232"/>
      <c r="Y205" s="232"/>
      <c r="Z205" s="232"/>
      <c r="AA205" s="232"/>
      <c r="AB205" s="232"/>
      <c r="AD205" s="212"/>
    </row>
    <row r="206" spans="1:30" s="45" customFormat="1" ht="23.25" customHeight="1" thickTop="1">
      <c r="A206" s="235" t="s">
        <v>649</v>
      </c>
      <c r="B206" s="235"/>
      <c r="C206" s="236" t="str">
        <f t="shared" si="67"/>
        <v>远大开发有限公司</v>
      </c>
      <c r="D206" s="236"/>
      <c r="E206" s="236"/>
      <c r="F206" s="236"/>
      <c r="G206" s="236"/>
      <c r="H206" s="236"/>
      <c r="I206" s="236"/>
      <c r="J206" s="236"/>
      <c r="K206" s="236"/>
      <c r="L206" s="236"/>
      <c r="M206" s="236"/>
      <c r="N206" s="236"/>
      <c r="O206" s="236"/>
      <c r="P206" s="236"/>
      <c r="Q206" s="236"/>
      <c r="R206" s="229" t="s">
        <v>650</v>
      </c>
      <c r="S206" s="229"/>
      <c r="T206" s="229"/>
      <c r="U206" s="237" t="str">
        <f t="shared" ref="U206" si="77">"第 "&amp;TEXT($AF$1,"00")&amp;TEXT($AC206,"0000 号")</f>
        <v>第 010017 号</v>
      </c>
      <c r="V206" s="237"/>
      <c r="W206" s="238"/>
      <c r="X206" s="238"/>
      <c r="Y206" s="238"/>
      <c r="Z206" s="238"/>
      <c r="AA206" s="238"/>
      <c r="AB206" s="238"/>
      <c r="AC206" s="239">
        <f t="shared" si="69"/>
        <v>17</v>
      </c>
      <c r="AD206" s="212"/>
    </row>
    <row r="207" spans="1:30" s="45" customFormat="1" ht="22.5" customHeight="1">
      <c r="A207" s="241" t="s">
        <v>651</v>
      </c>
      <c r="B207" s="542" t="s">
        <v>652</v>
      </c>
      <c r="C207" s="242" t="s">
        <v>653</v>
      </c>
      <c r="D207" s="243" t="s">
        <v>654</v>
      </c>
      <c r="E207" s="539" t="s">
        <v>655</v>
      </c>
      <c r="F207" s="539" t="s">
        <v>656</v>
      </c>
      <c r="G207" s="244" t="s">
        <v>657</v>
      </c>
      <c r="H207" s="245"/>
      <c r="I207" s="245"/>
      <c r="J207" s="245"/>
      <c r="K207" s="245"/>
      <c r="L207" s="245"/>
      <c r="M207" s="245"/>
      <c r="N207" s="245"/>
      <c r="O207" s="245"/>
      <c r="P207" s="245"/>
      <c r="Q207" s="246"/>
      <c r="R207" s="247" t="s">
        <v>658</v>
      </c>
      <c r="S207" s="245"/>
      <c r="T207" s="245"/>
      <c r="U207" s="245"/>
      <c r="V207" s="245"/>
      <c r="W207" s="245"/>
      <c r="X207" s="245"/>
      <c r="Y207" s="245"/>
      <c r="Z207" s="245"/>
      <c r="AA207" s="245"/>
      <c r="AB207" s="246"/>
      <c r="AC207" s="541" t="str">
        <f ca="1">"附单据数︵"&amp;INDEX(凭证录入!$D:$D,$AD$17)&amp;"︶张"</f>
        <v>附单据数︵4︶张</v>
      </c>
      <c r="AD207" s="235"/>
    </row>
    <row r="208" spans="1:30" s="45" customFormat="1" ht="22.5" customHeight="1">
      <c r="A208" s="248" t="s">
        <v>659</v>
      </c>
      <c r="B208" s="543"/>
      <c r="C208" s="249" t="s">
        <v>660</v>
      </c>
      <c r="D208" s="250" t="s">
        <v>660</v>
      </c>
      <c r="E208" s="540"/>
      <c r="F208" s="540"/>
      <c r="G208" s="251" t="s">
        <v>661</v>
      </c>
      <c r="H208" s="252" t="s">
        <v>662</v>
      </c>
      <c r="I208" s="253" t="s">
        <v>663</v>
      </c>
      <c r="J208" s="254" t="s">
        <v>664</v>
      </c>
      <c r="K208" s="252" t="s">
        <v>665</v>
      </c>
      <c r="L208" s="253" t="s">
        <v>662</v>
      </c>
      <c r="M208" s="254" t="s">
        <v>663</v>
      </c>
      <c r="N208" s="252" t="s">
        <v>664</v>
      </c>
      <c r="O208" s="253" t="s">
        <v>666</v>
      </c>
      <c r="P208" s="254" t="s">
        <v>667</v>
      </c>
      <c r="Q208" s="255" t="s">
        <v>668</v>
      </c>
      <c r="R208" s="256" t="s">
        <v>661</v>
      </c>
      <c r="S208" s="252" t="s">
        <v>662</v>
      </c>
      <c r="T208" s="257" t="s">
        <v>663</v>
      </c>
      <c r="U208" s="256" t="s">
        <v>664</v>
      </c>
      <c r="V208" s="252" t="s">
        <v>665</v>
      </c>
      <c r="W208" s="253" t="s">
        <v>662</v>
      </c>
      <c r="X208" s="254" t="s">
        <v>663</v>
      </c>
      <c r="Y208" s="252" t="s">
        <v>664</v>
      </c>
      <c r="Z208" s="253" t="s">
        <v>666</v>
      </c>
      <c r="AA208" s="254" t="s">
        <v>667</v>
      </c>
      <c r="AB208" s="255" t="s">
        <v>668</v>
      </c>
      <c r="AC208" s="541"/>
    </row>
    <row r="209" spans="1:30" s="45" customFormat="1" ht="22.5" customHeight="1">
      <c r="A209" s="258" t="str">
        <f ca="1">IFERROR(INDEX(凭证录入!H:H,$AD209),"")</f>
        <v/>
      </c>
      <c r="B209" s="259" t="str">
        <f ca="1">IFERROR(INDEX(凭证录入!I:I,$AD209),"")</f>
        <v/>
      </c>
      <c r="C209" s="260" t="str">
        <f ca="1">IFERROR(VLOOKUP($B209,会计科目表!$A:$C,2,),"")</f>
        <v/>
      </c>
      <c r="D209" s="261" t="str">
        <f ca="1">IFERROR(VLOOKUP($B209,会计科目表!$A:$C,3,),"")</f>
        <v/>
      </c>
      <c r="E209" s="262">
        <f ca="1">IFERROR(INDEX(凭证录入!K:K,$AD209),0)</f>
        <v>0</v>
      </c>
      <c r="F209" s="262">
        <f ca="1">IFERROR(INDEX(凭证录入!L:L,$AD209),0)</f>
        <v>0</v>
      </c>
      <c r="G209" s="263" t="str">
        <f t="shared" ca="1" si="73"/>
        <v/>
      </c>
      <c r="H209" s="264" t="str">
        <f t="shared" ca="1" si="73"/>
        <v/>
      </c>
      <c r="I209" s="265" t="str">
        <f t="shared" ca="1" si="73"/>
        <v/>
      </c>
      <c r="J209" s="266" t="str">
        <f t="shared" ca="1" si="73"/>
        <v/>
      </c>
      <c r="K209" s="264" t="str">
        <f t="shared" ca="1" si="73"/>
        <v/>
      </c>
      <c r="L209" s="265" t="str">
        <f t="shared" ca="1" si="73"/>
        <v/>
      </c>
      <c r="M209" s="266" t="str">
        <f t="shared" ca="1" si="73"/>
        <v/>
      </c>
      <c r="N209" s="264" t="str">
        <f t="shared" ca="1" si="73"/>
        <v/>
      </c>
      <c r="O209" s="265" t="str">
        <f t="shared" ca="1" si="73"/>
        <v/>
      </c>
      <c r="P209" s="266" t="str">
        <f t="shared" ca="1" si="73"/>
        <v/>
      </c>
      <c r="Q209" s="267" t="str">
        <f t="shared" ca="1" si="73"/>
        <v/>
      </c>
      <c r="R209" s="268" t="str">
        <f t="shared" ca="1" si="74"/>
        <v/>
      </c>
      <c r="S209" s="264" t="str">
        <f t="shared" ca="1" si="74"/>
        <v/>
      </c>
      <c r="T209" s="269" t="str">
        <f t="shared" ca="1" si="74"/>
        <v/>
      </c>
      <c r="U209" s="268" t="str">
        <f t="shared" ca="1" si="74"/>
        <v/>
      </c>
      <c r="V209" s="264" t="str">
        <f t="shared" ca="1" si="74"/>
        <v/>
      </c>
      <c r="W209" s="265" t="str">
        <f t="shared" ca="1" si="74"/>
        <v/>
      </c>
      <c r="X209" s="266" t="str">
        <f t="shared" ca="1" si="74"/>
        <v/>
      </c>
      <c r="Y209" s="264" t="str">
        <f t="shared" ca="1" si="74"/>
        <v/>
      </c>
      <c r="Z209" s="265" t="str">
        <f t="shared" ca="1" si="74"/>
        <v/>
      </c>
      <c r="AA209" s="266" t="str">
        <f t="shared" ca="1" si="74"/>
        <v/>
      </c>
      <c r="AB209" s="267" t="str">
        <f t="shared" ca="1" si="74"/>
        <v/>
      </c>
      <c r="AC209" s="541"/>
      <c r="AD209" s="212" t="str">
        <f t="shared" ca="1" si="61"/>
        <v/>
      </c>
    </row>
    <row r="210" spans="1:30" s="45" customFormat="1" ht="22.5" customHeight="1">
      <c r="A210" s="258" t="str">
        <f ca="1">IFERROR(INDEX(凭证录入!H:H,$AD210),"")</f>
        <v/>
      </c>
      <c r="B210" s="259" t="str">
        <f ca="1">IFERROR(INDEX(凭证录入!I:I,$AD210),"")</f>
        <v/>
      </c>
      <c r="C210" s="260" t="str">
        <f ca="1">IFERROR(VLOOKUP($B210,会计科目表!$A:$C,2,),"")</f>
        <v/>
      </c>
      <c r="D210" s="261" t="str">
        <f ca="1">IFERROR(VLOOKUP($B210,会计科目表!$A:$C,3,),"")</f>
        <v/>
      </c>
      <c r="E210" s="262">
        <f ca="1">IFERROR(INDEX(凭证录入!K:K,$AD210),0)</f>
        <v>0</v>
      </c>
      <c r="F210" s="262">
        <f ca="1">IFERROR(INDEX(凭证录入!L:L,$AD210),0)</f>
        <v>0</v>
      </c>
      <c r="G210" s="263" t="str">
        <f t="shared" ca="1" si="73"/>
        <v/>
      </c>
      <c r="H210" s="264" t="str">
        <f t="shared" ca="1" si="73"/>
        <v/>
      </c>
      <c r="I210" s="265" t="str">
        <f t="shared" ca="1" si="73"/>
        <v/>
      </c>
      <c r="J210" s="266" t="str">
        <f t="shared" ca="1" si="73"/>
        <v/>
      </c>
      <c r="K210" s="264" t="str">
        <f t="shared" ca="1" si="73"/>
        <v/>
      </c>
      <c r="L210" s="265" t="str">
        <f t="shared" ca="1" si="73"/>
        <v/>
      </c>
      <c r="M210" s="266" t="str">
        <f t="shared" ca="1" si="73"/>
        <v/>
      </c>
      <c r="N210" s="264" t="str">
        <f t="shared" ca="1" si="73"/>
        <v/>
      </c>
      <c r="O210" s="265" t="str">
        <f t="shared" ca="1" si="73"/>
        <v/>
      </c>
      <c r="P210" s="266" t="str">
        <f t="shared" ca="1" si="73"/>
        <v/>
      </c>
      <c r="Q210" s="267" t="str">
        <f t="shared" ca="1" si="73"/>
        <v/>
      </c>
      <c r="R210" s="268" t="str">
        <f t="shared" ca="1" si="74"/>
        <v/>
      </c>
      <c r="S210" s="264" t="str">
        <f t="shared" ca="1" si="74"/>
        <v/>
      </c>
      <c r="T210" s="269" t="str">
        <f t="shared" ca="1" si="74"/>
        <v/>
      </c>
      <c r="U210" s="268" t="str">
        <f t="shared" ca="1" si="74"/>
        <v/>
      </c>
      <c r="V210" s="264" t="str">
        <f t="shared" ca="1" si="74"/>
        <v/>
      </c>
      <c r="W210" s="265" t="str">
        <f t="shared" ca="1" si="74"/>
        <v/>
      </c>
      <c r="X210" s="266" t="str">
        <f t="shared" ca="1" si="74"/>
        <v/>
      </c>
      <c r="Y210" s="264" t="str">
        <f t="shared" ca="1" si="74"/>
        <v/>
      </c>
      <c r="Z210" s="265" t="str">
        <f t="shared" ca="1" si="74"/>
        <v/>
      </c>
      <c r="AA210" s="266" t="str">
        <f t="shared" ca="1" si="74"/>
        <v/>
      </c>
      <c r="AB210" s="267" t="str">
        <f t="shared" ca="1" si="74"/>
        <v/>
      </c>
      <c r="AC210" s="541"/>
      <c r="AD210" s="212" t="str">
        <f t="shared" ca="1" si="61"/>
        <v/>
      </c>
    </row>
    <row r="211" spans="1:30" s="45" customFormat="1" ht="22.5" customHeight="1">
      <c r="A211" s="258" t="str">
        <f ca="1">IFERROR(INDEX(凭证录入!H:H,$AD211),"")</f>
        <v/>
      </c>
      <c r="B211" s="259" t="str">
        <f ca="1">IFERROR(INDEX(凭证录入!I:I,$AD211),"")</f>
        <v/>
      </c>
      <c r="C211" s="260" t="str">
        <f ca="1">IFERROR(VLOOKUP($B211,会计科目表!$A:$C,2,),"")</f>
        <v/>
      </c>
      <c r="D211" s="261" t="str">
        <f ca="1">IFERROR(VLOOKUP($B211,会计科目表!$A:$C,3,),"")</f>
        <v/>
      </c>
      <c r="E211" s="262">
        <f ca="1">IFERROR(INDEX(凭证录入!K:K,$AD211),0)</f>
        <v>0</v>
      </c>
      <c r="F211" s="262">
        <f ca="1">IFERROR(INDEX(凭证录入!L:L,$AD211),0)</f>
        <v>0</v>
      </c>
      <c r="G211" s="263" t="str">
        <f t="shared" ca="1" si="73"/>
        <v/>
      </c>
      <c r="H211" s="264" t="str">
        <f t="shared" ca="1" si="73"/>
        <v/>
      </c>
      <c r="I211" s="265" t="str">
        <f t="shared" ca="1" si="73"/>
        <v/>
      </c>
      <c r="J211" s="266" t="str">
        <f t="shared" ca="1" si="73"/>
        <v/>
      </c>
      <c r="K211" s="264" t="str">
        <f t="shared" ca="1" si="73"/>
        <v/>
      </c>
      <c r="L211" s="265" t="str">
        <f t="shared" ca="1" si="73"/>
        <v/>
      </c>
      <c r="M211" s="266" t="str">
        <f t="shared" ca="1" si="73"/>
        <v/>
      </c>
      <c r="N211" s="264" t="str">
        <f t="shared" ca="1" si="73"/>
        <v/>
      </c>
      <c r="O211" s="265" t="str">
        <f t="shared" ca="1" si="73"/>
        <v/>
      </c>
      <c r="P211" s="266" t="str">
        <f t="shared" ca="1" si="73"/>
        <v/>
      </c>
      <c r="Q211" s="267" t="str">
        <f t="shared" ca="1" si="73"/>
        <v/>
      </c>
      <c r="R211" s="268" t="str">
        <f t="shared" ca="1" si="74"/>
        <v/>
      </c>
      <c r="S211" s="264" t="str">
        <f t="shared" ca="1" si="74"/>
        <v/>
      </c>
      <c r="T211" s="269" t="str">
        <f t="shared" ca="1" si="74"/>
        <v/>
      </c>
      <c r="U211" s="268" t="str">
        <f t="shared" ca="1" si="74"/>
        <v/>
      </c>
      <c r="V211" s="264" t="str">
        <f t="shared" ca="1" si="74"/>
        <v/>
      </c>
      <c r="W211" s="265" t="str">
        <f t="shared" ca="1" si="74"/>
        <v/>
      </c>
      <c r="X211" s="266" t="str">
        <f t="shared" ca="1" si="74"/>
        <v/>
      </c>
      <c r="Y211" s="264" t="str">
        <f t="shared" ca="1" si="74"/>
        <v/>
      </c>
      <c r="Z211" s="265" t="str">
        <f t="shared" ca="1" si="74"/>
        <v/>
      </c>
      <c r="AA211" s="266" t="str">
        <f t="shared" ca="1" si="74"/>
        <v/>
      </c>
      <c r="AB211" s="267" t="str">
        <f t="shared" ca="1" si="74"/>
        <v/>
      </c>
      <c r="AC211" s="536" t="s">
        <v>669</v>
      </c>
      <c r="AD211" s="212" t="str">
        <f t="shared" ca="1" si="61"/>
        <v/>
      </c>
    </row>
    <row r="212" spans="1:30" s="45" customFormat="1" ht="22.5" customHeight="1">
      <c r="A212" s="258" t="str">
        <f ca="1">IFERROR(INDEX(凭证录入!H:H,$AD212),"")</f>
        <v/>
      </c>
      <c r="B212" s="259" t="str">
        <f ca="1">IFERROR(INDEX(凭证录入!I:I,$AD212),"")</f>
        <v/>
      </c>
      <c r="C212" s="260" t="str">
        <f ca="1">IFERROR(VLOOKUP($B212,会计科目表!$A:$C,2,),"")</f>
        <v/>
      </c>
      <c r="D212" s="261" t="str">
        <f ca="1">IFERROR(VLOOKUP($B212,会计科目表!$A:$C,3,),"")</f>
        <v/>
      </c>
      <c r="E212" s="262">
        <f ca="1">IFERROR(INDEX(凭证录入!K:K,$AD212),0)</f>
        <v>0</v>
      </c>
      <c r="F212" s="262">
        <f ca="1">IFERROR(INDEX(凭证录入!L:L,$AD212),0)</f>
        <v>0</v>
      </c>
      <c r="G212" s="263" t="str">
        <f t="shared" ca="1" si="73"/>
        <v/>
      </c>
      <c r="H212" s="264" t="str">
        <f t="shared" ca="1" si="73"/>
        <v/>
      </c>
      <c r="I212" s="265" t="str">
        <f t="shared" ca="1" si="73"/>
        <v/>
      </c>
      <c r="J212" s="266" t="str">
        <f t="shared" ca="1" si="73"/>
        <v/>
      </c>
      <c r="K212" s="264" t="str">
        <f t="shared" ca="1" si="73"/>
        <v/>
      </c>
      <c r="L212" s="265" t="str">
        <f t="shared" ca="1" si="73"/>
        <v/>
      </c>
      <c r="M212" s="266" t="str">
        <f t="shared" ca="1" si="73"/>
        <v/>
      </c>
      <c r="N212" s="264" t="str">
        <f t="shared" ca="1" si="73"/>
        <v/>
      </c>
      <c r="O212" s="265" t="str">
        <f t="shared" ca="1" si="73"/>
        <v/>
      </c>
      <c r="P212" s="266" t="str">
        <f t="shared" ca="1" si="73"/>
        <v/>
      </c>
      <c r="Q212" s="267" t="str">
        <f t="shared" ca="1" si="73"/>
        <v/>
      </c>
      <c r="R212" s="268" t="str">
        <f t="shared" ca="1" si="74"/>
        <v/>
      </c>
      <c r="S212" s="264" t="str">
        <f t="shared" ca="1" si="74"/>
        <v/>
      </c>
      <c r="T212" s="269" t="str">
        <f t="shared" ca="1" si="74"/>
        <v/>
      </c>
      <c r="U212" s="268" t="str">
        <f t="shared" ca="1" si="74"/>
        <v/>
      </c>
      <c r="V212" s="264" t="str">
        <f t="shared" ca="1" si="74"/>
        <v/>
      </c>
      <c r="W212" s="265" t="str">
        <f t="shared" ca="1" si="74"/>
        <v/>
      </c>
      <c r="X212" s="266" t="str">
        <f t="shared" ca="1" si="74"/>
        <v/>
      </c>
      <c r="Y212" s="264" t="str">
        <f t="shared" ca="1" si="74"/>
        <v/>
      </c>
      <c r="Z212" s="265" t="str">
        <f t="shared" ca="1" si="74"/>
        <v/>
      </c>
      <c r="AA212" s="266" t="str">
        <f t="shared" ca="1" si="74"/>
        <v/>
      </c>
      <c r="AB212" s="267" t="str">
        <f t="shared" ca="1" si="74"/>
        <v/>
      </c>
      <c r="AC212" s="537"/>
      <c r="AD212" s="212" t="str">
        <f t="shared" ca="1" si="61"/>
        <v/>
      </c>
    </row>
    <row r="213" spans="1:30" s="45" customFormat="1" ht="22.5" customHeight="1">
      <c r="A213" s="258" t="str">
        <f ca="1">IFERROR(INDEX(凭证录入!H:H,$AD213),"")</f>
        <v/>
      </c>
      <c r="B213" s="259" t="str">
        <f ca="1">IFERROR(INDEX(凭证录入!I:I,$AD213),"")</f>
        <v/>
      </c>
      <c r="C213" s="260" t="str">
        <f ca="1">IFERROR(VLOOKUP($B213,会计科目表!$A:$C,2,),"")</f>
        <v/>
      </c>
      <c r="D213" s="261" t="str">
        <f ca="1">IFERROR(VLOOKUP($B213,会计科目表!$A:$C,3,),"")</f>
        <v/>
      </c>
      <c r="E213" s="262">
        <f ca="1">IFERROR(INDEX(凭证录入!K:K,$AD213),0)</f>
        <v>0</v>
      </c>
      <c r="F213" s="262">
        <f ca="1">IFERROR(INDEX(凭证录入!L:L,$AD213),0)</f>
        <v>0</v>
      </c>
      <c r="G213" s="263" t="str">
        <f t="shared" ca="1" si="73"/>
        <v/>
      </c>
      <c r="H213" s="264" t="str">
        <f t="shared" ca="1" si="73"/>
        <v/>
      </c>
      <c r="I213" s="265" t="str">
        <f t="shared" ca="1" si="73"/>
        <v/>
      </c>
      <c r="J213" s="266" t="str">
        <f t="shared" ca="1" si="73"/>
        <v/>
      </c>
      <c r="K213" s="264" t="str">
        <f t="shared" ca="1" si="73"/>
        <v/>
      </c>
      <c r="L213" s="265" t="str">
        <f t="shared" ca="1" si="73"/>
        <v/>
      </c>
      <c r="M213" s="266" t="str">
        <f t="shared" ca="1" si="73"/>
        <v/>
      </c>
      <c r="N213" s="264" t="str">
        <f t="shared" ca="1" si="73"/>
        <v/>
      </c>
      <c r="O213" s="265" t="str">
        <f t="shared" ca="1" si="73"/>
        <v/>
      </c>
      <c r="P213" s="266" t="str">
        <f t="shared" ca="1" si="73"/>
        <v/>
      </c>
      <c r="Q213" s="267" t="str">
        <f t="shared" ca="1" si="73"/>
        <v/>
      </c>
      <c r="R213" s="268" t="str">
        <f t="shared" ca="1" si="74"/>
        <v/>
      </c>
      <c r="S213" s="264" t="str">
        <f t="shared" ca="1" si="74"/>
        <v/>
      </c>
      <c r="T213" s="269" t="str">
        <f t="shared" ca="1" si="74"/>
        <v/>
      </c>
      <c r="U213" s="268" t="str">
        <f t="shared" ca="1" si="74"/>
        <v/>
      </c>
      <c r="V213" s="264" t="str">
        <f t="shared" ca="1" si="74"/>
        <v/>
      </c>
      <c r="W213" s="265" t="str">
        <f t="shared" ca="1" si="74"/>
        <v/>
      </c>
      <c r="X213" s="266" t="str">
        <f t="shared" ca="1" si="74"/>
        <v/>
      </c>
      <c r="Y213" s="264" t="str">
        <f t="shared" ca="1" si="74"/>
        <v/>
      </c>
      <c r="Z213" s="265" t="str">
        <f t="shared" ca="1" si="74"/>
        <v/>
      </c>
      <c r="AA213" s="266" t="str">
        <f t="shared" ca="1" si="74"/>
        <v/>
      </c>
      <c r="AB213" s="267" t="str">
        <f t="shared" ca="1" si="74"/>
        <v/>
      </c>
      <c r="AC213" s="538"/>
      <c r="AD213" s="212" t="str">
        <f t="shared" ca="1" si="61"/>
        <v/>
      </c>
    </row>
    <row r="214" spans="1:30" s="45" customFormat="1" ht="22.5" customHeight="1">
      <c r="A214" s="258" t="str">
        <f ca="1">IFERROR(INDEX(凭证录入!H:H,$AD214),"")</f>
        <v/>
      </c>
      <c r="B214" s="259" t="str">
        <f ca="1">IFERROR(INDEX(凭证录入!I:I,$AD214),"")</f>
        <v/>
      </c>
      <c r="C214" s="260" t="str">
        <f ca="1">IFERROR(VLOOKUP($B214,会计科目表!$A:$C,2,),"")</f>
        <v/>
      </c>
      <c r="D214" s="261" t="str">
        <f ca="1">IFERROR(VLOOKUP($B214,会计科目表!$A:$C,3,),"")</f>
        <v/>
      </c>
      <c r="E214" s="262">
        <f ca="1">IFERROR(INDEX(凭证录入!K:K,$AD214),0)</f>
        <v>0</v>
      </c>
      <c r="F214" s="262">
        <f ca="1">IFERROR(INDEX(凭证录入!L:L,$AD214),0)</f>
        <v>0</v>
      </c>
      <c r="G214" s="263" t="str">
        <f t="shared" ca="1" si="73"/>
        <v/>
      </c>
      <c r="H214" s="264" t="str">
        <f t="shared" ca="1" si="73"/>
        <v/>
      </c>
      <c r="I214" s="265" t="str">
        <f t="shared" ca="1" si="73"/>
        <v/>
      </c>
      <c r="J214" s="266" t="str">
        <f t="shared" ca="1" si="73"/>
        <v/>
      </c>
      <c r="K214" s="264" t="str">
        <f t="shared" ca="1" si="73"/>
        <v/>
      </c>
      <c r="L214" s="265" t="str">
        <f t="shared" ca="1" si="73"/>
        <v/>
      </c>
      <c r="M214" s="266" t="str">
        <f t="shared" ca="1" si="73"/>
        <v/>
      </c>
      <c r="N214" s="264" t="str">
        <f t="shared" ca="1" si="73"/>
        <v/>
      </c>
      <c r="O214" s="265" t="str">
        <f t="shared" ca="1" si="73"/>
        <v/>
      </c>
      <c r="P214" s="266" t="str">
        <f t="shared" ca="1" si="73"/>
        <v/>
      </c>
      <c r="Q214" s="267" t="str">
        <f t="shared" ca="1" si="73"/>
        <v/>
      </c>
      <c r="R214" s="268" t="str">
        <f t="shared" ca="1" si="74"/>
        <v/>
      </c>
      <c r="S214" s="264" t="str">
        <f t="shared" ca="1" si="74"/>
        <v/>
      </c>
      <c r="T214" s="269" t="str">
        <f t="shared" ca="1" si="74"/>
        <v/>
      </c>
      <c r="U214" s="268" t="str">
        <f t="shared" ca="1" si="74"/>
        <v/>
      </c>
      <c r="V214" s="264" t="str">
        <f t="shared" ca="1" si="74"/>
        <v/>
      </c>
      <c r="W214" s="265" t="str">
        <f t="shared" ca="1" si="74"/>
        <v/>
      </c>
      <c r="X214" s="266" t="str">
        <f t="shared" ca="1" si="74"/>
        <v/>
      </c>
      <c r="Y214" s="264" t="str">
        <f t="shared" ca="1" si="74"/>
        <v/>
      </c>
      <c r="Z214" s="265" t="str">
        <f t="shared" ca="1" si="74"/>
        <v/>
      </c>
      <c r="AA214" s="266" t="str">
        <f t="shared" ca="1" si="74"/>
        <v/>
      </c>
      <c r="AB214" s="267" t="str">
        <f t="shared" ca="1" si="74"/>
        <v/>
      </c>
      <c r="AC214" s="538"/>
      <c r="AD214" s="212" t="str">
        <f t="shared" ca="1" si="61"/>
        <v/>
      </c>
    </row>
    <row r="215" spans="1:30" s="45" customFormat="1" ht="22.5" customHeight="1">
      <c r="A215" s="270" t="s">
        <v>670</v>
      </c>
      <c r="B215" s="271"/>
      <c r="C215" s="272" t="str">
        <f t="shared" ref="C215" ca="1" si="78">SUBSTITUTE(SUBSTITUTE(IF(-DOLLAR(E215),IF(E215&gt;0,,"负")&amp;TEXT(INT(ABS(E215)+0.5%),"[dbnum2]G/通用格式元;;")&amp;TEXT(RIGHT(DOLLAR(E215,2),2),"[dbnum2]0角0分;;整"),),"零角",IF(E215^2&lt;1,,"零")),"零分","整")</f>
        <v/>
      </c>
      <c r="D215" s="273"/>
      <c r="E215" s="274">
        <f t="shared" ref="E215:F215" ca="1" si="79">SUM(E209:E214)</f>
        <v>0</v>
      </c>
      <c r="F215" s="275">
        <f t="shared" ca="1" si="79"/>
        <v>0</v>
      </c>
      <c r="G215" s="276" t="str">
        <f t="shared" ca="1" si="73"/>
        <v/>
      </c>
      <c r="H215" s="277" t="str">
        <f t="shared" ca="1" si="73"/>
        <v/>
      </c>
      <c r="I215" s="278" t="str">
        <f t="shared" ca="1" si="73"/>
        <v/>
      </c>
      <c r="J215" s="279" t="str">
        <f t="shared" ca="1" si="73"/>
        <v/>
      </c>
      <c r="K215" s="277" t="str">
        <f t="shared" ca="1" si="73"/>
        <v/>
      </c>
      <c r="L215" s="278" t="str">
        <f t="shared" ca="1" si="73"/>
        <v/>
      </c>
      <c r="M215" s="279" t="str">
        <f t="shared" ca="1" si="73"/>
        <v/>
      </c>
      <c r="N215" s="277" t="str">
        <f t="shared" ca="1" si="73"/>
        <v/>
      </c>
      <c r="O215" s="278" t="str">
        <f t="shared" ca="1" si="73"/>
        <v/>
      </c>
      <c r="P215" s="279" t="str">
        <f t="shared" ca="1" si="73"/>
        <v/>
      </c>
      <c r="Q215" s="280" t="str">
        <f t="shared" ca="1" si="73"/>
        <v/>
      </c>
      <c r="R215" s="281" t="str">
        <f t="shared" ca="1" si="74"/>
        <v/>
      </c>
      <c r="S215" s="277" t="str">
        <f t="shared" ca="1" si="74"/>
        <v/>
      </c>
      <c r="T215" s="282" t="str">
        <f t="shared" ca="1" si="74"/>
        <v/>
      </c>
      <c r="U215" s="281" t="str">
        <f t="shared" ca="1" si="74"/>
        <v/>
      </c>
      <c r="V215" s="277" t="str">
        <f t="shared" ca="1" si="74"/>
        <v/>
      </c>
      <c r="W215" s="278" t="str">
        <f t="shared" ca="1" si="74"/>
        <v/>
      </c>
      <c r="X215" s="279" t="str">
        <f t="shared" ca="1" si="74"/>
        <v/>
      </c>
      <c r="Y215" s="277" t="str">
        <f t="shared" ca="1" si="74"/>
        <v/>
      </c>
      <c r="Z215" s="278" t="str">
        <f t="shared" ca="1" si="74"/>
        <v/>
      </c>
      <c r="AA215" s="279" t="str">
        <f t="shared" ca="1" si="74"/>
        <v/>
      </c>
      <c r="AB215" s="280" t="str">
        <f t="shared" ca="1" si="74"/>
        <v/>
      </c>
      <c r="AC215" s="283"/>
      <c r="AD215" s="212"/>
    </row>
    <row r="216" spans="1:30" s="22" customFormat="1" ht="22.5" customHeight="1">
      <c r="A216" s="284" t="s">
        <v>644</v>
      </c>
      <c r="B216" s="284"/>
      <c r="C216" s="284"/>
      <c r="D216" s="284" t="s">
        <v>645</v>
      </c>
      <c r="E216" s="284"/>
      <c r="F216" s="284"/>
      <c r="G216" s="284"/>
      <c r="H216" s="285"/>
      <c r="I216" s="284"/>
      <c r="J216" s="285"/>
      <c r="K216" s="285"/>
      <c r="L216" s="284"/>
      <c r="M216" s="285"/>
      <c r="N216" s="285"/>
      <c r="O216" s="285"/>
      <c r="P216" s="284"/>
      <c r="Q216" s="284" t="s">
        <v>646</v>
      </c>
      <c r="R216" s="284"/>
      <c r="S216" s="284"/>
      <c r="T216" s="284"/>
      <c r="U216" s="285"/>
      <c r="V216" s="284"/>
      <c r="W216" s="285"/>
      <c r="X216" s="284"/>
      <c r="Y216" s="284"/>
      <c r="Z216" s="285"/>
      <c r="AA216" s="285"/>
      <c r="AB216" s="285"/>
      <c r="AC216" s="286"/>
      <c r="AD216" s="212"/>
    </row>
    <row r="217" spans="1:30" ht="39.75" customHeight="1" thickBot="1">
      <c r="A217" s="226"/>
      <c r="B217" s="226"/>
      <c r="C217" s="227" t="s">
        <v>647</v>
      </c>
      <c r="D217" s="228"/>
      <c r="E217" s="226"/>
      <c r="F217" s="226"/>
      <c r="G217" s="228"/>
      <c r="H217" s="228"/>
      <c r="I217" s="228"/>
      <c r="J217" s="228"/>
      <c r="K217" s="228"/>
      <c r="L217" s="228"/>
      <c r="M217" s="228"/>
      <c r="N217" s="228"/>
      <c r="O217" s="228"/>
      <c r="P217" s="228"/>
      <c r="Q217" s="228"/>
      <c r="R217" s="229" t="s">
        <v>648</v>
      </c>
      <c r="S217" s="230"/>
      <c r="T217" s="230"/>
      <c r="U217" s="231" t="e">
        <f ca="1">DATE(AD$1,AF$1,INDEX(凭证录入!B:B,AD221))</f>
        <v>#VALUE!</v>
      </c>
      <c r="V217" s="232"/>
      <c r="W217" s="232"/>
      <c r="X217" s="232"/>
      <c r="Y217" s="232"/>
      <c r="Z217" s="232"/>
      <c r="AA217" s="232"/>
      <c r="AB217" s="232"/>
      <c r="AD217" s="212"/>
    </row>
    <row r="218" spans="1:30" s="45" customFormat="1" ht="23.25" customHeight="1" thickTop="1">
      <c r="A218" s="235" t="s">
        <v>649</v>
      </c>
      <c r="B218" s="235"/>
      <c r="C218" s="236" t="str">
        <f t="shared" si="67"/>
        <v>远大开发有限公司</v>
      </c>
      <c r="D218" s="236"/>
      <c r="E218" s="236"/>
      <c r="F218" s="236"/>
      <c r="G218" s="236"/>
      <c r="H218" s="236"/>
      <c r="I218" s="236"/>
      <c r="J218" s="236"/>
      <c r="K218" s="236"/>
      <c r="L218" s="236"/>
      <c r="M218" s="236"/>
      <c r="N218" s="236"/>
      <c r="O218" s="236"/>
      <c r="P218" s="236"/>
      <c r="Q218" s="236"/>
      <c r="R218" s="229" t="s">
        <v>650</v>
      </c>
      <c r="S218" s="229"/>
      <c r="T218" s="229"/>
      <c r="U218" s="237" t="str">
        <f t="shared" ref="U218" si="80">"第 "&amp;TEXT($AF$1,"00")&amp;TEXT($AC218,"0000 号")</f>
        <v>第 010018 号</v>
      </c>
      <c r="V218" s="237"/>
      <c r="W218" s="238"/>
      <c r="X218" s="238"/>
      <c r="Y218" s="238"/>
      <c r="Z218" s="238"/>
      <c r="AA218" s="238"/>
      <c r="AB218" s="238"/>
      <c r="AC218" s="239">
        <f t="shared" si="69"/>
        <v>18</v>
      </c>
      <c r="AD218" s="212"/>
    </row>
    <row r="219" spans="1:30" s="45" customFormat="1" ht="22.5" customHeight="1">
      <c r="A219" s="241" t="s">
        <v>651</v>
      </c>
      <c r="B219" s="542" t="s">
        <v>652</v>
      </c>
      <c r="C219" s="242" t="s">
        <v>653</v>
      </c>
      <c r="D219" s="243" t="s">
        <v>654</v>
      </c>
      <c r="E219" s="539" t="s">
        <v>655</v>
      </c>
      <c r="F219" s="539" t="s">
        <v>656</v>
      </c>
      <c r="G219" s="244" t="s">
        <v>657</v>
      </c>
      <c r="H219" s="245"/>
      <c r="I219" s="245"/>
      <c r="J219" s="245"/>
      <c r="K219" s="245"/>
      <c r="L219" s="245"/>
      <c r="M219" s="245"/>
      <c r="N219" s="245"/>
      <c r="O219" s="245"/>
      <c r="P219" s="245"/>
      <c r="Q219" s="246"/>
      <c r="R219" s="247" t="s">
        <v>658</v>
      </c>
      <c r="S219" s="245"/>
      <c r="T219" s="245"/>
      <c r="U219" s="245"/>
      <c r="V219" s="245"/>
      <c r="W219" s="245"/>
      <c r="X219" s="245"/>
      <c r="Y219" s="245"/>
      <c r="Z219" s="245"/>
      <c r="AA219" s="245"/>
      <c r="AB219" s="246"/>
      <c r="AC219" s="541" t="str">
        <f ca="1">"附单据数︵"&amp;INDEX(凭证录入!$D:$D,$AD$17)&amp;"︶张"</f>
        <v>附单据数︵4︶张</v>
      </c>
      <c r="AD219" s="235"/>
    </row>
    <row r="220" spans="1:30" s="45" customFormat="1" ht="22.5" customHeight="1">
      <c r="A220" s="248" t="s">
        <v>659</v>
      </c>
      <c r="B220" s="543"/>
      <c r="C220" s="249" t="s">
        <v>660</v>
      </c>
      <c r="D220" s="250" t="s">
        <v>660</v>
      </c>
      <c r="E220" s="540"/>
      <c r="F220" s="540"/>
      <c r="G220" s="251" t="s">
        <v>661</v>
      </c>
      <c r="H220" s="252" t="s">
        <v>662</v>
      </c>
      <c r="I220" s="253" t="s">
        <v>663</v>
      </c>
      <c r="J220" s="254" t="s">
        <v>664</v>
      </c>
      <c r="K220" s="252" t="s">
        <v>665</v>
      </c>
      <c r="L220" s="253" t="s">
        <v>662</v>
      </c>
      <c r="M220" s="254" t="s">
        <v>663</v>
      </c>
      <c r="N220" s="252" t="s">
        <v>664</v>
      </c>
      <c r="O220" s="253" t="s">
        <v>666</v>
      </c>
      <c r="P220" s="254" t="s">
        <v>667</v>
      </c>
      <c r="Q220" s="255" t="s">
        <v>668</v>
      </c>
      <c r="R220" s="256" t="s">
        <v>661</v>
      </c>
      <c r="S220" s="252" t="s">
        <v>662</v>
      </c>
      <c r="T220" s="257" t="s">
        <v>663</v>
      </c>
      <c r="U220" s="256" t="s">
        <v>664</v>
      </c>
      <c r="V220" s="252" t="s">
        <v>665</v>
      </c>
      <c r="W220" s="253" t="s">
        <v>662</v>
      </c>
      <c r="X220" s="254" t="s">
        <v>663</v>
      </c>
      <c r="Y220" s="252" t="s">
        <v>664</v>
      </c>
      <c r="Z220" s="253" t="s">
        <v>666</v>
      </c>
      <c r="AA220" s="254" t="s">
        <v>667</v>
      </c>
      <c r="AB220" s="255" t="s">
        <v>668</v>
      </c>
      <c r="AC220" s="541"/>
    </row>
    <row r="221" spans="1:30" s="45" customFormat="1" ht="22.5" customHeight="1">
      <c r="A221" s="258" t="str">
        <f ca="1">IFERROR(INDEX(凭证录入!H:H,$AD221),"")</f>
        <v/>
      </c>
      <c r="B221" s="259" t="str">
        <f ca="1">IFERROR(INDEX(凭证录入!I:I,$AD221),"")</f>
        <v/>
      </c>
      <c r="C221" s="260" t="str">
        <f ca="1">IFERROR(VLOOKUP($B221,会计科目表!$A:$C,2,),"")</f>
        <v/>
      </c>
      <c r="D221" s="261" t="str">
        <f ca="1">IFERROR(VLOOKUP($B221,会计科目表!$A:$C,3,),"")</f>
        <v/>
      </c>
      <c r="E221" s="262">
        <f ca="1">IFERROR(INDEX(凭证录入!K:K,$AD221),0)</f>
        <v>0</v>
      </c>
      <c r="F221" s="262">
        <f ca="1">IFERROR(INDEX(凭证录入!L:L,$AD221),0)</f>
        <v>0</v>
      </c>
      <c r="G221" s="263" t="str">
        <f t="shared" ca="1" si="73"/>
        <v/>
      </c>
      <c r="H221" s="264" t="str">
        <f t="shared" ca="1" si="73"/>
        <v/>
      </c>
      <c r="I221" s="265" t="str">
        <f t="shared" ca="1" si="73"/>
        <v/>
      </c>
      <c r="J221" s="266" t="str">
        <f t="shared" ca="1" si="73"/>
        <v/>
      </c>
      <c r="K221" s="264" t="str">
        <f t="shared" ca="1" si="73"/>
        <v/>
      </c>
      <c r="L221" s="265" t="str">
        <f t="shared" ca="1" si="73"/>
        <v/>
      </c>
      <c r="M221" s="266" t="str">
        <f t="shared" ca="1" si="73"/>
        <v/>
      </c>
      <c r="N221" s="264" t="str">
        <f t="shared" ca="1" si="73"/>
        <v/>
      </c>
      <c r="O221" s="265" t="str">
        <f t="shared" ca="1" si="73"/>
        <v/>
      </c>
      <c r="P221" s="266" t="str">
        <f t="shared" ca="1" si="73"/>
        <v/>
      </c>
      <c r="Q221" s="267" t="str">
        <f t="shared" ca="1" si="73"/>
        <v/>
      </c>
      <c r="R221" s="268" t="str">
        <f t="shared" ca="1" si="74"/>
        <v/>
      </c>
      <c r="S221" s="264" t="str">
        <f t="shared" ca="1" si="74"/>
        <v/>
      </c>
      <c r="T221" s="269" t="str">
        <f t="shared" ca="1" si="74"/>
        <v/>
      </c>
      <c r="U221" s="268" t="str">
        <f t="shared" ca="1" si="74"/>
        <v/>
      </c>
      <c r="V221" s="264" t="str">
        <f t="shared" ca="1" si="74"/>
        <v/>
      </c>
      <c r="W221" s="265" t="str">
        <f t="shared" ca="1" si="74"/>
        <v/>
      </c>
      <c r="X221" s="266" t="str">
        <f t="shared" ca="1" si="74"/>
        <v/>
      </c>
      <c r="Y221" s="264" t="str">
        <f t="shared" ca="1" si="74"/>
        <v/>
      </c>
      <c r="Z221" s="265" t="str">
        <f t="shared" ca="1" si="74"/>
        <v/>
      </c>
      <c r="AA221" s="266" t="str">
        <f t="shared" ca="1" si="74"/>
        <v/>
      </c>
      <c r="AB221" s="267" t="str">
        <f t="shared" ca="1" si="74"/>
        <v/>
      </c>
      <c r="AC221" s="541"/>
      <c r="AD221" s="212" t="str">
        <f t="shared" ca="1" si="61"/>
        <v/>
      </c>
    </row>
    <row r="222" spans="1:30" s="45" customFormat="1" ht="22.5" customHeight="1">
      <c r="A222" s="258" t="str">
        <f ca="1">IFERROR(INDEX(凭证录入!H:H,$AD222),"")</f>
        <v/>
      </c>
      <c r="B222" s="259" t="str">
        <f ca="1">IFERROR(INDEX(凭证录入!I:I,$AD222),"")</f>
        <v/>
      </c>
      <c r="C222" s="260" t="str">
        <f ca="1">IFERROR(VLOOKUP($B222,会计科目表!$A:$C,2,),"")</f>
        <v/>
      </c>
      <c r="D222" s="261" t="str">
        <f ca="1">IFERROR(VLOOKUP($B222,会计科目表!$A:$C,3,),"")</f>
        <v/>
      </c>
      <c r="E222" s="262">
        <f ca="1">IFERROR(INDEX(凭证录入!K:K,$AD222),0)</f>
        <v>0</v>
      </c>
      <c r="F222" s="262">
        <f ca="1">IFERROR(INDEX(凭证录入!L:L,$AD222),0)</f>
        <v>0</v>
      </c>
      <c r="G222" s="263" t="str">
        <f t="shared" ca="1" si="73"/>
        <v/>
      </c>
      <c r="H222" s="264" t="str">
        <f t="shared" ca="1" si="73"/>
        <v/>
      </c>
      <c r="I222" s="265" t="str">
        <f t="shared" ca="1" si="73"/>
        <v/>
      </c>
      <c r="J222" s="266" t="str">
        <f t="shared" ca="1" si="73"/>
        <v/>
      </c>
      <c r="K222" s="264" t="str">
        <f t="shared" ca="1" si="73"/>
        <v/>
      </c>
      <c r="L222" s="265" t="str">
        <f t="shared" ca="1" si="73"/>
        <v/>
      </c>
      <c r="M222" s="266" t="str">
        <f t="shared" ca="1" si="73"/>
        <v/>
      </c>
      <c r="N222" s="264" t="str">
        <f t="shared" ca="1" si="73"/>
        <v/>
      </c>
      <c r="O222" s="265" t="str">
        <f t="shared" ca="1" si="73"/>
        <v/>
      </c>
      <c r="P222" s="266" t="str">
        <f t="shared" ca="1" si="73"/>
        <v/>
      </c>
      <c r="Q222" s="267" t="str">
        <f t="shared" ca="1" si="73"/>
        <v/>
      </c>
      <c r="R222" s="268" t="str">
        <f t="shared" ca="1" si="74"/>
        <v/>
      </c>
      <c r="S222" s="264" t="str">
        <f t="shared" ca="1" si="74"/>
        <v/>
      </c>
      <c r="T222" s="269" t="str">
        <f t="shared" ca="1" si="74"/>
        <v/>
      </c>
      <c r="U222" s="268" t="str">
        <f t="shared" ca="1" si="74"/>
        <v/>
      </c>
      <c r="V222" s="264" t="str">
        <f t="shared" ca="1" si="74"/>
        <v/>
      </c>
      <c r="W222" s="265" t="str">
        <f t="shared" ca="1" si="74"/>
        <v/>
      </c>
      <c r="X222" s="266" t="str">
        <f t="shared" ca="1" si="74"/>
        <v/>
      </c>
      <c r="Y222" s="264" t="str">
        <f t="shared" ca="1" si="74"/>
        <v/>
      </c>
      <c r="Z222" s="265" t="str">
        <f t="shared" ca="1" si="74"/>
        <v/>
      </c>
      <c r="AA222" s="266" t="str">
        <f t="shared" ca="1" si="74"/>
        <v/>
      </c>
      <c r="AB222" s="267" t="str">
        <f t="shared" ca="1" si="74"/>
        <v/>
      </c>
      <c r="AC222" s="541"/>
      <c r="AD222" s="212" t="str">
        <f t="shared" ca="1" si="61"/>
        <v/>
      </c>
    </row>
    <row r="223" spans="1:30" s="45" customFormat="1" ht="22.5" customHeight="1">
      <c r="A223" s="258" t="str">
        <f ca="1">IFERROR(INDEX(凭证录入!H:H,$AD223),"")</f>
        <v/>
      </c>
      <c r="B223" s="259" t="str">
        <f ca="1">IFERROR(INDEX(凭证录入!I:I,$AD223),"")</f>
        <v/>
      </c>
      <c r="C223" s="260" t="str">
        <f ca="1">IFERROR(VLOOKUP($B223,会计科目表!$A:$C,2,),"")</f>
        <v/>
      </c>
      <c r="D223" s="261" t="str">
        <f ca="1">IFERROR(VLOOKUP($B223,会计科目表!$A:$C,3,),"")</f>
        <v/>
      </c>
      <c r="E223" s="262">
        <f ca="1">IFERROR(INDEX(凭证录入!K:K,$AD223),0)</f>
        <v>0</v>
      </c>
      <c r="F223" s="262">
        <f ca="1">IFERROR(INDEX(凭证录入!L:L,$AD223),0)</f>
        <v>0</v>
      </c>
      <c r="G223" s="263" t="str">
        <f t="shared" ca="1" si="73"/>
        <v/>
      </c>
      <c r="H223" s="264" t="str">
        <f t="shared" ca="1" si="73"/>
        <v/>
      </c>
      <c r="I223" s="265" t="str">
        <f t="shared" ca="1" si="73"/>
        <v/>
      </c>
      <c r="J223" s="266" t="str">
        <f t="shared" ca="1" si="73"/>
        <v/>
      </c>
      <c r="K223" s="264" t="str">
        <f t="shared" ca="1" si="73"/>
        <v/>
      </c>
      <c r="L223" s="265" t="str">
        <f t="shared" ca="1" si="73"/>
        <v/>
      </c>
      <c r="M223" s="266" t="str">
        <f t="shared" ca="1" si="73"/>
        <v/>
      </c>
      <c r="N223" s="264" t="str">
        <f t="shared" ca="1" si="73"/>
        <v/>
      </c>
      <c r="O223" s="265" t="str">
        <f t="shared" ca="1" si="73"/>
        <v/>
      </c>
      <c r="P223" s="266" t="str">
        <f t="shared" ca="1" si="73"/>
        <v/>
      </c>
      <c r="Q223" s="267" t="str">
        <f t="shared" ca="1" si="73"/>
        <v/>
      </c>
      <c r="R223" s="268" t="str">
        <f t="shared" ca="1" si="74"/>
        <v/>
      </c>
      <c r="S223" s="264" t="str">
        <f t="shared" ca="1" si="74"/>
        <v/>
      </c>
      <c r="T223" s="269" t="str">
        <f t="shared" ca="1" si="74"/>
        <v/>
      </c>
      <c r="U223" s="268" t="str">
        <f t="shared" ca="1" si="74"/>
        <v/>
      </c>
      <c r="V223" s="264" t="str">
        <f t="shared" ca="1" si="74"/>
        <v/>
      </c>
      <c r="W223" s="265" t="str">
        <f t="shared" ca="1" si="74"/>
        <v/>
      </c>
      <c r="X223" s="266" t="str">
        <f t="shared" ca="1" si="74"/>
        <v/>
      </c>
      <c r="Y223" s="264" t="str">
        <f t="shared" ca="1" si="74"/>
        <v/>
      </c>
      <c r="Z223" s="265" t="str">
        <f t="shared" ca="1" si="74"/>
        <v/>
      </c>
      <c r="AA223" s="266" t="str">
        <f t="shared" ca="1" si="74"/>
        <v/>
      </c>
      <c r="AB223" s="267" t="str">
        <f t="shared" ca="1" si="74"/>
        <v/>
      </c>
      <c r="AC223" s="536" t="s">
        <v>669</v>
      </c>
      <c r="AD223" s="212" t="str">
        <f t="shared" ca="1" si="61"/>
        <v/>
      </c>
    </row>
    <row r="224" spans="1:30" s="45" customFormat="1" ht="22.5" customHeight="1">
      <c r="A224" s="258" t="str">
        <f ca="1">IFERROR(INDEX(凭证录入!H:H,$AD224),"")</f>
        <v/>
      </c>
      <c r="B224" s="259" t="str">
        <f ca="1">IFERROR(INDEX(凭证录入!I:I,$AD224),"")</f>
        <v/>
      </c>
      <c r="C224" s="260" t="str">
        <f ca="1">IFERROR(VLOOKUP($B224,会计科目表!$A:$C,2,),"")</f>
        <v/>
      </c>
      <c r="D224" s="261" t="str">
        <f ca="1">IFERROR(VLOOKUP($B224,会计科目表!$A:$C,3,),"")</f>
        <v/>
      </c>
      <c r="E224" s="262">
        <f ca="1">IFERROR(INDEX(凭证录入!K:K,$AD224),0)</f>
        <v>0</v>
      </c>
      <c r="F224" s="262">
        <f ca="1">IFERROR(INDEX(凭证录入!L:L,$AD224),0)</f>
        <v>0</v>
      </c>
      <c r="G224" s="263" t="str">
        <f t="shared" ca="1" si="73"/>
        <v/>
      </c>
      <c r="H224" s="264" t="str">
        <f t="shared" ca="1" si="73"/>
        <v/>
      </c>
      <c r="I224" s="265" t="str">
        <f t="shared" ca="1" si="73"/>
        <v/>
      </c>
      <c r="J224" s="266" t="str">
        <f t="shared" ca="1" si="73"/>
        <v/>
      </c>
      <c r="K224" s="264" t="str">
        <f t="shared" ca="1" si="73"/>
        <v/>
      </c>
      <c r="L224" s="265" t="str">
        <f t="shared" ca="1" si="73"/>
        <v/>
      </c>
      <c r="M224" s="266" t="str">
        <f t="shared" ca="1" si="73"/>
        <v/>
      </c>
      <c r="N224" s="264" t="str">
        <f t="shared" ca="1" si="73"/>
        <v/>
      </c>
      <c r="O224" s="265" t="str">
        <f t="shared" ca="1" si="73"/>
        <v/>
      </c>
      <c r="P224" s="266" t="str">
        <f t="shared" ca="1" si="73"/>
        <v/>
      </c>
      <c r="Q224" s="267" t="str">
        <f t="shared" ca="1" si="73"/>
        <v/>
      </c>
      <c r="R224" s="268" t="str">
        <f t="shared" ca="1" si="74"/>
        <v/>
      </c>
      <c r="S224" s="264" t="str">
        <f t="shared" ca="1" si="74"/>
        <v/>
      </c>
      <c r="T224" s="269" t="str">
        <f t="shared" ca="1" si="74"/>
        <v/>
      </c>
      <c r="U224" s="268" t="str">
        <f t="shared" ca="1" si="74"/>
        <v/>
      </c>
      <c r="V224" s="264" t="str">
        <f t="shared" ca="1" si="74"/>
        <v/>
      </c>
      <c r="W224" s="265" t="str">
        <f t="shared" ca="1" si="74"/>
        <v/>
      </c>
      <c r="X224" s="266" t="str">
        <f t="shared" ca="1" si="74"/>
        <v/>
      </c>
      <c r="Y224" s="264" t="str">
        <f t="shared" ca="1" si="74"/>
        <v/>
      </c>
      <c r="Z224" s="265" t="str">
        <f t="shared" ca="1" si="74"/>
        <v/>
      </c>
      <c r="AA224" s="266" t="str">
        <f t="shared" ca="1" si="74"/>
        <v/>
      </c>
      <c r="AB224" s="267" t="str">
        <f t="shared" ca="1" si="74"/>
        <v/>
      </c>
      <c r="AC224" s="537"/>
      <c r="AD224" s="212" t="str">
        <f t="shared" ca="1" si="61"/>
        <v/>
      </c>
    </row>
    <row r="225" spans="1:30" s="45" customFormat="1" ht="22.5" customHeight="1">
      <c r="A225" s="258" t="str">
        <f ca="1">IFERROR(INDEX(凭证录入!H:H,$AD225),"")</f>
        <v/>
      </c>
      <c r="B225" s="259" t="str">
        <f ca="1">IFERROR(INDEX(凭证录入!I:I,$AD225),"")</f>
        <v/>
      </c>
      <c r="C225" s="260" t="str">
        <f ca="1">IFERROR(VLOOKUP($B225,会计科目表!$A:$C,2,),"")</f>
        <v/>
      </c>
      <c r="D225" s="261" t="str">
        <f ca="1">IFERROR(VLOOKUP($B225,会计科目表!$A:$C,3,),"")</f>
        <v/>
      </c>
      <c r="E225" s="262">
        <f ca="1">IFERROR(INDEX(凭证录入!K:K,$AD225),0)</f>
        <v>0</v>
      </c>
      <c r="F225" s="262">
        <f ca="1">IFERROR(INDEX(凭证录入!L:L,$AD225),0)</f>
        <v>0</v>
      </c>
      <c r="G225" s="263" t="str">
        <f t="shared" ca="1" si="73"/>
        <v/>
      </c>
      <c r="H225" s="264" t="str">
        <f t="shared" ca="1" si="73"/>
        <v/>
      </c>
      <c r="I225" s="265" t="str">
        <f t="shared" ca="1" si="73"/>
        <v/>
      </c>
      <c r="J225" s="266" t="str">
        <f t="shared" ca="1" si="73"/>
        <v/>
      </c>
      <c r="K225" s="264" t="str">
        <f t="shared" ca="1" si="73"/>
        <v/>
      </c>
      <c r="L225" s="265" t="str">
        <f t="shared" ca="1" si="73"/>
        <v/>
      </c>
      <c r="M225" s="266" t="str">
        <f t="shared" ca="1" si="73"/>
        <v/>
      </c>
      <c r="N225" s="264" t="str">
        <f t="shared" ca="1" si="73"/>
        <v/>
      </c>
      <c r="O225" s="265" t="str">
        <f t="shared" ca="1" si="73"/>
        <v/>
      </c>
      <c r="P225" s="266" t="str">
        <f t="shared" ca="1" si="73"/>
        <v/>
      </c>
      <c r="Q225" s="267" t="str">
        <f t="shared" ca="1" si="73"/>
        <v/>
      </c>
      <c r="R225" s="268" t="str">
        <f t="shared" ca="1" si="74"/>
        <v/>
      </c>
      <c r="S225" s="264" t="str">
        <f t="shared" ca="1" si="74"/>
        <v/>
      </c>
      <c r="T225" s="269" t="str">
        <f t="shared" ca="1" si="74"/>
        <v/>
      </c>
      <c r="U225" s="268" t="str">
        <f t="shared" ca="1" si="74"/>
        <v/>
      </c>
      <c r="V225" s="264" t="str">
        <f t="shared" ca="1" si="74"/>
        <v/>
      </c>
      <c r="W225" s="265" t="str">
        <f t="shared" ca="1" si="74"/>
        <v/>
      </c>
      <c r="X225" s="266" t="str">
        <f t="shared" ca="1" si="74"/>
        <v/>
      </c>
      <c r="Y225" s="264" t="str">
        <f t="shared" ca="1" si="74"/>
        <v/>
      </c>
      <c r="Z225" s="265" t="str">
        <f t="shared" ca="1" si="74"/>
        <v/>
      </c>
      <c r="AA225" s="266" t="str">
        <f t="shared" ca="1" si="74"/>
        <v/>
      </c>
      <c r="AB225" s="267" t="str">
        <f t="shared" ca="1" si="74"/>
        <v/>
      </c>
      <c r="AC225" s="538"/>
      <c r="AD225" s="212" t="str">
        <f t="shared" ref="AD225:AD286" ca="1" si="81">IFERROR(INDEX(记账行号,MOD(ROW()-4,12)),"")</f>
        <v/>
      </c>
    </row>
    <row r="226" spans="1:30" s="45" customFormat="1" ht="22.5" customHeight="1">
      <c r="A226" s="258" t="str">
        <f ca="1">IFERROR(INDEX(凭证录入!H:H,$AD226),"")</f>
        <v/>
      </c>
      <c r="B226" s="259" t="str">
        <f ca="1">IFERROR(INDEX(凭证录入!I:I,$AD226),"")</f>
        <v/>
      </c>
      <c r="C226" s="260" t="str">
        <f ca="1">IFERROR(VLOOKUP($B226,会计科目表!$A:$C,2,),"")</f>
        <v/>
      </c>
      <c r="D226" s="261" t="str">
        <f ca="1">IFERROR(VLOOKUP($B226,会计科目表!$A:$C,3,),"")</f>
        <v/>
      </c>
      <c r="E226" s="262">
        <f ca="1">IFERROR(INDEX(凭证录入!K:K,$AD226),0)</f>
        <v>0</v>
      </c>
      <c r="F226" s="262">
        <f ca="1">IFERROR(INDEX(凭证录入!L:L,$AD226),0)</f>
        <v>0</v>
      </c>
      <c r="G226" s="263" t="str">
        <f t="shared" ca="1" si="73"/>
        <v/>
      </c>
      <c r="H226" s="264" t="str">
        <f t="shared" ca="1" si="73"/>
        <v/>
      </c>
      <c r="I226" s="265" t="str">
        <f t="shared" ca="1" si="73"/>
        <v/>
      </c>
      <c r="J226" s="266" t="str">
        <f t="shared" ca="1" si="73"/>
        <v/>
      </c>
      <c r="K226" s="264" t="str">
        <f t="shared" ca="1" si="73"/>
        <v/>
      </c>
      <c r="L226" s="265" t="str">
        <f t="shared" ca="1" si="73"/>
        <v/>
      </c>
      <c r="M226" s="266" t="str">
        <f t="shared" ca="1" si="73"/>
        <v/>
      </c>
      <c r="N226" s="264" t="str">
        <f t="shared" ca="1" si="73"/>
        <v/>
      </c>
      <c r="O226" s="265" t="str">
        <f t="shared" ca="1" si="73"/>
        <v/>
      </c>
      <c r="P226" s="266" t="str">
        <f t="shared" ca="1" si="73"/>
        <v/>
      </c>
      <c r="Q226" s="267" t="str">
        <f t="shared" ca="1" si="73"/>
        <v/>
      </c>
      <c r="R226" s="268" t="str">
        <f t="shared" ca="1" si="74"/>
        <v/>
      </c>
      <c r="S226" s="264" t="str">
        <f t="shared" ca="1" si="74"/>
        <v/>
      </c>
      <c r="T226" s="269" t="str">
        <f t="shared" ca="1" si="74"/>
        <v/>
      </c>
      <c r="U226" s="268" t="str">
        <f t="shared" ca="1" si="74"/>
        <v/>
      </c>
      <c r="V226" s="264" t="str">
        <f t="shared" ca="1" si="74"/>
        <v/>
      </c>
      <c r="W226" s="265" t="str">
        <f t="shared" ca="1" si="74"/>
        <v/>
      </c>
      <c r="X226" s="266" t="str">
        <f t="shared" ca="1" si="74"/>
        <v/>
      </c>
      <c r="Y226" s="264" t="str">
        <f t="shared" ca="1" si="74"/>
        <v/>
      </c>
      <c r="Z226" s="265" t="str">
        <f t="shared" ca="1" si="74"/>
        <v/>
      </c>
      <c r="AA226" s="266" t="str">
        <f t="shared" ca="1" si="74"/>
        <v/>
      </c>
      <c r="AB226" s="267" t="str">
        <f t="shared" ca="1" si="74"/>
        <v/>
      </c>
      <c r="AC226" s="538"/>
      <c r="AD226" s="212" t="str">
        <f t="shared" ca="1" si="81"/>
        <v/>
      </c>
    </row>
    <row r="227" spans="1:30" s="45" customFormat="1" ht="22.5" customHeight="1">
      <c r="A227" s="270" t="s">
        <v>670</v>
      </c>
      <c r="B227" s="271"/>
      <c r="C227" s="272" t="str">
        <f t="shared" ref="C227" ca="1" si="82">SUBSTITUTE(SUBSTITUTE(IF(-DOLLAR(E227),IF(E227&gt;0,,"负")&amp;TEXT(INT(ABS(E227)+0.5%),"[dbnum2]G/通用格式元;;")&amp;TEXT(RIGHT(DOLLAR(E227,2),2),"[dbnum2]0角0分;;整"),),"零角",IF(E227^2&lt;1,,"零")),"零分","整")</f>
        <v/>
      </c>
      <c r="D227" s="273"/>
      <c r="E227" s="274">
        <f t="shared" ref="E227:F227" ca="1" si="83">SUM(E221:E226)</f>
        <v>0</v>
      </c>
      <c r="F227" s="275">
        <f t="shared" ca="1" si="83"/>
        <v>0</v>
      </c>
      <c r="G227" s="276" t="str">
        <f t="shared" ca="1" si="73"/>
        <v/>
      </c>
      <c r="H227" s="277" t="str">
        <f t="shared" ca="1" si="73"/>
        <v/>
      </c>
      <c r="I227" s="278" t="str">
        <f t="shared" ca="1" si="73"/>
        <v/>
      </c>
      <c r="J227" s="279" t="str">
        <f t="shared" ca="1" si="73"/>
        <v/>
      </c>
      <c r="K227" s="277" t="str">
        <f t="shared" ca="1" si="73"/>
        <v/>
      </c>
      <c r="L227" s="278" t="str">
        <f t="shared" ca="1" si="73"/>
        <v/>
      </c>
      <c r="M227" s="279" t="str">
        <f t="shared" ca="1" si="73"/>
        <v/>
      </c>
      <c r="N227" s="277" t="str">
        <f t="shared" ca="1" si="73"/>
        <v/>
      </c>
      <c r="O227" s="278" t="str">
        <f t="shared" ca="1" si="73"/>
        <v/>
      </c>
      <c r="P227" s="279" t="str">
        <f t="shared" ca="1" si="73"/>
        <v/>
      </c>
      <c r="Q227" s="280" t="str">
        <f t="shared" ca="1" si="73"/>
        <v/>
      </c>
      <c r="R227" s="281" t="str">
        <f t="shared" ca="1" si="74"/>
        <v/>
      </c>
      <c r="S227" s="277" t="str">
        <f t="shared" ca="1" si="74"/>
        <v/>
      </c>
      <c r="T227" s="282" t="str">
        <f t="shared" ca="1" si="74"/>
        <v/>
      </c>
      <c r="U227" s="281" t="str">
        <f t="shared" ca="1" si="74"/>
        <v/>
      </c>
      <c r="V227" s="277" t="str">
        <f t="shared" ca="1" si="74"/>
        <v/>
      </c>
      <c r="W227" s="278" t="str">
        <f t="shared" ca="1" si="74"/>
        <v/>
      </c>
      <c r="X227" s="279" t="str">
        <f t="shared" ca="1" si="74"/>
        <v/>
      </c>
      <c r="Y227" s="277" t="str">
        <f t="shared" ca="1" si="74"/>
        <v/>
      </c>
      <c r="Z227" s="278" t="str">
        <f t="shared" ca="1" si="74"/>
        <v/>
      </c>
      <c r="AA227" s="279" t="str">
        <f t="shared" ca="1" si="74"/>
        <v/>
      </c>
      <c r="AB227" s="280" t="str">
        <f t="shared" ca="1" si="74"/>
        <v/>
      </c>
      <c r="AC227" s="283"/>
      <c r="AD227" s="212"/>
    </row>
    <row r="228" spans="1:30" s="22" customFormat="1" ht="22.5" customHeight="1">
      <c r="A228" s="284" t="s">
        <v>644</v>
      </c>
      <c r="B228" s="284"/>
      <c r="C228" s="284"/>
      <c r="D228" s="284" t="s">
        <v>645</v>
      </c>
      <c r="E228" s="284"/>
      <c r="F228" s="284"/>
      <c r="G228" s="284"/>
      <c r="H228" s="285"/>
      <c r="I228" s="284"/>
      <c r="J228" s="285"/>
      <c r="K228" s="285"/>
      <c r="L228" s="284"/>
      <c r="M228" s="285"/>
      <c r="N228" s="285"/>
      <c r="O228" s="285"/>
      <c r="P228" s="284"/>
      <c r="Q228" s="284" t="s">
        <v>646</v>
      </c>
      <c r="R228" s="284"/>
      <c r="S228" s="284"/>
      <c r="T228" s="284"/>
      <c r="U228" s="285"/>
      <c r="V228" s="284"/>
      <c r="W228" s="285"/>
      <c r="X228" s="284"/>
      <c r="Y228" s="284"/>
      <c r="Z228" s="285"/>
      <c r="AA228" s="285"/>
      <c r="AB228" s="285"/>
      <c r="AC228" s="286"/>
      <c r="AD228" s="212"/>
    </row>
    <row r="229" spans="1:30" ht="39.75" customHeight="1" thickBot="1">
      <c r="A229" s="226"/>
      <c r="B229" s="226"/>
      <c r="C229" s="227" t="s">
        <v>647</v>
      </c>
      <c r="D229" s="228"/>
      <c r="E229" s="226"/>
      <c r="F229" s="226"/>
      <c r="G229" s="228"/>
      <c r="H229" s="228"/>
      <c r="I229" s="228"/>
      <c r="J229" s="228"/>
      <c r="K229" s="228"/>
      <c r="L229" s="228"/>
      <c r="M229" s="228"/>
      <c r="N229" s="228"/>
      <c r="O229" s="228"/>
      <c r="P229" s="228"/>
      <c r="Q229" s="228"/>
      <c r="R229" s="229" t="s">
        <v>648</v>
      </c>
      <c r="S229" s="230"/>
      <c r="T229" s="230"/>
      <c r="U229" s="231" t="e">
        <f ca="1">DATE(AD$1,AF$1,INDEX(凭证录入!B:B,AD233))</f>
        <v>#VALUE!</v>
      </c>
      <c r="V229" s="232"/>
      <c r="W229" s="232"/>
      <c r="X229" s="232"/>
      <c r="Y229" s="232"/>
      <c r="Z229" s="232"/>
      <c r="AA229" s="232"/>
      <c r="AB229" s="232"/>
      <c r="AD229" s="212"/>
    </row>
    <row r="230" spans="1:30" s="45" customFormat="1" ht="23.25" customHeight="1" thickTop="1">
      <c r="A230" s="235" t="s">
        <v>649</v>
      </c>
      <c r="B230" s="235"/>
      <c r="C230" s="236" t="str">
        <f t="shared" si="67"/>
        <v>远大开发有限公司</v>
      </c>
      <c r="D230" s="236"/>
      <c r="E230" s="236"/>
      <c r="F230" s="236"/>
      <c r="G230" s="236"/>
      <c r="H230" s="236"/>
      <c r="I230" s="236"/>
      <c r="J230" s="236"/>
      <c r="K230" s="236"/>
      <c r="L230" s="236"/>
      <c r="M230" s="236"/>
      <c r="N230" s="236"/>
      <c r="O230" s="236"/>
      <c r="P230" s="236"/>
      <c r="Q230" s="236"/>
      <c r="R230" s="229" t="s">
        <v>650</v>
      </c>
      <c r="S230" s="229"/>
      <c r="T230" s="229"/>
      <c r="U230" s="237" t="str">
        <f t="shared" ref="U230" si="84">"第 "&amp;TEXT($AF$1,"00")&amp;TEXT($AC230,"0000 号")</f>
        <v>第 010019 号</v>
      </c>
      <c r="V230" s="237"/>
      <c r="W230" s="238"/>
      <c r="X230" s="238"/>
      <c r="Y230" s="238"/>
      <c r="Z230" s="238"/>
      <c r="AA230" s="238"/>
      <c r="AB230" s="238"/>
      <c r="AC230" s="239">
        <f t="shared" si="69"/>
        <v>19</v>
      </c>
      <c r="AD230" s="212"/>
    </row>
    <row r="231" spans="1:30" s="45" customFormat="1" ht="22.5" customHeight="1">
      <c r="A231" s="241" t="s">
        <v>651</v>
      </c>
      <c r="B231" s="542" t="s">
        <v>652</v>
      </c>
      <c r="C231" s="242" t="s">
        <v>653</v>
      </c>
      <c r="D231" s="243" t="s">
        <v>654</v>
      </c>
      <c r="E231" s="539" t="s">
        <v>655</v>
      </c>
      <c r="F231" s="539" t="s">
        <v>656</v>
      </c>
      <c r="G231" s="244" t="s">
        <v>657</v>
      </c>
      <c r="H231" s="245"/>
      <c r="I231" s="245"/>
      <c r="J231" s="245"/>
      <c r="K231" s="245"/>
      <c r="L231" s="245"/>
      <c r="M231" s="245"/>
      <c r="N231" s="245"/>
      <c r="O231" s="245"/>
      <c r="P231" s="245"/>
      <c r="Q231" s="246"/>
      <c r="R231" s="247" t="s">
        <v>658</v>
      </c>
      <c r="S231" s="245"/>
      <c r="T231" s="245"/>
      <c r="U231" s="245"/>
      <c r="V231" s="245"/>
      <c r="W231" s="245"/>
      <c r="X231" s="245"/>
      <c r="Y231" s="245"/>
      <c r="Z231" s="245"/>
      <c r="AA231" s="245"/>
      <c r="AB231" s="246"/>
      <c r="AC231" s="541" t="str">
        <f ca="1">"附单据数︵"&amp;INDEX(凭证录入!$D:$D,$AD$17)&amp;"︶张"</f>
        <v>附单据数︵4︶张</v>
      </c>
      <c r="AD231" s="235"/>
    </row>
    <row r="232" spans="1:30" s="45" customFormat="1" ht="22.5" customHeight="1">
      <c r="A232" s="248" t="s">
        <v>659</v>
      </c>
      <c r="B232" s="543"/>
      <c r="C232" s="249" t="s">
        <v>660</v>
      </c>
      <c r="D232" s="250" t="s">
        <v>660</v>
      </c>
      <c r="E232" s="540"/>
      <c r="F232" s="540"/>
      <c r="G232" s="251" t="s">
        <v>661</v>
      </c>
      <c r="H232" s="252" t="s">
        <v>662</v>
      </c>
      <c r="I232" s="253" t="s">
        <v>663</v>
      </c>
      <c r="J232" s="254" t="s">
        <v>664</v>
      </c>
      <c r="K232" s="252" t="s">
        <v>665</v>
      </c>
      <c r="L232" s="253" t="s">
        <v>662</v>
      </c>
      <c r="M232" s="254" t="s">
        <v>663</v>
      </c>
      <c r="N232" s="252" t="s">
        <v>664</v>
      </c>
      <c r="O232" s="253" t="s">
        <v>666</v>
      </c>
      <c r="P232" s="254" t="s">
        <v>667</v>
      </c>
      <c r="Q232" s="255" t="s">
        <v>668</v>
      </c>
      <c r="R232" s="256" t="s">
        <v>661</v>
      </c>
      <c r="S232" s="252" t="s">
        <v>662</v>
      </c>
      <c r="T232" s="257" t="s">
        <v>663</v>
      </c>
      <c r="U232" s="256" t="s">
        <v>664</v>
      </c>
      <c r="V232" s="252" t="s">
        <v>665</v>
      </c>
      <c r="W232" s="253" t="s">
        <v>662</v>
      </c>
      <c r="X232" s="254" t="s">
        <v>663</v>
      </c>
      <c r="Y232" s="252" t="s">
        <v>664</v>
      </c>
      <c r="Z232" s="253" t="s">
        <v>666</v>
      </c>
      <c r="AA232" s="254" t="s">
        <v>667</v>
      </c>
      <c r="AB232" s="255" t="s">
        <v>668</v>
      </c>
      <c r="AC232" s="541"/>
    </row>
    <row r="233" spans="1:30" s="45" customFormat="1" ht="22.5" customHeight="1">
      <c r="A233" s="258" t="str">
        <f ca="1">IFERROR(INDEX(凭证录入!H:H,$AD233),"")</f>
        <v/>
      </c>
      <c r="B233" s="259" t="str">
        <f ca="1">IFERROR(INDEX(凭证录入!I:I,$AD233),"")</f>
        <v/>
      </c>
      <c r="C233" s="260" t="str">
        <f ca="1">IFERROR(VLOOKUP($B233,会计科目表!$A:$C,2,),"")</f>
        <v/>
      </c>
      <c r="D233" s="261" t="str">
        <f ca="1">IFERROR(VLOOKUP($B233,会计科目表!$A:$C,3,),"")</f>
        <v/>
      </c>
      <c r="E233" s="262">
        <f ca="1">IFERROR(INDEX(凭证录入!K:K,$AD233),0)</f>
        <v>0</v>
      </c>
      <c r="F233" s="262">
        <f ca="1">IFERROR(INDEX(凭证录入!L:L,$AD233),0)</f>
        <v>0</v>
      </c>
      <c r="G233" s="263" t="str">
        <f t="shared" ca="1" si="73"/>
        <v/>
      </c>
      <c r="H233" s="264" t="str">
        <f t="shared" ca="1" si="73"/>
        <v/>
      </c>
      <c r="I233" s="265" t="str">
        <f t="shared" ca="1" si="73"/>
        <v/>
      </c>
      <c r="J233" s="266" t="str">
        <f t="shared" ca="1" si="73"/>
        <v/>
      </c>
      <c r="K233" s="264" t="str">
        <f t="shared" ca="1" si="73"/>
        <v/>
      </c>
      <c r="L233" s="265" t="str">
        <f t="shared" ca="1" si="73"/>
        <v/>
      </c>
      <c r="M233" s="266" t="str">
        <f t="shared" ca="1" si="73"/>
        <v/>
      </c>
      <c r="N233" s="264" t="str">
        <f t="shared" ca="1" si="73"/>
        <v/>
      </c>
      <c r="O233" s="265" t="str">
        <f t="shared" ca="1" si="73"/>
        <v/>
      </c>
      <c r="P233" s="266" t="str">
        <f t="shared" ca="1" si="73"/>
        <v/>
      </c>
      <c r="Q233" s="267" t="str">
        <f t="shared" ca="1" si="73"/>
        <v/>
      </c>
      <c r="R233" s="268" t="str">
        <f t="shared" ca="1" si="74"/>
        <v/>
      </c>
      <c r="S233" s="264" t="str">
        <f t="shared" ca="1" si="74"/>
        <v/>
      </c>
      <c r="T233" s="269" t="str">
        <f t="shared" ca="1" si="74"/>
        <v/>
      </c>
      <c r="U233" s="268" t="str">
        <f t="shared" ca="1" si="74"/>
        <v/>
      </c>
      <c r="V233" s="264" t="str">
        <f t="shared" ca="1" si="74"/>
        <v/>
      </c>
      <c r="W233" s="265" t="str">
        <f t="shared" ca="1" si="74"/>
        <v/>
      </c>
      <c r="X233" s="266" t="str">
        <f t="shared" ca="1" si="74"/>
        <v/>
      </c>
      <c r="Y233" s="264" t="str">
        <f t="shared" ca="1" si="74"/>
        <v/>
      </c>
      <c r="Z233" s="265" t="str">
        <f t="shared" ca="1" si="74"/>
        <v/>
      </c>
      <c r="AA233" s="266" t="str">
        <f t="shared" ca="1" si="74"/>
        <v/>
      </c>
      <c r="AB233" s="267" t="str">
        <f t="shared" ca="1" si="74"/>
        <v/>
      </c>
      <c r="AC233" s="541"/>
      <c r="AD233" s="212" t="str">
        <f t="shared" ca="1" si="81"/>
        <v/>
      </c>
    </row>
    <row r="234" spans="1:30" s="45" customFormat="1" ht="22.5" customHeight="1">
      <c r="A234" s="258" t="str">
        <f ca="1">IFERROR(INDEX(凭证录入!H:H,$AD234),"")</f>
        <v/>
      </c>
      <c r="B234" s="259" t="str">
        <f ca="1">IFERROR(INDEX(凭证录入!I:I,$AD234),"")</f>
        <v/>
      </c>
      <c r="C234" s="260" t="str">
        <f ca="1">IFERROR(VLOOKUP($B234,会计科目表!$A:$C,2,),"")</f>
        <v/>
      </c>
      <c r="D234" s="261" t="str">
        <f ca="1">IFERROR(VLOOKUP($B234,会计科目表!$A:$C,3,),"")</f>
        <v/>
      </c>
      <c r="E234" s="262">
        <f ca="1">IFERROR(INDEX(凭证录入!K:K,$AD234),0)</f>
        <v>0</v>
      </c>
      <c r="F234" s="262">
        <f ca="1">IFERROR(INDEX(凭证录入!L:L,$AD234),0)</f>
        <v>0</v>
      </c>
      <c r="G234" s="263" t="str">
        <f t="shared" ca="1" si="73"/>
        <v/>
      </c>
      <c r="H234" s="264" t="str">
        <f t="shared" ca="1" si="73"/>
        <v/>
      </c>
      <c r="I234" s="265" t="str">
        <f t="shared" ca="1" si="73"/>
        <v/>
      </c>
      <c r="J234" s="266" t="str">
        <f t="shared" ca="1" si="73"/>
        <v/>
      </c>
      <c r="K234" s="264" t="str">
        <f t="shared" ca="1" si="73"/>
        <v/>
      </c>
      <c r="L234" s="265" t="str">
        <f t="shared" ca="1" si="73"/>
        <v/>
      </c>
      <c r="M234" s="266" t="str">
        <f t="shared" ca="1" si="73"/>
        <v/>
      </c>
      <c r="N234" s="264" t="str">
        <f t="shared" ca="1" si="73"/>
        <v/>
      </c>
      <c r="O234" s="265" t="str">
        <f t="shared" ca="1" si="73"/>
        <v/>
      </c>
      <c r="P234" s="266" t="str">
        <f t="shared" ca="1" si="73"/>
        <v/>
      </c>
      <c r="Q234" s="267" t="str">
        <f t="shared" ca="1" si="73"/>
        <v/>
      </c>
      <c r="R234" s="268" t="str">
        <f t="shared" ca="1" si="74"/>
        <v/>
      </c>
      <c r="S234" s="264" t="str">
        <f t="shared" ca="1" si="74"/>
        <v/>
      </c>
      <c r="T234" s="269" t="str">
        <f t="shared" ca="1" si="74"/>
        <v/>
      </c>
      <c r="U234" s="268" t="str">
        <f t="shared" ca="1" si="74"/>
        <v/>
      </c>
      <c r="V234" s="264" t="str">
        <f t="shared" ca="1" si="74"/>
        <v/>
      </c>
      <c r="W234" s="265" t="str">
        <f t="shared" ca="1" si="74"/>
        <v/>
      </c>
      <c r="X234" s="266" t="str">
        <f t="shared" ca="1" si="74"/>
        <v/>
      </c>
      <c r="Y234" s="264" t="str">
        <f t="shared" ca="1" si="74"/>
        <v/>
      </c>
      <c r="Z234" s="265" t="str">
        <f t="shared" ca="1" si="74"/>
        <v/>
      </c>
      <c r="AA234" s="266" t="str">
        <f t="shared" ca="1" si="74"/>
        <v/>
      </c>
      <c r="AB234" s="267" t="str">
        <f t="shared" ca="1" si="74"/>
        <v/>
      </c>
      <c r="AC234" s="541"/>
      <c r="AD234" s="212" t="str">
        <f t="shared" ca="1" si="81"/>
        <v/>
      </c>
    </row>
    <row r="235" spans="1:30" s="45" customFormat="1" ht="22.5" customHeight="1">
      <c r="A235" s="258" t="str">
        <f ca="1">IFERROR(INDEX(凭证录入!H:H,$AD235),"")</f>
        <v/>
      </c>
      <c r="B235" s="259" t="str">
        <f ca="1">IFERROR(INDEX(凭证录入!I:I,$AD235),"")</f>
        <v/>
      </c>
      <c r="C235" s="260" t="str">
        <f ca="1">IFERROR(VLOOKUP($B235,会计科目表!$A:$C,2,),"")</f>
        <v/>
      </c>
      <c r="D235" s="261" t="str">
        <f ca="1">IFERROR(VLOOKUP($B235,会计科目表!$A:$C,3,),"")</f>
        <v/>
      </c>
      <c r="E235" s="262">
        <f ca="1">IFERROR(INDEX(凭证录入!K:K,$AD235),0)</f>
        <v>0</v>
      </c>
      <c r="F235" s="262">
        <f ca="1">IFERROR(INDEX(凭证录入!L:L,$AD235),0)</f>
        <v>0</v>
      </c>
      <c r="G235" s="263" t="str">
        <f t="shared" ca="1" si="73"/>
        <v/>
      </c>
      <c r="H235" s="264" t="str">
        <f t="shared" ca="1" si="73"/>
        <v/>
      </c>
      <c r="I235" s="265" t="str">
        <f t="shared" ca="1" si="73"/>
        <v/>
      </c>
      <c r="J235" s="266" t="str">
        <f t="shared" ca="1" si="73"/>
        <v/>
      </c>
      <c r="K235" s="264" t="str">
        <f t="shared" ca="1" si="73"/>
        <v/>
      </c>
      <c r="L235" s="265" t="str">
        <f t="shared" ca="1" si="73"/>
        <v/>
      </c>
      <c r="M235" s="266" t="str">
        <f t="shared" ca="1" si="73"/>
        <v/>
      </c>
      <c r="N235" s="264" t="str">
        <f t="shared" ca="1" si="73"/>
        <v/>
      </c>
      <c r="O235" s="265" t="str">
        <f t="shared" ca="1" si="73"/>
        <v/>
      </c>
      <c r="P235" s="266" t="str">
        <f t="shared" ca="1" si="73"/>
        <v/>
      </c>
      <c r="Q235" s="267" t="str">
        <f t="shared" ca="1" si="73"/>
        <v/>
      </c>
      <c r="R235" s="268" t="str">
        <f t="shared" ca="1" si="74"/>
        <v/>
      </c>
      <c r="S235" s="264" t="str">
        <f t="shared" ca="1" si="74"/>
        <v/>
      </c>
      <c r="T235" s="269" t="str">
        <f t="shared" ca="1" si="74"/>
        <v/>
      </c>
      <c r="U235" s="268" t="str">
        <f t="shared" ca="1" si="74"/>
        <v/>
      </c>
      <c r="V235" s="264" t="str">
        <f t="shared" ca="1" si="74"/>
        <v/>
      </c>
      <c r="W235" s="265" t="str">
        <f t="shared" ca="1" si="74"/>
        <v/>
      </c>
      <c r="X235" s="266" t="str">
        <f t="shared" ca="1" si="74"/>
        <v/>
      </c>
      <c r="Y235" s="264" t="str">
        <f t="shared" ca="1" si="74"/>
        <v/>
      </c>
      <c r="Z235" s="265" t="str">
        <f t="shared" ca="1" si="74"/>
        <v/>
      </c>
      <c r="AA235" s="266" t="str">
        <f t="shared" ca="1" si="74"/>
        <v/>
      </c>
      <c r="AB235" s="267" t="str">
        <f t="shared" ca="1" si="74"/>
        <v/>
      </c>
      <c r="AC235" s="536" t="s">
        <v>669</v>
      </c>
      <c r="AD235" s="212" t="str">
        <f t="shared" ca="1" si="81"/>
        <v/>
      </c>
    </row>
    <row r="236" spans="1:30" s="45" customFormat="1" ht="22.5" customHeight="1">
      <c r="A236" s="258" t="str">
        <f ca="1">IFERROR(INDEX(凭证录入!H:H,$AD236),"")</f>
        <v/>
      </c>
      <c r="B236" s="259" t="str">
        <f ca="1">IFERROR(INDEX(凭证录入!I:I,$AD236),"")</f>
        <v/>
      </c>
      <c r="C236" s="260" t="str">
        <f ca="1">IFERROR(VLOOKUP($B236,会计科目表!$A:$C,2,),"")</f>
        <v/>
      </c>
      <c r="D236" s="261" t="str">
        <f ca="1">IFERROR(VLOOKUP($B236,会计科目表!$A:$C,3,),"")</f>
        <v/>
      </c>
      <c r="E236" s="262">
        <f ca="1">IFERROR(INDEX(凭证录入!K:K,$AD236),0)</f>
        <v>0</v>
      </c>
      <c r="F236" s="262">
        <f ca="1">IFERROR(INDEX(凭证录入!L:L,$AD236),0)</f>
        <v>0</v>
      </c>
      <c r="G236" s="263" t="str">
        <f t="shared" ca="1" si="73"/>
        <v/>
      </c>
      <c r="H236" s="264" t="str">
        <f t="shared" ca="1" si="73"/>
        <v/>
      </c>
      <c r="I236" s="265" t="str">
        <f t="shared" ca="1" si="73"/>
        <v/>
      </c>
      <c r="J236" s="266" t="str">
        <f t="shared" ca="1" si="73"/>
        <v/>
      </c>
      <c r="K236" s="264" t="str">
        <f t="shared" ca="1" si="73"/>
        <v/>
      </c>
      <c r="L236" s="265" t="str">
        <f t="shared" ca="1" si="73"/>
        <v/>
      </c>
      <c r="M236" s="266" t="str">
        <f t="shared" ca="1" si="73"/>
        <v/>
      </c>
      <c r="N236" s="264" t="str">
        <f t="shared" ca="1" si="73"/>
        <v/>
      </c>
      <c r="O236" s="265" t="str">
        <f t="shared" ca="1" si="73"/>
        <v/>
      </c>
      <c r="P236" s="266" t="str">
        <f t="shared" ca="1" si="73"/>
        <v/>
      </c>
      <c r="Q236" s="267" t="str">
        <f t="shared" ca="1" si="73"/>
        <v/>
      </c>
      <c r="R236" s="268" t="str">
        <f t="shared" ca="1" si="74"/>
        <v/>
      </c>
      <c r="S236" s="264" t="str">
        <f t="shared" ca="1" si="74"/>
        <v/>
      </c>
      <c r="T236" s="269" t="str">
        <f t="shared" ca="1" si="74"/>
        <v/>
      </c>
      <c r="U236" s="268" t="str">
        <f t="shared" ca="1" si="74"/>
        <v/>
      </c>
      <c r="V236" s="264" t="str">
        <f t="shared" ca="1" si="74"/>
        <v/>
      </c>
      <c r="W236" s="265" t="str">
        <f t="shared" ca="1" si="74"/>
        <v/>
      </c>
      <c r="X236" s="266" t="str">
        <f t="shared" ca="1" si="74"/>
        <v/>
      </c>
      <c r="Y236" s="264" t="str">
        <f t="shared" ca="1" si="74"/>
        <v/>
      </c>
      <c r="Z236" s="265" t="str">
        <f t="shared" ca="1" si="74"/>
        <v/>
      </c>
      <c r="AA236" s="266" t="str">
        <f t="shared" ca="1" si="74"/>
        <v/>
      </c>
      <c r="AB236" s="267" t="str">
        <f t="shared" ca="1" si="74"/>
        <v/>
      </c>
      <c r="AC236" s="537"/>
      <c r="AD236" s="212" t="str">
        <f t="shared" ca="1" si="81"/>
        <v/>
      </c>
    </row>
    <row r="237" spans="1:30" s="45" customFormat="1" ht="22.5" customHeight="1">
      <c r="A237" s="258" t="str">
        <f ca="1">IFERROR(INDEX(凭证录入!H:H,$AD237),"")</f>
        <v/>
      </c>
      <c r="B237" s="259" t="str">
        <f ca="1">IFERROR(INDEX(凭证录入!I:I,$AD237),"")</f>
        <v/>
      </c>
      <c r="C237" s="260" t="str">
        <f ca="1">IFERROR(VLOOKUP($B237,会计科目表!$A:$C,2,),"")</f>
        <v/>
      </c>
      <c r="D237" s="261" t="str">
        <f ca="1">IFERROR(VLOOKUP($B237,会计科目表!$A:$C,3,),"")</f>
        <v/>
      </c>
      <c r="E237" s="262">
        <f ca="1">IFERROR(INDEX(凭证录入!K:K,$AD237),0)</f>
        <v>0</v>
      </c>
      <c r="F237" s="262">
        <f ca="1">IFERROR(INDEX(凭证录入!L:L,$AD237),0)</f>
        <v>0</v>
      </c>
      <c r="G237" s="263" t="str">
        <f t="shared" ca="1" si="73"/>
        <v/>
      </c>
      <c r="H237" s="264" t="str">
        <f t="shared" ca="1" si="73"/>
        <v/>
      </c>
      <c r="I237" s="265" t="str">
        <f t="shared" ca="1" si="73"/>
        <v/>
      </c>
      <c r="J237" s="266" t="str">
        <f t="shared" ca="1" si="73"/>
        <v/>
      </c>
      <c r="K237" s="264" t="str">
        <f t="shared" ref="G237:Q275" ca="1" si="85">LEFT(RIGHT(TEXT($E237/1%," ￥0; ￥-0;"),18-COLUMN()))</f>
        <v/>
      </c>
      <c r="L237" s="265" t="str">
        <f t="shared" ca="1" si="85"/>
        <v/>
      </c>
      <c r="M237" s="266" t="str">
        <f t="shared" ca="1" si="85"/>
        <v/>
      </c>
      <c r="N237" s="264" t="str">
        <f t="shared" ca="1" si="85"/>
        <v/>
      </c>
      <c r="O237" s="265" t="str">
        <f t="shared" ca="1" si="85"/>
        <v/>
      </c>
      <c r="P237" s="266" t="str">
        <f t="shared" ca="1" si="85"/>
        <v/>
      </c>
      <c r="Q237" s="267" t="str">
        <f t="shared" ca="1" si="85"/>
        <v/>
      </c>
      <c r="R237" s="268" t="str">
        <f t="shared" ca="1" si="74"/>
        <v/>
      </c>
      <c r="S237" s="264" t="str">
        <f t="shared" ca="1" si="74"/>
        <v/>
      </c>
      <c r="T237" s="269" t="str">
        <f t="shared" ca="1" si="74"/>
        <v/>
      </c>
      <c r="U237" s="268" t="str">
        <f t="shared" ca="1" si="74"/>
        <v/>
      </c>
      <c r="V237" s="264" t="str">
        <f t="shared" ref="R237:AB275" ca="1" si="86">LEFT(RIGHT(TEXT($F237/1%," ￥0; ￥-0;"),29-COLUMN()))</f>
        <v/>
      </c>
      <c r="W237" s="265" t="str">
        <f t="shared" ca="1" si="86"/>
        <v/>
      </c>
      <c r="X237" s="266" t="str">
        <f t="shared" ca="1" si="86"/>
        <v/>
      </c>
      <c r="Y237" s="264" t="str">
        <f t="shared" ca="1" si="86"/>
        <v/>
      </c>
      <c r="Z237" s="265" t="str">
        <f t="shared" ca="1" si="86"/>
        <v/>
      </c>
      <c r="AA237" s="266" t="str">
        <f t="shared" ca="1" si="86"/>
        <v/>
      </c>
      <c r="AB237" s="267" t="str">
        <f t="shared" ca="1" si="86"/>
        <v/>
      </c>
      <c r="AC237" s="538"/>
      <c r="AD237" s="212" t="str">
        <f t="shared" ca="1" si="81"/>
        <v/>
      </c>
    </row>
    <row r="238" spans="1:30" s="45" customFormat="1" ht="22.5" customHeight="1">
      <c r="A238" s="258" t="str">
        <f ca="1">IFERROR(INDEX(凭证录入!H:H,$AD238),"")</f>
        <v/>
      </c>
      <c r="B238" s="259" t="str">
        <f ca="1">IFERROR(INDEX(凭证录入!I:I,$AD238),"")</f>
        <v/>
      </c>
      <c r="C238" s="260" t="str">
        <f ca="1">IFERROR(VLOOKUP($B238,会计科目表!$A:$C,2,),"")</f>
        <v/>
      </c>
      <c r="D238" s="261" t="str">
        <f ca="1">IFERROR(VLOOKUP($B238,会计科目表!$A:$C,3,),"")</f>
        <v/>
      </c>
      <c r="E238" s="262">
        <f ca="1">IFERROR(INDEX(凭证录入!K:K,$AD238),0)</f>
        <v>0</v>
      </c>
      <c r="F238" s="262">
        <f ca="1">IFERROR(INDEX(凭证录入!L:L,$AD238),0)</f>
        <v>0</v>
      </c>
      <c r="G238" s="263" t="str">
        <f t="shared" ca="1" si="85"/>
        <v/>
      </c>
      <c r="H238" s="264" t="str">
        <f t="shared" ca="1" si="85"/>
        <v/>
      </c>
      <c r="I238" s="265" t="str">
        <f t="shared" ca="1" si="85"/>
        <v/>
      </c>
      <c r="J238" s="266" t="str">
        <f t="shared" ca="1" si="85"/>
        <v/>
      </c>
      <c r="K238" s="264" t="str">
        <f t="shared" ca="1" si="85"/>
        <v/>
      </c>
      <c r="L238" s="265" t="str">
        <f t="shared" ca="1" si="85"/>
        <v/>
      </c>
      <c r="M238" s="266" t="str">
        <f t="shared" ca="1" si="85"/>
        <v/>
      </c>
      <c r="N238" s="264" t="str">
        <f t="shared" ca="1" si="85"/>
        <v/>
      </c>
      <c r="O238" s="265" t="str">
        <f t="shared" ca="1" si="85"/>
        <v/>
      </c>
      <c r="P238" s="266" t="str">
        <f t="shared" ca="1" si="85"/>
        <v/>
      </c>
      <c r="Q238" s="267" t="str">
        <f t="shared" ca="1" si="85"/>
        <v/>
      </c>
      <c r="R238" s="268" t="str">
        <f t="shared" ca="1" si="86"/>
        <v/>
      </c>
      <c r="S238" s="264" t="str">
        <f t="shared" ca="1" si="86"/>
        <v/>
      </c>
      <c r="T238" s="269" t="str">
        <f t="shared" ca="1" si="86"/>
        <v/>
      </c>
      <c r="U238" s="268" t="str">
        <f t="shared" ca="1" si="86"/>
        <v/>
      </c>
      <c r="V238" s="264" t="str">
        <f t="shared" ca="1" si="86"/>
        <v/>
      </c>
      <c r="W238" s="265" t="str">
        <f t="shared" ca="1" si="86"/>
        <v/>
      </c>
      <c r="X238" s="266" t="str">
        <f t="shared" ca="1" si="86"/>
        <v/>
      </c>
      <c r="Y238" s="264" t="str">
        <f t="shared" ca="1" si="86"/>
        <v/>
      </c>
      <c r="Z238" s="265" t="str">
        <f t="shared" ca="1" si="86"/>
        <v/>
      </c>
      <c r="AA238" s="266" t="str">
        <f t="shared" ca="1" si="86"/>
        <v/>
      </c>
      <c r="AB238" s="267" t="str">
        <f t="shared" ca="1" si="86"/>
        <v/>
      </c>
      <c r="AC238" s="538"/>
      <c r="AD238" s="212" t="str">
        <f t="shared" ca="1" si="81"/>
        <v/>
      </c>
    </row>
    <row r="239" spans="1:30" s="45" customFormat="1" ht="22.5" customHeight="1">
      <c r="A239" s="270" t="s">
        <v>670</v>
      </c>
      <c r="B239" s="271"/>
      <c r="C239" s="272" t="str">
        <f t="shared" ref="C239" ca="1" si="87">SUBSTITUTE(SUBSTITUTE(IF(-DOLLAR(E239),IF(E239&gt;0,,"负")&amp;TEXT(INT(ABS(E239)+0.5%),"[dbnum2]G/通用格式元;;")&amp;TEXT(RIGHT(DOLLAR(E239,2),2),"[dbnum2]0角0分;;整"),),"零角",IF(E239^2&lt;1,,"零")),"零分","整")</f>
        <v/>
      </c>
      <c r="D239" s="273"/>
      <c r="E239" s="274">
        <f t="shared" ref="E239:F239" ca="1" si="88">SUM(E233:E238)</f>
        <v>0</v>
      </c>
      <c r="F239" s="275">
        <f t="shared" ca="1" si="88"/>
        <v>0</v>
      </c>
      <c r="G239" s="276" t="str">
        <f t="shared" ca="1" si="85"/>
        <v/>
      </c>
      <c r="H239" s="277" t="str">
        <f t="shared" ca="1" si="85"/>
        <v/>
      </c>
      <c r="I239" s="278" t="str">
        <f t="shared" ca="1" si="85"/>
        <v/>
      </c>
      <c r="J239" s="279" t="str">
        <f t="shared" ca="1" si="85"/>
        <v/>
      </c>
      <c r="K239" s="277" t="str">
        <f t="shared" ca="1" si="85"/>
        <v/>
      </c>
      <c r="L239" s="278" t="str">
        <f t="shared" ca="1" si="85"/>
        <v/>
      </c>
      <c r="M239" s="279" t="str">
        <f t="shared" ca="1" si="85"/>
        <v/>
      </c>
      <c r="N239" s="277" t="str">
        <f t="shared" ca="1" si="85"/>
        <v/>
      </c>
      <c r="O239" s="278" t="str">
        <f t="shared" ca="1" si="85"/>
        <v/>
      </c>
      <c r="P239" s="279" t="str">
        <f t="shared" ca="1" si="85"/>
        <v/>
      </c>
      <c r="Q239" s="280" t="str">
        <f t="shared" ca="1" si="85"/>
        <v/>
      </c>
      <c r="R239" s="281" t="str">
        <f t="shared" ca="1" si="86"/>
        <v/>
      </c>
      <c r="S239" s="277" t="str">
        <f t="shared" ca="1" si="86"/>
        <v/>
      </c>
      <c r="T239" s="282" t="str">
        <f t="shared" ca="1" si="86"/>
        <v/>
      </c>
      <c r="U239" s="281" t="str">
        <f t="shared" ca="1" si="86"/>
        <v/>
      </c>
      <c r="V239" s="277" t="str">
        <f t="shared" ca="1" si="86"/>
        <v/>
      </c>
      <c r="W239" s="278" t="str">
        <f t="shared" ca="1" si="86"/>
        <v/>
      </c>
      <c r="X239" s="279" t="str">
        <f t="shared" ca="1" si="86"/>
        <v/>
      </c>
      <c r="Y239" s="277" t="str">
        <f t="shared" ca="1" si="86"/>
        <v/>
      </c>
      <c r="Z239" s="278" t="str">
        <f t="shared" ca="1" si="86"/>
        <v/>
      </c>
      <c r="AA239" s="279" t="str">
        <f t="shared" ca="1" si="86"/>
        <v/>
      </c>
      <c r="AB239" s="280" t="str">
        <f t="shared" ca="1" si="86"/>
        <v/>
      </c>
      <c r="AC239" s="283"/>
      <c r="AD239" s="212"/>
    </row>
    <row r="240" spans="1:30" s="22" customFormat="1" ht="22.5" customHeight="1">
      <c r="A240" s="284" t="s">
        <v>644</v>
      </c>
      <c r="B240" s="284"/>
      <c r="C240" s="284"/>
      <c r="D240" s="284" t="s">
        <v>645</v>
      </c>
      <c r="E240" s="284"/>
      <c r="F240" s="284"/>
      <c r="G240" s="284"/>
      <c r="H240" s="285"/>
      <c r="I240" s="284"/>
      <c r="J240" s="285"/>
      <c r="K240" s="285"/>
      <c r="L240" s="284"/>
      <c r="M240" s="285"/>
      <c r="N240" s="285"/>
      <c r="O240" s="285"/>
      <c r="P240" s="284"/>
      <c r="Q240" s="284" t="s">
        <v>646</v>
      </c>
      <c r="R240" s="284"/>
      <c r="S240" s="284"/>
      <c r="T240" s="284"/>
      <c r="U240" s="285"/>
      <c r="V240" s="284"/>
      <c r="W240" s="285"/>
      <c r="X240" s="284"/>
      <c r="Y240" s="284"/>
      <c r="Z240" s="285"/>
      <c r="AA240" s="285"/>
      <c r="AB240" s="285"/>
      <c r="AC240" s="286"/>
      <c r="AD240" s="212"/>
    </row>
    <row r="241" spans="1:30" ht="39.75" customHeight="1" thickBot="1">
      <c r="A241" s="226"/>
      <c r="B241" s="226"/>
      <c r="C241" s="227" t="s">
        <v>647</v>
      </c>
      <c r="D241" s="228"/>
      <c r="E241" s="226"/>
      <c r="F241" s="226"/>
      <c r="G241" s="228"/>
      <c r="H241" s="228"/>
      <c r="I241" s="228"/>
      <c r="J241" s="228"/>
      <c r="K241" s="228"/>
      <c r="L241" s="228"/>
      <c r="M241" s="228"/>
      <c r="N241" s="228"/>
      <c r="O241" s="228"/>
      <c r="P241" s="228"/>
      <c r="Q241" s="228"/>
      <c r="R241" s="229" t="s">
        <v>648</v>
      </c>
      <c r="S241" s="230"/>
      <c r="T241" s="230"/>
      <c r="U241" s="231" t="e">
        <f ca="1">DATE(AD$1,AF$1,INDEX(凭证录入!B:B,AD245))</f>
        <v>#VALUE!</v>
      </c>
      <c r="V241" s="232"/>
      <c r="W241" s="232"/>
      <c r="X241" s="232"/>
      <c r="Y241" s="232"/>
      <c r="Z241" s="232"/>
      <c r="AA241" s="232"/>
      <c r="AB241" s="232"/>
      <c r="AD241" s="212"/>
    </row>
    <row r="242" spans="1:30" s="45" customFormat="1" ht="23.25" customHeight="1" thickTop="1">
      <c r="A242" s="235" t="s">
        <v>649</v>
      </c>
      <c r="B242" s="235"/>
      <c r="C242" s="236" t="str">
        <f t="shared" si="67"/>
        <v>远大开发有限公司</v>
      </c>
      <c r="D242" s="236"/>
      <c r="E242" s="236"/>
      <c r="F242" s="236"/>
      <c r="G242" s="236"/>
      <c r="H242" s="236"/>
      <c r="I242" s="236"/>
      <c r="J242" s="236"/>
      <c r="K242" s="236"/>
      <c r="L242" s="236"/>
      <c r="M242" s="236"/>
      <c r="N242" s="236"/>
      <c r="O242" s="236"/>
      <c r="P242" s="236"/>
      <c r="Q242" s="236"/>
      <c r="R242" s="229" t="s">
        <v>650</v>
      </c>
      <c r="S242" s="229"/>
      <c r="T242" s="229"/>
      <c r="U242" s="237" t="str">
        <f t="shared" ref="U242" si="89">"第 "&amp;TEXT($AF$1,"00")&amp;TEXT($AC242,"0000 号")</f>
        <v>第 010020 号</v>
      </c>
      <c r="V242" s="237"/>
      <c r="W242" s="238"/>
      <c r="X242" s="238"/>
      <c r="Y242" s="238"/>
      <c r="Z242" s="238"/>
      <c r="AA242" s="238"/>
      <c r="AB242" s="238"/>
      <c r="AC242" s="239">
        <f t="shared" si="69"/>
        <v>20</v>
      </c>
      <c r="AD242" s="212"/>
    </row>
    <row r="243" spans="1:30" s="45" customFormat="1" ht="22.5" customHeight="1">
      <c r="A243" s="241" t="s">
        <v>651</v>
      </c>
      <c r="B243" s="542" t="s">
        <v>652</v>
      </c>
      <c r="C243" s="242" t="s">
        <v>653</v>
      </c>
      <c r="D243" s="243" t="s">
        <v>654</v>
      </c>
      <c r="E243" s="539" t="s">
        <v>655</v>
      </c>
      <c r="F243" s="539" t="s">
        <v>656</v>
      </c>
      <c r="G243" s="244" t="s">
        <v>657</v>
      </c>
      <c r="H243" s="245"/>
      <c r="I243" s="245"/>
      <c r="J243" s="245"/>
      <c r="K243" s="245"/>
      <c r="L243" s="245"/>
      <c r="M243" s="245"/>
      <c r="N243" s="245"/>
      <c r="O243" s="245"/>
      <c r="P243" s="245"/>
      <c r="Q243" s="246"/>
      <c r="R243" s="247" t="s">
        <v>658</v>
      </c>
      <c r="S243" s="245"/>
      <c r="T243" s="245"/>
      <c r="U243" s="245"/>
      <c r="V243" s="245"/>
      <c r="W243" s="245"/>
      <c r="X243" s="245"/>
      <c r="Y243" s="245"/>
      <c r="Z243" s="245"/>
      <c r="AA243" s="245"/>
      <c r="AB243" s="246"/>
      <c r="AC243" s="541" t="str">
        <f ca="1">"附单据数︵"&amp;INDEX(凭证录入!$D:$D,$AD$17)&amp;"︶张"</f>
        <v>附单据数︵4︶张</v>
      </c>
      <c r="AD243" s="235"/>
    </row>
    <row r="244" spans="1:30" s="45" customFormat="1" ht="22.5" customHeight="1">
      <c r="A244" s="248" t="s">
        <v>659</v>
      </c>
      <c r="B244" s="543"/>
      <c r="C244" s="249" t="s">
        <v>660</v>
      </c>
      <c r="D244" s="250" t="s">
        <v>660</v>
      </c>
      <c r="E244" s="540"/>
      <c r="F244" s="540"/>
      <c r="G244" s="251" t="s">
        <v>661</v>
      </c>
      <c r="H244" s="252" t="s">
        <v>662</v>
      </c>
      <c r="I244" s="253" t="s">
        <v>663</v>
      </c>
      <c r="J244" s="254" t="s">
        <v>664</v>
      </c>
      <c r="K244" s="252" t="s">
        <v>665</v>
      </c>
      <c r="L244" s="253" t="s">
        <v>662</v>
      </c>
      <c r="M244" s="254" t="s">
        <v>663</v>
      </c>
      <c r="N244" s="252" t="s">
        <v>664</v>
      </c>
      <c r="O244" s="253" t="s">
        <v>666</v>
      </c>
      <c r="P244" s="254" t="s">
        <v>667</v>
      </c>
      <c r="Q244" s="255" t="s">
        <v>668</v>
      </c>
      <c r="R244" s="256" t="s">
        <v>661</v>
      </c>
      <c r="S244" s="252" t="s">
        <v>662</v>
      </c>
      <c r="T244" s="257" t="s">
        <v>663</v>
      </c>
      <c r="U244" s="256" t="s">
        <v>664</v>
      </c>
      <c r="V244" s="252" t="s">
        <v>665</v>
      </c>
      <c r="W244" s="253" t="s">
        <v>662</v>
      </c>
      <c r="X244" s="254" t="s">
        <v>663</v>
      </c>
      <c r="Y244" s="252" t="s">
        <v>664</v>
      </c>
      <c r="Z244" s="253" t="s">
        <v>666</v>
      </c>
      <c r="AA244" s="254" t="s">
        <v>667</v>
      </c>
      <c r="AB244" s="255" t="s">
        <v>668</v>
      </c>
      <c r="AC244" s="541"/>
    </row>
    <row r="245" spans="1:30" s="45" customFormat="1" ht="22.5" customHeight="1">
      <c r="A245" s="258" t="str">
        <f ca="1">IFERROR(INDEX(凭证录入!H:H,$AD245),"")</f>
        <v/>
      </c>
      <c r="B245" s="259" t="str">
        <f ca="1">IFERROR(INDEX(凭证录入!I:I,$AD245),"")</f>
        <v/>
      </c>
      <c r="C245" s="260" t="str">
        <f ca="1">IFERROR(VLOOKUP($B245,会计科目表!$A:$C,2,),"")</f>
        <v/>
      </c>
      <c r="D245" s="261" t="str">
        <f ca="1">IFERROR(VLOOKUP($B245,会计科目表!$A:$C,3,),"")</f>
        <v/>
      </c>
      <c r="E245" s="262">
        <f ca="1">IFERROR(INDEX(凭证录入!K:K,$AD245),0)</f>
        <v>0</v>
      </c>
      <c r="F245" s="262">
        <f ca="1">IFERROR(INDEX(凭证录入!L:L,$AD245),0)</f>
        <v>0</v>
      </c>
      <c r="G245" s="263" t="str">
        <f t="shared" ca="1" si="85"/>
        <v/>
      </c>
      <c r="H245" s="264" t="str">
        <f t="shared" ca="1" si="85"/>
        <v/>
      </c>
      <c r="I245" s="265" t="str">
        <f t="shared" ca="1" si="85"/>
        <v/>
      </c>
      <c r="J245" s="266" t="str">
        <f t="shared" ca="1" si="85"/>
        <v/>
      </c>
      <c r="K245" s="264" t="str">
        <f t="shared" ca="1" si="85"/>
        <v/>
      </c>
      <c r="L245" s="265" t="str">
        <f t="shared" ca="1" si="85"/>
        <v/>
      </c>
      <c r="M245" s="266" t="str">
        <f t="shared" ca="1" si="85"/>
        <v/>
      </c>
      <c r="N245" s="264" t="str">
        <f t="shared" ca="1" si="85"/>
        <v/>
      </c>
      <c r="O245" s="265" t="str">
        <f t="shared" ca="1" si="85"/>
        <v/>
      </c>
      <c r="P245" s="266" t="str">
        <f t="shared" ca="1" si="85"/>
        <v/>
      </c>
      <c r="Q245" s="267" t="str">
        <f t="shared" ca="1" si="85"/>
        <v/>
      </c>
      <c r="R245" s="268" t="str">
        <f t="shared" ca="1" si="86"/>
        <v/>
      </c>
      <c r="S245" s="264" t="str">
        <f t="shared" ca="1" si="86"/>
        <v/>
      </c>
      <c r="T245" s="269" t="str">
        <f t="shared" ca="1" si="86"/>
        <v/>
      </c>
      <c r="U245" s="268" t="str">
        <f t="shared" ca="1" si="86"/>
        <v/>
      </c>
      <c r="V245" s="264" t="str">
        <f t="shared" ca="1" si="86"/>
        <v/>
      </c>
      <c r="W245" s="265" t="str">
        <f t="shared" ca="1" si="86"/>
        <v/>
      </c>
      <c r="X245" s="266" t="str">
        <f t="shared" ca="1" si="86"/>
        <v/>
      </c>
      <c r="Y245" s="264" t="str">
        <f t="shared" ca="1" si="86"/>
        <v/>
      </c>
      <c r="Z245" s="265" t="str">
        <f t="shared" ca="1" si="86"/>
        <v/>
      </c>
      <c r="AA245" s="266" t="str">
        <f t="shared" ca="1" si="86"/>
        <v/>
      </c>
      <c r="AB245" s="267" t="str">
        <f t="shared" ca="1" si="86"/>
        <v/>
      </c>
      <c r="AC245" s="541"/>
      <c r="AD245" s="212" t="str">
        <f t="shared" ca="1" si="81"/>
        <v/>
      </c>
    </row>
    <row r="246" spans="1:30" s="45" customFormat="1" ht="22.5" customHeight="1">
      <c r="A246" s="258" t="str">
        <f ca="1">IFERROR(INDEX(凭证录入!H:H,$AD246),"")</f>
        <v/>
      </c>
      <c r="B246" s="259" t="str">
        <f ca="1">IFERROR(INDEX(凭证录入!I:I,$AD246),"")</f>
        <v/>
      </c>
      <c r="C246" s="260" t="str">
        <f ca="1">IFERROR(VLOOKUP($B246,会计科目表!$A:$C,2,),"")</f>
        <v/>
      </c>
      <c r="D246" s="261" t="str">
        <f ca="1">IFERROR(VLOOKUP($B246,会计科目表!$A:$C,3,),"")</f>
        <v/>
      </c>
      <c r="E246" s="262">
        <f ca="1">IFERROR(INDEX(凭证录入!K:K,$AD246),0)</f>
        <v>0</v>
      </c>
      <c r="F246" s="262">
        <f ca="1">IFERROR(INDEX(凭证录入!L:L,$AD246),0)</f>
        <v>0</v>
      </c>
      <c r="G246" s="263" t="str">
        <f t="shared" ca="1" si="85"/>
        <v/>
      </c>
      <c r="H246" s="264" t="str">
        <f t="shared" ca="1" si="85"/>
        <v/>
      </c>
      <c r="I246" s="265" t="str">
        <f t="shared" ca="1" si="85"/>
        <v/>
      </c>
      <c r="J246" s="266" t="str">
        <f t="shared" ca="1" si="85"/>
        <v/>
      </c>
      <c r="K246" s="264" t="str">
        <f t="shared" ca="1" si="85"/>
        <v/>
      </c>
      <c r="L246" s="265" t="str">
        <f t="shared" ca="1" si="85"/>
        <v/>
      </c>
      <c r="M246" s="266" t="str">
        <f t="shared" ca="1" si="85"/>
        <v/>
      </c>
      <c r="N246" s="264" t="str">
        <f t="shared" ca="1" si="85"/>
        <v/>
      </c>
      <c r="O246" s="265" t="str">
        <f t="shared" ca="1" si="85"/>
        <v/>
      </c>
      <c r="P246" s="266" t="str">
        <f t="shared" ca="1" si="85"/>
        <v/>
      </c>
      <c r="Q246" s="267" t="str">
        <f t="shared" ca="1" si="85"/>
        <v/>
      </c>
      <c r="R246" s="268" t="str">
        <f t="shared" ca="1" si="86"/>
        <v/>
      </c>
      <c r="S246" s="264" t="str">
        <f t="shared" ca="1" si="86"/>
        <v/>
      </c>
      <c r="T246" s="269" t="str">
        <f t="shared" ca="1" si="86"/>
        <v/>
      </c>
      <c r="U246" s="268" t="str">
        <f t="shared" ca="1" si="86"/>
        <v/>
      </c>
      <c r="V246" s="264" t="str">
        <f t="shared" ca="1" si="86"/>
        <v/>
      </c>
      <c r="W246" s="265" t="str">
        <f t="shared" ca="1" si="86"/>
        <v/>
      </c>
      <c r="X246" s="266" t="str">
        <f t="shared" ca="1" si="86"/>
        <v/>
      </c>
      <c r="Y246" s="264" t="str">
        <f t="shared" ca="1" si="86"/>
        <v/>
      </c>
      <c r="Z246" s="265" t="str">
        <f t="shared" ca="1" si="86"/>
        <v/>
      </c>
      <c r="AA246" s="266" t="str">
        <f t="shared" ca="1" si="86"/>
        <v/>
      </c>
      <c r="AB246" s="267" t="str">
        <f t="shared" ca="1" si="86"/>
        <v/>
      </c>
      <c r="AC246" s="541"/>
      <c r="AD246" s="212" t="str">
        <f t="shared" ca="1" si="81"/>
        <v/>
      </c>
    </row>
    <row r="247" spans="1:30" s="45" customFormat="1" ht="22.5" customHeight="1">
      <c r="A247" s="258" t="str">
        <f ca="1">IFERROR(INDEX(凭证录入!H:H,$AD247),"")</f>
        <v/>
      </c>
      <c r="B247" s="259" t="str">
        <f ca="1">IFERROR(INDEX(凭证录入!I:I,$AD247),"")</f>
        <v/>
      </c>
      <c r="C247" s="260" t="str">
        <f ca="1">IFERROR(VLOOKUP($B247,会计科目表!$A:$C,2,),"")</f>
        <v/>
      </c>
      <c r="D247" s="261" t="str">
        <f ca="1">IFERROR(VLOOKUP($B247,会计科目表!$A:$C,3,),"")</f>
        <v/>
      </c>
      <c r="E247" s="262">
        <f ca="1">IFERROR(INDEX(凭证录入!K:K,$AD247),0)</f>
        <v>0</v>
      </c>
      <c r="F247" s="262">
        <f ca="1">IFERROR(INDEX(凭证录入!L:L,$AD247),0)</f>
        <v>0</v>
      </c>
      <c r="G247" s="263" t="str">
        <f t="shared" ca="1" si="85"/>
        <v/>
      </c>
      <c r="H247" s="264" t="str">
        <f t="shared" ca="1" si="85"/>
        <v/>
      </c>
      <c r="I247" s="265" t="str">
        <f t="shared" ca="1" si="85"/>
        <v/>
      </c>
      <c r="J247" s="266" t="str">
        <f t="shared" ca="1" si="85"/>
        <v/>
      </c>
      <c r="K247" s="264" t="str">
        <f t="shared" ca="1" si="85"/>
        <v/>
      </c>
      <c r="L247" s="265" t="str">
        <f t="shared" ca="1" si="85"/>
        <v/>
      </c>
      <c r="M247" s="266" t="str">
        <f t="shared" ca="1" si="85"/>
        <v/>
      </c>
      <c r="N247" s="264" t="str">
        <f t="shared" ca="1" si="85"/>
        <v/>
      </c>
      <c r="O247" s="265" t="str">
        <f t="shared" ca="1" si="85"/>
        <v/>
      </c>
      <c r="P247" s="266" t="str">
        <f t="shared" ca="1" si="85"/>
        <v/>
      </c>
      <c r="Q247" s="267" t="str">
        <f t="shared" ca="1" si="85"/>
        <v/>
      </c>
      <c r="R247" s="268" t="str">
        <f t="shared" ca="1" si="86"/>
        <v/>
      </c>
      <c r="S247" s="264" t="str">
        <f t="shared" ca="1" si="86"/>
        <v/>
      </c>
      <c r="T247" s="269" t="str">
        <f t="shared" ca="1" si="86"/>
        <v/>
      </c>
      <c r="U247" s="268" t="str">
        <f t="shared" ca="1" si="86"/>
        <v/>
      </c>
      <c r="V247" s="264" t="str">
        <f t="shared" ca="1" si="86"/>
        <v/>
      </c>
      <c r="W247" s="265" t="str">
        <f t="shared" ca="1" si="86"/>
        <v/>
      </c>
      <c r="X247" s="266" t="str">
        <f t="shared" ca="1" si="86"/>
        <v/>
      </c>
      <c r="Y247" s="264" t="str">
        <f t="shared" ca="1" si="86"/>
        <v/>
      </c>
      <c r="Z247" s="265" t="str">
        <f t="shared" ca="1" si="86"/>
        <v/>
      </c>
      <c r="AA247" s="266" t="str">
        <f t="shared" ca="1" si="86"/>
        <v/>
      </c>
      <c r="AB247" s="267" t="str">
        <f t="shared" ca="1" si="86"/>
        <v/>
      </c>
      <c r="AC247" s="536" t="s">
        <v>669</v>
      </c>
      <c r="AD247" s="212" t="str">
        <f t="shared" ca="1" si="81"/>
        <v/>
      </c>
    </row>
    <row r="248" spans="1:30" s="45" customFormat="1" ht="22.5" customHeight="1">
      <c r="A248" s="258" t="str">
        <f ca="1">IFERROR(INDEX(凭证录入!H:H,$AD248),"")</f>
        <v/>
      </c>
      <c r="B248" s="259" t="str">
        <f ca="1">IFERROR(INDEX(凭证录入!I:I,$AD248),"")</f>
        <v/>
      </c>
      <c r="C248" s="260" t="str">
        <f ca="1">IFERROR(VLOOKUP($B248,会计科目表!$A:$C,2,),"")</f>
        <v/>
      </c>
      <c r="D248" s="261" t="str">
        <f ca="1">IFERROR(VLOOKUP($B248,会计科目表!$A:$C,3,),"")</f>
        <v/>
      </c>
      <c r="E248" s="262">
        <f ca="1">IFERROR(INDEX(凭证录入!K:K,$AD248),0)</f>
        <v>0</v>
      </c>
      <c r="F248" s="262">
        <f ca="1">IFERROR(INDEX(凭证录入!L:L,$AD248),0)</f>
        <v>0</v>
      </c>
      <c r="G248" s="263" t="str">
        <f t="shared" ca="1" si="85"/>
        <v/>
      </c>
      <c r="H248" s="264" t="str">
        <f t="shared" ca="1" si="85"/>
        <v/>
      </c>
      <c r="I248" s="265" t="str">
        <f t="shared" ca="1" si="85"/>
        <v/>
      </c>
      <c r="J248" s="266" t="str">
        <f t="shared" ca="1" si="85"/>
        <v/>
      </c>
      <c r="K248" s="264" t="str">
        <f t="shared" ca="1" si="85"/>
        <v/>
      </c>
      <c r="L248" s="265" t="str">
        <f t="shared" ca="1" si="85"/>
        <v/>
      </c>
      <c r="M248" s="266" t="str">
        <f t="shared" ca="1" si="85"/>
        <v/>
      </c>
      <c r="N248" s="264" t="str">
        <f t="shared" ca="1" si="85"/>
        <v/>
      </c>
      <c r="O248" s="265" t="str">
        <f t="shared" ca="1" si="85"/>
        <v/>
      </c>
      <c r="P248" s="266" t="str">
        <f t="shared" ca="1" si="85"/>
        <v/>
      </c>
      <c r="Q248" s="267" t="str">
        <f t="shared" ca="1" si="85"/>
        <v/>
      </c>
      <c r="R248" s="268" t="str">
        <f t="shared" ca="1" si="86"/>
        <v/>
      </c>
      <c r="S248" s="264" t="str">
        <f t="shared" ca="1" si="86"/>
        <v/>
      </c>
      <c r="T248" s="269" t="str">
        <f t="shared" ca="1" si="86"/>
        <v/>
      </c>
      <c r="U248" s="268" t="str">
        <f t="shared" ca="1" si="86"/>
        <v/>
      </c>
      <c r="V248" s="264" t="str">
        <f t="shared" ca="1" si="86"/>
        <v/>
      </c>
      <c r="W248" s="265" t="str">
        <f t="shared" ca="1" si="86"/>
        <v/>
      </c>
      <c r="X248" s="266" t="str">
        <f t="shared" ca="1" si="86"/>
        <v/>
      </c>
      <c r="Y248" s="264" t="str">
        <f t="shared" ca="1" si="86"/>
        <v/>
      </c>
      <c r="Z248" s="265" t="str">
        <f t="shared" ca="1" si="86"/>
        <v/>
      </c>
      <c r="AA248" s="266" t="str">
        <f t="shared" ca="1" si="86"/>
        <v/>
      </c>
      <c r="AB248" s="267" t="str">
        <f t="shared" ca="1" si="86"/>
        <v/>
      </c>
      <c r="AC248" s="537"/>
      <c r="AD248" s="212" t="str">
        <f t="shared" ca="1" si="81"/>
        <v/>
      </c>
    </row>
    <row r="249" spans="1:30" s="45" customFormat="1" ht="22.5" customHeight="1">
      <c r="A249" s="258" t="str">
        <f ca="1">IFERROR(INDEX(凭证录入!H:H,$AD249),"")</f>
        <v/>
      </c>
      <c r="B249" s="259" t="str">
        <f ca="1">IFERROR(INDEX(凭证录入!I:I,$AD249),"")</f>
        <v/>
      </c>
      <c r="C249" s="260" t="str">
        <f ca="1">IFERROR(VLOOKUP($B249,会计科目表!$A:$C,2,),"")</f>
        <v/>
      </c>
      <c r="D249" s="261" t="str">
        <f ca="1">IFERROR(VLOOKUP($B249,会计科目表!$A:$C,3,),"")</f>
        <v/>
      </c>
      <c r="E249" s="262">
        <f ca="1">IFERROR(INDEX(凭证录入!K:K,$AD249),0)</f>
        <v>0</v>
      </c>
      <c r="F249" s="262">
        <f ca="1">IFERROR(INDEX(凭证录入!L:L,$AD249),0)</f>
        <v>0</v>
      </c>
      <c r="G249" s="263" t="str">
        <f t="shared" ca="1" si="85"/>
        <v/>
      </c>
      <c r="H249" s="264" t="str">
        <f t="shared" ca="1" si="85"/>
        <v/>
      </c>
      <c r="I249" s="265" t="str">
        <f t="shared" ca="1" si="85"/>
        <v/>
      </c>
      <c r="J249" s="266" t="str">
        <f t="shared" ca="1" si="85"/>
        <v/>
      </c>
      <c r="K249" s="264" t="str">
        <f t="shared" ca="1" si="85"/>
        <v/>
      </c>
      <c r="L249" s="265" t="str">
        <f t="shared" ca="1" si="85"/>
        <v/>
      </c>
      <c r="M249" s="266" t="str">
        <f t="shared" ca="1" si="85"/>
        <v/>
      </c>
      <c r="N249" s="264" t="str">
        <f t="shared" ca="1" si="85"/>
        <v/>
      </c>
      <c r="O249" s="265" t="str">
        <f t="shared" ca="1" si="85"/>
        <v/>
      </c>
      <c r="P249" s="266" t="str">
        <f t="shared" ca="1" si="85"/>
        <v/>
      </c>
      <c r="Q249" s="267" t="str">
        <f t="shared" ca="1" si="85"/>
        <v/>
      </c>
      <c r="R249" s="268" t="str">
        <f t="shared" ca="1" si="86"/>
        <v/>
      </c>
      <c r="S249" s="264" t="str">
        <f t="shared" ca="1" si="86"/>
        <v/>
      </c>
      <c r="T249" s="269" t="str">
        <f t="shared" ca="1" si="86"/>
        <v/>
      </c>
      <c r="U249" s="268" t="str">
        <f t="shared" ca="1" si="86"/>
        <v/>
      </c>
      <c r="V249" s="264" t="str">
        <f t="shared" ca="1" si="86"/>
        <v/>
      </c>
      <c r="W249" s="265" t="str">
        <f t="shared" ca="1" si="86"/>
        <v/>
      </c>
      <c r="X249" s="266" t="str">
        <f t="shared" ca="1" si="86"/>
        <v/>
      </c>
      <c r="Y249" s="264" t="str">
        <f t="shared" ca="1" si="86"/>
        <v/>
      </c>
      <c r="Z249" s="265" t="str">
        <f t="shared" ca="1" si="86"/>
        <v/>
      </c>
      <c r="AA249" s="266" t="str">
        <f t="shared" ca="1" si="86"/>
        <v/>
      </c>
      <c r="AB249" s="267" t="str">
        <f t="shared" ca="1" si="86"/>
        <v/>
      </c>
      <c r="AC249" s="538"/>
      <c r="AD249" s="212" t="str">
        <f t="shared" ca="1" si="81"/>
        <v/>
      </c>
    </row>
    <row r="250" spans="1:30" s="45" customFormat="1" ht="22.5" customHeight="1">
      <c r="A250" s="258" t="str">
        <f ca="1">IFERROR(INDEX(凭证录入!H:H,$AD250),"")</f>
        <v/>
      </c>
      <c r="B250" s="259" t="str">
        <f ca="1">IFERROR(INDEX(凭证录入!I:I,$AD250),"")</f>
        <v/>
      </c>
      <c r="C250" s="260" t="str">
        <f ca="1">IFERROR(VLOOKUP($B250,会计科目表!$A:$C,2,),"")</f>
        <v/>
      </c>
      <c r="D250" s="261" t="str">
        <f ca="1">IFERROR(VLOOKUP($B250,会计科目表!$A:$C,3,),"")</f>
        <v/>
      </c>
      <c r="E250" s="262">
        <f ca="1">IFERROR(INDEX(凭证录入!K:K,$AD250),0)</f>
        <v>0</v>
      </c>
      <c r="F250" s="262">
        <f ca="1">IFERROR(INDEX(凭证录入!L:L,$AD250),0)</f>
        <v>0</v>
      </c>
      <c r="G250" s="263" t="str">
        <f t="shared" ca="1" si="85"/>
        <v/>
      </c>
      <c r="H250" s="264" t="str">
        <f t="shared" ca="1" si="85"/>
        <v/>
      </c>
      <c r="I250" s="265" t="str">
        <f t="shared" ca="1" si="85"/>
        <v/>
      </c>
      <c r="J250" s="266" t="str">
        <f t="shared" ca="1" si="85"/>
        <v/>
      </c>
      <c r="K250" s="264" t="str">
        <f t="shared" ca="1" si="85"/>
        <v/>
      </c>
      <c r="L250" s="265" t="str">
        <f t="shared" ca="1" si="85"/>
        <v/>
      </c>
      <c r="M250" s="266" t="str">
        <f t="shared" ca="1" si="85"/>
        <v/>
      </c>
      <c r="N250" s="264" t="str">
        <f t="shared" ca="1" si="85"/>
        <v/>
      </c>
      <c r="O250" s="265" t="str">
        <f t="shared" ca="1" si="85"/>
        <v/>
      </c>
      <c r="P250" s="266" t="str">
        <f t="shared" ca="1" si="85"/>
        <v/>
      </c>
      <c r="Q250" s="267" t="str">
        <f t="shared" ca="1" si="85"/>
        <v/>
      </c>
      <c r="R250" s="268" t="str">
        <f t="shared" ca="1" si="86"/>
        <v/>
      </c>
      <c r="S250" s="264" t="str">
        <f t="shared" ca="1" si="86"/>
        <v/>
      </c>
      <c r="T250" s="269" t="str">
        <f t="shared" ca="1" si="86"/>
        <v/>
      </c>
      <c r="U250" s="268" t="str">
        <f t="shared" ca="1" si="86"/>
        <v/>
      </c>
      <c r="V250" s="264" t="str">
        <f t="shared" ca="1" si="86"/>
        <v/>
      </c>
      <c r="W250" s="265" t="str">
        <f t="shared" ca="1" si="86"/>
        <v/>
      </c>
      <c r="X250" s="266" t="str">
        <f t="shared" ca="1" si="86"/>
        <v/>
      </c>
      <c r="Y250" s="264" t="str">
        <f t="shared" ca="1" si="86"/>
        <v/>
      </c>
      <c r="Z250" s="265" t="str">
        <f t="shared" ca="1" si="86"/>
        <v/>
      </c>
      <c r="AA250" s="266" t="str">
        <f t="shared" ca="1" si="86"/>
        <v/>
      </c>
      <c r="AB250" s="267" t="str">
        <f t="shared" ca="1" si="86"/>
        <v/>
      </c>
      <c r="AC250" s="538"/>
      <c r="AD250" s="212" t="str">
        <f t="shared" ca="1" si="81"/>
        <v/>
      </c>
    </row>
    <row r="251" spans="1:30" s="45" customFormat="1" ht="22.5" customHeight="1">
      <c r="A251" s="270" t="s">
        <v>670</v>
      </c>
      <c r="B251" s="271"/>
      <c r="C251" s="272" t="str">
        <f t="shared" ref="C251" ca="1" si="90">SUBSTITUTE(SUBSTITUTE(IF(-DOLLAR(E251),IF(E251&gt;0,,"负")&amp;TEXT(INT(ABS(E251)+0.5%),"[dbnum2]G/通用格式元;;")&amp;TEXT(RIGHT(DOLLAR(E251,2),2),"[dbnum2]0角0分;;整"),),"零角",IF(E251^2&lt;1,,"零")),"零分","整")</f>
        <v/>
      </c>
      <c r="D251" s="273"/>
      <c r="E251" s="274">
        <f t="shared" ref="E251:F251" ca="1" si="91">SUM(E245:E250)</f>
        <v>0</v>
      </c>
      <c r="F251" s="275">
        <f t="shared" ca="1" si="91"/>
        <v>0</v>
      </c>
      <c r="G251" s="276" t="str">
        <f t="shared" ca="1" si="85"/>
        <v/>
      </c>
      <c r="H251" s="277" t="str">
        <f t="shared" ca="1" si="85"/>
        <v/>
      </c>
      <c r="I251" s="278" t="str">
        <f t="shared" ca="1" si="85"/>
        <v/>
      </c>
      <c r="J251" s="279" t="str">
        <f t="shared" ca="1" si="85"/>
        <v/>
      </c>
      <c r="K251" s="277" t="str">
        <f t="shared" ca="1" si="85"/>
        <v/>
      </c>
      <c r="L251" s="278" t="str">
        <f t="shared" ca="1" si="85"/>
        <v/>
      </c>
      <c r="M251" s="279" t="str">
        <f t="shared" ca="1" si="85"/>
        <v/>
      </c>
      <c r="N251" s="277" t="str">
        <f t="shared" ca="1" si="85"/>
        <v/>
      </c>
      <c r="O251" s="278" t="str">
        <f t="shared" ca="1" si="85"/>
        <v/>
      </c>
      <c r="P251" s="279" t="str">
        <f t="shared" ca="1" si="85"/>
        <v/>
      </c>
      <c r="Q251" s="280" t="str">
        <f t="shared" ca="1" si="85"/>
        <v/>
      </c>
      <c r="R251" s="281" t="str">
        <f t="shared" ca="1" si="86"/>
        <v/>
      </c>
      <c r="S251" s="277" t="str">
        <f t="shared" ca="1" si="86"/>
        <v/>
      </c>
      <c r="T251" s="282" t="str">
        <f t="shared" ca="1" si="86"/>
        <v/>
      </c>
      <c r="U251" s="281" t="str">
        <f t="shared" ca="1" si="86"/>
        <v/>
      </c>
      <c r="V251" s="277" t="str">
        <f t="shared" ca="1" si="86"/>
        <v/>
      </c>
      <c r="W251" s="278" t="str">
        <f t="shared" ca="1" si="86"/>
        <v/>
      </c>
      <c r="X251" s="279" t="str">
        <f t="shared" ca="1" si="86"/>
        <v/>
      </c>
      <c r="Y251" s="277" t="str">
        <f t="shared" ca="1" si="86"/>
        <v/>
      </c>
      <c r="Z251" s="278" t="str">
        <f t="shared" ca="1" si="86"/>
        <v/>
      </c>
      <c r="AA251" s="279" t="str">
        <f t="shared" ca="1" si="86"/>
        <v/>
      </c>
      <c r="AB251" s="280" t="str">
        <f t="shared" ca="1" si="86"/>
        <v/>
      </c>
      <c r="AC251" s="283"/>
      <c r="AD251" s="212"/>
    </row>
    <row r="252" spans="1:30" s="22" customFormat="1" ht="22.5" customHeight="1">
      <c r="A252" s="284" t="s">
        <v>644</v>
      </c>
      <c r="B252" s="284"/>
      <c r="C252" s="284"/>
      <c r="D252" s="284" t="s">
        <v>645</v>
      </c>
      <c r="E252" s="284"/>
      <c r="F252" s="284"/>
      <c r="G252" s="284"/>
      <c r="H252" s="285"/>
      <c r="I252" s="284"/>
      <c r="J252" s="285"/>
      <c r="K252" s="285"/>
      <c r="L252" s="284"/>
      <c r="M252" s="285"/>
      <c r="N252" s="285"/>
      <c r="O252" s="285"/>
      <c r="P252" s="284"/>
      <c r="Q252" s="284" t="s">
        <v>646</v>
      </c>
      <c r="R252" s="284"/>
      <c r="S252" s="284"/>
      <c r="T252" s="284"/>
      <c r="U252" s="285"/>
      <c r="V252" s="284"/>
      <c r="W252" s="285"/>
      <c r="X252" s="284"/>
      <c r="Y252" s="284"/>
      <c r="Z252" s="285"/>
      <c r="AA252" s="285"/>
      <c r="AB252" s="285"/>
      <c r="AC252" s="286"/>
      <c r="AD252" s="212"/>
    </row>
    <row r="253" spans="1:30" ht="39.75" customHeight="1" thickBot="1">
      <c r="A253" s="226"/>
      <c r="B253" s="226"/>
      <c r="C253" s="227" t="s">
        <v>647</v>
      </c>
      <c r="D253" s="228"/>
      <c r="E253" s="226"/>
      <c r="F253" s="226"/>
      <c r="G253" s="228"/>
      <c r="H253" s="228"/>
      <c r="I253" s="228"/>
      <c r="J253" s="228"/>
      <c r="K253" s="228"/>
      <c r="L253" s="228"/>
      <c r="M253" s="228"/>
      <c r="N253" s="228"/>
      <c r="O253" s="228"/>
      <c r="P253" s="228"/>
      <c r="Q253" s="228"/>
      <c r="R253" s="229" t="s">
        <v>648</v>
      </c>
      <c r="S253" s="230"/>
      <c r="T253" s="230"/>
      <c r="U253" s="231" t="e">
        <f ca="1">DATE(AD$1,AF$1,INDEX(凭证录入!B:B,AD257))</f>
        <v>#VALUE!</v>
      </c>
      <c r="V253" s="232"/>
      <c r="W253" s="232"/>
      <c r="X253" s="232"/>
      <c r="Y253" s="232"/>
      <c r="Z253" s="232"/>
      <c r="AA253" s="232"/>
      <c r="AB253" s="232"/>
      <c r="AD253" s="212"/>
    </row>
    <row r="254" spans="1:30" s="45" customFormat="1" ht="23.25" customHeight="1" thickTop="1">
      <c r="A254" s="235" t="s">
        <v>649</v>
      </c>
      <c r="B254" s="235"/>
      <c r="C254" s="236" t="str">
        <f t="shared" ref="C254:C314" si="92">Co</f>
        <v>远大开发有限公司</v>
      </c>
      <c r="D254" s="236"/>
      <c r="E254" s="236"/>
      <c r="F254" s="236"/>
      <c r="G254" s="236"/>
      <c r="H254" s="236"/>
      <c r="I254" s="236"/>
      <c r="J254" s="236"/>
      <c r="K254" s="236"/>
      <c r="L254" s="236"/>
      <c r="M254" s="236"/>
      <c r="N254" s="236"/>
      <c r="O254" s="236"/>
      <c r="P254" s="236"/>
      <c r="Q254" s="236"/>
      <c r="R254" s="229" t="s">
        <v>650</v>
      </c>
      <c r="S254" s="229"/>
      <c r="T254" s="229"/>
      <c r="U254" s="237" t="str">
        <f t="shared" ref="U254" si="93">"第 "&amp;TEXT($AF$1,"00")&amp;TEXT($AC254,"0000 号")</f>
        <v>第 010021 号</v>
      </c>
      <c r="V254" s="237"/>
      <c r="W254" s="238"/>
      <c r="X254" s="238"/>
      <c r="Y254" s="238"/>
      <c r="Z254" s="238"/>
      <c r="AA254" s="238"/>
      <c r="AB254" s="238"/>
      <c r="AC254" s="239">
        <f t="shared" ref="AC254:AC314" si="94">N(LEFT((AC242),3)+1)</f>
        <v>21</v>
      </c>
      <c r="AD254" s="212"/>
    </row>
    <row r="255" spans="1:30" s="45" customFormat="1" ht="22.5" customHeight="1">
      <c r="A255" s="241" t="s">
        <v>651</v>
      </c>
      <c r="B255" s="542" t="s">
        <v>652</v>
      </c>
      <c r="C255" s="242" t="s">
        <v>653</v>
      </c>
      <c r="D255" s="243" t="s">
        <v>654</v>
      </c>
      <c r="E255" s="539" t="s">
        <v>655</v>
      </c>
      <c r="F255" s="539" t="s">
        <v>656</v>
      </c>
      <c r="G255" s="244" t="s">
        <v>657</v>
      </c>
      <c r="H255" s="245"/>
      <c r="I255" s="245"/>
      <c r="J255" s="245"/>
      <c r="K255" s="245"/>
      <c r="L255" s="245"/>
      <c r="M255" s="245"/>
      <c r="N255" s="245"/>
      <c r="O255" s="245"/>
      <c r="P255" s="245"/>
      <c r="Q255" s="246"/>
      <c r="R255" s="247" t="s">
        <v>658</v>
      </c>
      <c r="S255" s="245"/>
      <c r="T255" s="245"/>
      <c r="U255" s="245"/>
      <c r="V255" s="245"/>
      <c r="W255" s="245"/>
      <c r="X255" s="245"/>
      <c r="Y255" s="245"/>
      <c r="Z255" s="245"/>
      <c r="AA255" s="245"/>
      <c r="AB255" s="246"/>
      <c r="AC255" s="541" t="str">
        <f ca="1">"附单据数︵"&amp;INDEX(凭证录入!$D:$D,$AD$17)&amp;"︶张"</f>
        <v>附单据数︵4︶张</v>
      </c>
      <c r="AD255" s="235"/>
    </row>
    <row r="256" spans="1:30" s="45" customFormat="1" ht="22.5" customHeight="1">
      <c r="A256" s="248" t="s">
        <v>659</v>
      </c>
      <c r="B256" s="543"/>
      <c r="C256" s="249" t="s">
        <v>660</v>
      </c>
      <c r="D256" s="250" t="s">
        <v>660</v>
      </c>
      <c r="E256" s="540"/>
      <c r="F256" s="540"/>
      <c r="G256" s="251" t="s">
        <v>661</v>
      </c>
      <c r="H256" s="252" t="s">
        <v>662</v>
      </c>
      <c r="I256" s="253" t="s">
        <v>663</v>
      </c>
      <c r="J256" s="254" t="s">
        <v>664</v>
      </c>
      <c r="K256" s="252" t="s">
        <v>665</v>
      </c>
      <c r="L256" s="253" t="s">
        <v>662</v>
      </c>
      <c r="M256" s="254" t="s">
        <v>663</v>
      </c>
      <c r="N256" s="252" t="s">
        <v>664</v>
      </c>
      <c r="O256" s="253" t="s">
        <v>666</v>
      </c>
      <c r="P256" s="254" t="s">
        <v>667</v>
      </c>
      <c r="Q256" s="255" t="s">
        <v>668</v>
      </c>
      <c r="R256" s="256" t="s">
        <v>661</v>
      </c>
      <c r="S256" s="252" t="s">
        <v>662</v>
      </c>
      <c r="T256" s="257" t="s">
        <v>663</v>
      </c>
      <c r="U256" s="256" t="s">
        <v>664</v>
      </c>
      <c r="V256" s="252" t="s">
        <v>665</v>
      </c>
      <c r="W256" s="253" t="s">
        <v>662</v>
      </c>
      <c r="X256" s="254" t="s">
        <v>663</v>
      </c>
      <c r="Y256" s="252" t="s">
        <v>664</v>
      </c>
      <c r="Z256" s="253" t="s">
        <v>666</v>
      </c>
      <c r="AA256" s="254" t="s">
        <v>667</v>
      </c>
      <c r="AB256" s="255" t="s">
        <v>668</v>
      </c>
      <c r="AC256" s="541"/>
    </row>
    <row r="257" spans="1:30" s="45" customFormat="1" ht="22.5" customHeight="1">
      <c r="A257" s="258" t="str">
        <f ca="1">IFERROR(INDEX(凭证录入!H:H,$AD257),"")</f>
        <v/>
      </c>
      <c r="B257" s="259" t="str">
        <f ca="1">IFERROR(INDEX(凭证录入!I:I,$AD257),"")</f>
        <v/>
      </c>
      <c r="C257" s="260" t="str">
        <f ca="1">IFERROR(VLOOKUP($B257,会计科目表!$A:$C,2,),"")</f>
        <v/>
      </c>
      <c r="D257" s="261" t="str">
        <f ca="1">IFERROR(VLOOKUP($B257,会计科目表!$A:$C,3,),"")</f>
        <v/>
      </c>
      <c r="E257" s="262">
        <f ca="1">IFERROR(INDEX(凭证录入!K:K,$AD257),0)</f>
        <v>0</v>
      </c>
      <c r="F257" s="262">
        <f ca="1">IFERROR(INDEX(凭证录入!L:L,$AD257),0)</f>
        <v>0</v>
      </c>
      <c r="G257" s="263" t="str">
        <f t="shared" ca="1" si="85"/>
        <v/>
      </c>
      <c r="H257" s="264" t="str">
        <f t="shared" ca="1" si="85"/>
        <v/>
      </c>
      <c r="I257" s="265" t="str">
        <f t="shared" ca="1" si="85"/>
        <v/>
      </c>
      <c r="J257" s="266" t="str">
        <f t="shared" ca="1" si="85"/>
        <v/>
      </c>
      <c r="K257" s="264" t="str">
        <f t="shared" ca="1" si="85"/>
        <v/>
      </c>
      <c r="L257" s="265" t="str">
        <f t="shared" ca="1" si="85"/>
        <v/>
      </c>
      <c r="M257" s="266" t="str">
        <f t="shared" ca="1" si="85"/>
        <v/>
      </c>
      <c r="N257" s="264" t="str">
        <f t="shared" ca="1" si="85"/>
        <v/>
      </c>
      <c r="O257" s="265" t="str">
        <f t="shared" ca="1" si="85"/>
        <v/>
      </c>
      <c r="P257" s="266" t="str">
        <f t="shared" ca="1" si="85"/>
        <v/>
      </c>
      <c r="Q257" s="267" t="str">
        <f t="shared" ca="1" si="85"/>
        <v/>
      </c>
      <c r="R257" s="268" t="str">
        <f t="shared" ca="1" si="86"/>
        <v/>
      </c>
      <c r="S257" s="264" t="str">
        <f t="shared" ca="1" si="86"/>
        <v/>
      </c>
      <c r="T257" s="269" t="str">
        <f t="shared" ca="1" si="86"/>
        <v/>
      </c>
      <c r="U257" s="268" t="str">
        <f t="shared" ca="1" si="86"/>
        <v/>
      </c>
      <c r="V257" s="264" t="str">
        <f t="shared" ca="1" si="86"/>
        <v/>
      </c>
      <c r="W257" s="265" t="str">
        <f t="shared" ca="1" si="86"/>
        <v/>
      </c>
      <c r="X257" s="266" t="str">
        <f t="shared" ca="1" si="86"/>
        <v/>
      </c>
      <c r="Y257" s="264" t="str">
        <f t="shared" ca="1" si="86"/>
        <v/>
      </c>
      <c r="Z257" s="265" t="str">
        <f t="shared" ca="1" si="86"/>
        <v/>
      </c>
      <c r="AA257" s="266" t="str">
        <f t="shared" ca="1" si="86"/>
        <v/>
      </c>
      <c r="AB257" s="267" t="str">
        <f t="shared" ca="1" si="86"/>
        <v/>
      </c>
      <c r="AC257" s="541"/>
      <c r="AD257" s="212" t="str">
        <f t="shared" ca="1" si="81"/>
        <v/>
      </c>
    </row>
    <row r="258" spans="1:30" s="45" customFormat="1" ht="22.5" customHeight="1">
      <c r="A258" s="258" t="str">
        <f ca="1">IFERROR(INDEX(凭证录入!H:H,$AD258),"")</f>
        <v/>
      </c>
      <c r="B258" s="259" t="str">
        <f ca="1">IFERROR(INDEX(凭证录入!I:I,$AD258),"")</f>
        <v/>
      </c>
      <c r="C258" s="260" t="str">
        <f ca="1">IFERROR(VLOOKUP($B258,会计科目表!$A:$C,2,),"")</f>
        <v/>
      </c>
      <c r="D258" s="261" t="str">
        <f ca="1">IFERROR(VLOOKUP($B258,会计科目表!$A:$C,3,),"")</f>
        <v/>
      </c>
      <c r="E258" s="262">
        <f ca="1">IFERROR(INDEX(凭证录入!K:K,$AD258),0)</f>
        <v>0</v>
      </c>
      <c r="F258" s="262">
        <f ca="1">IFERROR(INDEX(凭证录入!L:L,$AD258),0)</f>
        <v>0</v>
      </c>
      <c r="G258" s="263" t="str">
        <f t="shared" ca="1" si="85"/>
        <v/>
      </c>
      <c r="H258" s="264" t="str">
        <f t="shared" ca="1" si="85"/>
        <v/>
      </c>
      <c r="I258" s="265" t="str">
        <f t="shared" ca="1" si="85"/>
        <v/>
      </c>
      <c r="J258" s="266" t="str">
        <f t="shared" ca="1" si="85"/>
        <v/>
      </c>
      <c r="K258" s="264" t="str">
        <f t="shared" ca="1" si="85"/>
        <v/>
      </c>
      <c r="L258" s="265" t="str">
        <f t="shared" ca="1" si="85"/>
        <v/>
      </c>
      <c r="M258" s="266" t="str">
        <f t="shared" ca="1" si="85"/>
        <v/>
      </c>
      <c r="N258" s="264" t="str">
        <f t="shared" ca="1" si="85"/>
        <v/>
      </c>
      <c r="O258" s="265" t="str">
        <f t="shared" ca="1" si="85"/>
        <v/>
      </c>
      <c r="P258" s="266" t="str">
        <f t="shared" ca="1" si="85"/>
        <v/>
      </c>
      <c r="Q258" s="267" t="str">
        <f t="shared" ca="1" si="85"/>
        <v/>
      </c>
      <c r="R258" s="268" t="str">
        <f t="shared" ca="1" si="86"/>
        <v/>
      </c>
      <c r="S258" s="264" t="str">
        <f t="shared" ca="1" si="86"/>
        <v/>
      </c>
      <c r="T258" s="269" t="str">
        <f t="shared" ca="1" si="86"/>
        <v/>
      </c>
      <c r="U258" s="268" t="str">
        <f t="shared" ca="1" si="86"/>
        <v/>
      </c>
      <c r="V258" s="264" t="str">
        <f t="shared" ca="1" si="86"/>
        <v/>
      </c>
      <c r="W258" s="265" t="str">
        <f t="shared" ca="1" si="86"/>
        <v/>
      </c>
      <c r="X258" s="266" t="str">
        <f t="shared" ca="1" si="86"/>
        <v/>
      </c>
      <c r="Y258" s="264" t="str">
        <f t="shared" ca="1" si="86"/>
        <v/>
      </c>
      <c r="Z258" s="265" t="str">
        <f t="shared" ca="1" si="86"/>
        <v/>
      </c>
      <c r="AA258" s="266" t="str">
        <f t="shared" ca="1" si="86"/>
        <v/>
      </c>
      <c r="AB258" s="267" t="str">
        <f t="shared" ca="1" si="86"/>
        <v/>
      </c>
      <c r="AC258" s="541"/>
      <c r="AD258" s="212" t="str">
        <f t="shared" ca="1" si="81"/>
        <v/>
      </c>
    </row>
    <row r="259" spans="1:30" s="45" customFormat="1" ht="22.5" customHeight="1">
      <c r="A259" s="258" t="str">
        <f ca="1">IFERROR(INDEX(凭证录入!H:H,$AD259),"")</f>
        <v/>
      </c>
      <c r="B259" s="259" t="str">
        <f ca="1">IFERROR(INDEX(凭证录入!I:I,$AD259),"")</f>
        <v/>
      </c>
      <c r="C259" s="260" t="str">
        <f ca="1">IFERROR(VLOOKUP($B259,会计科目表!$A:$C,2,),"")</f>
        <v/>
      </c>
      <c r="D259" s="261" t="str">
        <f ca="1">IFERROR(VLOOKUP($B259,会计科目表!$A:$C,3,),"")</f>
        <v/>
      </c>
      <c r="E259" s="262">
        <f ca="1">IFERROR(INDEX(凭证录入!K:K,$AD259),0)</f>
        <v>0</v>
      </c>
      <c r="F259" s="262">
        <f ca="1">IFERROR(INDEX(凭证录入!L:L,$AD259),0)</f>
        <v>0</v>
      </c>
      <c r="G259" s="263" t="str">
        <f t="shared" ca="1" si="85"/>
        <v/>
      </c>
      <c r="H259" s="264" t="str">
        <f t="shared" ca="1" si="85"/>
        <v/>
      </c>
      <c r="I259" s="265" t="str">
        <f t="shared" ca="1" si="85"/>
        <v/>
      </c>
      <c r="J259" s="266" t="str">
        <f t="shared" ca="1" si="85"/>
        <v/>
      </c>
      <c r="K259" s="264" t="str">
        <f t="shared" ca="1" si="85"/>
        <v/>
      </c>
      <c r="L259" s="265" t="str">
        <f t="shared" ca="1" si="85"/>
        <v/>
      </c>
      <c r="M259" s="266" t="str">
        <f t="shared" ca="1" si="85"/>
        <v/>
      </c>
      <c r="N259" s="264" t="str">
        <f t="shared" ca="1" si="85"/>
        <v/>
      </c>
      <c r="O259" s="265" t="str">
        <f t="shared" ca="1" si="85"/>
        <v/>
      </c>
      <c r="P259" s="266" t="str">
        <f t="shared" ca="1" si="85"/>
        <v/>
      </c>
      <c r="Q259" s="267" t="str">
        <f t="shared" ca="1" si="85"/>
        <v/>
      </c>
      <c r="R259" s="268" t="str">
        <f t="shared" ca="1" si="86"/>
        <v/>
      </c>
      <c r="S259" s="264" t="str">
        <f t="shared" ca="1" si="86"/>
        <v/>
      </c>
      <c r="T259" s="269" t="str">
        <f t="shared" ca="1" si="86"/>
        <v/>
      </c>
      <c r="U259" s="268" t="str">
        <f t="shared" ca="1" si="86"/>
        <v/>
      </c>
      <c r="V259" s="264" t="str">
        <f t="shared" ca="1" si="86"/>
        <v/>
      </c>
      <c r="W259" s="265" t="str">
        <f t="shared" ca="1" si="86"/>
        <v/>
      </c>
      <c r="X259" s="266" t="str">
        <f t="shared" ca="1" si="86"/>
        <v/>
      </c>
      <c r="Y259" s="264" t="str">
        <f t="shared" ca="1" si="86"/>
        <v/>
      </c>
      <c r="Z259" s="265" t="str">
        <f t="shared" ca="1" si="86"/>
        <v/>
      </c>
      <c r="AA259" s="266" t="str">
        <f t="shared" ca="1" si="86"/>
        <v/>
      </c>
      <c r="AB259" s="267" t="str">
        <f t="shared" ca="1" si="86"/>
        <v/>
      </c>
      <c r="AC259" s="536" t="s">
        <v>669</v>
      </c>
      <c r="AD259" s="212" t="str">
        <f t="shared" ca="1" si="81"/>
        <v/>
      </c>
    </row>
    <row r="260" spans="1:30" s="45" customFormat="1" ht="22.5" customHeight="1">
      <c r="A260" s="258" t="str">
        <f ca="1">IFERROR(INDEX(凭证录入!H:H,$AD260),"")</f>
        <v/>
      </c>
      <c r="B260" s="259" t="str">
        <f ca="1">IFERROR(INDEX(凭证录入!I:I,$AD260),"")</f>
        <v/>
      </c>
      <c r="C260" s="260" t="str">
        <f ca="1">IFERROR(VLOOKUP($B260,会计科目表!$A:$C,2,),"")</f>
        <v/>
      </c>
      <c r="D260" s="261" t="str">
        <f ca="1">IFERROR(VLOOKUP($B260,会计科目表!$A:$C,3,),"")</f>
        <v/>
      </c>
      <c r="E260" s="262">
        <f ca="1">IFERROR(INDEX(凭证录入!K:K,$AD260),0)</f>
        <v>0</v>
      </c>
      <c r="F260" s="262">
        <f ca="1">IFERROR(INDEX(凭证录入!L:L,$AD260),0)</f>
        <v>0</v>
      </c>
      <c r="G260" s="263" t="str">
        <f t="shared" ca="1" si="85"/>
        <v/>
      </c>
      <c r="H260" s="264" t="str">
        <f t="shared" ca="1" si="85"/>
        <v/>
      </c>
      <c r="I260" s="265" t="str">
        <f t="shared" ca="1" si="85"/>
        <v/>
      </c>
      <c r="J260" s="266" t="str">
        <f t="shared" ca="1" si="85"/>
        <v/>
      </c>
      <c r="K260" s="264" t="str">
        <f t="shared" ca="1" si="85"/>
        <v/>
      </c>
      <c r="L260" s="265" t="str">
        <f t="shared" ca="1" si="85"/>
        <v/>
      </c>
      <c r="M260" s="266" t="str">
        <f t="shared" ca="1" si="85"/>
        <v/>
      </c>
      <c r="N260" s="264" t="str">
        <f t="shared" ca="1" si="85"/>
        <v/>
      </c>
      <c r="O260" s="265" t="str">
        <f t="shared" ca="1" si="85"/>
        <v/>
      </c>
      <c r="P260" s="266" t="str">
        <f t="shared" ca="1" si="85"/>
        <v/>
      </c>
      <c r="Q260" s="267" t="str">
        <f t="shared" ca="1" si="85"/>
        <v/>
      </c>
      <c r="R260" s="268" t="str">
        <f t="shared" ca="1" si="86"/>
        <v/>
      </c>
      <c r="S260" s="264" t="str">
        <f t="shared" ca="1" si="86"/>
        <v/>
      </c>
      <c r="T260" s="269" t="str">
        <f t="shared" ca="1" si="86"/>
        <v/>
      </c>
      <c r="U260" s="268" t="str">
        <f t="shared" ca="1" si="86"/>
        <v/>
      </c>
      <c r="V260" s="264" t="str">
        <f t="shared" ca="1" si="86"/>
        <v/>
      </c>
      <c r="W260" s="265" t="str">
        <f t="shared" ca="1" si="86"/>
        <v/>
      </c>
      <c r="X260" s="266" t="str">
        <f t="shared" ca="1" si="86"/>
        <v/>
      </c>
      <c r="Y260" s="264" t="str">
        <f t="shared" ca="1" si="86"/>
        <v/>
      </c>
      <c r="Z260" s="265" t="str">
        <f t="shared" ca="1" si="86"/>
        <v/>
      </c>
      <c r="AA260" s="266" t="str">
        <f t="shared" ca="1" si="86"/>
        <v/>
      </c>
      <c r="AB260" s="267" t="str">
        <f t="shared" ca="1" si="86"/>
        <v/>
      </c>
      <c r="AC260" s="537"/>
      <c r="AD260" s="212" t="str">
        <f t="shared" ca="1" si="81"/>
        <v/>
      </c>
    </row>
    <row r="261" spans="1:30" s="45" customFormat="1" ht="22.5" customHeight="1">
      <c r="A261" s="258" t="str">
        <f ca="1">IFERROR(INDEX(凭证录入!H:H,$AD261),"")</f>
        <v/>
      </c>
      <c r="B261" s="259" t="str">
        <f ca="1">IFERROR(INDEX(凭证录入!I:I,$AD261),"")</f>
        <v/>
      </c>
      <c r="C261" s="260" t="str">
        <f ca="1">IFERROR(VLOOKUP($B261,会计科目表!$A:$C,2,),"")</f>
        <v/>
      </c>
      <c r="D261" s="261" t="str">
        <f ca="1">IFERROR(VLOOKUP($B261,会计科目表!$A:$C,3,),"")</f>
        <v/>
      </c>
      <c r="E261" s="262">
        <f ca="1">IFERROR(INDEX(凭证录入!K:K,$AD261),0)</f>
        <v>0</v>
      </c>
      <c r="F261" s="262">
        <f ca="1">IFERROR(INDEX(凭证录入!L:L,$AD261),0)</f>
        <v>0</v>
      </c>
      <c r="G261" s="263" t="str">
        <f t="shared" ca="1" si="85"/>
        <v/>
      </c>
      <c r="H261" s="264" t="str">
        <f t="shared" ca="1" si="85"/>
        <v/>
      </c>
      <c r="I261" s="265" t="str">
        <f t="shared" ca="1" si="85"/>
        <v/>
      </c>
      <c r="J261" s="266" t="str">
        <f t="shared" ca="1" si="85"/>
        <v/>
      </c>
      <c r="K261" s="264" t="str">
        <f t="shared" ca="1" si="85"/>
        <v/>
      </c>
      <c r="L261" s="265" t="str">
        <f t="shared" ca="1" si="85"/>
        <v/>
      </c>
      <c r="M261" s="266" t="str">
        <f t="shared" ca="1" si="85"/>
        <v/>
      </c>
      <c r="N261" s="264" t="str">
        <f t="shared" ca="1" si="85"/>
        <v/>
      </c>
      <c r="O261" s="265" t="str">
        <f t="shared" ca="1" si="85"/>
        <v/>
      </c>
      <c r="P261" s="266" t="str">
        <f t="shared" ca="1" si="85"/>
        <v/>
      </c>
      <c r="Q261" s="267" t="str">
        <f t="shared" ca="1" si="85"/>
        <v/>
      </c>
      <c r="R261" s="268" t="str">
        <f t="shared" ca="1" si="86"/>
        <v/>
      </c>
      <c r="S261" s="264" t="str">
        <f t="shared" ca="1" si="86"/>
        <v/>
      </c>
      <c r="T261" s="269" t="str">
        <f t="shared" ca="1" si="86"/>
        <v/>
      </c>
      <c r="U261" s="268" t="str">
        <f t="shared" ca="1" si="86"/>
        <v/>
      </c>
      <c r="V261" s="264" t="str">
        <f t="shared" ca="1" si="86"/>
        <v/>
      </c>
      <c r="W261" s="265" t="str">
        <f t="shared" ca="1" si="86"/>
        <v/>
      </c>
      <c r="X261" s="266" t="str">
        <f t="shared" ca="1" si="86"/>
        <v/>
      </c>
      <c r="Y261" s="264" t="str">
        <f t="shared" ca="1" si="86"/>
        <v/>
      </c>
      <c r="Z261" s="265" t="str">
        <f t="shared" ca="1" si="86"/>
        <v/>
      </c>
      <c r="AA261" s="266" t="str">
        <f t="shared" ca="1" si="86"/>
        <v/>
      </c>
      <c r="AB261" s="267" t="str">
        <f t="shared" ca="1" si="86"/>
        <v/>
      </c>
      <c r="AC261" s="538"/>
      <c r="AD261" s="212" t="str">
        <f t="shared" ca="1" si="81"/>
        <v/>
      </c>
    </row>
    <row r="262" spans="1:30" s="45" customFormat="1" ht="22.5" customHeight="1">
      <c r="A262" s="258" t="str">
        <f ca="1">IFERROR(INDEX(凭证录入!H:H,$AD262),"")</f>
        <v/>
      </c>
      <c r="B262" s="259" t="str">
        <f ca="1">IFERROR(INDEX(凭证录入!I:I,$AD262),"")</f>
        <v/>
      </c>
      <c r="C262" s="260" t="str">
        <f ca="1">IFERROR(VLOOKUP($B262,会计科目表!$A:$C,2,),"")</f>
        <v/>
      </c>
      <c r="D262" s="261" t="str">
        <f ca="1">IFERROR(VLOOKUP($B262,会计科目表!$A:$C,3,),"")</f>
        <v/>
      </c>
      <c r="E262" s="262">
        <f ca="1">IFERROR(INDEX(凭证录入!K:K,$AD262),0)</f>
        <v>0</v>
      </c>
      <c r="F262" s="262">
        <f ca="1">IFERROR(INDEX(凭证录入!L:L,$AD262),0)</f>
        <v>0</v>
      </c>
      <c r="G262" s="263" t="str">
        <f t="shared" ca="1" si="85"/>
        <v/>
      </c>
      <c r="H262" s="264" t="str">
        <f t="shared" ca="1" si="85"/>
        <v/>
      </c>
      <c r="I262" s="265" t="str">
        <f t="shared" ca="1" si="85"/>
        <v/>
      </c>
      <c r="J262" s="266" t="str">
        <f t="shared" ca="1" si="85"/>
        <v/>
      </c>
      <c r="K262" s="264" t="str">
        <f t="shared" ca="1" si="85"/>
        <v/>
      </c>
      <c r="L262" s="265" t="str">
        <f t="shared" ca="1" si="85"/>
        <v/>
      </c>
      <c r="M262" s="266" t="str">
        <f t="shared" ca="1" si="85"/>
        <v/>
      </c>
      <c r="N262" s="264" t="str">
        <f t="shared" ca="1" si="85"/>
        <v/>
      </c>
      <c r="O262" s="265" t="str">
        <f t="shared" ca="1" si="85"/>
        <v/>
      </c>
      <c r="P262" s="266" t="str">
        <f t="shared" ca="1" si="85"/>
        <v/>
      </c>
      <c r="Q262" s="267" t="str">
        <f t="shared" ca="1" si="85"/>
        <v/>
      </c>
      <c r="R262" s="268" t="str">
        <f t="shared" ca="1" si="86"/>
        <v/>
      </c>
      <c r="S262" s="264" t="str">
        <f t="shared" ca="1" si="86"/>
        <v/>
      </c>
      <c r="T262" s="269" t="str">
        <f t="shared" ca="1" si="86"/>
        <v/>
      </c>
      <c r="U262" s="268" t="str">
        <f t="shared" ca="1" si="86"/>
        <v/>
      </c>
      <c r="V262" s="264" t="str">
        <f t="shared" ca="1" si="86"/>
        <v/>
      </c>
      <c r="W262" s="265" t="str">
        <f t="shared" ca="1" si="86"/>
        <v/>
      </c>
      <c r="X262" s="266" t="str">
        <f t="shared" ca="1" si="86"/>
        <v/>
      </c>
      <c r="Y262" s="264" t="str">
        <f t="shared" ca="1" si="86"/>
        <v/>
      </c>
      <c r="Z262" s="265" t="str">
        <f t="shared" ca="1" si="86"/>
        <v/>
      </c>
      <c r="AA262" s="266" t="str">
        <f t="shared" ca="1" si="86"/>
        <v/>
      </c>
      <c r="AB262" s="267" t="str">
        <f t="shared" ca="1" si="86"/>
        <v/>
      </c>
      <c r="AC262" s="538"/>
      <c r="AD262" s="212" t="str">
        <f t="shared" ca="1" si="81"/>
        <v/>
      </c>
    </row>
    <row r="263" spans="1:30" s="45" customFormat="1" ht="22.5" customHeight="1">
      <c r="A263" s="270" t="s">
        <v>624</v>
      </c>
      <c r="B263" s="271"/>
      <c r="C263" s="272" t="str">
        <f t="shared" ref="C263" ca="1" si="95">SUBSTITUTE(SUBSTITUTE(IF(-DOLLAR(E263),IF(E263&gt;0,,"负")&amp;TEXT(INT(ABS(E263)+0.5%),"[dbnum2]G/通用格式元;;")&amp;TEXT(RIGHT(DOLLAR(E263,2),2),"[dbnum2]0角0分;;整"),),"零角",IF(E263^2&lt;1,,"零")),"零分","整")</f>
        <v/>
      </c>
      <c r="D263" s="273"/>
      <c r="E263" s="274">
        <f t="shared" ref="E263:F263" ca="1" si="96">SUM(E257:E262)</f>
        <v>0</v>
      </c>
      <c r="F263" s="275">
        <f t="shared" ca="1" si="96"/>
        <v>0</v>
      </c>
      <c r="G263" s="276" t="str">
        <f t="shared" ca="1" si="85"/>
        <v/>
      </c>
      <c r="H263" s="277" t="str">
        <f t="shared" ca="1" si="85"/>
        <v/>
      </c>
      <c r="I263" s="278" t="str">
        <f t="shared" ca="1" si="85"/>
        <v/>
      </c>
      <c r="J263" s="279" t="str">
        <f t="shared" ca="1" si="85"/>
        <v/>
      </c>
      <c r="K263" s="277" t="str">
        <f t="shared" ca="1" si="85"/>
        <v/>
      </c>
      <c r="L263" s="278" t="str">
        <f t="shared" ca="1" si="85"/>
        <v/>
      </c>
      <c r="M263" s="279" t="str">
        <f t="shared" ca="1" si="85"/>
        <v/>
      </c>
      <c r="N263" s="277" t="str">
        <f t="shared" ca="1" si="85"/>
        <v/>
      </c>
      <c r="O263" s="278" t="str">
        <f t="shared" ca="1" si="85"/>
        <v/>
      </c>
      <c r="P263" s="279" t="str">
        <f t="shared" ca="1" si="85"/>
        <v/>
      </c>
      <c r="Q263" s="280" t="str">
        <f t="shared" ca="1" si="85"/>
        <v/>
      </c>
      <c r="R263" s="281" t="str">
        <f t="shared" ca="1" si="86"/>
        <v/>
      </c>
      <c r="S263" s="277" t="str">
        <f t="shared" ca="1" si="86"/>
        <v/>
      </c>
      <c r="T263" s="282" t="str">
        <f t="shared" ca="1" si="86"/>
        <v/>
      </c>
      <c r="U263" s="281" t="str">
        <f t="shared" ca="1" si="86"/>
        <v/>
      </c>
      <c r="V263" s="277" t="str">
        <f t="shared" ca="1" si="86"/>
        <v/>
      </c>
      <c r="W263" s="278" t="str">
        <f t="shared" ca="1" si="86"/>
        <v/>
      </c>
      <c r="X263" s="279" t="str">
        <f t="shared" ca="1" si="86"/>
        <v/>
      </c>
      <c r="Y263" s="277" t="str">
        <f t="shared" ca="1" si="86"/>
        <v/>
      </c>
      <c r="Z263" s="278" t="str">
        <f t="shared" ca="1" si="86"/>
        <v/>
      </c>
      <c r="AA263" s="279" t="str">
        <f t="shared" ca="1" si="86"/>
        <v/>
      </c>
      <c r="AB263" s="280" t="str">
        <f t="shared" ca="1" si="86"/>
        <v/>
      </c>
      <c r="AC263" s="283"/>
      <c r="AD263" s="212"/>
    </row>
    <row r="264" spans="1:30" s="22" customFormat="1" ht="22.5" customHeight="1">
      <c r="A264" s="284" t="s">
        <v>626</v>
      </c>
      <c r="B264" s="284"/>
      <c r="C264" s="284"/>
      <c r="D264" s="284" t="s">
        <v>628</v>
      </c>
      <c r="E264" s="284"/>
      <c r="F264" s="284"/>
      <c r="G264" s="284"/>
      <c r="H264" s="285"/>
      <c r="I264" s="284"/>
      <c r="J264" s="285"/>
      <c r="K264" s="285"/>
      <c r="L264" s="284"/>
      <c r="M264" s="285"/>
      <c r="N264" s="285"/>
      <c r="O264" s="285"/>
      <c r="P264" s="284"/>
      <c r="Q264" s="284" t="s">
        <v>630</v>
      </c>
      <c r="R264" s="284"/>
      <c r="S264" s="284"/>
      <c r="T264" s="284"/>
      <c r="U264" s="285"/>
      <c r="V264" s="284"/>
      <c r="W264" s="285"/>
      <c r="X264" s="284"/>
      <c r="Y264" s="284"/>
      <c r="Z264" s="285"/>
      <c r="AA264" s="285"/>
      <c r="AB264" s="285"/>
      <c r="AC264" s="286"/>
      <c r="AD264" s="212"/>
    </row>
    <row r="265" spans="1:30" ht="39.75" customHeight="1" thickBot="1">
      <c r="A265" s="226"/>
      <c r="B265" s="226"/>
      <c r="C265" s="227" t="s">
        <v>576</v>
      </c>
      <c r="D265" s="228"/>
      <c r="E265" s="226"/>
      <c r="F265" s="226"/>
      <c r="G265" s="228"/>
      <c r="H265" s="228"/>
      <c r="I265" s="228"/>
      <c r="J265" s="228"/>
      <c r="K265" s="228"/>
      <c r="L265" s="228"/>
      <c r="M265" s="228"/>
      <c r="N265" s="228"/>
      <c r="O265" s="228"/>
      <c r="P265" s="228"/>
      <c r="Q265" s="228"/>
      <c r="R265" s="229" t="s">
        <v>578</v>
      </c>
      <c r="S265" s="230"/>
      <c r="T265" s="230"/>
      <c r="U265" s="231" t="e">
        <f ca="1">DATE(AD$1,AF$1,INDEX(凭证录入!B:B,AD269))</f>
        <v>#VALUE!</v>
      </c>
      <c r="V265" s="232"/>
      <c r="W265" s="232"/>
      <c r="X265" s="232"/>
      <c r="Y265" s="232"/>
      <c r="Z265" s="232"/>
      <c r="AA265" s="232"/>
      <c r="AB265" s="232"/>
      <c r="AD265" s="212"/>
    </row>
    <row r="266" spans="1:30" s="45" customFormat="1" ht="23.25" customHeight="1" thickTop="1">
      <c r="A266" s="235" t="s">
        <v>582</v>
      </c>
      <c r="B266" s="235"/>
      <c r="C266" s="236" t="str">
        <f t="shared" si="92"/>
        <v>远大开发有限公司</v>
      </c>
      <c r="D266" s="236"/>
      <c r="E266" s="236"/>
      <c r="F266" s="236"/>
      <c r="G266" s="236"/>
      <c r="H266" s="236"/>
      <c r="I266" s="236"/>
      <c r="J266" s="236"/>
      <c r="K266" s="236"/>
      <c r="L266" s="236"/>
      <c r="M266" s="236"/>
      <c r="N266" s="236"/>
      <c r="O266" s="236"/>
      <c r="P266" s="236"/>
      <c r="Q266" s="236"/>
      <c r="R266" s="229" t="s">
        <v>584</v>
      </c>
      <c r="S266" s="229"/>
      <c r="T266" s="229"/>
      <c r="U266" s="237" t="str">
        <f t="shared" ref="U266" si="97">"第 "&amp;TEXT($AF$1,"00")&amp;TEXT($AC266,"0000 号")</f>
        <v>第 010022 号</v>
      </c>
      <c r="V266" s="237"/>
      <c r="W266" s="238"/>
      <c r="X266" s="238"/>
      <c r="Y266" s="238"/>
      <c r="Z266" s="238"/>
      <c r="AA266" s="238"/>
      <c r="AB266" s="238"/>
      <c r="AC266" s="239">
        <f t="shared" si="94"/>
        <v>22</v>
      </c>
      <c r="AD266" s="212"/>
    </row>
    <row r="267" spans="1:30" s="45" customFormat="1" ht="22.5" customHeight="1">
      <c r="A267" s="241" t="s">
        <v>585</v>
      </c>
      <c r="B267" s="542" t="s">
        <v>63</v>
      </c>
      <c r="C267" s="242" t="s">
        <v>588</v>
      </c>
      <c r="D267" s="243" t="s">
        <v>590</v>
      </c>
      <c r="E267" s="539" t="s">
        <v>592</v>
      </c>
      <c r="F267" s="539" t="s">
        <v>594</v>
      </c>
      <c r="G267" s="244" t="s">
        <v>596</v>
      </c>
      <c r="H267" s="245"/>
      <c r="I267" s="245"/>
      <c r="J267" s="245"/>
      <c r="K267" s="245"/>
      <c r="L267" s="245"/>
      <c r="M267" s="245"/>
      <c r="N267" s="245"/>
      <c r="O267" s="245"/>
      <c r="P267" s="245"/>
      <c r="Q267" s="246"/>
      <c r="R267" s="247" t="s">
        <v>598</v>
      </c>
      <c r="S267" s="245"/>
      <c r="T267" s="245"/>
      <c r="U267" s="245"/>
      <c r="V267" s="245"/>
      <c r="W267" s="245"/>
      <c r="X267" s="245"/>
      <c r="Y267" s="245"/>
      <c r="Z267" s="245"/>
      <c r="AA267" s="245"/>
      <c r="AB267" s="246"/>
      <c r="AC267" s="541" t="str">
        <f ca="1">"附单据数︵"&amp;INDEX(凭证录入!$D:$D,$AD$17)&amp;"︶张"</f>
        <v>附单据数︵4︶张</v>
      </c>
      <c r="AD267" s="235"/>
    </row>
    <row r="268" spans="1:30" s="45" customFormat="1" ht="22.5" customHeight="1">
      <c r="A268" s="248" t="s">
        <v>600</v>
      </c>
      <c r="B268" s="543"/>
      <c r="C268" s="249" t="s">
        <v>602</v>
      </c>
      <c r="D268" s="250" t="s">
        <v>602</v>
      </c>
      <c r="E268" s="540"/>
      <c r="F268" s="540"/>
      <c r="G268" s="251" t="s">
        <v>604</v>
      </c>
      <c r="H268" s="252" t="s">
        <v>606</v>
      </c>
      <c r="I268" s="253" t="s">
        <v>608</v>
      </c>
      <c r="J268" s="254" t="s">
        <v>610</v>
      </c>
      <c r="K268" s="252" t="s">
        <v>612</v>
      </c>
      <c r="L268" s="253" t="s">
        <v>606</v>
      </c>
      <c r="M268" s="254" t="s">
        <v>608</v>
      </c>
      <c r="N268" s="252" t="s">
        <v>610</v>
      </c>
      <c r="O268" s="253" t="s">
        <v>616</v>
      </c>
      <c r="P268" s="254" t="s">
        <v>618</v>
      </c>
      <c r="Q268" s="255" t="s">
        <v>620</v>
      </c>
      <c r="R268" s="256" t="s">
        <v>604</v>
      </c>
      <c r="S268" s="252" t="s">
        <v>606</v>
      </c>
      <c r="T268" s="257" t="s">
        <v>608</v>
      </c>
      <c r="U268" s="256" t="s">
        <v>610</v>
      </c>
      <c r="V268" s="252" t="s">
        <v>612</v>
      </c>
      <c r="W268" s="253" t="s">
        <v>606</v>
      </c>
      <c r="X268" s="254" t="s">
        <v>608</v>
      </c>
      <c r="Y268" s="252" t="s">
        <v>610</v>
      </c>
      <c r="Z268" s="253" t="s">
        <v>616</v>
      </c>
      <c r="AA268" s="254" t="s">
        <v>618</v>
      </c>
      <c r="AB268" s="255" t="s">
        <v>620</v>
      </c>
      <c r="AC268" s="541"/>
    </row>
    <row r="269" spans="1:30" s="45" customFormat="1" ht="22.5" customHeight="1">
      <c r="A269" s="258" t="str">
        <f ca="1">IFERROR(INDEX(凭证录入!H:H,$AD269),"")</f>
        <v/>
      </c>
      <c r="B269" s="259" t="str">
        <f ca="1">IFERROR(INDEX(凭证录入!I:I,$AD269),"")</f>
        <v/>
      </c>
      <c r="C269" s="260" t="str">
        <f ca="1">IFERROR(VLOOKUP($B269,会计科目表!$A:$C,2,),"")</f>
        <v/>
      </c>
      <c r="D269" s="261" t="str">
        <f ca="1">IFERROR(VLOOKUP($B269,会计科目表!$A:$C,3,),"")</f>
        <v/>
      </c>
      <c r="E269" s="262">
        <f ca="1">IFERROR(INDEX(凭证录入!K:K,$AD269),0)</f>
        <v>0</v>
      </c>
      <c r="F269" s="262">
        <f ca="1">IFERROR(INDEX(凭证录入!L:L,$AD269),0)</f>
        <v>0</v>
      </c>
      <c r="G269" s="263" t="str">
        <f t="shared" ca="1" si="85"/>
        <v/>
      </c>
      <c r="H269" s="264" t="str">
        <f t="shared" ca="1" si="85"/>
        <v/>
      </c>
      <c r="I269" s="265" t="str">
        <f t="shared" ca="1" si="85"/>
        <v/>
      </c>
      <c r="J269" s="266" t="str">
        <f t="shared" ca="1" si="85"/>
        <v/>
      </c>
      <c r="K269" s="264" t="str">
        <f t="shared" ca="1" si="85"/>
        <v/>
      </c>
      <c r="L269" s="265" t="str">
        <f t="shared" ca="1" si="85"/>
        <v/>
      </c>
      <c r="M269" s="266" t="str">
        <f t="shared" ca="1" si="85"/>
        <v/>
      </c>
      <c r="N269" s="264" t="str">
        <f t="shared" ca="1" si="85"/>
        <v/>
      </c>
      <c r="O269" s="265" t="str">
        <f t="shared" ca="1" si="85"/>
        <v/>
      </c>
      <c r="P269" s="266" t="str">
        <f t="shared" ca="1" si="85"/>
        <v/>
      </c>
      <c r="Q269" s="267" t="str">
        <f t="shared" ca="1" si="85"/>
        <v/>
      </c>
      <c r="R269" s="268" t="str">
        <f t="shared" ca="1" si="86"/>
        <v/>
      </c>
      <c r="S269" s="264" t="str">
        <f t="shared" ca="1" si="86"/>
        <v/>
      </c>
      <c r="T269" s="269" t="str">
        <f t="shared" ca="1" si="86"/>
        <v/>
      </c>
      <c r="U269" s="268" t="str">
        <f t="shared" ca="1" si="86"/>
        <v/>
      </c>
      <c r="V269" s="264" t="str">
        <f t="shared" ca="1" si="86"/>
        <v/>
      </c>
      <c r="W269" s="265" t="str">
        <f t="shared" ca="1" si="86"/>
        <v/>
      </c>
      <c r="X269" s="266" t="str">
        <f t="shared" ca="1" si="86"/>
        <v/>
      </c>
      <c r="Y269" s="264" t="str">
        <f t="shared" ca="1" si="86"/>
        <v/>
      </c>
      <c r="Z269" s="265" t="str">
        <f t="shared" ca="1" si="86"/>
        <v/>
      </c>
      <c r="AA269" s="266" t="str">
        <f t="shared" ca="1" si="86"/>
        <v/>
      </c>
      <c r="AB269" s="267" t="str">
        <f t="shared" ca="1" si="86"/>
        <v/>
      </c>
      <c r="AC269" s="541"/>
      <c r="AD269" s="212" t="str">
        <f t="shared" ca="1" si="81"/>
        <v/>
      </c>
    </row>
    <row r="270" spans="1:30" s="45" customFormat="1" ht="22.5" customHeight="1">
      <c r="A270" s="258" t="str">
        <f ca="1">IFERROR(INDEX(凭证录入!H:H,$AD270),"")</f>
        <v/>
      </c>
      <c r="B270" s="259" t="str">
        <f ca="1">IFERROR(INDEX(凭证录入!I:I,$AD270),"")</f>
        <v/>
      </c>
      <c r="C270" s="260" t="str">
        <f ca="1">IFERROR(VLOOKUP($B270,会计科目表!$A:$C,2,),"")</f>
        <v/>
      </c>
      <c r="D270" s="261" t="str">
        <f ca="1">IFERROR(VLOOKUP($B270,会计科目表!$A:$C,3,),"")</f>
        <v/>
      </c>
      <c r="E270" s="262">
        <f ca="1">IFERROR(INDEX(凭证录入!K:K,$AD270),0)</f>
        <v>0</v>
      </c>
      <c r="F270" s="262">
        <f ca="1">IFERROR(INDEX(凭证录入!L:L,$AD270),0)</f>
        <v>0</v>
      </c>
      <c r="G270" s="263" t="str">
        <f t="shared" ca="1" si="85"/>
        <v/>
      </c>
      <c r="H270" s="264" t="str">
        <f t="shared" ca="1" si="85"/>
        <v/>
      </c>
      <c r="I270" s="265" t="str">
        <f t="shared" ca="1" si="85"/>
        <v/>
      </c>
      <c r="J270" s="266" t="str">
        <f t="shared" ca="1" si="85"/>
        <v/>
      </c>
      <c r="K270" s="264" t="str">
        <f t="shared" ca="1" si="85"/>
        <v/>
      </c>
      <c r="L270" s="265" t="str">
        <f t="shared" ca="1" si="85"/>
        <v/>
      </c>
      <c r="M270" s="266" t="str">
        <f t="shared" ca="1" si="85"/>
        <v/>
      </c>
      <c r="N270" s="264" t="str">
        <f t="shared" ca="1" si="85"/>
        <v/>
      </c>
      <c r="O270" s="265" t="str">
        <f t="shared" ca="1" si="85"/>
        <v/>
      </c>
      <c r="P270" s="266" t="str">
        <f t="shared" ca="1" si="85"/>
        <v/>
      </c>
      <c r="Q270" s="267" t="str">
        <f t="shared" ca="1" si="85"/>
        <v/>
      </c>
      <c r="R270" s="268" t="str">
        <f t="shared" ca="1" si="86"/>
        <v/>
      </c>
      <c r="S270" s="264" t="str">
        <f t="shared" ca="1" si="86"/>
        <v/>
      </c>
      <c r="T270" s="269" t="str">
        <f t="shared" ca="1" si="86"/>
        <v/>
      </c>
      <c r="U270" s="268" t="str">
        <f t="shared" ca="1" si="86"/>
        <v/>
      </c>
      <c r="V270" s="264" t="str">
        <f t="shared" ca="1" si="86"/>
        <v/>
      </c>
      <c r="W270" s="265" t="str">
        <f t="shared" ca="1" si="86"/>
        <v/>
      </c>
      <c r="X270" s="266" t="str">
        <f t="shared" ca="1" si="86"/>
        <v/>
      </c>
      <c r="Y270" s="264" t="str">
        <f t="shared" ca="1" si="86"/>
        <v/>
      </c>
      <c r="Z270" s="265" t="str">
        <f t="shared" ca="1" si="86"/>
        <v/>
      </c>
      <c r="AA270" s="266" t="str">
        <f t="shared" ca="1" si="86"/>
        <v/>
      </c>
      <c r="AB270" s="267" t="str">
        <f t="shared" ca="1" si="86"/>
        <v/>
      </c>
      <c r="AC270" s="541"/>
      <c r="AD270" s="212" t="str">
        <f t="shared" ca="1" si="81"/>
        <v/>
      </c>
    </row>
    <row r="271" spans="1:30" s="45" customFormat="1" ht="22.5" customHeight="1">
      <c r="A271" s="258" t="str">
        <f ca="1">IFERROR(INDEX(凭证录入!H:H,$AD271),"")</f>
        <v/>
      </c>
      <c r="B271" s="259" t="str">
        <f ca="1">IFERROR(INDEX(凭证录入!I:I,$AD271),"")</f>
        <v/>
      </c>
      <c r="C271" s="260" t="str">
        <f ca="1">IFERROR(VLOOKUP($B271,会计科目表!$A:$C,2,),"")</f>
        <v/>
      </c>
      <c r="D271" s="261" t="str">
        <f ca="1">IFERROR(VLOOKUP($B271,会计科目表!$A:$C,3,),"")</f>
        <v/>
      </c>
      <c r="E271" s="262">
        <f ca="1">IFERROR(INDEX(凭证录入!K:K,$AD271),0)</f>
        <v>0</v>
      </c>
      <c r="F271" s="262">
        <f ca="1">IFERROR(INDEX(凭证录入!L:L,$AD271),0)</f>
        <v>0</v>
      </c>
      <c r="G271" s="263" t="str">
        <f t="shared" ca="1" si="85"/>
        <v/>
      </c>
      <c r="H271" s="264" t="str">
        <f t="shared" ca="1" si="85"/>
        <v/>
      </c>
      <c r="I271" s="265" t="str">
        <f t="shared" ca="1" si="85"/>
        <v/>
      </c>
      <c r="J271" s="266" t="str">
        <f t="shared" ca="1" si="85"/>
        <v/>
      </c>
      <c r="K271" s="264" t="str">
        <f t="shared" ca="1" si="85"/>
        <v/>
      </c>
      <c r="L271" s="265" t="str">
        <f t="shared" ca="1" si="85"/>
        <v/>
      </c>
      <c r="M271" s="266" t="str">
        <f t="shared" ca="1" si="85"/>
        <v/>
      </c>
      <c r="N271" s="264" t="str">
        <f t="shared" ca="1" si="85"/>
        <v/>
      </c>
      <c r="O271" s="265" t="str">
        <f t="shared" ca="1" si="85"/>
        <v/>
      </c>
      <c r="P271" s="266" t="str">
        <f t="shared" ca="1" si="85"/>
        <v/>
      </c>
      <c r="Q271" s="267" t="str">
        <f t="shared" ca="1" si="85"/>
        <v/>
      </c>
      <c r="R271" s="268" t="str">
        <f t="shared" ca="1" si="86"/>
        <v/>
      </c>
      <c r="S271" s="264" t="str">
        <f t="shared" ca="1" si="86"/>
        <v/>
      </c>
      <c r="T271" s="269" t="str">
        <f t="shared" ca="1" si="86"/>
        <v/>
      </c>
      <c r="U271" s="268" t="str">
        <f t="shared" ca="1" si="86"/>
        <v/>
      </c>
      <c r="V271" s="264" t="str">
        <f t="shared" ca="1" si="86"/>
        <v/>
      </c>
      <c r="W271" s="265" t="str">
        <f t="shared" ca="1" si="86"/>
        <v/>
      </c>
      <c r="X271" s="266" t="str">
        <f t="shared" ca="1" si="86"/>
        <v/>
      </c>
      <c r="Y271" s="264" t="str">
        <f t="shared" ca="1" si="86"/>
        <v/>
      </c>
      <c r="Z271" s="265" t="str">
        <f t="shared" ca="1" si="86"/>
        <v/>
      </c>
      <c r="AA271" s="266" t="str">
        <f t="shared" ca="1" si="86"/>
        <v/>
      </c>
      <c r="AB271" s="267" t="str">
        <f t="shared" ca="1" si="86"/>
        <v/>
      </c>
      <c r="AC271" s="536" t="s">
        <v>669</v>
      </c>
      <c r="AD271" s="212" t="str">
        <f t="shared" ca="1" si="81"/>
        <v/>
      </c>
    </row>
    <row r="272" spans="1:30" s="45" customFormat="1" ht="22.5" customHeight="1">
      <c r="A272" s="258" t="str">
        <f ca="1">IFERROR(INDEX(凭证录入!H:H,$AD272),"")</f>
        <v/>
      </c>
      <c r="B272" s="259" t="str">
        <f ca="1">IFERROR(INDEX(凭证录入!I:I,$AD272),"")</f>
        <v/>
      </c>
      <c r="C272" s="260" t="str">
        <f ca="1">IFERROR(VLOOKUP($B272,会计科目表!$A:$C,2,),"")</f>
        <v/>
      </c>
      <c r="D272" s="261" t="str">
        <f ca="1">IFERROR(VLOOKUP($B272,会计科目表!$A:$C,3,),"")</f>
        <v/>
      </c>
      <c r="E272" s="262">
        <f ca="1">IFERROR(INDEX(凭证录入!K:K,$AD272),0)</f>
        <v>0</v>
      </c>
      <c r="F272" s="262">
        <f ca="1">IFERROR(INDEX(凭证录入!L:L,$AD272),0)</f>
        <v>0</v>
      </c>
      <c r="G272" s="263" t="str">
        <f t="shared" ca="1" si="85"/>
        <v/>
      </c>
      <c r="H272" s="264" t="str">
        <f t="shared" ca="1" si="85"/>
        <v/>
      </c>
      <c r="I272" s="265" t="str">
        <f t="shared" ca="1" si="85"/>
        <v/>
      </c>
      <c r="J272" s="266" t="str">
        <f t="shared" ca="1" si="85"/>
        <v/>
      </c>
      <c r="K272" s="264" t="str">
        <f t="shared" ca="1" si="85"/>
        <v/>
      </c>
      <c r="L272" s="265" t="str">
        <f t="shared" ca="1" si="85"/>
        <v/>
      </c>
      <c r="M272" s="266" t="str">
        <f t="shared" ca="1" si="85"/>
        <v/>
      </c>
      <c r="N272" s="264" t="str">
        <f t="shared" ca="1" si="85"/>
        <v/>
      </c>
      <c r="O272" s="265" t="str">
        <f t="shared" ca="1" si="85"/>
        <v/>
      </c>
      <c r="P272" s="266" t="str">
        <f t="shared" ca="1" si="85"/>
        <v/>
      </c>
      <c r="Q272" s="267" t="str">
        <f t="shared" ca="1" si="85"/>
        <v/>
      </c>
      <c r="R272" s="268" t="str">
        <f t="shared" ca="1" si="86"/>
        <v/>
      </c>
      <c r="S272" s="264" t="str">
        <f t="shared" ca="1" si="86"/>
        <v/>
      </c>
      <c r="T272" s="269" t="str">
        <f t="shared" ca="1" si="86"/>
        <v/>
      </c>
      <c r="U272" s="268" t="str">
        <f t="shared" ca="1" si="86"/>
        <v/>
      </c>
      <c r="V272" s="264" t="str">
        <f t="shared" ca="1" si="86"/>
        <v/>
      </c>
      <c r="W272" s="265" t="str">
        <f t="shared" ca="1" si="86"/>
        <v/>
      </c>
      <c r="X272" s="266" t="str">
        <f t="shared" ca="1" si="86"/>
        <v/>
      </c>
      <c r="Y272" s="264" t="str">
        <f t="shared" ca="1" si="86"/>
        <v/>
      </c>
      <c r="Z272" s="265" t="str">
        <f t="shared" ca="1" si="86"/>
        <v/>
      </c>
      <c r="AA272" s="266" t="str">
        <f t="shared" ca="1" si="86"/>
        <v/>
      </c>
      <c r="AB272" s="267" t="str">
        <f t="shared" ca="1" si="86"/>
        <v/>
      </c>
      <c r="AC272" s="537"/>
      <c r="AD272" s="212" t="str">
        <f t="shared" ca="1" si="81"/>
        <v/>
      </c>
    </row>
    <row r="273" spans="1:30" s="45" customFormat="1" ht="22.5" customHeight="1">
      <c r="A273" s="258" t="str">
        <f ca="1">IFERROR(INDEX(凭证录入!H:H,$AD273),"")</f>
        <v/>
      </c>
      <c r="B273" s="259" t="str">
        <f ca="1">IFERROR(INDEX(凭证录入!I:I,$AD273),"")</f>
        <v/>
      </c>
      <c r="C273" s="260" t="str">
        <f ca="1">IFERROR(VLOOKUP($B273,会计科目表!$A:$C,2,),"")</f>
        <v/>
      </c>
      <c r="D273" s="261" t="str">
        <f ca="1">IFERROR(VLOOKUP($B273,会计科目表!$A:$C,3,),"")</f>
        <v/>
      </c>
      <c r="E273" s="262">
        <f ca="1">IFERROR(INDEX(凭证录入!K:K,$AD273),0)</f>
        <v>0</v>
      </c>
      <c r="F273" s="262">
        <f ca="1">IFERROR(INDEX(凭证录入!L:L,$AD273),0)</f>
        <v>0</v>
      </c>
      <c r="G273" s="263" t="str">
        <f t="shared" ca="1" si="85"/>
        <v/>
      </c>
      <c r="H273" s="264" t="str">
        <f t="shared" ca="1" si="85"/>
        <v/>
      </c>
      <c r="I273" s="265" t="str">
        <f t="shared" ca="1" si="85"/>
        <v/>
      </c>
      <c r="J273" s="266" t="str">
        <f t="shared" ca="1" si="85"/>
        <v/>
      </c>
      <c r="K273" s="264" t="str">
        <f t="shared" ca="1" si="85"/>
        <v/>
      </c>
      <c r="L273" s="265" t="str">
        <f t="shared" ca="1" si="85"/>
        <v/>
      </c>
      <c r="M273" s="266" t="str">
        <f t="shared" ca="1" si="85"/>
        <v/>
      </c>
      <c r="N273" s="264" t="str">
        <f t="shared" ca="1" si="85"/>
        <v/>
      </c>
      <c r="O273" s="265" t="str">
        <f t="shared" ca="1" si="85"/>
        <v/>
      </c>
      <c r="P273" s="266" t="str">
        <f t="shared" ca="1" si="85"/>
        <v/>
      </c>
      <c r="Q273" s="267" t="str">
        <f t="shared" ca="1" si="85"/>
        <v/>
      </c>
      <c r="R273" s="268" t="str">
        <f t="shared" ca="1" si="86"/>
        <v/>
      </c>
      <c r="S273" s="264" t="str">
        <f t="shared" ca="1" si="86"/>
        <v/>
      </c>
      <c r="T273" s="269" t="str">
        <f t="shared" ca="1" si="86"/>
        <v/>
      </c>
      <c r="U273" s="268" t="str">
        <f t="shared" ca="1" si="86"/>
        <v/>
      </c>
      <c r="V273" s="264" t="str">
        <f t="shared" ca="1" si="86"/>
        <v/>
      </c>
      <c r="W273" s="265" t="str">
        <f t="shared" ca="1" si="86"/>
        <v/>
      </c>
      <c r="X273" s="266" t="str">
        <f t="shared" ca="1" si="86"/>
        <v/>
      </c>
      <c r="Y273" s="264" t="str">
        <f t="shared" ca="1" si="86"/>
        <v/>
      </c>
      <c r="Z273" s="265" t="str">
        <f t="shared" ca="1" si="86"/>
        <v/>
      </c>
      <c r="AA273" s="266" t="str">
        <f t="shared" ca="1" si="86"/>
        <v/>
      </c>
      <c r="AB273" s="267" t="str">
        <f t="shared" ca="1" si="86"/>
        <v/>
      </c>
      <c r="AC273" s="538"/>
      <c r="AD273" s="212" t="str">
        <f t="shared" ca="1" si="81"/>
        <v/>
      </c>
    </row>
    <row r="274" spans="1:30" s="45" customFormat="1" ht="22.5" customHeight="1">
      <c r="A274" s="258" t="str">
        <f ca="1">IFERROR(INDEX(凭证录入!H:H,$AD274),"")</f>
        <v/>
      </c>
      <c r="B274" s="259" t="str">
        <f ca="1">IFERROR(INDEX(凭证录入!I:I,$AD274),"")</f>
        <v/>
      </c>
      <c r="C274" s="260" t="str">
        <f ca="1">IFERROR(VLOOKUP($B274,会计科目表!$A:$C,2,),"")</f>
        <v/>
      </c>
      <c r="D274" s="261" t="str">
        <f ca="1">IFERROR(VLOOKUP($B274,会计科目表!$A:$C,3,),"")</f>
        <v/>
      </c>
      <c r="E274" s="262">
        <f ca="1">IFERROR(INDEX(凭证录入!K:K,$AD274),0)</f>
        <v>0</v>
      </c>
      <c r="F274" s="262">
        <f ca="1">IFERROR(INDEX(凭证录入!L:L,$AD274),0)</f>
        <v>0</v>
      </c>
      <c r="G274" s="263" t="str">
        <f t="shared" ca="1" si="85"/>
        <v/>
      </c>
      <c r="H274" s="264" t="str">
        <f t="shared" ca="1" si="85"/>
        <v/>
      </c>
      <c r="I274" s="265" t="str">
        <f t="shared" ca="1" si="85"/>
        <v/>
      </c>
      <c r="J274" s="266" t="str">
        <f t="shared" ca="1" si="85"/>
        <v/>
      </c>
      <c r="K274" s="264" t="str">
        <f t="shared" ca="1" si="85"/>
        <v/>
      </c>
      <c r="L274" s="265" t="str">
        <f t="shared" ca="1" si="85"/>
        <v/>
      </c>
      <c r="M274" s="266" t="str">
        <f t="shared" ca="1" si="85"/>
        <v/>
      </c>
      <c r="N274" s="264" t="str">
        <f t="shared" ca="1" si="85"/>
        <v/>
      </c>
      <c r="O274" s="265" t="str">
        <f t="shared" ca="1" si="85"/>
        <v/>
      </c>
      <c r="P274" s="266" t="str">
        <f t="shared" ca="1" si="85"/>
        <v/>
      </c>
      <c r="Q274" s="267" t="str">
        <f t="shared" ca="1" si="85"/>
        <v/>
      </c>
      <c r="R274" s="268" t="str">
        <f t="shared" ca="1" si="86"/>
        <v/>
      </c>
      <c r="S274" s="264" t="str">
        <f t="shared" ca="1" si="86"/>
        <v/>
      </c>
      <c r="T274" s="269" t="str">
        <f t="shared" ca="1" si="86"/>
        <v/>
      </c>
      <c r="U274" s="268" t="str">
        <f t="shared" ca="1" si="86"/>
        <v/>
      </c>
      <c r="V274" s="264" t="str">
        <f t="shared" ca="1" si="86"/>
        <v/>
      </c>
      <c r="W274" s="265" t="str">
        <f t="shared" ca="1" si="86"/>
        <v/>
      </c>
      <c r="X274" s="266" t="str">
        <f t="shared" ca="1" si="86"/>
        <v/>
      </c>
      <c r="Y274" s="264" t="str">
        <f t="shared" ca="1" si="86"/>
        <v/>
      </c>
      <c r="Z274" s="265" t="str">
        <f t="shared" ca="1" si="86"/>
        <v/>
      </c>
      <c r="AA274" s="266" t="str">
        <f t="shared" ca="1" si="86"/>
        <v/>
      </c>
      <c r="AB274" s="267" t="str">
        <f t="shared" ca="1" si="86"/>
        <v/>
      </c>
      <c r="AC274" s="538"/>
      <c r="AD274" s="212" t="str">
        <f t="shared" ca="1" si="81"/>
        <v/>
      </c>
    </row>
    <row r="275" spans="1:30" s="45" customFormat="1" ht="22.5" customHeight="1">
      <c r="A275" s="270" t="s">
        <v>670</v>
      </c>
      <c r="B275" s="271"/>
      <c r="C275" s="272" t="str">
        <f t="shared" ref="C275" ca="1" si="98">SUBSTITUTE(SUBSTITUTE(IF(-DOLLAR(E275),IF(E275&gt;0,,"负")&amp;TEXT(INT(ABS(E275)+0.5%),"[dbnum2]G/通用格式元;;")&amp;TEXT(RIGHT(DOLLAR(E275,2),2),"[dbnum2]0角0分;;整"),),"零角",IF(E275^2&lt;1,,"零")),"零分","整")</f>
        <v/>
      </c>
      <c r="D275" s="273"/>
      <c r="E275" s="274">
        <f t="shared" ref="E275:F275" ca="1" si="99">SUM(E269:E274)</f>
        <v>0</v>
      </c>
      <c r="F275" s="275">
        <f t="shared" ca="1" si="99"/>
        <v>0</v>
      </c>
      <c r="G275" s="276" t="str">
        <f t="shared" ca="1" si="85"/>
        <v/>
      </c>
      <c r="H275" s="277" t="str">
        <f t="shared" ca="1" si="85"/>
        <v/>
      </c>
      <c r="I275" s="278" t="str">
        <f t="shared" ca="1" si="85"/>
        <v/>
      </c>
      <c r="J275" s="279" t="str">
        <f t="shared" ca="1" si="85"/>
        <v/>
      </c>
      <c r="K275" s="277" t="str">
        <f t="shared" ca="1" si="85"/>
        <v/>
      </c>
      <c r="L275" s="278" t="str">
        <f t="shared" ca="1" si="85"/>
        <v/>
      </c>
      <c r="M275" s="279" t="str">
        <f t="shared" ref="M275:Q275" ca="1" si="100">LEFT(RIGHT(TEXT($E275/1%," ￥0; ￥-0;"),18-COLUMN()))</f>
        <v/>
      </c>
      <c r="N275" s="277" t="str">
        <f t="shared" ca="1" si="100"/>
        <v/>
      </c>
      <c r="O275" s="278" t="str">
        <f t="shared" ca="1" si="100"/>
        <v/>
      </c>
      <c r="P275" s="279" t="str">
        <f t="shared" ca="1" si="100"/>
        <v/>
      </c>
      <c r="Q275" s="280" t="str">
        <f t="shared" ca="1" si="100"/>
        <v/>
      </c>
      <c r="R275" s="281" t="str">
        <f t="shared" ca="1" si="86"/>
        <v/>
      </c>
      <c r="S275" s="277" t="str">
        <f t="shared" ca="1" si="86"/>
        <v/>
      </c>
      <c r="T275" s="282" t="str">
        <f t="shared" ca="1" si="86"/>
        <v/>
      </c>
      <c r="U275" s="281" t="str">
        <f t="shared" ca="1" si="86"/>
        <v/>
      </c>
      <c r="V275" s="277" t="str">
        <f t="shared" ca="1" si="86"/>
        <v/>
      </c>
      <c r="W275" s="278" t="str">
        <f t="shared" ca="1" si="86"/>
        <v/>
      </c>
      <c r="X275" s="279" t="str">
        <f t="shared" ref="X275:AB275" ca="1" si="101">LEFT(RIGHT(TEXT($F275/1%," ￥0; ￥-0;"),29-COLUMN()))</f>
        <v/>
      </c>
      <c r="Y275" s="277" t="str">
        <f t="shared" ca="1" si="101"/>
        <v/>
      </c>
      <c r="Z275" s="278" t="str">
        <f t="shared" ca="1" si="101"/>
        <v/>
      </c>
      <c r="AA275" s="279" t="str">
        <f t="shared" ca="1" si="101"/>
        <v/>
      </c>
      <c r="AB275" s="280" t="str">
        <f t="shared" ca="1" si="101"/>
        <v/>
      </c>
      <c r="AC275" s="283"/>
      <c r="AD275" s="212"/>
    </row>
    <row r="276" spans="1:30" s="22" customFormat="1" ht="22.5" customHeight="1">
      <c r="A276" s="284" t="s">
        <v>644</v>
      </c>
      <c r="B276" s="284"/>
      <c r="C276" s="284"/>
      <c r="D276" s="284" t="s">
        <v>645</v>
      </c>
      <c r="E276" s="284"/>
      <c r="F276" s="284"/>
      <c r="G276" s="284"/>
      <c r="H276" s="285"/>
      <c r="I276" s="284"/>
      <c r="J276" s="285"/>
      <c r="K276" s="285"/>
      <c r="L276" s="284"/>
      <c r="M276" s="285"/>
      <c r="N276" s="285"/>
      <c r="O276" s="285"/>
      <c r="P276" s="284"/>
      <c r="Q276" s="284" t="s">
        <v>646</v>
      </c>
      <c r="R276" s="284"/>
      <c r="S276" s="284"/>
      <c r="T276" s="284"/>
      <c r="U276" s="285"/>
      <c r="V276" s="284"/>
      <c r="W276" s="285"/>
      <c r="X276" s="284"/>
      <c r="Y276" s="284"/>
      <c r="Z276" s="285"/>
      <c r="AA276" s="285"/>
      <c r="AB276" s="285"/>
      <c r="AC276" s="286"/>
      <c r="AD276" s="212"/>
    </row>
    <row r="277" spans="1:30" ht="39.75" customHeight="1" thickBot="1">
      <c r="A277" s="226"/>
      <c r="B277" s="226"/>
      <c r="C277" s="227" t="s">
        <v>647</v>
      </c>
      <c r="D277" s="228"/>
      <c r="E277" s="226"/>
      <c r="F277" s="226"/>
      <c r="G277" s="228"/>
      <c r="H277" s="228"/>
      <c r="I277" s="228"/>
      <c r="J277" s="228"/>
      <c r="K277" s="228"/>
      <c r="L277" s="228"/>
      <c r="M277" s="228"/>
      <c r="N277" s="228"/>
      <c r="O277" s="228"/>
      <c r="P277" s="228"/>
      <c r="Q277" s="228"/>
      <c r="R277" s="229" t="s">
        <v>648</v>
      </c>
      <c r="S277" s="230"/>
      <c r="T277" s="230"/>
      <c r="U277" s="231" t="e">
        <f ca="1">DATE(AD$1,AF$1,INDEX(凭证录入!B:B,AD281))</f>
        <v>#VALUE!</v>
      </c>
      <c r="V277" s="232"/>
      <c r="W277" s="232"/>
      <c r="X277" s="232"/>
      <c r="Y277" s="232"/>
      <c r="Z277" s="232"/>
      <c r="AA277" s="232"/>
      <c r="AB277" s="232"/>
      <c r="AD277" s="212"/>
    </row>
    <row r="278" spans="1:30" s="45" customFormat="1" ht="23.25" customHeight="1" thickTop="1">
      <c r="A278" s="235" t="s">
        <v>649</v>
      </c>
      <c r="B278" s="235"/>
      <c r="C278" s="236" t="str">
        <f t="shared" si="92"/>
        <v>远大开发有限公司</v>
      </c>
      <c r="D278" s="236"/>
      <c r="E278" s="236"/>
      <c r="F278" s="236"/>
      <c r="G278" s="236"/>
      <c r="H278" s="236"/>
      <c r="I278" s="236"/>
      <c r="J278" s="236"/>
      <c r="K278" s="236"/>
      <c r="L278" s="236"/>
      <c r="M278" s="236"/>
      <c r="N278" s="236"/>
      <c r="O278" s="236"/>
      <c r="P278" s="236"/>
      <c r="Q278" s="236"/>
      <c r="R278" s="229" t="s">
        <v>650</v>
      </c>
      <c r="S278" s="229"/>
      <c r="T278" s="229"/>
      <c r="U278" s="237" t="str">
        <f t="shared" ref="U278" si="102">"第 "&amp;TEXT($AF$1,"00")&amp;TEXT($AC278,"0000 号")</f>
        <v>第 010023 号</v>
      </c>
      <c r="V278" s="237"/>
      <c r="W278" s="238"/>
      <c r="X278" s="238"/>
      <c r="Y278" s="238"/>
      <c r="Z278" s="238"/>
      <c r="AA278" s="238"/>
      <c r="AB278" s="238"/>
      <c r="AC278" s="239">
        <f t="shared" si="94"/>
        <v>23</v>
      </c>
      <c r="AD278" s="212"/>
    </row>
    <row r="279" spans="1:30" s="45" customFormat="1" ht="22.5" customHeight="1">
      <c r="A279" s="241" t="s">
        <v>651</v>
      </c>
      <c r="B279" s="542" t="s">
        <v>652</v>
      </c>
      <c r="C279" s="242" t="s">
        <v>653</v>
      </c>
      <c r="D279" s="243" t="s">
        <v>654</v>
      </c>
      <c r="E279" s="539" t="s">
        <v>655</v>
      </c>
      <c r="F279" s="539" t="s">
        <v>656</v>
      </c>
      <c r="G279" s="244" t="s">
        <v>657</v>
      </c>
      <c r="H279" s="245"/>
      <c r="I279" s="245"/>
      <c r="J279" s="245"/>
      <c r="K279" s="245"/>
      <c r="L279" s="245"/>
      <c r="M279" s="245"/>
      <c r="N279" s="245"/>
      <c r="O279" s="245"/>
      <c r="P279" s="245"/>
      <c r="Q279" s="246"/>
      <c r="R279" s="247" t="s">
        <v>658</v>
      </c>
      <c r="S279" s="245"/>
      <c r="T279" s="245"/>
      <c r="U279" s="245"/>
      <c r="V279" s="245"/>
      <c r="W279" s="245"/>
      <c r="X279" s="245"/>
      <c r="Y279" s="245"/>
      <c r="Z279" s="245"/>
      <c r="AA279" s="245"/>
      <c r="AB279" s="246"/>
      <c r="AC279" s="541" t="str">
        <f ca="1">"附单据数︵"&amp;INDEX(凭证录入!$D:$D,$AD$17)&amp;"︶张"</f>
        <v>附单据数︵4︶张</v>
      </c>
      <c r="AD279" s="235"/>
    </row>
    <row r="280" spans="1:30" s="45" customFormat="1" ht="22.5" customHeight="1">
      <c r="A280" s="248" t="s">
        <v>659</v>
      </c>
      <c r="B280" s="543"/>
      <c r="C280" s="249" t="s">
        <v>660</v>
      </c>
      <c r="D280" s="250" t="s">
        <v>660</v>
      </c>
      <c r="E280" s="540"/>
      <c r="F280" s="540"/>
      <c r="G280" s="251" t="s">
        <v>661</v>
      </c>
      <c r="H280" s="252" t="s">
        <v>662</v>
      </c>
      <c r="I280" s="253" t="s">
        <v>663</v>
      </c>
      <c r="J280" s="254" t="s">
        <v>664</v>
      </c>
      <c r="K280" s="252" t="s">
        <v>665</v>
      </c>
      <c r="L280" s="253" t="s">
        <v>662</v>
      </c>
      <c r="M280" s="254" t="s">
        <v>663</v>
      </c>
      <c r="N280" s="252" t="s">
        <v>664</v>
      </c>
      <c r="O280" s="253" t="s">
        <v>666</v>
      </c>
      <c r="P280" s="254" t="s">
        <v>667</v>
      </c>
      <c r="Q280" s="255" t="s">
        <v>668</v>
      </c>
      <c r="R280" s="256" t="s">
        <v>661</v>
      </c>
      <c r="S280" s="252" t="s">
        <v>662</v>
      </c>
      <c r="T280" s="257" t="s">
        <v>663</v>
      </c>
      <c r="U280" s="256" t="s">
        <v>664</v>
      </c>
      <c r="V280" s="252" t="s">
        <v>665</v>
      </c>
      <c r="W280" s="253" t="s">
        <v>662</v>
      </c>
      <c r="X280" s="254" t="s">
        <v>663</v>
      </c>
      <c r="Y280" s="252" t="s">
        <v>664</v>
      </c>
      <c r="Z280" s="253" t="s">
        <v>666</v>
      </c>
      <c r="AA280" s="254" t="s">
        <v>667</v>
      </c>
      <c r="AB280" s="255" t="s">
        <v>668</v>
      </c>
      <c r="AC280" s="541"/>
    </row>
    <row r="281" spans="1:30" s="45" customFormat="1" ht="22.5" customHeight="1">
      <c r="A281" s="258" t="str">
        <f ca="1">IFERROR(INDEX(凭证录入!H:H,$AD281),"")</f>
        <v/>
      </c>
      <c r="B281" s="259" t="str">
        <f ca="1">IFERROR(INDEX(凭证录入!I:I,$AD281),"")</f>
        <v/>
      </c>
      <c r="C281" s="260" t="str">
        <f ca="1">IFERROR(VLOOKUP($B281,会计科目表!$A:$C,2,),"")</f>
        <v/>
      </c>
      <c r="D281" s="261" t="str">
        <f ca="1">IFERROR(VLOOKUP($B281,会计科目表!$A:$C,3,),"")</f>
        <v/>
      </c>
      <c r="E281" s="262">
        <f ca="1">IFERROR(INDEX(凭证录入!K:K,$AD281),0)</f>
        <v>0</v>
      </c>
      <c r="F281" s="262">
        <f ca="1">IFERROR(INDEX(凭证录入!L:L,$AD281),0)</f>
        <v>0</v>
      </c>
      <c r="G281" s="263" t="str">
        <f t="shared" ref="G281:Q319" ca="1" si="103">LEFT(RIGHT(TEXT($E281/1%," ￥0; ￥-0;"),18-COLUMN()))</f>
        <v/>
      </c>
      <c r="H281" s="264" t="str">
        <f t="shared" ca="1" si="103"/>
        <v/>
      </c>
      <c r="I281" s="265" t="str">
        <f t="shared" ca="1" si="103"/>
        <v/>
      </c>
      <c r="J281" s="266" t="str">
        <f t="shared" ca="1" si="103"/>
        <v/>
      </c>
      <c r="K281" s="264" t="str">
        <f t="shared" ca="1" si="103"/>
        <v/>
      </c>
      <c r="L281" s="265" t="str">
        <f t="shared" ca="1" si="103"/>
        <v/>
      </c>
      <c r="M281" s="266" t="str">
        <f t="shared" ca="1" si="103"/>
        <v/>
      </c>
      <c r="N281" s="264" t="str">
        <f t="shared" ca="1" si="103"/>
        <v/>
      </c>
      <c r="O281" s="265" t="str">
        <f t="shared" ca="1" si="103"/>
        <v/>
      </c>
      <c r="P281" s="266" t="str">
        <f t="shared" ca="1" si="103"/>
        <v/>
      </c>
      <c r="Q281" s="267" t="str">
        <f t="shared" ca="1" si="103"/>
        <v/>
      </c>
      <c r="R281" s="268" t="str">
        <f t="shared" ref="R281:AB319" ca="1" si="104">LEFT(RIGHT(TEXT($F281/1%," ￥0; ￥-0;"),29-COLUMN()))</f>
        <v/>
      </c>
      <c r="S281" s="264" t="str">
        <f t="shared" ca="1" si="104"/>
        <v/>
      </c>
      <c r="T281" s="269" t="str">
        <f t="shared" ca="1" si="104"/>
        <v/>
      </c>
      <c r="U281" s="268" t="str">
        <f t="shared" ca="1" si="104"/>
        <v/>
      </c>
      <c r="V281" s="264" t="str">
        <f t="shared" ca="1" si="104"/>
        <v/>
      </c>
      <c r="W281" s="265" t="str">
        <f t="shared" ca="1" si="104"/>
        <v/>
      </c>
      <c r="X281" s="266" t="str">
        <f t="shared" ca="1" si="104"/>
        <v/>
      </c>
      <c r="Y281" s="264" t="str">
        <f t="shared" ca="1" si="104"/>
        <v/>
      </c>
      <c r="Z281" s="265" t="str">
        <f t="shared" ca="1" si="104"/>
        <v/>
      </c>
      <c r="AA281" s="266" t="str">
        <f t="shared" ca="1" si="104"/>
        <v/>
      </c>
      <c r="AB281" s="267" t="str">
        <f t="shared" ca="1" si="104"/>
        <v/>
      </c>
      <c r="AC281" s="541"/>
      <c r="AD281" s="212" t="str">
        <f t="shared" ca="1" si="81"/>
        <v/>
      </c>
    </row>
    <row r="282" spans="1:30" s="45" customFormat="1" ht="22.5" customHeight="1">
      <c r="A282" s="258" t="str">
        <f ca="1">IFERROR(INDEX(凭证录入!H:H,$AD282),"")</f>
        <v/>
      </c>
      <c r="B282" s="259" t="str">
        <f ca="1">IFERROR(INDEX(凭证录入!I:I,$AD282),"")</f>
        <v/>
      </c>
      <c r="C282" s="260" t="str">
        <f ca="1">IFERROR(VLOOKUP($B282,会计科目表!$A:$C,2,),"")</f>
        <v/>
      </c>
      <c r="D282" s="261" t="str">
        <f ca="1">IFERROR(VLOOKUP($B282,会计科目表!$A:$C,3,),"")</f>
        <v/>
      </c>
      <c r="E282" s="262">
        <f ca="1">IFERROR(INDEX(凭证录入!K:K,$AD282),0)</f>
        <v>0</v>
      </c>
      <c r="F282" s="262">
        <f ca="1">IFERROR(INDEX(凭证录入!L:L,$AD282),0)</f>
        <v>0</v>
      </c>
      <c r="G282" s="263" t="str">
        <f t="shared" ca="1" si="103"/>
        <v/>
      </c>
      <c r="H282" s="264" t="str">
        <f t="shared" ca="1" si="103"/>
        <v/>
      </c>
      <c r="I282" s="265" t="str">
        <f t="shared" ca="1" si="103"/>
        <v/>
      </c>
      <c r="J282" s="266" t="str">
        <f t="shared" ca="1" si="103"/>
        <v/>
      </c>
      <c r="K282" s="264" t="str">
        <f t="shared" ca="1" si="103"/>
        <v/>
      </c>
      <c r="L282" s="265" t="str">
        <f t="shared" ca="1" si="103"/>
        <v/>
      </c>
      <c r="M282" s="266" t="str">
        <f t="shared" ca="1" si="103"/>
        <v/>
      </c>
      <c r="N282" s="264" t="str">
        <f t="shared" ca="1" si="103"/>
        <v/>
      </c>
      <c r="O282" s="265" t="str">
        <f t="shared" ca="1" si="103"/>
        <v/>
      </c>
      <c r="P282" s="266" t="str">
        <f t="shared" ca="1" si="103"/>
        <v/>
      </c>
      <c r="Q282" s="267" t="str">
        <f t="shared" ca="1" si="103"/>
        <v/>
      </c>
      <c r="R282" s="268" t="str">
        <f t="shared" ca="1" si="104"/>
        <v/>
      </c>
      <c r="S282" s="264" t="str">
        <f t="shared" ca="1" si="104"/>
        <v/>
      </c>
      <c r="T282" s="269" t="str">
        <f t="shared" ca="1" si="104"/>
        <v/>
      </c>
      <c r="U282" s="268" t="str">
        <f t="shared" ca="1" si="104"/>
        <v/>
      </c>
      <c r="V282" s="264" t="str">
        <f t="shared" ca="1" si="104"/>
        <v/>
      </c>
      <c r="W282" s="265" t="str">
        <f t="shared" ca="1" si="104"/>
        <v/>
      </c>
      <c r="X282" s="266" t="str">
        <f t="shared" ca="1" si="104"/>
        <v/>
      </c>
      <c r="Y282" s="264" t="str">
        <f t="shared" ca="1" si="104"/>
        <v/>
      </c>
      <c r="Z282" s="265" t="str">
        <f t="shared" ca="1" si="104"/>
        <v/>
      </c>
      <c r="AA282" s="266" t="str">
        <f t="shared" ca="1" si="104"/>
        <v/>
      </c>
      <c r="AB282" s="267" t="str">
        <f t="shared" ca="1" si="104"/>
        <v/>
      </c>
      <c r="AC282" s="541"/>
      <c r="AD282" s="212" t="str">
        <f t="shared" ca="1" si="81"/>
        <v/>
      </c>
    </row>
    <row r="283" spans="1:30" s="45" customFormat="1" ht="22.5" customHeight="1">
      <c r="A283" s="258" t="str">
        <f ca="1">IFERROR(INDEX(凭证录入!H:H,$AD283),"")</f>
        <v/>
      </c>
      <c r="B283" s="259" t="str">
        <f ca="1">IFERROR(INDEX(凭证录入!I:I,$AD283),"")</f>
        <v/>
      </c>
      <c r="C283" s="260" t="str">
        <f ca="1">IFERROR(VLOOKUP($B283,会计科目表!$A:$C,2,),"")</f>
        <v/>
      </c>
      <c r="D283" s="261" t="str">
        <f ca="1">IFERROR(VLOOKUP($B283,会计科目表!$A:$C,3,),"")</f>
        <v/>
      </c>
      <c r="E283" s="262">
        <f ca="1">IFERROR(INDEX(凭证录入!K:K,$AD283),0)</f>
        <v>0</v>
      </c>
      <c r="F283" s="262">
        <f ca="1">IFERROR(INDEX(凭证录入!L:L,$AD283),0)</f>
        <v>0</v>
      </c>
      <c r="G283" s="263" t="str">
        <f t="shared" ca="1" si="103"/>
        <v/>
      </c>
      <c r="H283" s="264" t="str">
        <f t="shared" ca="1" si="103"/>
        <v/>
      </c>
      <c r="I283" s="265" t="str">
        <f t="shared" ca="1" si="103"/>
        <v/>
      </c>
      <c r="J283" s="266" t="str">
        <f t="shared" ca="1" si="103"/>
        <v/>
      </c>
      <c r="K283" s="264" t="str">
        <f t="shared" ca="1" si="103"/>
        <v/>
      </c>
      <c r="L283" s="265" t="str">
        <f t="shared" ca="1" si="103"/>
        <v/>
      </c>
      <c r="M283" s="266" t="str">
        <f t="shared" ca="1" si="103"/>
        <v/>
      </c>
      <c r="N283" s="264" t="str">
        <f t="shared" ca="1" si="103"/>
        <v/>
      </c>
      <c r="O283" s="265" t="str">
        <f t="shared" ca="1" si="103"/>
        <v/>
      </c>
      <c r="P283" s="266" t="str">
        <f t="shared" ca="1" si="103"/>
        <v/>
      </c>
      <c r="Q283" s="267" t="str">
        <f t="shared" ca="1" si="103"/>
        <v/>
      </c>
      <c r="R283" s="268" t="str">
        <f t="shared" ca="1" si="104"/>
        <v/>
      </c>
      <c r="S283" s="264" t="str">
        <f t="shared" ca="1" si="104"/>
        <v/>
      </c>
      <c r="T283" s="269" t="str">
        <f t="shared" ca="1" si="104"/>
        <v/>
      </c>
      <c r="U283" s="268" t="str">
        <f t="shared" ca="1" si="104"/>
        <v/>
      </c>
      <c r="V283" s="264" t="str">
        <f t="shared" ca="1" si="104"/>
        <v/>
      </c>
      <c r="W283" s="265" t="str">
        <f t="shared" ca="1" si="104"/>
        <v/>
      </c>
      <c r="X283" s="266" t="str">
        <f t="shared" ca="1" si="104"/>
        <v/>
      </c>
      <c r="Y283" s="264" t="str">
        <f t="shared" ca="1" si="104"/>
        <v/>
      </c>
      <c r="Z283" s="265" t="str">
        <f t="shared" ca="1" si="104"/>
        <v/>
      </c>
      <c r="AA283" s="266" t="str">
        <f t="shared" ca="1" si="104"/>
        <v/>
      </c>
      <c r="AB283" s="267" t="str">
        <f t="shared" ca="1" si="104"/>
        <v/>
      </c>
      <c r="AC283" s="536" t="s">
        <v>724</v>
      </c>
      <c r="AD283" s="212" t="str">
        <f t="shared" ca="1" si="81"/>
        <v/>
      </c>
    </row>
    <row r="284" spans="1:30" s="45" customFormat="1" ht="22.5" customHeight="1">
      <c r="A284" s="258" t="str">
        <f ca="1">IFERROR(INDEX(凭证录入!H:H,$AD284),"")</f>
        <v/>
      </c>
      <c r="B284" s="259" t="str">
        <f ca="1">IFERROR(INDEX(凭证录入!I:I,$AD284),"")</f>
        <v/>
      </c>
      <c r="C284" s="260" t="str">
        <f ca="1">IFERROR(VLOOKUP($B284,会计科目表!$A:$C,2,),"")</f>
        <v/>
      </c>
      <c r="D284" s="261" t="str">
        <f ca="1">IFERROR(VLOOKUP($B284,会计科目表!$A:$C,3,),"")</f>
        <v/>
      </c>
      <c r="E284" s="262">
        <f ca="1">IFERROR(INDEX(凭证录入!K:K,$AD284),0)</f>
        <v>0</v>
      </c>
      <c r="F284" s="262">
        <f ca="1">IFERROR(INDEX(凭证录入!L:L,$AD284),0)</f>
        <v>0</v>
      </c>
      <c r="G284" s="263" t="str">
        <f t="shared" ca="1" si="103"/>
        <v/>
      </c>
      <c r="H284" s="264" t="str">
        <f t="shared" ca="1" si="103"/>
        <v/>
      </c>
      <c r="I284" s="265" t="str">
        <f t="shared" ca="1" si="103"/>
        <v/>
      </c>
      <c r="J284" s="266" t="str">
        <f t="shared" ca="1" si="103"/>
        <v/>
      </c>
      <c r="K284" s="264" t="str">
        <f t="shared" ca="1" si="103"/>
        <v/>
      </c>
      <c r="L284" s="265" t="str">
        <f t="shared" ca="1" si="103"/>
        <v/>
      </c>
      <c r="M284" s="266" t="str">
        <f t="shared" ca="1" si="103"/>
        <v/>
      </c>
      <c r="N284" s="264" t="str">
        <f t="shared" ca="1" si="103"/>
        <v/>
      </c>
      <c r="O284" s="265" t="str">
        <f t="shared" ca="1" si="103"/>
        <v/>
      </c>
      <c r="P284" s="266" t="str">
        <f t="shared" ca="1" si="103"/>
        <v/>
      </c>
      <c r="Q284" s="267" t="str">
        <f t="shared" ca="1" si="103"/>
        <v/>
      </c>
      <c r="R284" s="268" t="str">
        <f t="shared" ca="1" si="104"/>
        <v/>
      </c>
      <c r="S284" s="264" t="str">
        <f t="shared" ca="1" si="104"/>
        <v/>
      </c>
      <c r="T284" s="269" t="str">
        <f t="shared" ca="1" si="104"/>
        <v/>
      </c>
      <c r="U284" s="268" t="str">
        <f t="shared" ca="1" si="104"/>
        <v/>
      </c>
      <c r="V284" s="264" t="str">
        <f t="shared" ca="1" si="104"/>
        <v/>
      </c>
      <c r="W284" s="265" t="str">
        <f t="shared" ca="1" si="104"/>
        <v/>
      </c>
      <c r="X284" s="266" t="str">
        <f t="shared" ca="1" si="104"/>
        <v/>
      </c>
      <c r="Y284" s="264" t="str">
        <f t="shared" ca="1" si="104"/>
        <v/>
      </c>
      <c r="Z284" s="265" t="str">
        <f t="shared" ca="1" si="104"/>
        <v/>
      </c>
      <c r="AA284" s="266" t="str">
        <f t="shared" ca="1" si="104"/>
        <v/>
      </c>
      <c r="AB284" s="267" t="str">
        <f t="shared" ca="1" si="104"/>
        <v/>
      </c>
      <c r="AC284" s="537"/>
      <c r="AD284" s="212" t="str">
        <f t="shared" ca="1" si="81"/>
        <v/>
      </c>
    </row>
    <row r="285" spans="1:30" s="45" customFormat="1" ht="22.5" customHeight="1">
      <c r="A285" s="258" t="str">
        <f ca="1">IFERROR(INDEX(凭证录入!H:H,$AD285),"")</f>
        <v/>
      </c>
      <c r="B285" s="259" t="str">
        <f ca="1">IFERROR(INDEX(凭证录入!I:I,$AD285),"")</f>
        <v/>
      </c>
      <c r="C285" s="260" t="str">
        <f ca="1">IFERROR(VLOOKUP($B285,会计科目表!$A:$C,2,),"")</f>
        <v/>
      </c>
      <c r="D285" s="261" t="str">
        <f ca="1">IFERROR(VLOOKUP($B285,会计科目表!$A:$C,3,),"")</f>
        <v/>
      </c>
      <c r="E285" s="262">
        <f ca="1">IFERROR(INDEX(凭证录入!K:K,$AD285),0)</f>
        <v>0</v>
      </c>
      <c r="F285" s="262">
        <f ca="1">IFERROR(INDEX(凭证录入!L:L,$AD285),0)</f>
        <v>0</v>
      </c>
      <c r="G285" s="263" t="str">
        <f t="shared" ca="1" si="103"/>
        <v/>
      </c>
      <c r="H285" s="264" t="str">
        <f t="shared" ca="1" si="103"/>
        <v/>
      </c>
      <c r="I285" s="265" t="str">
        <f t="shared" ca="1" si="103"/>
        <v/>
      </c>
      <c r="J285" s="266" t="str">
        <f t="shared" ca="1" si="103"/>
        <v/>
      </c>
      <c r="K285" s="264" t="str">
        <f t="shared" ca="1" si="103"/>
        <v/>
      </c>
      <c r="L285" s="265" t="str">
        <f t="shared" ca="1" si="103"/>
        <v/>
      </c>
      <c r="M285" s="266" t="str">
        <f t="shared" ca="1" si="103"/>
        <v/>
      </c>
      <c r="N285" s="264" t="str">
        <f t="shared" ca="1" si="103"/>
        <v/>
      </c>
      <c r="O285" s="265" t="str">
        <f t="shared" ca="1" si="103"/>
        <v/>
      </c>
      <c r="P285" s="266" t="str">
        <f t="shared" ca="1" si="103"/>
        <v/>
      </c>
      <c r="Q285" s="267" t="str">
        <f t="shared" ca="1" si="103"/>
        <v/>
      </c>
      <c r="R285" s="268" t="str">
        <f t="shared" ca="1" si="104"/>
        <v/>
      </c>
      <c r="S285" s="264" t="str">
        <f t="shared" ca="1" si="104"/>
        <v/>
      </c>
      <c r="T285" s="269" t="str">
        <f t="shared" ca="1" si="104"/>
        <v/>
      </c>
      <c r="U285" s="268" t="str">
        <f t="shared" ca="1" si="104"/>
        <v/>
      </c>
      <c r="V285" s="264" t="str">
        <f t="shared" ca="1" si="104"/>
        <v/>
      </c>
      <c r="W285" s="265" t="str">
        <f t="shared" ca="1" si="104"/>
        <v/>
      </c>
      <c r="X285" s="266" t="str">
        <f t="shared" ca="1" si="104"/>
        <v/>
      </c>
      <c r="Y285" s="264" t="str">
        <f t="shared" ca="1" si="104"/>
        <v/>
      </c>
      <c r="Z285" s="265" t="str">
        <f t="shared" ca="1" si="104"/>
        <v/>
      </c>
      <c r="AA285" s="266" t="str">
        <f t="shared" ca="1" si="104"/>
        <v/>
      </c>
      <c r="AB285" s="267" t="str">
        <f t="shared" ca="1" si="104"/>
        <v/>
      </c>
      <c r="AC285" s="538"/>
      <c r="AD285" s="212" t="str">
        <f t="shared" ca="1" si="81"/>
        <v/>
      </c>
    </row>
    <row r="286" spans="1:30" s="45" customFormat="1" ht="22.5" customHeight="1">
      <c r="A286" s="258" t="str">
        <f ca="1">IFERROR(INDEX(凭证录入!H:H,$AD286),"")</f>
        <v/>
      </c>
      <c r="B286" s="259" t="str">
        <f ca="1">IFERROR(INDEX(凭证录入!I:I,$AD286),"")</f>
        <v/>
      </c>
      <c r="C286" s="260" t="str">
        <f ca="1">IFERROR(VLOOKUP($B286,会计科目表!$A:$C,2,),"")</f>
        <v/>
      </c>
      <c r="D286" s="261" t="str">
        <f ca="1">IFERROR(VLOOKUP($B286,会计科目表!$A:$C,3,),"")</f>
        <v/>
      </c>
      <c r="E286" s="262">
        <f ca="1">IFERROR(INDEX(凭证录入!K:K,$AD286),0)</f>
        <v>0</v>
      </c>
      <c r="F286" s="262">
        <f ca="1">IFERROR(INDEX(凭证录入!L:L,$AD286),0)</f>
        <v>0</v>
      </c>
      <c r="G286" s="263" t="str">
        <f t="shared" ca="1" si="103"/>
        <v/>
      </c>
      <c r="H286" s="264" t="str">
        <f t="shared" ca="1" si="103"/>
        <v/>
      </c>
      <c r="I286" s="265" t="str">
        <f t="shared" ca="1" si="103"/>
        <v/>
      </c>
      <c r="J286" s="266" t="str">
        <f t="shared" ca="1" si="103"/>
        <v/>
      </c>
      <c r="K286" s="264" t="str">
        <f t="shared" ca="1" si="103"/>
        <v/>
      </c>
      <c r="L286" s="265" t="str">
        <f t="shared" ca="1" si="103"/>
        <v/>
      </c>
      <c r="M286" s="266" t="str">
        <f t="shared" ca="1" si="103"/>
        <v/>
      </c>
      <c r="N286" s="264" t="str">
        <f t="shared" ca="1" si="103"/>
        <v/>
      </c>
      <c r="O286" s="265" t="str">
        <f t="shared" ca="1" si="103"/>
        <v/>
      </c>
      <c r="P286" s="266" t="str">
        <f t="shared" ca="1" si="103"/>
        <v/>
      </c>
      <c r="Q286" s="267" t="str">
        <f t="shared" ca="1" si="103"/>
        <v/>
      </c>
      <c r="R286" s="268" t="str">
        <f t="shared" ca="1" si="104"/>
        <v/>
      </c>
      <c r="S286" s="264" t="str">
        <f t="shared" ca="1" si="104"/>
        <v/>
      </c>
      <c r="T286" s="269" t="str">
        <f t="shared" ca="1" si="104"/>
        <v/>
      </c>
      <c r="U286" s="268" t="str">
        <f t="shared" ca="1" si="104"/>
        <v/>
      </c>
      <c r="V286" s="264" t="str">
        <f t="shared" ca="1" si="104"/>
        <v/>
      </c>
      <c r="W286" s="265" t="str">
        <f t="shared" ca="1" si="104"/>
        <v/>
      </c>
      <c r="X286" s="266" t="str">
        <f t="shared" ca="1" si="104"/>
        <v/>
      </c>
      <c r="Y286" s="264" t="str">
        <f t="shared" ca="1" si="104"/>
        <v/>
      </c>
      <c r="Z286" s="265" t="str">
        <f t="shared" ca="1" si="104"/>
        <v/>
      </c>
      <c r="AA286" s="266" t="str">
        <f t="shared" ca="1" si="104"/>
        <v/>
      </c>
      <c r="AB286" s="267" t="str">
        <f t="shared" ca="1" si="104"/>
        <v/>
      </c>
      <c r="AC286" s="538"/>
      <c r="AD286" s="212" t="str">
        <f t="shared" ca="1" si="81"/>
        <v/>
      </c>
    </row>
    <row r="287" spans="1:30" s="45" customFormat="1" ht="22.5" customHeight="1">
      <c r="A287" s="270" t="s">
        <v>725</v>
      </c>
      <c r="B287" s="271"/>
      <c r="C287" s="272" t="str">
        <f t="shared" ref="C287" ca="1" si="105">SUBSTITUTE(SUBSTITUTE(IF(-DOLLAR(E287),IF(E287&gt;0,,"负")&amp;TEXT(INT(ABS(E287)+0.5%),"[dbnum2]G/通用格式元;;")&amp;TEXT(RIGHT(DOLLAR(E287,2),2),"[dbnum2]0角0分;;整"),),"零角",IF(E287^2&lt;1,,"零")),"零分","整")</f>
        <v/>
      </c>
      <c r="D287" s="273"/>
      <c r="E287" s="274">
        <f t="shared" ref="E287:F287" ca="1" si="106">SUM(E281:E286)</f>
        <v>0</v>
      </c>
      <c r="F287" s="275">
        <f t="shared" ca="1" si="106"/>
        <v>0</v>
      </c>
      <c r="G287" s="276" t="str">
        <f t="shared" ca="1" si="103"/>
        <v/>
      </c>
      <c r="H287" s="277" t="str">
        <f t="shared" ca="1" si="103"/>
        <v/>
      </c>
      <c r="I287" s="278" t="str">
        <f t="shared" ca="1" si="103"/>
        <v/>
      </c>
      <c r="J287" s="279" t="str">
        <f t="shared" ca="1" si="103"/>
        <v/>
      </c>
      <c r="K287" s="277" t="str">
        <f t="shared" ca="1" si="103"/>
        <v/>
      </c>
      <c r="L287" s="278" t="str">
        <f t="shared" ca="1" si="103"/>
        <v/>
      </c>
      <c r="M287" s="279" t="str">
        <f t="shared" ca="1" si="103"/>
        <v/>
      </c>
      <c r="N287" s="277" t="str">
        <f t="shared" ca="1" si="103"/>
        <v/>
      </c>
      <c r="O287" s="278" t="str">
        <f t="shared" ca="1" si="103"/>
        <v/>
      </c>
      <c r="P287" s="279" t="str">
        <f t="shared" ca="1" si="103"/>
        <v/>
      </c>
      <c r="Q287" s="280" t="str">
        <f t="shared" ca="1" si="103"/>
        <v/>
      </c>
      <c r="R287" s="281" t="str">
        <f t="shared" ca="1" si="104"/>
        <v/>
      </c>
      <c r="S287" s="277" t="str">
        <f t="shared" ca="1" si="104"/>
        <v/>
      </c>
      <c r="T287" s="282" t="str">
        <f t="shared" ca="1" si="104"/>
        <v/>
      </c>
      <c r="U287" s="281" t="str">
        <f t="shared" ca="1" si="104"/>
        <v/>
      </c>
      <c r="V287" s="277" t="str">
        <f t="shared" ca="1" si="104"/>
        <v/>
      </c>
      <c r="W287" s="278" t="str">
        <f t="shared" ca="1" si="104"/>
        <v/>
      </c>
      <c r="X287" s="279" t="str">
        <f t="shared" ca="1" si="104"/>
        <v/>
      </c>
      <c r="Y287" s="277" t="str">
        <f t="shared" ca="1" si="104"/>
        <v/>
      </c>
      <c r="Z287" s="278" t="str">
        <f t="shared" ca="1" si="104"/>
        <v/>
      </c>
      <c r="AA287" s="279" t="str">
        <f t="shared" ca="1" si="104"/>
        <v/>
      </c>
      <c r="AB287" s="280" t="str">
        <f t="shared" ca="1" si="104"/>
        <v/>
      </c>
      <c r="AC287" s="283"/>
      <c r="AD287" s="212"/>
    </row>
    <row r="288" spans="1:30" s="22" customFormat="1" ht="22.5" customHeight="1">
      <c r="A288" s="284" t="s">
        <v>726</v>
      </c>
      <c r="B288" s="284"/>
      <c r="C288" s="284"/>
      <c r="D288" s="284" t="s">
        <v>727</v>
      </c>
      <c r="E288" s="284"/>
      <c r="F288" s="284"/>
      <c r="G288" s="284"/>
      <c r="H288" s="285"/>
      <c r="I288" s="284"/>
      <c r="J288" s="285"/>
      <c r="K288" s="285"/>
      <c r="L288" s="284"/>
      <c r="M288" s="285"/>
      <c r="N288" s="285"/>
      <c r="O288" s="285"/>
      <c r="P288" s="284"/>
      <c r="Q288" s="284" t="s">
        <v>728</v>
      </c>
      <c r="R288" s="284"/>
      <c r="S288" s="284"/>
      <c r="T288" s="284"/>
      <c r="U288" s="285"/>
      <c r="V288" s="284"/>
      <c r="W288" s="285"/>
      <c r="X288" s="284"/>
      <c r="Y288" s="284"/>
      <c r="Z288" s="285"/>
      <c r="AA288" s="285"/>
      <c r="AB288" s="285"/>
      <c r="AC288" s="286"/>
      <c r="AD288" s="212"/>
    </row>
    <row r="289" spans="1:30" ht="39.75" customHeight="1" thickBot="1">
      <c r="A289" s="226"/>
      <c r="B289" s="226"/>
      <c r="C289" s="227" t="s">
        <v>729</v>
      </c>
      <c r="D289" s="228"/>
      <c r="E289" s="226"/>
      <c r="F289" s="226"/>
      <c r="G289" s="228"/>
      <c r="H289" s="228"/>
      <c r="I289" s="228"/>
      <c r="J289" s="228"/>
      <c r="K289" s="228"/>
      <c r="L289" s="228"/>
      <c r="M289" s="228"/>
      <c r="N289" s="228"/>
      <c r="O289" s="228"/>
      <c r="P289" s="228"/>
      <c r="Q289" s="228"/>
      <c r="R289" s="229" t="s">
        <v>730</v>
      </c>
      <c r="S289" s="230"/>
      <c r="T289" s="230"/>
      <c r="U289" s="231" t="e">
        <f ca="1">DATE(AD$1,AF$1,INDEX(凭证录入!B:B,AD293))</f>
        <v>#VALUE!</v>
      </c>
      <c r="V289" s="232"/>
      <c r="W289" s="232"/>
      <c r="X289" s="232"/>
      <c r="Y289" s="232"/>
      <c r="Z289" s="232"/>
      <c r="AA289" s="232"/>
      <c r="AB289" s="232"/>
      <c r="AD289" s="212"/>
    </row>
    <row r="290" spans="1:30" s="45" customFormat="1" ht="23.25" customHeight="1" thickTop="1">
      <c r="A290" s="235" t="s">
        <v>731</v>
      </c>
      <c r="B290" s="235"/>
      <c r="C290" s="236" t="str">
        <f t="shared" si="92"/>
        <v>远大开发有限公司</v>
      </c>
      <c r="D290" s="236"/>
      <c r="E290" s="236"/>
      <c r="F290" s="236"/>
      <c r="G290" s="236"/>
      <c r="H290" s="236"/>
      <c r="I290" s="236"/>
      <c r="J290" s="236"/>
      <c r="K290" s="236"/>
      <c r="L290" s="236"/>
      <c r="M290" s="236"/>
      <c r="N290" s="236"/>
      <c r="O290" s="236"/>
      <c r="P290" s="236"/>
      <c r="Q290" s="236"/>
      <c r="R290" s="229" t="s">
        <v>732</v>
      </c>
      <c r="S290" s="229"/>
      <c r="T290" s="229"/>
      <c r="U290" s="237" t="str">
        <f t="shared" ref="U290" si="107">"第 "&amp;TEXT($AF$1,"00")&amp;TEXT($AC290,"0000 号")</f>
        <v>第 010024 号</v>
      </c>
      <c r="V290" s="237"/>
      <c r="W290" s="238"/>
      <c r="X290" s="238"/>
      <c r="Y290" s="238"/>
      <c r="Z290" s="238"/>
      <c r="AA290" s="238"/>
      <c r="AB290" s="238"/>
      <c r="AC290" s="239">
        <f t="shared" si="94"/>
        <v>24</v>
      </c>
      <c r="AD290" s="212"/>
    </row>
    <row r="291" spans="1:30" s="45" customFormat="1" ht="22.5" customHeight="1">
      <c r="A291" s="241" t="s">
        <v>733</v>
      </c>
      <c r="B291" s="542" t="s">
        <v>734</v>
      </c>
      <c r="C291" s="242" t="s">
        <v>735</v>
      </c>
      <c r="D291" s="243" t="s">
        <v>736</v>
      </c>
      <c r="E291" s="539" t="s">
        <v>737</v>
      </c>
      <c r="F291" s="539" t="s">
        <v>738</v>
      </c>
      <c r="G291" s="244" t="s">
        <v>739</v>
      </c>
      <c r="H291" s="245"/>
      <c r="I291" s="245"/>
      <c r="J291" s="245"/>
      <c r="K291" s="245"/>
      <c r="L291" s="245"/>
      <c r="M291" s="245"/>
      <c r="N291" s="245"/>
      <c r="O291" s="245"/>
      <c r="P291" s="245"/>
      <c r="Q291" s="246"/>
      <c r="R291" s="247" t="s">
        <v>740</v>
      </c>
      <c r="S291" s="245"/>
      <c r="T291" s="245"/>
      <c r="U291" s="245"/>
      <c r="V291" s="245"/>
      <c r="W291" s="245"/>
      <c r="X291" s="245"/>
      <c r="Y291" s="245"/>
      <c r="Z291" s="245"/>
      <c r="AA291" s="245"/>
      <c r="AB291" s="246"/>
      <c r="AC291" s="541" t="str">
        <f ca="1">"附单据数︵"&amp;INDEX(凭证录入!$D:$D,$AD$17)&amp;"︶张"</f>
        <v>附单据数︵4︶张</v>
      </c>
      <c r="AD291" s="235"/>
    </row>
    <row r="292" spans="1:30" s="45" customFormat="1" ht="22.5" customHeight="1">
      <c r="A292" s="248" t="s">
        <v>741</v>
      </c>
      <c r="B292" s="543"/>
      <c r="C292" s="249" t="s">
        <v>742</v>
      </c>
      <c r="D292" s="250" t="s">
        <v>742</v>
      </c>
      <c r="E292" s="540"/>
      <c r="F292" s="540"/>
      <c r="G292" s="251" t="s">
        <v>743</v>
      </c>
      <c r="H292" s="252" t="s">
        <v>744</v>
      </c>
      <c r="I292" s="253" t="s">
        <v>745</v>
      </c>
      <c r="J292" s="254" t="s">
        <v>746</v>
      </c>
      <c r="K292" s="252" t="s">
        <v>747</v>
      </c>
      <c r="L292" s="253" t="s">
        <v>744</v>
      </c>
      <c r="M292" s="254" t="s">
        <v>745</v>
      </c>
      <c r="N292" s="252" t="s">
        <v>746</v>
      </c>
      <c r="O292" s="253" t="s">
        <v>748</v>
      </c>
      <c r="P292" s="254" t="s">
        <v>749</v>
      </c>
      <c r="Q292" s="255" t="s">
        <v>750</v>
      </c>
      <c r="R292" s="256" t="s">
        <v>743</v>
      </c>
      <c r="S292" s="252" t="s">
        <v>744</v>
      </c>
      <c r="T292" s="257" t="s">
        <v>745</v>
      </c>
      <c r="U292" s="256" t="s">
        <v>746</v>
      </c>
      <c r="V292" s="252" t="s">
        <v>747</v>
      </c>
      <c r="W292" s="253" t="s">
        <v>744</v>
      </c>
      <c r="X292" s="254" t="s">
        <v>745</v>
      </c>
      <c r="Y292" s="252" t="s">
        <v>746</v>
      </c>
      <c r="Z292" s="253" t="s">
        <v>748</v>
      </c>
      <c r="AA292" s="254" t="s">
        <v>749</v>
      </c>
      <c r="AB292" s="255" t="s">
        <v>750</v>
      </c>
      <c r="AC292" s="541"/>
    </row>
    <row r="293" spans="1:30" s="45" customFormat="1" ht="22.5" customHeight="1">
      <c r="A293" s="258" t="str">
        <f ca="1">IFERROR(INDEX(凭证录入!H:H,$AD293),"")</f>
        <v/>
      </c>
      <c r="B293" s="259" t="str">
        <f ca="1">IFERROR(INDEX(凭证录入!I:I,$AD293),"")</f>
        <v/>
      </c>
      <c r="C293" s="260" t="str">
        <f ca="1">IFERROR(VLOOKUP($B293,会计科目表!$A:$C,2,),"")</f>
        <v/>
      </c>
      <c r="D293" s="261" t="str">
        <f ca="1">IFERROR(VLOOKUP($B293,会计科目表!$A:$C,3,),"")</f>
        <v/>
      </c>
      <c r="E293" s="262">
        <f ca="1">IFERROR(INDEX(凭证录入!K:K,$AD293),0)</f>
        <v>0</v>
      </c>
      <c r="F293" s="262">
        <f ca="1">IFERROR(INDEX(凭证录入!L:L,$AD293),0)</f>
        <v>0</v>
      </c>
      <c r="G293" s="263" t="str">
        <f t="shared" ca="1" si="103"/>
        <v/>
      </c>
      <c r="H293" s="264" t="str">
        <f t="shared" ca="1" si="103"/>
        <v/>
      </c>
      <c r="I293" s="265" t="str">
        <f t="shared" ca="1" si="103"/>
        <v/>
      </c>
      <c r="J293" s="266" t="str">
        <f t="shared" ca="1" si="103"/>
        <v/>
      </c>
      <c r="K293" s="264" t="str">
        <f t="shared" ca="1" si="103"/>
        <v/>
      </c>
      <c r="L293" s="265" t="str">
        <f t="shared" ca="1" si="103"/>
        <v/>
      </c>
      <c r="M293" s="266" t="str">
        <f t="shared" ca="1" si="103"/>
        <v/>
      </c>
      <c r="N293" s="264" t="str">
        <f t="shared" ca="1" si="103"/>
        <v/>
      </c>
      <c r="O293" s="265" t="str">
        <f t="shared" ca="1" si="103"/>
        <v/>
      </c>
      <c r="P293" s="266" t="str">
        <f t="shared" ca="1" si="103"/>
        <v/>
      </c>
      <c r="Q293" s="267" t="str">
        <f t="shared" ca="1" si="103"/>
        <v/>
      </c>
      <c r="R293" s="268" t="str">
        <f t="shared" ca="1" si="104"/>
        <v/>
      </c>
      <c r="S293" s="264" t="str">
        <f t="shared" ca="1" si="104"/>
        <v/>
      </c>
      <c r="T293" s="269" t="str">
        <f t="shared" ca="1" si="104"/>
        <v/>
      </c>
      <c r="U293" s="268" t="str">
        <f t="shared" ca="1" si="104"/>
        <v/>
      </c>
      <c r="V293" s="264" t="str">
        <f t="shared" ca="1" si="104"/>
        <v/>
      </c>
      <c r="W293" s="265" t="str">
        <f t="shared" ca="1" si="104"/>
        <v/>
      </c>
      <c r="X293" s="266" t="str">
        <f t="shared" ca="1" si="104"/>
        <v/>
      </c>
      <c r="Y293" s="264" t="str">
        <f t="shared" ca="1" si="104"/>
        <v/>
      </c>
      <c r="Z293" s="265" t="str">
        <f t="shared" ca="1" si="104"/>
        <v/>
      </c>
      <c r="AA293" s="266" t="str">
        <f t="shared" ca="1" si="104"/>
        <v/>
      </c>
      <c r="AB293" s="267" t="str">
        <f t="shared" ca="1" si="104"/>
        <v/>
      </c>
      <c r="AC293" s="541"/>
      <c r="AD293" s="212" t="str">
        <f t="shared" ref="AD293:AD356" ca="1" si="108">IFERROR(INDEX(记账行号,MOD(ROW()-4,12)),"")</f>
        <v/>
      </c>
    </row>
    <row r="294" spans="1:30" s="45" customFormat="1" ht="22.5" customHeight="1">
      <c r="A294" s="258" t="str">
        <f ca="1">IFERROR(INDEX(凭证录入!H:H,$AD294),"")</f>
        <v/>
      </c>
      <c r="B294" s="259" t="str">
        <f ca="1">IFERROR(INDEX(凭证录入!I:I,$AD294),"")</f>
        <v/>
      </c>
      <c r="C294" s="260" t="str">
        <f ca="1">IFERROR(VLOOKUP($B294,会计科目表!$A:$C,2,),"")</f>
        <v/>
      </c>
      <c r="D294" s="261" t="str">
        <f ca="1">IFERROR(VLOOKUP($B294,会计科目表!$A:$C,3,),"")</f>
        <v/>
      </c>
      <c r="E294" s="262">
        <f ca="1">IFERROR(INDEX(凭证录入!K:K,$AD294),0)</f>
        <v>0</v>
      </c>
      <c r="F294" s="262">
        <f ca="1">IFERROR(INDEX(凭证录入!L:L,$AD294),0)</f>
        <v>0</v>
      </c>
      <c r="G294" s="263" t="str">
        <f t="shared" ca="1" si="103"/>
        <v/>
      </c>
      <c r="H294" s="264" t="str">
        <f t="shared" ca="1" si="103"/>
        <v/>
      </c>
      <c r="I294" s="265" t="str">
        <f t="shared" ca="1" si="103"/>
        <v/>
      </c>
      <c r="J294" s="266" t="str">
        <f t="shared" ca="1" si="103"/>
        <v/>
      </c>
      <c r="K294" s="264" t="str">
        <f t="shared" ca="1" si="103"/>
        <v/>
      </c>
      <c r="L294" s="265" t="str">
        <f t="shared" ca="1" si="103"/>
        <v/>
      </c>
      <c r="M294" s="266" t="str">
        <f t="shared" ca="1" si="103"/>
        <v/>
      </c>
      <c r="N294" s="264" t="str">
        <f t="shared" ca="1" si="103"/>
        <v/>
      </c>
      <c r="O294" s="265" t="str">
        <f t="shared" ca="1" si="103"/>
        <v/>
      </c>
      <c r="P294" s="266" t="str">
        <f t="shared" ca="1" si="103"/>
        <v/>
      </c>
      <c r="Q294" s="267" t="str">
        <f t="shared" ca="1" si="103"/>
        <v/>
      </c>
      <c r="R294" s="268" t="str">
        <f t="shared" ca="1" si="104"/>
        <v/>
      </c>
      <c r="S294" s="264" t="str">
        <f t="shared" ca="1" si="104"/>
        <v/>
      </c>
      <c r="T294" s="269" t="str">
        <f t="shared" ca="1" si="104"/>
        <v/>
      </c>
      <c r="U294" s="268" t="str">
        <f t="shared" ca="1" si="104"/>
        <v/>
      </c>
      <c r="V294" s="264" t="str">
        <f t="shared" ca="1" si="104"/>
        <v/>
      </c>
      <c r="W294" s="265" t="str">
        <f t="shared" ca="1" si="104"/>
        <v/>
      </c>
      <c r="X294" s="266" t="str">
        <f t="shared" ca="1" si="104"/>
        <v/>
      </c>
      <c r="Y294" s="264" t="str">
        <f t="shared" ca="1" si="104"/>
        <v/>
      </c>
      <c r="Z294" s="265" t="str">
        <f t="shared" ca="1" si="104"/>
        <v/>
      </c>
      <c r="AA294" s="266" t="str">
        <f t="shared" ca="1" si="104"/>
        <v/>
      </c>
      <c r="AB294" s="267" t="str">
        <f t="shared" ca="1" si="104"/>
        <v/>
      </c>
      <c r="AC294" s="541"/>
      <c r="AD294" s="212" t="str">
        <f t="shared" ca="1" si="108"/>
        <v/>
      </c>
    </row>
    <row r="295" spans="1:30" s="45" customFormat="1" ht="22.5" customHeight="1">
      <c r="A295" s="258" t="str">
        <f ca="1">IFERROR(INDEX(凭证录入!H:H,$AD295),"")</f>
        <v/>
      </c>
      <c r="B295" s="259" t="str">
        <f ca="1">IFERROR(INDEX(凭证录入!I:I,$AD295),"")</f>
        <v/>
      </c>
      <c r="C295" s="260" t="str">
        <f ca="1">IFERROR(VLOOKUP($B295,会计科目表!$A:$C,2,),"")</f>
        <v/>
      </c>
      <c r="D295" s="261" t="str">
        <f ca="1">IFERROR(VLOOKUP($B295,会计科目表!$A:$C,3,),"")</f>
        <v/>
      </c>
      <c r="E295" s="262">
        <f ca="1">IFERROR(INDEX(凭证录入!K:K,$AD295),0)</f>
        <v>0</v>
      </c>
      <c r="F295" s="262">
        <f ca="1">IFERROR(INDEX(凭证录入!L:L,$AD295),0)</f>
        <v>0</v>
      </c>
      <c r="G295" s="263" t="str">
        <f t="shared" ca="1" si="103"/>
        <v/>
      </c>
      <c r="H295" s="264" t="str">
        <f t="shared" ca="1" si="103"/>
        <v/>
      </c>
      <c r="I295" s="265" t="str">
        <f t="shared" ca="1" si="103"/>
        <v/>
      </c>
      <c r="J295" s="266" t="str">
        <f t="shared" ca="1" si="103"/>
        <v/>
      </c>
      <c r="K295" s="264" t="str">
        <f t="shared" ca="1" si="103"/>
        <v/>
      </c>
      <c r="L295" s="265" t="str">
        <f t="shared" ca="1" si="103"/>
        <v/>
      </c>
      <c r="M295" s="266" t="str">
        <f t="shared" ca="1" si="103"/>
        <v/>
      </c>
      <c r="N295" s="264" t="str">
        <f t="shared" ca="1" si="103"/>
        <v/>
      </c>
      <c r="O295" s="265" t="str">
        <f t="shared" ca="1" si="103"/>
        <v/>
      </c>
      <c r="P295" s="266" t="str">
        <f t="shared" ca="1" si="103"/>
        <v/>
      </c>
      <c r="Q295" s="267" t="str">
        <f t="shared" ca="1" si="103"/>
        <v/>
      </c>
      <c r="R295" s="268" t="str">
        <f t="shared" ca="1" si="104"/>
        <v/>
      </c>
      <c r="S295" s="264" t="str">
        <f t="shared" ca="1" si="104"/>
        <v/>
      </c>
      <c r="T295" s="269" t="str">
        <f t="shared" ca="1" si="104"/>
        <v/>
      </c>
      <c r="U295" s="268" t="str">
        <f t="shared" ca="1" si="104"/>
        <v/>
      </c>
      <c r="V295" s="264" t="str">
        <f t="shared" ca="1" si="104"/>
        <v/>
      </c>
      <c r="W295" s="265" t="str">
        <f t="shared" ca="1" si="104"/>
        <v/>
      </c>
      <c r="X295" s="266" t="str">
        <f t="shared" ca="1" si="104"/>
        <v/>
      </c>
      <c r="Y295" s="264" t="str">
        <f t="shared" ca="1" si="104"/>
        <v/>
      </c>
      <c r="Z295" s="265" t="str">
        <f t="shared" ca="1" si="104"/>
        <v/>
      </c>
      <c r="AA295" s="266" t="str">
        <f t="shared" ca="1" si="104"/>
        <v/>
      </c>
      <c r="AB295" s="267" t="str">
        <f t="shared" ca="1" si="104"/>
        <v/>
      </c>
      <c r="AC295" s="536" t="s">
        <v>724</v>
      </c>
      <c r="AD295" s="212" t="str">
        <f t="shared" ca="1" si="108"/>
        <v/>
      </c>
    </row>
    <row r="296" spans="1:30" s="45" customFormat="1" ht="22.5" customHeight="1">
      <c r="A296" s="258" t="str">
        <f ca="1">IFERROR(INDEX(凭证录入!H:H,$AD296),"")</f>
        <v/>
      </c>
      <c r="B296" s="259" t="str">
        <f ca="1">IFERROR(INDEX(凭证录入!I:I,$AD296),"")</f>
        <v/>
      </c>
      <c r="C296" s="260" t="str">
        <f ca="1">IFERROR(VLOOKUP($B296,会计科目表!$A:$C,2,),"")</f>
        <v/>
      </c>
      <c r="D296" s="261" t="str">
        <f ca="1">IFERROR(VLOOKUP($B296,会计科目表!$A:$C,3,),"")</f>
        <v/>
      </c>
      <c r="E296" s="262">
        <f ca="1">IFERROR(INDEX(凭证录入!K:K,$AD296),0)</f>
        <v>0</v>
      </c>
      <c r="F296" s="262">
        <f ca="1">IFERROR(INDEX(凭证录入!L:L,$AD296),0)</f>
        <v>0</v>
      </c>
      <c r="G296" s="263" t="str">
        <f t="shared" ca="1" si="103"/>
        <v/>
      </c>
      <c r="H296" s="264" t="str">
        <f t="shared" ca="1" si="103"/>
        <v/>
      </c>
      <c r="I296" s="265" t="str">
        <f t="shared" ca="1" si="103"/>
        <v/>
      </c>
      <c r="J296" s="266" t="str">
        <f t="shared" ca="1" si="103"/>
        <v/>
      </c>
      <c r="K296" s="264" t="str">
        <f t="shared" ca="1" si="103"/>
        <v/>
      </c>
      <c r="L296" s="265" t="str">
        <f t="shared" ca="1" si="103"/>
        <v/>
      </c>
      <c r="M296" s="266" t="str">
        <f t="shared" ca="1" si="103"/>
        <v/>
      </c>
      <c r="N296" s="264" t="str">
        <f t="shared" ca="1" si="103"/>
        <v/>
      </c>
      <c r="O296" s="265" t="str">
        <f t="shared" ca="1" si="103"/>
        <v/>
      </c>
      <c r="P296" s="266" t="str">
        <f t="shared" ca="1" si="103"/>
        <v/>
      </c>
      <c r="Q296" s="267" t="str">
        <f t="shared" ca="1" si="103"/>
        <v/>
      </c>
      <c r="R296" s="268" t="str">
        <f t="shared" ca="1" si="104"/>
        <v/>
      </c>
      <c r="S296" s="264" t="str">
        <f t="shared" ca="1" si="104"/>
        <v/>
      </c>
      <c r="T296" s="269" t="str">
        <f t="shared" ca="1" si="104"/>
        <v/>
      </c>
      <c r="U296" s="268" t="str">
        <f t="shared" ca="1" si="104"/>
        <v/>
      </c>
      <c r="V296" s="264" t="str">
        <f t="shared" ca="1" si="104"/>
        <v/>
      </c>
      <c r="W296" s="265" t="str">
        <f t="shared" ca="1" si="104"/>
        <v/>
      </c>
      <c r="X296" s="266" t="str">
        <f t="shared" ca="1" si="104"/>
        <v/>
      </c>
      <c r="Y296" s="264" t="str">
        <f t="shared" ca="1" si="104"/>
        <v/>
      </c>
      <c r="Z296" s="265" t="str">
        <f t="shared" ca="1" si="104"/>
        <v/>
      </c>
      <c r="AA296" s="266" t="str">
        <f t="shared" ca="1" si="104"/>
        <v/>
      </c>
      <c r="AB296" s="267" t="str">
        <f t="shared" ca="1" si="104"/>
        <v/>
      </c>
      <c r="AC296" s="537"/>
      <c r="AD296" s="212" t="str">
        <f t="shared" ca="1" si="108"/>
        <v/>
      </c>
    </row>
    <row r="297" spans="1:30" s="45" customFormat="1" ht="22.5" customHeight="1">
      <c r="A297" s="258" t="str">
        <f ca="1">IFERROR(INDEX(凭证录入!H:H,$AD297),"")</f>
        <v/>
      </c>
      <c r="B297" s="259" t="str">
        <f ca="1">IFERROR(INDEX(凭证录入!I:I,$AD297),"")</f>
        <v/>
      </c>
      <c r="C297" s="260" t="str">
        <f ca="1">IFERROR(VLOOKUP($B297,会计科目表!$A:$C,2,),"")</f>
        <v/>
      </c>
      <c r="D297" s="261" t="str">
        <f ca="1">IFERROR(VLOOKUP($B297,会计科目表!$A:$C,3,),"")</f>
        <v/>
      </c>
      <c r="E297" s="262">
        <f ca="1">IFERROR(INDEX(凭证录入!K:K,$AD297),0)</f>
        <v>0</v>
      </c>
      <c r="F297" s="262">
        <f ca="1">IFERROR(INDEX(凭证录入!L:L,$AD297),0)</f>
        <v>0</v>
      </c>
      <c r="G297" s="263" t="str">
        <f t="shared" ca="1" si="103"/>
        <v/>
      </c>
      <c r="H297" s="264" t="str">
        <f t="shared" ca="1" si="103"/>
        <v/>
      </c>
      <c r="I297" s="265" t="str">
        <f t="shared" ca="1" si="103"/>
        <v/>
      </c>
      <c r="J297" s="266" t="str">
        <f t="shared" ca="1" si="103"/>
        <v/>
      </c>
      <c r="K297" s="264" t="str">
        <f t="shared" ca="1" si="103"/>
        <v/>
      </c>
      <c r="L297" s="265" t="str">
        <f t="shared" ca="1" si="103"/>
        <v/>
      </c>
      <c r="M297" s="266" t="str">
        <f t="shared" ca="1" si="103"/>
        <v/>
      </c>
      <c r="N297" s="264" t="str">
        <f t="shared" ca="1" si="103"/>
        <v/>
      </c>
      <c r="O297" s="265" t="str">
        <f t="shared" ca="1" si="103"/>
        <v/>
      </c>
      <c r="P297" s="266" t="str">
        <f t="shared" ca="1" si="103"/>
        <v/>
      </c>
      <c r="Q297" s="267" t="str">
        <f t="shared" ca="1" si="103"/>
        <v/>
      </c>
      <c r="R297" s="268" t="str">
        <f t="shared" ca="1" si="104"/>
        <v/>
      </c>
      <c r="S297" s="264" t="str">
        <f t="shared" ca="1" si="104"/>
        <v/>
      </c>
      <c r="T297" s="269" t="str">
        <f t="shared" ca="1" si="104"/>
        <v/>
      </c>
      <c r="U297" s="268" t="str">
        <f t="shared" ca="1" si="104"/>
        <v/>
      </c>
      <c r="V297" s="264" t="str">
        <f t="shared" ca="1" si="104"/>
        <v/>
      </c>
      <c r="W297" s="265" t="str">
        <f t="shared" ca="1" si="104"/>
        <v/>
      </c>
      <c r="X297" s="266" t="str">
        <f t="shared" ca="1" si="104"/>
        <v/>
      </c>
      <c r="Y297" s="264" t="str">
        <f t="shared" ca="1" si="104"/>
        <v/>
      </c>
      <c r="Z297" s="265" t="str">
        <f t="shared" ca="1" si="104"/>
        <v/>
      </c>
      <c r="AA297" s="266" t="str">
        <f t="shared" ca="1" si="104"/>
        <v/>
      </c>
      <c r="AB297" s="267" t="str">
        <f t="shared" ca="1" si="104"/>
        <v/>
      </c>
      <c r="AC297" s="538"/>
      <c r="AD297" s="212" t="str">
        <f t="shared" ca="1" si="108"/>
        <v/>
      </c>
    </row>
    <row r="298" spans="1:30" s="45" customFormat="1" ht="22.5" customHeight="1">
      <c r="A298" s="258" t="str">
        <f ca="1">IFERROR(INDEX(凭证录入!H:H,$AD298),"")</f>
        <v/>
      </c>
      <c r="B298" s="259" t="str">
        <f ca="1">IFERROR(INDEX(凭证录入!I:I,$AD298),"")</f>
        <v/>
      </c>
      <c r="C298" s="260" t="str">
        <f ca="1">IFERROR(VLOOKUP($B298,会计科目表!$A:$C,2,),"")</f>
        <v/>
      </c>
      <c r="D298" s="261" t="str">
        <f ca="1">IFERROR(VLOOKUP($B298,会计科目表!$A:$C,3,),"")</f>
        <v/>
      </c>
      <c r="E298" s="262">
        <f ca="1">IFERROR(INDEX(凭证录入!K:K,$AD298),0)</f>
        <v>0</v>
      </c>
      <c r="F298" s="262">
        <f ca="1">IFERROR(INDEX(凭证录入!L:L,$AD298),0)</f>
        <v>0</v>
      </c>
      <c r="G298" s="263" t="str">
        <f t="shared" ca="1" si="103"/>
        <v/>
      </c>
      <c r="H298" s="264" t="str">
        <f t="shared" ca="1" si="103"/>
        <v/>
      </c>
      <c r="I298" s="265" t="str">
        <f t="shared" ca="1" si="103"/>
        <v/>
      </c>
      <c r="J298" s="266" t="str">
        <f t="shared" ca="1" si="103"/>
        <v/>
      </c>
      <c r="K298" s="264" t="str">
        <f t="shared" ca="1" si="103"/>
        <v/>
      </c>
      <c r="L298" s="265" t="str">
        <f t="shared" ca="1" si="103"/>
        <v/>
      </c>
      <c r="M298" s="266" t="str">
        <f t="shared" ca="1" si="103"/>
        <v/>
      </c>
      <c r="N298" s="264" t="str">
        <f t="shared" ca="1" si="103"/>
        <v/>
      </c>
      <c r="O298" s="265" t="str">
        <f t="shared" ca="1" si="103"/>
        <v/>
      </c>
      <c r="P298" s="266" t="str">
        <f t="shared" ca="1" si="103"/>
        <v/>
      </c>
      <c r="Q298" s="267" t="str">
        <f t="shared" ca="1" si="103"/>
        <v/>
      </c>
      <c r="R298" s="268" t="str">
        <f t="shared" ca="1" si="104"/>
        <v/>
      </c>
      <c r="S298" s="264" t="str">
        <f t="shared" ca="1" si="104"/>
        <v/>
      </c>
      <c r="T298" s="269" t="str">
        <f t="shared" ca="1" si="104"/>
        <v/>
      </c>
      <c r="U298" s="268" t="str">
        <f t="shared" ca="1" si="104"/>
        <v/>
      </c>
      <c r="V298" s="264" t="str">
        <f t="shared" ca="1" si="104"/>
        <v/>
      </c>
      <c r="W298" s="265" t="str">
        <f t="shared" ca="1" si="104"/>
        <v/>
      </c>
      <c r="X298" s="266" t="str">
        <f t="shared" ca="1" si="104"/>
        <v/>
      </c>
      <c r="Y298" s="264" t="str">
        <f t="shared" ca="1" si="104"/>
        <v/>
      </c>
      <c r="Z298" s="265" t="str">
        <f t="shared" ca="1" si="104"/>
        <v/>
      </c>
      <c r="AA298" s="266" t="str">
        <f t="shared" ca="1" si="104"/>
        <v/>
      </c>
      <c r="AB298" s="267" t="str">
        <f t="shared" ca="1" si="104"/>
        <v/>
      </c>
      <c r="AC298" s="538"/>
      <c r="AD298" s="212" t="str">
        <f t="shared" ca="1" si="108"/>
        <v/>
      </c>
    </row>
    <row r="299" spans="1:30" s="45" customFormat="1" ht="22.5" customHeight="1">
      <c r="A299" s="270" t="s">
        <v>751</v>
      </c>
      <c r="B299" s="271"/>
      <c r="C299" s="272" t="str">
        <f t="shared" ref="C299" ca="1" si="109">SUBSTITUTE(SUBSTITUTE(IF(-DOLLAR(E299),IF(E299&gt;0,,"负")&amp;TEXT(INT(ABS(E299)+0.5%),"[dbnum2]G/通用格式元;;")&amp;TEXT(RIGHT(DOLLAR(E299,2),2),"[dbnum2]0角0分;;整"),),"零角",IF(E299^2&lt;1,,"零")),"零分","整")</f>
        <v/>
      </c>
      <c r="D299" s="273"/>
      <c r="E299" s="274">
        <f t="shared" ref="E299:F299" ca="1" si="110">SUM(E293:E298)</f>
        <v>0</v>
      </c>
      <c r="F299" s="275">
        <f t="shared" ca="1" si="110"/>
        <v>0</v>
      </c>
      <c r="G299" s="276" t="str">
        <f t="shared" ca="1" si="103"/>
        <v/>
      </c>
      <c r="H299" s="277" t="str">
        <f t="shared" ca="1" si="103"/>
        <v/>
      </c>
      <c r="I299" s="278" t="str">
        <f t="shared" ca="1" si="103"/>
        <v/>
      </c>
      <c r="J299" s="279" t="str">
        <f t="shared" ca="1" si="103"/>
        <v/>
      </c>
      <c r="K299" s="277" t="str">
        <f t="shared" ca="1" si="103"/>
        <v/>
      </c>
      <c r="L299" s="278" t="str">
        <f t="shared" ca="1" si="103"/>
        <v/>
      </c>
      <c r="M299" s="279" t="str">
        <f t="shared" ca="1" si="103"/>
        <v/>
      </c>
      <c r="N299" s="277" t="str">
        <f t="shared" ca="1" si="103"/>
        <v/>
      </c>
      <c r="O299" s="278" t="str">
        <f t="shared" ca="1" si="103"/>
        <v/>
      </c>
      <c r="P299" s="279" t="str">
        <f t="shared" ca="1" si="103"/>
        <v/>
      </c>
      <c r="Q299" s="280" t="str">
        <f t="shared" ca="1" si="103"/>
        <v/>
      </c>
      <c r="R299" s="281" t="str">
        <f t="shared" ca="1" si="104"/>
        <v/>
      </c>
      <c r="S299" s="277" t="str">
        <f t="shared" ca="1" si="104"/>
        <v/>
      </c>
      <c r="T299" s="282" t="str">
        <f t="shared" ca="1" si="104"/>
        <v/>
      </c>
      <c r="U299" s="281" t="str">
        <f t="shared" ca="1" si="104"/>
        <v/>
      </c>
      <c r="V299" s="277" t="str">
        <f t="shared" ca="1" si="104"/>
        <v/>
      </c>
      <c r="W299" s="278" t="str">
        <f t="shared" ca="1" si="104"/>
        <v/>
      </c>
      <c r="X299" s="279" t="str">
        <f t="shared" ca="1" si="104"/>
        <v/>
      </c>
      <c r="Y299" s="277" t="str">
        <f t="shared" ca="1" si="104"/>
        <v/>
      </c>
      <c r="Z299" s="278" t="str">
        <f t="shared" ca="1" si="104"/>
        <v/>
      </c>
      <c r="AA299" s="279" t="str">
        <f t="shared" ca="1" si="104"/>
        <v/>
      </c>
      <c r="AB299" s="280" t="str">
        <f t="shared" ca="1" si="104"/>
        <v/>
      </c>
      <c r="AC299" s="283"/>
      <c r="AD299" s="212"/>
    </row>
    <row r="300" spans="1:30" s="22" customFormat="1" ht="22.5" customHeight="1">
      <c r="A300" s="284" t="s">
        <v>752</v>
      </c>
      <c r="B300" s="284"/>
      <c r="C300" s="284"/>
      <c r="D300" s="284" t="s">
        <v>753</v>
      </c>
      <c r="E300" s="284"/>
      <c r="F300" s="284"/>
      <c r="G300" s="284"/>
      <c r="H300" s="285"/>
      <c r="I300" s="284"/>
      <c r="J300" s="285"/>
      <c r="K300" s="285"/>
      <c r="L300" s="284"/>
      <c r="M300" s="285"/>
      <c r="N300" s="285"/>
      <c r="O300" s="285"/>
      <c r="P300" s="284"/>
      <c r="Q300" s="284" t="s">
        <v>754</v>
      </c>
      <c r="R300" s="284"/>
      <c r="S300" s="284"/>
      <c r="T300" s="284"/>
      <c r="U300" s="285"/>
      <c r="V300" s="284"/>
      <c r="W300" s="285"/>
      <c r="X300" s="284"/>
      <c r="Y300" s="284"/>
      <c r="Z300" s="285"/>
      <c r="AA300" s="285"/>
      <c r="AB300" s="285"/>
      <c r="AC300" s="286"/>
      <c r="AD300" s="212"/>
    </row>
    <row r="301" spans="1:30" ht="39.75" customHeight="1" thickBot="1">
      <c r="A301" s="226"/>
      <c r="B301" s="226"/>
      <c r="C301" s="227" t="s">
        <v>755</v>
      </c>
      <c r="D301" s="228"/>
      <c r="E301" s="226"/>
      <c r="F301" s="226"/>
      <c r="G301" s="228"/>
      <c r="H301" s="228"/>
      <c r="I301" s="228"/>
      <c r="J301" s="228"/>
      <c r="K301" s="228"/>
      <c r="L301" s="228"/>
      <c r="M301" s="228"/>
      <c r="N301" s="228"/>
      <c r="O301" s="228"/>
      <c r="P301" s="228"/>
      <c r="Q301" s="228"/>
      <c r="R301" s="229" t="s">
        <v>756</v>
      </c>
      <c r="S301" s="230"/>
      <c r="T301" s="230"/>
      <c r="U301" s="231" t="e">
        <f ca="1">DATE(AD$1,AF$1,INDEX(凭证录入!B:B,AD305))</f>
        <v>#VALUE!</v>
      </c>
      <c r="V301" s="232"/>
      <c r="W301" s="232"/>
      <c r="X301" s="232"/>
      <c r="Y301" s="232"/>
      <c r="Z301" s="232"/>
      <c r="AA301" s="232"/>
      <c r="AB301" s="232"/>
      <c r="AD301" s="212"/>
    </row>
    <row r="302" spans="1:30" s="45" customFormat="1" ht="23.25" customHeight="1" thickTop="1">
      <c r="A302" s="235" t="s">
        <v>757</v>
      </c>
      <c r="B302" s="235"/>
      <c r="C302" s="236" t="str">
        <f t="shared" si="92"/>
        <v>远大开发有限公司</v>
      </c>
      <c r="D302" s="236"/>
      <c r="E302" s="236"/>
      <c r="F302" s="236"/>
      <c r="G302" s="236"/>
      <c r="H302" s="236"/>
      <c r="I302" s="236"/>
      <c r="J302" s="236"/>
      <c r="K302" s="236"/>
      <c r="L302" s="236"/>
      <c r="M302" s="236"/>
      <c r="N302" s="236"/>
      <c r="O302" s="236"/>
      <c r="P302" s="236"/>
      <c r="Q302" s="236"/>
      <c r="R302" s="229" t="s">
        <v>758</v>
      </c>
      <c r="S302" s="229"/>
      <c r="T302" s="229"/>
      <c r="U302" s="237" t="str">
        <f t="shared" ref="U302" si="111">"第 "&amp;TEXT($AF$1,"00")&amp;TEXT($AC302,"0000 号")</f>
        <v>第 010025 号</v>
      </c>
      <c r="V302" s="237"/>
      <c r="W302" s="238"/>
      <c r="X302" s="238"/>
      <c r="Y302" s="238"/>
      <c r="Z302" s="238"/>
      <c r="AA302" s="238"/>
      <c r="AB302" s="238"/>
      <c r="AC302" s="239">
        <f t="shared" si="94"/>
        <v>25</v>
      </c>
      <c r="AD302" s="212"/>
    </row>
    <row r="303" spans="1:30" s="45" customFormat="1" ht="22.5" customHeight="1">
      <c r="A303" s="241" t="s">
        <v>759</v>
      </c>
      <c r="B303" s="542" t="s">
        <v>760</v>
      </c>
      <c r="C303" s="242" t="s">
        <v>761</v>
      </c>
      <c r="D303" s="243" t="s">
        <v>762</v>
      </c>
      <c r="E303" s="539" t="s">
        <v>763</v>
      </c>
      <c r="F303" s="539" t="s">
        <v>764</v>
      </c>
      <c r="G303" s="244" t="s">
        <v>765</v>
      </c>
      <c r="H303" s="245"/>
      <c r="I303" s="245"/>
      <c r="J303" s="245"/>
      <c r="K303" s="245"/>
      <c r="L303" s="245"/>
      <c r="M303" s="245"/>
      <c r="N303" s="245"/>
      <c r="O303" s="245"/>
      <c r="P303" s="245"/>
      <c r="Q303" s="246"/>
      <c r="R303" s="247" t="s">
        <v>766</v>
      </c>
      <c r="S303" s="245"/>
      <c r="T303" s="245"/>
      <c r="U303" s="245"/>
      <c r="V303" s="245"/>
      <c r="W303" s="245"/>
      <c r="X303" s="245"/>
      <c r="Y303" s="245"/>
      <c r="Z303" s="245"/>
      <c r="AA303" s="245"/>
      <c r="AB303" s="246"/>
      <c r="AC303" s="541" t="str">
        <f ca="1">"附单据数︵"&amp;INDEX(凭证录入!$D:$D,$AD$17)&amp;"︶张"</f>
        <v>附单据数︵4︶张</v>
      </c>
      <c r="AD303" s="235"/>
    </row>
    <row r="304" spans="1:30" s="45" customFormat="1" ht="22.5" customHeight="1">
      <c r="A304" s="248" t="s">
        <v>767</v>
      </c>
      <c r="B304" s="543"/>
      <c r="C304" s="249" t="s">
        <v>768</v>
      </c>
      <c r="D304" s="250" t="s">
        <v>768</v>
      </c>
      <c r="E304" s="540"/>
      <c r="F304" s="540"/>
      <c r="G304" s="251" t="s">
        <v>769</v>
      </c>
      <c r="H304" s="252" t="s">
        <v>770</v>
      </c>
      <c r="I304" s="253" t="s">
        <v>771</v>
      </c>
      <c r="J304" s="254" t="s">
        <v>772</v>
      </c>
      <c r="K304" s="252" t="s">
        <v>773</v>
      </c>
      <c r="L304" s="253" t="s">
        <v>770</v>
      </c>
      <c r="M304" s="254" t="s">
        <v>771</v>
      </c>
      <c r="N304" s="252" t="s">
        <v>772</v>
      </c>
      <c r="O304" s="253" t="s">
        <v>774</v>
      </c>
      <c r="P304" s="254" t="s">
        <v>775</v>
      </c>
      <c r="Q304" s="255" t="s">
        <v>776</v>
      </c>
      <c r="R304" s="256" t="s">
        <v>769</v>
      </c>
      <c r="S304" s="252" t="s">
        <v>770</v>
      </c>
      <c r="T304" s="257" t="s">
        <v>771</v>
      </c>
      <c r="U304" s="256" t="s">
        <v>772</v>
      </c>
      <c r="V304" s="252" t="s">
        <v>773</v>
      </c>
      <c r="W304" s="253" t="s">
        <v>770</v>
      </c>
      <c r="X304" s="254" t="s">
        <v>771</v>
      </c>
      <c r="Y304" s="252" t="s">
        <v>772</v>
      </c>
      <c r="Z304" s="253" t="s">
        <v>774</v>
      </c>
      <c r="AA304" s="254" t="s">
        <v>775</v>
      </c>
      <c r="AB304" s="255" t="s">
        <v>776</v>
      </c>
      <c r="AC304" s="541"/>
    </row>
    <row r="305" spans="1:30" s="45" customFormat="1" ht="22.5" customHeight="1">
      <c r="A305" s="258" t="str">
        <f ca="1">IFERROR(INDEX(凭证录入!H:H,$AD305),"")</f>
        <v/>
      </c>
      <c r="B305" s="259" t="str">
        <f ca="1">IFERROR(INDEX(凭证录入!I:I,$AD305),"")</f>
        <v/>
      </c>
      <c r="C305" s="260" t="str">
        <f ca="1">IFERROR(VLOOKUP($B305,会计科目表!$A:$C,2,),"")</f>
        <v/>
      </c>
      <c r="D305" s="261" t="str">
        <f ca="1">IFERROR(VLOOKUP($B305,会计科目表!$A:$C,3,),"")</f>
        <v/>
      </c>
      <c r="E305" s="262">
        <f ca="1">IFERROR(INDEX(凭证录入!K:K,$AD305),0)</f>
        <v>0</v>
      </c>
      <c r="F305" s="262">
        <f ca="1">IFERROR(INDEX(凭证录入!L:L,$AD305),0)</f>
        <v>0</v>
      </c>
      <c r="G305" s="263" t="str">
        <f t="shared" ca="1" si="103"/>
        <v/>
      </c>
      <c r="H305" s="264" t="str">
        <f t="shared" ca="1" si="103"/>
        <v/>
      </c>
      <c r="I305" s="265" t="str">
        <f t="shared" ca="1" si="103"/>
        <v/>
      </c>
      <c r="J305" s="266" t="str">
        <f t="shared" ca="1" si="103"/>
        <v/>
      </c>
      <c r="K305" s="264" t="str">
        <f t="shared" ca="1" si="103"/>
        <v/>
      </c>
      <c r="L305" s="265" t="str">
        <f t="shared" ca="1" si="103"/>
        <v/>
      </c>
      <c r="M305" s="266" t="str">
        <f t="shared" ca="1" si="103"/>
        <v/>
      </c>
      <c r="N305" s="264" t="str">
        <f t="shared" ca="1" si="103"/>
        <v/>
      </c>
      <c r="O305" s="265" t="str">
        <f t="shared" ca="1" si="103"/>
        <v/>
      </c>
      <c r="P305" s="266" t="str">
        <f t="shared" ca="1" si="103"/>
        <v/>
      </c>
      <c r="Q305" s="267" t="str">
        <f t="shared" ca="1" si="103"/>
        <v/>
      </c>
      <c r="R305" s="268" t="str">
        <f t="shared" ca="1" si="104"/>
        <v/>
      </c>
      <c r="S305" s="264" t="str">
        <f t="shared" ca="1" si="104"/>
        <v/>
      </c>
      <c r="T305" s="269" t="str">
        <f t="shared" ca="1" si="104"/>
        <v/>
      </c>
      <c r="U305" s="268" t="str">
        <f t="shared" ca="1" si="104"/>
        <v/>
      </c>
      <c r="V305" s="264" t="str">
        <f t="shared" ca="1" si="104"/>
        <v/>
      </c>
      <c r="W305" s="265" t="str">
        <f t="shared" ca="1" si="104"/>
        <v/>
      </c>
      <c r="X305" s="266" t="str">
        <f t="shared" ca="1" si="104"/>
        <v/>
      </c>
      <c r="Y305" s="264" t="str">
        <f t="shared" ca="1" si="104"/>
        <v/>
      </c>
      <c r="Z305" s="265" t="str">
        <f t="shared" ca="1" si="104"/>
        <v/>
      </c>
      <c r="AA305" s="266" t="str">
        <f t="shared" ca="1" si="104"/>
        <v/>
      </c>
      <c r="AB305" s="267" t="str">
        <f t="shared" ca="1" si="104"/>
        <v/>
      </c>
      <c r="AC305" s="541"/>
      <c r="AD305" s="212" t="str">
        <f t="shared" ca="1" si="108"/>
        <v/>
      </c>
    </row>
    <row r="306" spans="1:30" s="45" customFormat="1" ht="22.5" customHeight="1">
      <c r="A306" s="258" t="str">
        <f ca="1">IFERROR(INDEX(凭证录入!H:H,$AD306),"")</f>
        <v/>
      </c>
      <c r="B306" s="259" t="str">
        <f ca="1">IFERROR(INDEX(凭证录入!I:I,$AD306),"")</f>
        <v/>
      </c>
      <c r="C306" s="260" t="str">
        <f ca="1">IFERROR(VLOOKUP($B306,会计科目表!$A:$C,2,),"")</f>
        <v/>
      </c>
      <c r="D306" s="261" t="str">
        <f ca="1">IFERROR(VLOOKUP($B306,会计科目表!$A:$C,3,),"")</f>
        <v/>
      </c>
      <c r="E306" s="262">
        <f ca="1">IFERROR(INDEX(凭证录入!K:K,$AD306),0)</f>
        <v>0</v>
      </c>
      <c r="F306" s="262">
        <f ca="1">IFERROR(INDEX(凭证录入!L:L,$AD306),0)</f>
        <v>0</v>
      </c>
      <c r="G306" s="263" t="str">
        <f t="shared" ca="1" si="103"/>
        <v/>
      </c>
      <c r="H306" s="264" t="str">
        <f t="shared" ca="1" si="103"/>
        <v/>
      </c>
      <c r="I306" s="265" t="str">
        <f t="shared" ca="1" si="103"/>
        <v/>
      </c>
      <c r="J306" s="266" t="str">
        <f t="shared" ca="1" si="103"/>
        <v/>
      </c>
      <c r="K306" s="264" t="str">
        <f t="shared" ca="1" si="103"/>
        <v/>
      </c>
      <c r="L306" s="265" t="str">
        <f t="shared" ca="1" si="103"/>
        <v/>
      </c>
      <c r="M306" s="266" t="str">
        <f t="shared" ca="1" si="103"/>
        <v/>
      </c>
      <c r="N306" s="264" t="str">
        <f t="shared" ca="1" si="103"/>
        <v/>
      </c>
      <c r="O306" s="265" t="str">
        <f t="shared" ca="1" si="103"/>
        <v/>
      </c>
      <c r="P306" s="266" t="str">
        <f t="shared" ca="1" si="103"/>
        <v/>
      </c>
      <c r="Q306" s="267" t="str">
        <f t="shared" ca="1" si="103"/>
        <v/>
      </c>
      <c r="R306" s="268" t="str">
        <f t="shared" ca="1" si="104"/>
        <v/>
      </c>
      <c r="S306" s="264" t="str">
        <f t="shared" ca="1" si="104"/>
        <v/>
      </c>
      <c r="T306" s="269" t="str">
        <f t="shared" ca="1" si="104"/>
        <v/>
      </c>
      <c r="U306" s="268" t="str">
        <f t="shared" ca="1" si="104"/>
        <v/>
      </c>
      <c r="V306" s="264" t="str">
        <f t="shared" ca="1" si="104"/>
        <v/>
      </c>
      <c r="W306" s="265" t="str">
        <f t="shared" ca="1" si="104"/>
        <v/>
      </c>
      <c r="X306" s="266" t="str">
        <f t="shared" ca="1" si="104"/>
        <v/>
      </c>
      <c r="Y306" s="264" t="str">
        <f t="shared" ca="1" si="104"/>
        <v/>
      </c>
      <c r="Z306" s="265" t="str">
        <f t="shared" ca="1" si="104"/>
        <v/>
      </c>
      <c r="AA306" s="266" t="str">
        <f t="shared" ca="1" si="104"/>
        <v/>
      </c>
      <c r="AB306" s="267" t="str">
        <f t="shared" ca="1" si="104"/>
        <v/>
      </c>
      <c r="AC306" s="541"/>
      <c r="AD306" s="212" t="str">
        <f t="shared" ca="1" si="108"/>
        <v/>
      </c>
    </row>
    <row r="307" spans="1:30" s="45" customFormat="1" ht="22.5" customHeight="1">
      <c r="A307" s="258" t="str">
        <f ca="1">IFERROR(INDEX(凭证录入!H:H,$AD307),"")</f>
        <v/>
      </c>
      <c r="B307" s="259" t="str">
        <f ca="1">IFERROR(INDEX(凭证录入!I:I,$AD307),"")</f>
        <v/>
      </c>
      <c r="C307" s="260" t="str">
        <f ca="1">IFERROR(VLOOKUP($B307,会计科目表!$A:$C,2,),"")</f>
        <v/>
      </c>
      <c r="D307" s="261" t="str">
        <f ca="1">IFERROR(VLOOKUP($B307,会计科目表!$A:$C,3,),"")</f>
        <v/>
      </c>
      <c r="E307" s="262">
        <f ca="1">IFERROR(INDEX(凭证录入!K:K,$AD307),0)</f>
        <v>0</v>
      </c>
      <c r="F307" s="262">
        <f ca="1">IFERROR(INDEX(凭证录入!L:L,$AD307),0)</f>
        <v>0</v>
      </c>
      <c r="G307" s="263" t="str">
        <f t="shared" ca="1" si="103"/>
        <v/>
      </c>
      <c r="H307" s="264" t="str">
        <f t="shared" ca="1" si="103"/>
        <v/>
      </c>
      <c r="I307" s="265" t="str">
        <f t="shared" ca="1" si="103"/>
        <v/>
      </c>
      <c r="J307" s="266" t="str">
        <f t="shared" ca="1" si="103"/>
        <v/>
      </c>
      <c r="K307" s="264" t="str">
        <f t="shared" ca="1" si="103"/>
        <v/>
      </c>
      <c r="L307" s="265" t="str">
        <f t="shared" ca="1" si="103"/>
        <v/>
      </c>
      <c r="M307" s="266" t="str">
        <f t="shared" ca="1" si="103"/>
        <v/>
      </c>
      <c r="N307" s="264" t="str">
        <f t="shared" ca="1" si="103"/>
        <v/>
      </c>
      <c r="O307" s="265" t="str">
        <f t="shared" ca="1" si="103"/>
        <v/>
      </c>
      <c r="P307" s="266" t="str">
        <f t="shared" ca="1" si="103"/>
        <v/>
      </c>
      <c r="Q307" s="267" t="str">
        <f t="shared" ca="1" si="103"/>
        <v/>
      </c>
      <c r="R307" s="268" t="str">
        <f t="shared" ca="1" si="104"/>
        <v/>
      </c>
      <c r="S307" s="264" t="str">
        <f t="shared" ca="1" si="104"/>
        <v/>
      </c>
      <c r="T307" s="269" t="str">
        <f t="shared" ca="1" si="104"/>
        <v/>
      </c>
      <c r="U307" s="268" t="str">
        <f t="shared" ca="1" si="104"/>
        <v/>
      </c>
      <c r="V307" s="264" t="str">
        <f t="shared" ca="1" si="104"/>
        <v/>
      </c>
      <c r="W307" s="265" t="str">
        <f t="shared" ca="1" si="104"/>
        <v/>
      </c>
      <c r="X307" s="266" t="str">
        <f t="shared" ca="1" si="104"/>
        <v/>
      </c>
      <c r="Y307" s="264" t="str">
        <f t="shared" ca="1" si="104"/>
        <v/>
      </c>
      <c r="Z307" s="265" t="str">
        <f t="shared" ca="1" si="104"/>
        <v/>
      </c>
      <c r="AA307" s="266" t="str">
        <f t="shared" ca="1" si="104"/>
        <v/>
      </c>
      <c r="AB307" s="267" t="str">
        <f t="shared" ca="1" si="104"/>
        <v/>
      </c>
      <c r="AC307" s="536" t="s">
        <v>724</v>
      </c>
      <c r="AD307" s="212" t="str">
        <f t="shared" ca="1" si="108"/>
        <v/>
      </c>
    </row>
    <row r="308" spans="1:30" s="45" customFormat="1" ht="22.5" customHeight="1">
      <c r="A308" s="258" t="str">
        <f ca="1">IFERROR(INDEX(凭证录入!H:H,$AD308),"")</f>
        <v/>
      </c>
      <c r="B308" s="259" t="str">
        <f ca="1">IFERROR(INDEX(凭证录入!I:I,$AD308),"")</f>
        <v/>
      </c>
      <c r="C308" s="260" t="str">
        <f ca="1">IFERROR(VLOOKUP($B308,会计科目表!$A:$C,2,),"")</f>
        <v/>
      </c>
      <c r="D308" s="261" t="str">
        <f ca="1">IFERROR(VLOOKUP($B308,会计科目表!$A:$C,3,),"")</f>
        <v/>
      </c>
      <c r="E308" s="262">
        <f ca="1">IFERROR(INDEX(凭证录入!K:K,$AD308),0)</f>
        <v>0</v>
      </c>
      <c r="F308" s="262">
        <f ca="1">IFERROR(INDEX(凭证录入!L:L,$AD308),0)</f>
        <v>0</v>
      </c>
      <c r="G308" s="263" t="str">
        <f t="shared" ca="1" si="103"/>
        <v/>
      </c>
      <c r="H308" s="264" t="str">
        <f t="shared" ca="1" si="103"/>
        <v/>
      </c>
      <c r="I308" s="265" t="str">
        <f t="shared" ca="1" si="103"/>
        <v/>
      </c>
      <c r="J308" s="266" t="str">
        <f t="shared" ca="1" si="103"/>
        <v/>
      </c>
      <c r="K308" s="264" t="str">
        <f t="shared" ca="1" si="103"/>
        <v/>
      </c>
      <c r="L308" s="265" t="str">
        <f t="shared" ca="1" si="103"/>
        <v/>
      </c>
      <c r="M308" s="266" t="str">
        <f t="shared" ca="1" si="103"/>
        <v/>
      </c>
      <c r="N308" s="264" t="str">
        <f t="shared" ca="1" si="103"/>
        <v/>
      </c>
      <c r="O308" s="265" t="str">
        <f t="shared" ca="1" si="103"/>
        <v/>
      </c>
      <c r="P308" s="266" t="str">
        <f t="shared" ca="1" si="103"/>
        <v/>
      </c>
      <c r="Q308" s="267" t="str">
        <f t="shared" ca="1" si="103"/>
        <v/>
      </c>
      <c r="R308" s="268" t="str">
        <f t="shared" ca="1" si="104"/>
        <v/>
      </c>
      <c r="S308" s="264" t="str">
        <f t="shared" ca="1" si="104"/>
        <v/>
      </c>
      <c r="T308" s="269" t="str">
        <f t="shared" ca="1" si="104"/>
        <v/>
      </c>
      <c r="U308" s="268" t="str">
        <f t="shared" ca="1" si="104"/>
        <v/>
      </c>
      <c r="V308" s="264" t="str">
        <f t="shared" ca="1" si="104"/>
        <v/>
      </c>
      <c r="W308" s="265" t="str">
        <f t="shared" ca="1" si="104"/>
        <v/>
      </c>
      <c r="X308" s="266" t="str">
        <f t="shared" ca="1" si="104"/>
        <v/>
      </c>
      <c r="Y308" s="264" t="str">
        <f t="shared" ca="1" si="104"/>
        <v/>
      </c>
      <c r="Z308" s="265" t="str">
        <f t="shared" ca="1" si="104"/>
        <v/>
      </c>
      <c r="AA308" s="266" t="str">
        <f t="shared" ca="1" si="104"/>
        <v/>
      </c>
      <c r="AB308" s="267" t="str">
        <f t="shared" ca="1" si="104"/>
        <v/>
      </c>
      <c r="AC308" s="537"/>
      <c r="AD308" s="212" t="str">
        <f t="shared" ca="1" si="108"/>
        <v/>
      </c>
    </row>
    <row r="309" spans="1:30" s="45" customFormat="1" ht="22.5" customHeight="1">
      <c r="A309" s="258" t="str">
        <f ca="1">IFERROR(INDEX(凭证录入!H:H,$AD309),"")</f>
        <v/>
      </c>
      <c r="B309" s="259" t="str">
        <f ca="1">IFERROR(INDEX(凭证录入!I:I,$AD309),"")</f>
        <v/>
      </c>
      <c r="C309" s="260" t="str">
        <f ca="1">IFERROR(VLOOKUP($B309,会计科目表!$A:$C,2,),"")</f>
        <v/>
      </c>
      <c r="D309" s="261" t="str">
        <f ca="1">IFERROR(VLOOKUP($B309,会计科目表!$A:$C,3,),"")</f>
        <v/>
      </c>
      <c r="E309" s="262">
        <f ca="1">IFERROR(INDEX(凭证录入!K:K,$AD309),0)</f>
        <v>0</v>
      </c>
      <c r="F309" s="262">
        <f ca="1">IFERROR(INDEX(凭证录入!L:L,$AD309),0)</f>
        <v>0</v>
      </c>
      <c r="G309" s="263" t="str">
        <f t="shared" ca="1" si="103"/>
        <v/>
      </c>
      <c r="H309" s="264" t="str">
        <f t="shared" ca="1" si="103"/>
        <v/>
      </c>
      <c r="I309" s="265" t="str">
        <f t="shared" ca="1" si="103"/>
        <v/>
      </c>
      <c r="J309" s="266" t="str">
        <f t="shared" ca="1" si="103"/>
        <v/>
      </c>
      <c r="K309" s="264" t="str">
        <f t="shared" ca="1" si="103"/>
        <v/>
      </c>
      <c r="L309" s="265" t="str">
        <f t="shared" ca="1" si="103"/>
        <v/>
      </c>
      <c r="M309" s="266" t="str">
        <f t="shared" ca="1" si="103"/>
        <v/>
      </c>
      <c r="N309" s="264" t="str">
        <f t="shared" ca="1" si="103"/>
        <v/>
      </c>
      <c r="O309" s="265" t="str">
        <f t="shared" ca="1" si="103"/>
        <v/>
      </c>
      <c r="P309" s="266" t="str">
        <f t="shared" ca="1" si="103"/>
        <v/>
      </c>
      <c r="Q309" s="267" t="str">
        <f t="shared" ca="1" si="103"/>
        <v/>
      </c>
      <c r="R309" s="268" t="str">
        <f t="shared" ca="1" si="104"/>
        <v/>
      </c>
      <c r="S309" s="264" t="str">
        <f t="shared" ca="1" si="104"/>
        <v/>
      </c>
      <c r="T309" s="269" t="str">
        <f t="shared" ca="1" si="104"/>
        <v/>
      </c>
      <c r="U309" s="268" t="str">
        <f t="shared" ca="1" si="104"/>
        <v/>
      </c>
      <c r="V309" s="264" t="str">
        <f t="shared" ca="1" si="104"/>
        <v/>
      </c>
      <c r="W309" s="265" t="str">
        <f t="shared" ca="1" si="104"/>
        <v/>
      </c>
      <c r="X309" s="266" t="str">
        <f t="shared" ca="1" si="104"/>
        <v/>
      </c>
      <c r="Y309" s="264" t="str">
        <f t="shared" ca="1" si="104"/>
        <v/>
      </c>
      <c r="Z309" s="265" t="str">
        <f t="shared" ca="1" si="104"/>
        <v/>
      </c>
      <c r="AA309" s="266" t="str">
        <f t="shared" ca="1" si="104"/>
        <v/>
      </c>
      <c r="AB309" s="267" t="str">
        <f t="shared" ca="1" si="104"/>
        <v/>
      </c>
      <c r="AC309" s="538"/>
      <c r="AD309" s="212" t="str">
        <f t="shared" ca="1" si="108"/>
        <v/>
      </c>
    </row>
    <row r="310" spans="1:30" s="45" customFormat="1" ht="22.5" customHeight="1">
      <c r="A310" s="258" t="str">
        <f ca="1">IFERROR(INDEX(凭证录入!H:H,$AD310),"")</f>
        <v/>
      </c>
      <c r="B310" s="259" t="str">
        <f ca="1">IFERROR(INDEX(凭证录入!I:I,$AD310),"")</f>
        <v/>
      </c>
      <c r="C310" s="260" t="str">
        <f ca="1">IFERROR(VLOOKUP($B310,会计科目表!$A:$C,2,),"")</f>
        <v/>
      </c>
      <c r="D310" s="261" t="str">
        <f ca="1">IFERROR(VLOOKUP($B310,会计科目表!$A:$C,3,),"")</f>
        <v/>
      </c>
      <c r="E310" s="262">
        <f ca="1">IFERROR(INDEX(凭证录入!K:K,$AD310),0)</f>
        <v>0</v>
      </c>
      <c r="F310" s="262">
        <f ca="1">IFERROR(INDEX(凭证录入!L:L,$AD310),0)</f>
        <v>0</v>
      </c>
      <c r="G310" s="263" t="str">
        <f t="shared" ca="1" si="103"/>
        <v/>
      </c>
      <c r="H310" s="264" t="str">
        <f t="shared" ca="1" si="103"/>
        <v/>
      </c>
      <c r="I310" s="265" t="str">
        <f t="shared" ca="1" si="103"/>
        <v/>
      </c>
      <c r="J310" s="266" t="str">
        <f t="shared" ca="1" si="103"/>
        <v/>
      </c>
      <c r="K310" s="264" t="str">
        <f t="shared" ca="1" si="103"/>
        <v/>
      </c>
      <c r="L310" s="265" t="str">
        <f t="shared" ca="1" si="103"/>
        <v/>
      </c>
      <c r="M310" s="266" t="str">
        <f t="shared" ca="1" si="103"/>
        <v/>
      </c>
      <c r="N310" s="264" t="str">
        <f t="shared" ca="1" si="103"/>
        <v/>
      </c>
      <c r="O310" s="265" t="str">
        <f t="shared" ca="1" si="103"/>
        <v/>
      </c>
      <c r="P310" s="266" t="str">
        <f t="shared" ca="1" si="103"/>
        <v/>
      </c>
      <c r="Q310" s="267" t="str">
        <f t="shared" ca="1" si="103"/>
        <v/>
      </c>
      <c r="R310" s="268" t="str">
        <f t="shared" ca="1" si="104"/>
        <v/>
      </c>
      <c r="S310" s="264" t="str">
        <f t="shared" ca="1" si="104"/>
        <v/>
      </c>
      <c r="T310" s="269" t="str">
        <f t="shared" ca="1" si="104"/>
        <v/>
      </c>
      <c r="U310" s="268" t="str">
        <f t="shared" ca="1" si="104"/>
        <v/>
      </c>
      <c r="V310" s="264" t="str">
        <f t="shared" ca="1" si="104"/>
        <v/>
      </c>
      <c r="W310" s="265" t="str">
        <f t="shared" ca="1" si="104"/>
        <v/>
      </c>
      <c r="X310" s="266" t="str">
        <f t="shared" ca="1" si="104"/>
        <v/>
      </c>
      <c r="Y310" s="264" t="str">
        <f t="shared" ca="1" si="104"/>
        <v/>
      </c>
      <c r="Z310" s="265" t="str">
        <f t="shared" ca="1" si="104"/>
        <v/>
      </c>
      <c r="AA310" s="266" t="str">
        <f t="shared" ca="1" si="104"/>
        <v/>
      </c>
      <c r="AB310" s="267" t="str">
        <f t="shared" ca="1" si="104"/>
        <v/>
      </c>
      <c r="AC310" s="538"/>
      <c r="AD310" s="212" t="str">
        <f t="shared" ca="1" si="108"/>
        <v/>
      </c>
    </row>
    <row r="311" spans="1:30" s="45" customFormat="1" ht="22.5" customHeight="1">
      <c r="A311" s="270" t="s">
        <v>751</v>
      </c>
      <c r="B311" s="271"/>
      <c r="C311" s="272" t="str">
        <f t="shared" ref="C311" ca="1" si="112">SUBSTITUTE(SUBSTITUTE(IF(-DOLLAR(E311),IF(E311&gt;0,,"负")&amp;TEXT(INT(ABS(E311)+0.5%),"[dbnum2]G/通用格式元;;")&amp;TEXT(RIGHT(DOLLAR(E311,2),2),"[dbnum2]0角0分;;整"),),"零角",IF(E311^2&lt;1,,"零")),"零分","整")</f>
        <v/>
      </c>
      <c r="D311" s="273"/>
      <c r="E311" s="274">
        <f t="shared" ref="E311:F311" ca="1" si="113">SUM(E305:E310)</f>
        <v>0</v>
      </c>
      <c r="F311" s="275">
        <f t="shared" ca="1" si="113"/>
        <v>0</v>
      </c>
      <c r="G311" s="276" t="str">
        <f t="shared" ca="1" si="103"/>
        <v/>
      </c>
      <c r="H311" s="277" t="str">
        <f t="shared" ca="1" si="103"/>
        <v/>
      </c>
      <c r="I311" s="278" t="str">
        <f t="shared" ca="1" si="103"/>
        <v/>
      </c>
      <c r="J311" s="279" t="str">
        <f t="shared" ca="1" si="103"/>
        <v/>
      </c>
      <c r="K311" s="277" t="str">
        <f t="shared" ca="1" si="103"/>
        <v/>
      </c>
      <c r="L311" s="278" t="str">
        <f t="shared" ca="1" si="103"/>
        <v/>
      </c>
      <c r="M311" s="279" t="str">
        <f t="shared" ca="1" si="103"/>
        <v/>
      </c>
      <c r="N311" s="277" t="str">
        <f t="shared" ca="1" si="103"/>
        <v/>
      </c>
      <c r="O311" s="278" t="str">
        <f t="shared" ca="1" si="103"/>
        <v/>
      </c>
      <c r="P311" s="279" t="str">
        <f t="shared" ca="1" si="103"/>
        <v/>
      </c>
      <c r="Q311" s="280" t="str">
        <f t="shared" ca="1" si="103"/>
        <v/>
      </c>
      <c r="R311" s="281" t="str">
        <f t="shared" ca="1" si="104"/>
        <v/>
      </c>
      <c r="S311" s="277" t="str">
        <f t="shared" ca="1" si="104"/>
        <v/>
      </c>
      <c r="T311" s="282" t="str">
        <f t="shared" ca="1" si="104"/>
        <v/>
      </c>
      <c r="U311" s="281" t="str">
        <f t="shared" ca="1" si="104"/>
        <v/>
      </c>
      <c r="V311" s="277" t="str">
        <f t="shared" ca="1" si="104"/>
        <v/>
      </c>
      <c r="W311" s="278" t="str">
        <f t="shared" ca="1" si="104"/>
        <v/>
      </c>
      <c r="X311" s="279" t="str">
        <f t="shared" ca="1" si="104"/>
        <v/>
      </c>
      <c r="Y311" s="277" t="str">
        <f t="shared" ca="1" si="104"/>
        <v/>
      </c>
      <c r="Z311" s="278" t="str">
        <f t="shared" ca="1" si="104"/>
        <v/>
      </c>
      <c r="AA311" s="279" t="str">
        <f t="shared" ca="1" si="104"/>
        <v/>
      </c>
      <c r="AB311" s="280" t="str">
        <f t="shared" ca="1" si="104"/>
        <v/>
      </c>
      <c r="AC311" s="283"/>
      <c r="AD311" s="212"/>
    </row>
    <row r="312" spans="1:30" s="22" customFormat="1" ht="22.5" customHeight="1">
      <c r="A312" s="284" t="s">
        <v>726</v>
      </c>
      <c r="B312" s="284"/>
      <c r="C312" s="284"/>
      <c r="D312" s="284" t="s">
        <v>727</v>
      </c>
      <c r="E312" s="284"/>
      <c r="F312" s="284"/>
      <c r="G312" s="284"/>
      <c r="H312" s="285"/>
      <c r="I312" s="284"/>
      <c r="J312" s="285"/>
      <c r="K312" s="285"/>
      <c r="L312" s="284"/>
      <c r="M312" s="285"/>
      <c r="N312" s="285"/>
      <c r="O312" s="285"/>
      <c r="P312" s="284"/>
      <c r="Q312" s="284" t="s">
        <v>728</v>
      </c>
      <c r="R312" s="284"/>
      <c r="S312" s="284"/>
      <c r="T312" s="284"/>
      <c r="U312" s="285"/>
      <c r="V312" s="284"/>
      <c r="W312" s="285"/>
      <c r="X312" s="284"/>
      <c r="Y312" s="284"/>
      <c r="Z312" s="285"/>
      <c r="AA312" s="285"/>
      <c r="AB312" s="285"/>
      <c r="AC312" s="286"/>
      <c r="AD312" s="212"/>
    </row>
    <row r="313" spans="1:30" ht="39.75" customHeight="1" thickBot="1">
      <c r="A313" s="226"/>
      <c r="B313" s="226"/>
      <c r="C313" s="227" t="s">
        <v>729</v>
      </c>
      <c r="D313" s="228"/>
      <c r="E313" s="226"/>
      <c r="F313" s="226"/>
      <c r="G313" s="228"/>
      <c r="H313" s="228"/>
      <c r="I313" s="228"/>
      <c r="J313" s="228"/>
      <c r="K313" s="228"/>
      <c r="L313" s="228"/>
      <c r="M313" s="228"/>
      <c r="N313" s="228"/>
      <c r="O313" s="228"/>
      <c r="P313" s="228"/>
      <c r="Q313" s="228"/>
      <c r="R313" s="229" t="s">
        <v>730</v>
      </c>
      <c r="S313" s="230"/>
      <c r="T313" s="230"/>
      <c r="U313" s="231" t="e">
        <f ca="1">DATE(AD$1,AF$1,INDEX(凭证录入!B:B,AD317))</f>
        <v>#VALUE!</v>
      </c>
      <c r="V313" s="232"/>
      <c r="W313" s="232"/>
      <c r="X313" s="232"/>
      <c r="Y313" s="232"/>
      <c r="Z313" s="232"/>
      <c r="AA313" s="232"/>
      <c r="AB313" s="232"/>
      <c r="AD313" s="212"/>
    </row>
    <row r="314" spans="1:30" s="45" customFormat="1" ht="23.25" customHeight="1" thickTop="1">
      <c r="A314" s="235" t="s">
        <v>731</v>
      </c>
      <c r="B314" s="235"/>
      <c r="C314" s="236" t="str">
        <f t="shared" si="92"/>
        <v>远大开发有限公司</v>
      </c>
      <c r="D314" s="236"/>
      <c r="E314" s="236"/>
      <c r="F314" s="236"/>
      <c r="G314" s="236"/>
      <c r="H314" s="236"/>
      <c r="I314" s="236"/>
      <c r="J314" s="236"/>
      <c r="K314" s="236"/>
      <c r="L314" s="236"/>
      <c r="M314" s="236"/>
      <c r="N314" s="236"/>
      <c r="O314" s="236"/>
      <c r="P314" s="236"/>
      <c r="Q314" s="236"/>
      <c r="R314" s="229" t="s">
        <v>732</v>
      </c>
      <c r="S314" s="229"/>
      <c r="T314" s="229"/>
      <c r="U314" s="237" t="str">
        <f t="shared" ref="U314" si="114">"第 "&amp;TEXT($AF$1,"00")&amp;TEXT($AC314,"0000 号")</f>
        <v>第 010026 号</v>
      </c>
      <c r="V314" s="237"/>
      <c r="W314" s="238"/>
      <c r="X314" s="238"/>
      <c r="Y314" s="238"/>
      <c r="Z314" s="238"/>
      <c r="AA314" s="238"/>
      <c r="AB314" s="238"/>
      <c r="AC314" s="239">
        <f t="shared" si="94"/>
        <v>26</v>
      </c>
      <c r="AD314" s="212"/>
    </row>
    <row r="315" spans="1:30" s="45" customFormat="1" ht="22.5" customHeight="1">
      <c r="A315" s="241" t="s">
        <v>733</v>
      </c>
      <c r="B315" s="542" t="s">
        <v>734</v>
      </c>
      <c r="C315" s="242" t="s">
        <v>735</v>
      </c>
      <c r="D315" s="243" t="s">
        <v>736</v>
      </c>
      <c r="E315" s="539" t="s">
        <v>737</v>
      </c>
      <c r="F315" s="539" t="s">
        <v>738</v>
      </c>
      <c r="G315" s="244" t="s">
        <v>739</v>
      </c>
      <c r="H315" s="245"/>
      <c r="I315" s="245"/>
      <c r="J315" s="245"/>
      <c r="K315" s="245"/>
      <c r="L315" s="245"/>
      <c r="M315" s="245"/>
      <c r="N315" s="245"/>
      <c r="O315" s="245"/>
      <c r="P315" s="245"/>
      <c r="Q315" s="246"/>
      <c r="R315" s="247" t="s">
        <v>740</v>
      </c>
      <c r="S315" s="245"/>
      <c r="T315" s="245"/>
      <c r="U315" s="245"/>
      <c r="V315" s="245"/>
      <c r="W315" s="245"/>
      <c r="X315" s="245"/>
      <c r="Y315" s="245"/>
      <c r="Z315" s="245"/>
      <c r="AA315" s="245"/>
      <c r="AB315" s="246"/>
      <c r="AC315" s="541" t="str">
        <f ca="1">"附单据数︵"&amp;INDEX(凭证录入!$D:$D,$AD$17)&amp;"︶张"</f>
        <v>附单据数︵4︶张</v>
      </c>
      <c r="AD315" s="235"/>
    </row>
    <row r="316" spans="1:30" s="45" customFormat="1" ht="22.5" customHeight="1">
      <c r="A316" s="248" t="s">
        <v>741</v>
      </c>
      <c r="B316" s="543"/>
      <c r="C316" s="249" t="s">
        <v>742</v>
      </c>
      <c r="D316" s="250" t="s">
        <v>742</v>
      </c>
      <c r="E316" s="540"/>
      <c r="F316" s="540"/>
      <c r="G316" s="251" t="s">
        <v>743</v>
      </c>
      <c r="H316" s="252" t="s">
        <v>744</v>
      </c>
      <c r="I316" s="253" t="s">
        <v>745</v>
      </c>
      <c r="J316" s="254" t="s">
        <v>746</v>
      </c>
      <c r="K316" s="252" t="s">
        <v>747</v>
      </c>
      <c r="L316" s="253" t="s">
        <v>744</v>
      </c>
      <c r="M316" s="254" t="s">
        <v>745</v>
      </c>
      <c r="N316" s="252" t="s">
        <v>746</v>
      </c>
      <c r="O316" s="253" t="s">
        <v>748</v>
      </c>
      <c r="P316" s="254" t="s">
        <v>749</v>
      </c>
      <c r="Q316" s="255" t="s">
        <v>750</v>
      </c>
      <c r="R316" s="256" t="s">
        <v>743</v>
      </c>
      <c r="S316" s="252" t="s">
        <v>744</v>
      </c>
      <c r="T316" s="257" t="s">
        <v>745</v>
      </c>
      <c r="U316" s="256" t="s">
        <v>746</v>
      </c>
      <c r="V316" s="252" t="s">
        <v>747</v>
      </c>
      <c r="W316" s="253" t="s">
        <v>744</v>
      </c>
      <c r="X316" s="254" t="s">
        <v>745</v>
      </c>
      <c r="Y316" s="252" t="s">
        <v>746</v>
      </c>
      <c r="Z316" s="253" t="s">
        <v>748</v>
      </c>
      <c r="AA316" s="254" t="s">
        <v>749</v>
      </c>
      <c r="AB316" s="255" t="s">
        <v>750</v>
      </c>
      <c r="AC316" s="541"/>
    </row>
    <row r="317" spans="1:30" s="45" customFormat="1" ht="22.5" customHeight="1">
      <c r="A317" s="258" t="str">
        <f ca="1">IFERROR(INDEX(凭证录入!H:H,$AD317),"")</f>
        <v/>
      </c>
      <c r="B317" s="259" t="str">
        <f ca="1">IFERROR(INDEX(凭证录入!I:I,$AD317),"")</f>
        <v/>
      </c>
      <c r="C317" s="260" t="str">
        <f ca="1">IFERROR(VLOOKUP($B317,会计科目表!$A:$C,2,),"")</f>
        <v/>
      </c>
      <c r="D317" s="261" t="str">
        <f ca="1">IFERROR(VLOOKUP($B317,会计科目表!$A:$C,3,),"")</f>
        <v/>
      </c>
      <c r="E317" s="262">
        <f ca="1">IFERROR(INDEX(凭证录入!K:K,$AD317),0)</f>
        <v>0</v>
      </c>
      <c r="F317" s="262">
        <f ca="1">IFERROR(INDEX(凭证录入!L:L,$AD317),0)</f>
        <v>0</v>
      </c>
      <c r="G317" s="263" t="str">
        <f t="shared" ca="1" si="103"/>
        <v/>
      </c>
      <c r="H317" s="264" t="str">
        <f t="shared" ca="1" si="103"/>
        <v/>
      </c>
      <c r="I317" s="265" t="str">
        <f t="shared" ca="1" si="103"/>
        <v/>
      </c>
      <c r="J317" s="266" t="str">
        <f t="shared" ca="1" si="103"/>
        <v/>
      </c>
      <c r="K317" s="264" t="str">
        <f t="shared" ca="1" si="103"/>
        <v/>
      </c>
      <c r="L317" s="265" t="str">
        <f t="shared" ca="1" si="103"/>
        <v/>
      </c>
      <c r="M317" s="266" t="str">
        <f t="shared" ca="1" si="103"/>
        <v/>
      </c>
      <c r="N317" s="264" t="str">
        <f t="shared" ca="1" si="103"/>
        <v/>
      </c>
      <c r="O317" s="265" t="str">
        <f t="shared" ca="1" si="103"/>
        <v/>
      </c>
      <c r="P317" s="266" t="str">
        <f t="shared" ca="1" si="103"/>
        <v/>
      </c>
      <c r="Q317" s="267" t="str">
        <f t="shared" ca="1" si="103"/>
        <v/>
      </c>
      <c r="R317" s="268" t="str">
        <f t="shared" ca="1" si="104"/>
        <v/>
      </c>
      <c r="S317" s="264" t="str">
        <f t="shared" ca="1" si="104"/>
        <v/>
      </c>
      <c r="T317" s="269" t="str">
        <f t="shared" ca="1" si="104"/>
        <v/>
      </c>
      <c r="U317" s="268" t="str">
        <f t="shared" ca="1" si="104"/>
        <v/>
      </c>
      <c r="V317" s="264" t="str">
        <f t="shared" ca="1" si="104"/>
        <v/>
      </c>
      <c r="W317" s="265" t="str">
        <f t="shared" ca="1" si="104"/>
        <v/>
      </c>
      <c r="X317" s="266" t="str">
        <f t="shared" ca="1" si="104"/>
        <v/>
      </c>
      <c r="Y317" s="264" t="str">
        <f t="shared" ca="1" si="104"/>
        <v/>
      </c>
      <c r="Z317" s="265" t="str">
        <f t="shared" ca="1" si="104"/>
        <v/>
      </c>
      <c r="AA317" s="266" t="str">
        <f t="shared" ca="1" si="104"/>
        <v/>
      </c>
      <c r="AB317" s="267" t="str">
        <f t="shared" ca="1" si="104"/>
        <v/>
      </c>
      <c r="AC317" s="541"/>
      <c r="AD317" s="212" t="str">
        <f t="shared" ca="1" si="108"/>
        <v/>
      </c>
    </row>
    <row r="318" spans="1:30" s="45" customFormat="1" ht="22.5" customHeight="1">
      <c r="A318" s="258" t="str">
        <f ca="1">IFERROR(INDEX(凭证录入!H:H,$AD318),"")</f>
        <v/>
      </c>
      <c r="B318" s="259" t="str">
        <f ca="1">IFERROR(INDEX(凭证录入!I:I,$AD318),"")</f>
        <v/>
      </c>
      <c r="C318" s="260" t="str">
        <f ca="1">IFERROR(VLOOKUP($B318,会计科目表!$A:$C,2,),"")</f>
        <v/>
      </c>
      <c r="D318" s="261" t="str">
        <f ca="1">IFERROR(VLOOKUP($B318,会计科目表!$A:$C,3,),"")</f>
        <v/>
      </c>
      <c r="E318" s="262">
        <f ca="1">IFERROR(INDEX(凭证录入!K:K,$AD318),0)</f>
        <v>0</v>
      </c>
      <c r="F318" s="262">
        <f ca="1">IFERROR(INDEX(凭证录入!L:L,$AD318),0)</f>
        <v>0</v>
      </c>
      <c r="G318" s="263" t="str">
        <f t="shared" ca="1" si="103"/>
        <v/>
      </c>
      <c r="H318" s="264" t="str">
        <f t="shared" ca="1" si="103"/>
        <v/>
      </c>
      <c r="I318" s="265" t="str">
        <f t="shared" ca="1" si="103"/>
        <v/>
      </c>
      <c r="J318" s="266" t="str">
        <f t="shared" ca="1" si="103"/>
        <v/>
      </c>
      <c r="K318" s="264" t="str">
        <f t="shared" ca="1" si="103"/>
        <v/>
      </c>
      <c r="L318" s="265" t="str">
        <f t="shared" ca="1" si="103"/>
        <v/>
      </c>
      <c r="M318" s="266" t="str">
        <f t="shared" ca="1" si="103"/>
        <v/>
      </c>
      <c r="N318" s="264" t="str">
        <f t="shared" ca="1" si="103"/>
        <v/>
      </c>
      <c r="O318" s="265" t="str">
        <f t="shared" ca="1" si="103"/>
        <v/>
      </c>
      <c r="P318" s="266" t="str">
        <f t="shared" ca="1" si="103"/>
        <v/>
      </c>
      <c r="Q318" s="267" t="str">
        <f t="shared" ca="1" si="103"/>
        <v/>
      </c>
      <c r="R318" s="268" t="str">
        <f t="shared" ca="1" si="104"/>
        <v/>
      </c>
      <c r="S318" s="264" t="str">
        <f t="shared" ca="1" si="104"/>
        <v/>
      </c>
      <c r="T318" s="269" t="str">
        <f t="shared" ca="1" si="104"/>
        <v/>
      </c>
      <c r="U318" s="268" t="str">
        <f t="shared" ca="1" si="104"/>
        <v/>
      </c>
      <c r="V318" s="264" t="str">
        <f t="shared" ca="1" si="104"/>
        <v/>
      </c>
      <c r="W318" s="265" t="str">
        <f t="shared" ca="1" si="104"/>
        <v/>
      </c>
      <c r="X318" s="266" t="str">
        <f t="shared" ca="1" si="104"/>
        <v/>
      </c>
      <c r="Y318" s="264" t="str">
        <f t="shared" ca="1" si="104"/>
        <v/>
      </c>
      <c r="Z318" s="265" t="str">
        <f t="shared" ca="1" si="104"/>
        <v/>
      </c>
      <c r="AA318" s="266" t="str">
        <f t="shared" ca="1" si="104"/>
        <v/>
      </c>
      <c r="AB318" s="267" t="str">
        <f t="shared" ca="1" si="104"/>
        <v/>
      </c>
      <c r="AC318" s="541"/>
      <c r="AD318" s="212" t="str">
        <f t="shared" ca="1" si="108"/>
        <v/>
      </c>
    </row>
    <row r="319" spans="1:30" s="45" customFormat="1" ht="22.5" customHeight="1">
      <c r="A319" s="258" t="str">
        <f ca="1">IFERROR(INDEX(凭证录入!H:H,$AD319),"")</f>
        <v/>
      </c>
      <c r="B319" s="259" t="str">
        <f ca="1">IFERROR(INDEX(凭证录入!I:I,$AD319),"")</f>
        <v/>
      </c>
      <c r="C319" s="260" t="str">
        <f ca="1">IFERROR(VLOOKUP($B319,会计科目表!$A:$C,2,),"")</f>
        <v/>
      </c>
      <c r="D319" s="261" t="str">
        <f ca="1">IFERROR(VLOOKUP($B319,会计科目表!$A:$C,3,),"")</f>
        <v/>
      </c>
      <c r="E319" s="262">
        <f ca="1">IFERROR(INDEX(凭证录入!K:K,$AD319),0)</f>
        <v>0</v>
      </c>
      <c r="F319" s="262">
        <f ca="1">IFERROR(INDEX(凭证录入!L:L,$AD319),0)</f>
        <v>0</v>
      </c>
      <c r="G319" s="263" t="str">
        <f t="shared" ca="1" si="103"/>
        <v/>
      </c>
      <c r="H319" s="264" t="str">
        <f t="shared" ca="1" si="103"/>
        <v/>
      </c>
      <c r="I319" s="265" t="str">
        <f t="shared" ref="G319:Q357" ca="1" si="115">LEFT(RIGHT(TEXT($E319/1%," ￥0; ￥-0;"),18-COLUMN()))</f>
        <v/>
      </c>
      <c r="J319" s="266" t="str">
        <f t="shared" ca="1" si="115"/>
        <v/>
      </c>
      <c r="K319" s="264" t="str">
        <f t="shared" ca="1" si="115"/>
        <v/>
      </c>
      <c r="L319" s="265" t="str">
        <f t="shared" ca="1" si="115"/>
        <v/>
      </c>
      <c r="M319" s="266" t="str">
        <f t="shared" ca="1" si="115"/>
        <v/>
      </c>
      <c r="N319" s="264" t="str">
        <f t="shared" ca="1" si="115"/>
        <v/>
      </c>
      <c r="O319" s="265" t="str">
        <f t="shared" ca="1" si="115"/>
        <v/>
      </c>
      <c r="P319" s="266" t="str">
        <f t="shared" ca="1" si="115"/>
        <v/>
      </c>
      <c r="Q319" s="267" t="str">
        <f t="shared" ca="1" si="115"/>
        <v/>
      </c>
      <c r="R319" s="268" t="str">
        <f t="shared" ca="1" si="104"/>
        <v/>
      </c>
      <c r="S319" s="264" t="str">
        <f t="shared" ca="1" si="104"/>
        <v/>
      </c>
      <c r="T319" s="269" t="str">
        <f t="shared" ref="R319:AB357" ca="1" si="116">LEFT(RIGHT(TEXT($F319/1%," ￥0; ￥-0;"),29-COLUMN()))</f>
        <v/>
      </c>
      <c r="U319" s="268" t="str">
        <f t="shared" ca="1" si="116"/>
        <v/>
      </c>
      <c r="V319" s="264" t="str">
        <f t="shared" ca="1" si="116"/>
        <v/>
      </c>
      <c r="W319" s="265" t="str">
        <f t="shared" ca="1" si="116"/>
        <v/>
      </c>
      <c r="X319" s="266" t="str">
        <f t="shared" ca="1" si="116"/>
        <v/>
      </c>
      <c r="Y319" s="264" t="str">
        <f t="shared" ca="1" si="116"/>
        <v/>
      </c>
      <c r="Z319" s="265" t="str">
        <f t="shared" ca="1" si="116"/>
        <v/>
      </c>
      <c r="AA319" s="266" t="str">
        <f t="shared" ca="1" si="116"/>
        <v/>
      </c>
      <c r="AB319" s="267" t="str">
        <f t="shared" ca="1" si="116"/>
        <v/>
      </c>
      <c r="AC319" s="536" t="s">
        <v>777</v>
      </c>
      <c r="AD319" s="212" t="str">
        <f t="shared" ca="1" si="108"/>
        <v/>
      </c>
    </row>
    <row r="320" spans="1:30" s="45" customFormat="1" ht="22.5" customHeight="1">
      <c r="A320" s="258" t="str">
        <f ca="1">IFERROR(INDEX(凭证录入!H:H,$AD320),"")</f>
        <v/>
      </c>
      <c r="B320" s="259" t="str">
        <f ca="1">IFERROR(INDEX(凭证录入!I:I,$AD320),"")</f>
        <v/>
      </c>
      <c r="C320" s="260" t="str">
        <f ca="1">IFERROR(VLOOKUP($B320,会计科目表!$A:$C,2,),"")</f>
        <v/>
      </c>
      <c r="D320" s="261" t="str">
        <f ca="1">IFERROR(VLOOKUP($B320,会计科目表!$A:$C,3,),"")</f>
        <v/>
      </c>
      <c r="E320" s="262">
        <f ca="1">IFERROR(INDEX(凭证录入!K:K,$AD320),0)</f>
        <v>0</v>
      </c>
      <c r="F320" s="262">
        <f ca="1">IFERROR(INDEX(凭证录入!L:L,$AD320),0)</f>
        <v>0</v>
      </c>
      <c r="G320" s="263" t="str">
        <f t="shared" ca="1" si="115"/>
        <v/>
      </c>
      <c r="H320" s="264" t="str">
        <f t="shared" ca="1" si="115"/>
        <v/>
      </c>
      <c r="I320" s="265" t="str">
        <f t="shared" ca="1" si="115"/>
        <v/>
      </c>
      <c r="J320" s="266" t="str">
        <f t="shared" ca="1" si="115"/>
        <v/>
      </c>
      <c r="K320" s="264" t="str">
        <f t="shared" ca="1" si="115"/>
        <v/>
      </c>
      <c r="L320" s="265" t="str">
        <f t="shared" ca="1" si="115"/>
        <v/>
      </c>
      <c r="M320" s="266" t="str">
        <f t="shared" ca="1" si="115"/>
        <v/>
      </c>
      <c r="N320" s="264" t="str">
        <f t="shared" ca="1" si="115"/>
        <v/>
      </c>
      <c r="O320" s="265" t="str">
        <f t="shared" ca="1" si="115"/>
        <v/>
      </c>
      <c r="P320" s="266" t="str">
        <f t="shared" ca="1" si="115"/>
        <v/>
      </c>
      <c r="Q320" s="267" t="str">
        <f t="shared" ca="1" si="115"/>
        <v/>
      </c>
      <c r="R320" s="268" t="str">
        <f t="shared" ca="1" si="116"/>
        <v/>
      </c>
      <c r="S320" s="264" t="str">
        <f t="shared" ca="1" si="116"/>
        <v/>
      </c>
      <c r="T320" s="269" t="str">
        <f t="shared" ca="1" si="116"/>
        <v/>
      </c>
      <c r="U320" s="268" t="str">
        <f t="shared" ca="1" si="116"/>
        <v/>
      </c>
      <c r="V320" s="264" t="str">
        <f t="shared" ca="1" si="116"/>
        <v/>
      </c>
      <c r="W320" s="265" t="str">
        <f t="shared" ca="1" si="116"/>
        <v/>
      </c>
      <c r="X320" s="266" t="str">
        <f t="shared" ca="1" si="116"/>
        <v/>
      </c>
      <c r="Y320" s="264" t="str">
        <f t="shared" ca="1" si="116"/>
        <v/>
      </c>
      <c r="Z320" s="265" t="str">
        <f t="shared" ca="1" si="116"/>
        <v/>
      </c>
      <c r="AA320" s="266" t="str">
        <f t="shared" ca="1" si="116"/>
        <v/>
      </c>
      <c r="AB320" s="267" t="str">
        <f t="shared" ca="1" si="116"/>
        <v/>
      </c>
      <c r="AC320" s="537"/>
      <c r="AD320" s="212" t="str">
        <f t="shared" ca="1" si="108"/>
        <v/>
      </c>
    </row>
    <row r="321" spans="1:30" s="45" customFormat="1" ht="22.5" customHeight="1">
      <c r="A321" s="258" t="str">
        <f ca="1">IFERROR(INDEX(凭证录入!H:H,$AD321),"")</f>
        <v/>
      </c>
      <c r="B321" s="259" t="str">
        <f ca="1">IFERROR(INDEX(凭证录入!I:I,$AD321),"")</f>
        <v/>
      </c>
      <c r="C321" s="260" t="str">
        <f ca="1">IFERROR(VLOOKUP($B321,会计科目表!$A:$C,2,),"")</f>
        <v/>
      </c>
      <c r="D321" s="261" t="str">
        <f ca="1">IFERROR(VLOOKUP($B321,会计科目表!$A:$C,3,),"")</f>
        <v/>
      </c>
      <c r="E321" s="262">
        <f ca="1">IFERROR(INDEX(凭证录入!K:K,$AD321),0)</f>
        <v>0</v>
      </c>
      <c r="F321" s="262">
        <f ca="1">IFERROR(INDEX(凭证录入!L:L,$AD321),0)</f>
        <v>0</v>
      </c>
      <c r="G321" s="263" t="str">
        <f t="shared" ca="1" si="115"/>
        <v/>
      </c>
      <c r="H321" s="264" t="str">
        <f t="shared" ca="1" si="115"/>
        <v/>
      </c>
      <c r="I321" s="265" t="str">
        <f t="shared" ca="1" si="115"/>
        <v/>
      </c>
      <c r="J321" s="266" t="str">
        <f t="shared" ca="1" si="115"/>
        <v/>
      </c>
      <c r="K321" s="264" t="str">
        <f t="shared" ca="1" si="115"/>
        <v/>
      </c>
      <c r="L321" s="265" t="str">
        <f t="shared" ca="1" si="115"/>
        <v/>
      </c>
      <c r="M321" s="266" t="str">
        <f t="shared" ca="1" si="115"/>
        <v/>
      </c>
      <c r="N321" s="264" t="str">
        <f t="shared" ca="1" si="115"/>
        <v/>
      </c>
      <c r="O321" s="265" t="str">
        <f t="shared" ca="1" si="115"/>
        <v/>
      </c>
      <c r="P321" s="266" t="str">
        <f t="shared" ca="1" si="115"/>
        <v/>
      </c>
      <c r="Q321" s="267" t="str">
        <f t="shared" ca="1" si="115"/>
        <v/>
      </c>
      <c r="R321" s="268" t="str">
        <f t="shared" ca="1" si="116"/>
        <v/>
      </c>
      <c r="S321" s="264" t="str">
        <f t="shared" ca="1" si="116"/>
        <v/>
      </c>
      <c r="T321" s="269" t="str">
        <f t="shared" ca="1" si="116"/>
        <v/>
      </c>
      <c r="U321" s="268" t="str">
        <f t="shared" ca="1" si="116"/>
        <v/>
      </c>
      <c r="V321" s="264" t="str">
        <f t="shared" ca="1" si="116"/>
        <v/>
      </c>
      <c r="W321" s="265" t="str">
        <f t="shared" ca="1" si="116"/>
        <v/>
      </c>
      <c r="X321" s="266" t="str">
        <f t="shared" ca="1" si="116"/>
        <v/>
      </c>
      <c r="Y321" s="264" t="str">
        <f t="shared" ca="1" si="116"/>
        <v/>
      </c>
      <c r="Z321" s="265" t="str">
        <f t="shared" ca="1" si="116"/>
        <v/>
      </c>
      <c r="AA321" s="266" t="str">
        <f t="shared" ca="1" si="116"/>
        <v/>
      </c>
      <c r="AB321" s="267" t="str">
        <f t="shared" ca="1" si="116"/>
        <v/>
      </c>
      <c r="AC321" s="538"/>
      <c r="AD321" s="212" t="str">
        <f t="shared" ca="1" si="108"/>
        <v/>
      </c>
    </row>
    <row r="322" spans="1:30" s="45" customFormat="1" ht="22.5" customHeight="1">
      <c r="A322" s="258" t="str">
        <f ca="1">IFERROR(INDEX(凭证录入!H:H,$AD322),"")</f>
        <v/>
      </c>
      <c r="B322" s="259" t="str">
        <f ca="1">IFERROR(INDEX(凭证录入!I:I,$AD322),"")</f>
        <v/>
      </c>
      <c r="C322" s="260" t="str">
        <f ca="1">IFERROR(VLOOKUP($B322,会计科目表!$A:$C,2,),"")</f>
        <v/>
      </c>
      <c r="D322" s="261" t="str">
        <f ca="1">IFERROR(VLOOKUP($B322,会计科目表!$A:$C,3,),"")</f>
        <v/>
      </c>
      <c r="E322" s="262">
        <f ca="1">IFERROR(INDEX(凭证录入!K:K,$AD322),0)</f>
        <v>0</v>
      </c>
      <c r="F322" s="262">
        <f ca="1">IFERROR(INDEX(凭证录入!L:L,$AD322),0)</f>
        <v>0</v>
      </c>
      <c r="G322" s="263" t="str">
        <f t="shared" ca="1" si="115"/>
        <v/>
      </c>
      <c r="H322" s="264" t="str">
        <f t="shared" ca="1" si="115"/>
        <v/>
      </c>
      <c r="I322" s="265" t="str">
        <f t="shared" ca="1" si="115"/>
        <v/>
      </c>
      <c r="J322" s="266" t="str">
        <f t="shared" ca="1" si="115"/>
        <v/>
      </c>
      <c r="K322" s="264" t="str">
        <f t="shared" ca="1" si="115"/>
        <v/>
      </c>
      <c r="L322" s="265" t="str">
        <f t="shared" ca="1" si="115"/>
        <v/>
      </c>
      <c r="M322" s="266" t="str">
        <f t="shared" ca="1" si="115"/>
        <v/>
      </c>
      <c r="N322" s="264" t="str">
        <f t="shared" ca="1" si="115"/>
        <v/>
      </c>
      <c r="O322" s="265" t="str">
        <f t="shared" ca="1" si="115"/>
        <v/>
      </c>
      <c r="P322" s="266" t="str">
        <f t="shared" ca="1" si="115"/>
        <v/>
      </c>
      <c r="Q322" s="267" t="str">
        <f t="shared" ca="1" si="115"/>
        <v/>
      </c>
      <c r="R322" s="268" t="str">
        <f t="shared" ca="1" si="116"/>
        <v/>
      </c>
      <c r="S322" s="264" t="str">
        <f t="shared" ca="1" si="116"/>
        <v/>
      </c>
      <c r="T322" s="269" t="str">
        <f t="shared" ca="1" si="116"/>
        <v/>
      </c>
      <c r="U322" s="268" t="str">
        <f t="shared" ca="1" si="116"/>
        <v/>
      </c>
      <c r="V322" s="264" t="str">
        <f t="shared" ca="1" si="116"/>
        <v/>
      </c>
      <c r="W322" s="265" t="str">
        <f t="shared" ca="1" si="116"/>
        <v/>
      </c>
      <c r="X322" s="266" t="str">
        <f t="shared" ca="1" si="116"/>
        <v/>
      </c>
      <c r="Y322" s="264" t="str">
        <f t="shared" ca="1" si="116"/>
        <v/>
      </c>
      <c r="Z322" s="265" t="str">
        <f t="shared" ca="1" si="116"/>
        <v/>
      </c>
      <c r="AA322" s="266" t="str">
        <f t="shared" ca="1" si="116"/>
        <v/>
      </c>
      <c r="AB322" s="267" t="str">
        <f t="shared" ca="1" si="116"/>
        <v/>
      </c>
      <c r="AC322" s="538"/>
      <c r="AD322" s="212" t="str">
        <f t="shared" ca="1" si="108"/>
        <v/>
      </c>
    </row>
    <row r="323" spans="1:30" s="45" customFormat="1" ht="22.5" customHeight="1">
      <c r="A323" s="270" t="s">
        <v>778</v>
      </c>
      <c r="B323" s="271"/>
      <c r="C323" s="272" t="str">
        <f t="shared" ref="C323" ca="1" si="117">SUBSTITUTE(SUBSTITUTE(IF(-DOLLAR(E323),IF(E323&gt;0,,"负")&amp;TEXT(INT(ABS(E323)+0.5%),"[dbnum2]G/通用格式元;;")&amp;TEXT(RIGHT(DOLLAR(E323,2),2),"[dbnum2]0角0分;;整"),),"零角",IF(E323^2&lt;1,,"零")),"零分","整")</f>
        <v/>
      </c>
      <c r="D323" s="273"/>
      <c r="E323" s="274">
        <f t="shared" ref="E323:F323" ca="1" si="118">SUM(E317:E322)</f>
        <v>0</v>
      </c>
      <c r="F323" s="275">
        <f t="shared" ca="1" si="118"/>
        <v>0</v>
      </c>
      <c r="G323" s="276" t="str">
        <f t="shared" ca="1" si="115"/>
        <v/>
      </c>
      <c r="H323" s="277" t="str">
        <f t="shared" ca="1" si="115"/>
        <v/>
      </c>
      <c r="I323" s="278" t="str">
        <f t="shared" ca="1" si="115"/>
        <v/>
      </c>
      <c r="J323" s="279" t="str">
        <f t="shared" ca="1" si="115"/>
        <v/>
      </c>
      <c r="K323" s="277" t="str">
        <f t="shared" ca="1" si="115"/>
        <v/>
      </c>
      <c r="L323" s="278" t="str">
        <f t="shared" ca="1" si="115"/>
        <v/>
      </c>
      <c r="M323" s="279" t="str">
        <f t="shared" ca="1" si="115"/>
        <v/>
      </c>
      <c r="N323" s="277" t="str">
        <f t="shared" ca="1" si="115"/>
        <v/>
      </c>
      <c r="O323" s="278" t="str">
        <f t="shared" ca="1" si="115"/>
        <v/>
      </c>
      <c r="P323" s="279" t="str">
        <f t="shared" ca="1" si="115"/>
        <v/>
      </c>
      <c r="Q323" s="280" t="str">
        <f t="shared" ca="1" si="115"/>
        <v/>
      </c>
      <c r="R323" s="281" t="str">
        <f t="shared" ca="1" si="116"/>
        <v/>
      </c>
      <c r="S323" s="277" t="str">
        <f t="shared" ca="1" si="116"/>
        <v/>
      </c>
      <c r="T323" s="282" t="str">
        <f t="shared" ca="1" si="116"/>
        <v/>
      </c>
      <c r="U323" s="281" t="str">
        <f t="shared" ca="1" si="116"/>
        <v/>
      </c>
      <c r="V323" s="277" t="str">
        <f t="shared" ca="1" si="116"/>
        <v/>
      </c>
      <c r="W323" s="278" t="str">
        <f t="shared" ca="1" si="116"/>
        <v/>
      </c>
      <c r="X323" s="279" t="str">
        <f t="shared" ca="1" si="116"/>
        <v/>
      </c>
      <c r="Y323" s="277" t="str">
        <f t="shared" ca="1" si="116"/>
        <v/>
      </c>
      <c r="Z323" s="278" t="str">
        <f t="shared" ca="1" si="116"/>
        <v/>
      </c>
      <c r="AA323" s="279" t="str">
        <f t="shared" ca="1" si="116"/>
        <v/>
      </c>
      <c r="AB323" s="280" t="str">
        <f t="shared" ca="1" si="116"/>
        <v/>
      </c>
      <c r="AC323" s="283"/>
      <c r="AD323" s="212"/>
    </row>
    <row r="324" spans="1:30" s="22" customFormat="1" ht="22.5" customHeight="1">
      <c r="A324" s="284" t="s">
        <v>752</v>
      </c>
      <c r="B324" s="284"/>
      <c r="C324" s="284"/>
      <c r="D324" s="284" t="s">
        <v>753</v>
      </c>
      <c r="E324" s="284"/>
      <c r="F324" s="284"/>
      <c r="G324" s="284"/>
      <c r="H324" s="285"/>
      <c r="I324" s="284"/>
      <c r="J324" s="285"/>
      <c r="K324" s="285"/>
      <c r="L324" s="284"/>
      <c r="M324" s="285"/>
      <c r="N324" s="285"/>
      <c r="O324" s="285"/>
      <c r="P324" s="284"/>
      <c r="Q324" s="284" t="s">
        <v>754</v>
      </c>
      <c r="R324" s="284"/>
      <c r="S324" s="284"/>
      <c r="T324" s="284"/>
      <c r="U324" s="285"/>
      <c r="V324" s="284"/>
      <c r="W324" s="285"/>
      <c r="X324" s="284"/>
      <c r="Y324" s="284"/>
      <c r="Z324" s="285"/>
      <c r="AA324" s="285"/>
      <c r="AB324" s="285"/>
      <c r="AC324" s="286"/>
      <c r="AD324" s="212"/>
    </row>
    <row r="325" spans="1:30" ht="39.75" customHeight="1" thickBot="1">
      <c r="A325" s="226"/>
      <c r="B325" s="226"/>
      <c r="C325" s="227" t="s">
        <v>755</v>
      </c>
      <c r="D325" s="228"/>
      <c r="E325" s="226"/>
      <c r="F325" s="226"/>
      <c r="G325" s="228"/>
      <c r="H325" s="228"/>
      <c r="I325" s="228"/>
      <c r="J325" s="228"/>
      <c r="K325" s="228"/>
      <c r="L325" s="228"/>
      <c r="M325" s="228"/>
      <c r="N325" s="228"/>
      <c r="O325" s="228"/>
      <c r="P325" s="228"/>
      <c r="Q325" s="228"/>
      <c r="R325" s="229" t="s">
        <v>756</v>
      </c>
      <c r="S325" s="230"/>
      <c r="T325" s="230"/>
      <c r="U325" s="231" t="e">
        <f ca="1">DATE(AD$1,AF$1,INDEX(凭证录入!B:B,AD329))</f>
        <v>#VALUE!</v>
      </c>
      <c r="V325" s="232"/>
      <c r="W325" s="232"/>
      <c r="X325" s="232"/>
      <c r="Y325" s="232"/>
      <c r="Z325" s="232"/>
      <c r="AA325" s="232"/>
      <c r="AB325" s="232"/>
      <c r="AD325" s="212"/>
    </row>
    <row r="326" spans="1:30" s="45" customFormat="1" ht="23.25" customHeight="1" thickTop="1">
      <c r="A326" s="235" t="s">
        <v>757</v>
      </c>
      <c r="B326" s="235"/>
      <c r="C326" s="236" t="str">
        <f t="shared" ref="C326:C350" si="119">Co</f>
        <v>远大开发有限公司</v>
      </c>
      <c r="D326" s="236"/>
      <c r="E326" s="236"/>
      <c r="F326" s="236"/>
      <c r="G326" s="236"/>
      <c r="H326" s="236"/>
      <c r="I326" s="236"/>
      <c r="J326" s="236"/>
      <c r="K326" s="236"/>
      <c r="L326" s="236"/>
      <c r="M326" s="236"/>
      <c r="N326" s="236"/>
      <c r="O326" s="236"/>
      <c r="P326" s="236"/>
      <c r="Q326" s="236"/>
      <c r="R326" s="229" t="s">
        <v>758</v>
      </c>
      <c r="S326" s="229"/>
      <c r="T326" s="229"/>
      <c r="U326" s="237" t="str">
        <f t="shared" ref="U326" si="120">"第 "&amp;TEXT($AF$1,"00")&amp;TEXT($AC326,"0000 号")</f>
        <v>第 010027 号</v>
      </c>
      <c r="V326" s="237"/>
      <c r="W326" s="238"/>
      <c r="X326" s="238"/>
      <c r="Y326" s="238"/>
      <c r="Z326" s="238"/>
      <c r="AA326" s="238"/>
      <c r="AB326" s="238"/>
      <c r="AC326" s="239">
        <f t="shared" ref="AC326:AC350" si="121">N(LEFT((AC314),3)+1)</f>
        <v>27</v>
      </c>
      <c r="AD326" s="212"/>
    </row>
    <row r="327" spans="1:30" s="45" customFormat="1" ht="22.5" customHeight="1">
      <c r="A327" s="241" t="s">
        <v>759</v>
      </c>
      <c r="B327" s="542" t="s">
        <v>760</v>
      </c>
      <c r="C327" s="242" t="s">
        <v>761</v>
      </c>
      <c r="D327" s="243" t="s">
        <v>762</v>
      </c>
      <c r="E327" s="539" t="s">
        <v>763</v>
      </c>
      <c r="F327" s="539" t="s">
        <v>764</v>
      </c>
      <c r="G327" s="244" t="s">
        <v>765</v>
      </c>
      <c r="H327" s="245"/>
      <c r="I327" s="245"/>
      <c r="J327" s="245"/>
      <c r="K327" s="245"/>
      <c r="L327" s="245"/>
      <c r="M327" s="245"/>
      <c r="N327" s="245"/>
      <c r="O327" s="245"/>
      <c r="P327" s="245"/>
      <c r="Q327" s="246"/>
      <c r="R327" s="247" t="s">
        <v>766</v>
      </c>
      <c r="S327" s="245"/>
      <c r="T327" s="245"/>
      <c r="U327" s="245"/>
      <c r="V327" s="245"/>
      <c r="W327" s="245"/>
      <c r="X327" s="245"/>
      <c r="Y327" s="245"/>
      <c r="Z327" s="245"/>
      <c r="AA327" s="245"/>
      <c r="AB327" s="246"/>
      <c r="AC327" s="541" t="str">
        <f ca="1">"附单据数︵"&amp;INDEX(凭证录入!$D:$D,$AD$17)&amp;"︶张"</f>
        <v>附单据数︵4︶张</v>
      </c>
      <c r="AD327" s="235"/>
    </row>
    <row r="328" spans="1:30" s="45" customFormat="1" ht="22.5" customHeight="1">
      <c r="A328" s="248" t="s">
        <v>767</v>
      </c>
      <c r="B328" s="543"/>
      <c r="C328" s="249" t="s">
        <v>768</v>
      </c>
      <c r="D328" s="250" t="s">
        <v>768</v>
      </c>
      <c r="E328" s="540"/>
      <c r="F328" s="540"/>
      <c r="G328" s="251" t="s">
        <v>769</v>
      </c>
      <c r="H328" s="252" t="s">
        <v>770</v>
      </c>
      <c r="I328" s="253" t="s">
        <v>771</v>
      </c>
      <c r="J328" s="254" t="s">
        <v>772</v>
      </c>
      <c r="K328" s="252" t="s">
        <v>773</v>
      </c>
      <c r="L328" s="253" t="s">
        <v>770</v>
      </c>
      <c r="M328" s="254" t="s">
        <v>771</v>
      </c>
      <c r="N328" s="252" t="s">
        <v>772</v>
      </c>
      <c r="O328" s="253" t="s">
        <v>774</v>
      </c>
      <c r="P328" s="254" t="s">
        <v>775</v>
      </c>
      <c r="Q328" s="255" t="s">
        <v>776</v>
      </c>
      <c r="R328" s="256" t="s">
        <v>769</v>
      </c>
      <c r="S328" s="252" t="s">
        <v>770</v>
      </c>
      <c r="T328" s="257" t="s">
        <v>771</v>
      </c>
      <c r="U328" s="256" t="s">
        <v>772</v>
      </c>
      <c r="V328" s="252" t="s">
        <v>773</v>
      </c>
      <c r="W328" s="253" t="s">
        <v>770</v>
      </c>
      <c r="X328" s="254" t="s">
        <v>771</v>
      </c>
      <c r="Y328" s="252" t="s">
        <v>772</v>
      </c>
      <c r="Z328" s="253" t="s">
        <v>774</v>
      </c>
      <c r="AA328" s="254" t="s">
        <v>775</v>
      </c>
      <c r="AB328" s="255" t="s">
        <v>776</v>
      </c>
      <c r="AC328" s="541"/>
    </row>
    <row r="329" spans="1:30" s="45" customFormat="1" ht="22.5" customHeight="1">
      <c r="A329" s="258" t="str">
        <f ca="1">IFERROR(INDEX(凭证录入!H:H,$AD329),"")</f>
        <v/>
      </c>
      <c r="B329" s="259" t="str">
        <f ca="1">IFERROR(INDEX(凭证录入!I:I,$AD329),"")</f>
        <v/>
      </c>
      <c r="C329" s="260" t="str">
        <f ca="1">IFERROR(VLOOKUP($B329,会计科目表!$A:$C,2,),"")</f>
        <v/>
      </c>
      <c r="D329" s="261" t="str">
        <f ca="1">IFERROR(VLOOKUP($B329,会计科目表!$A:$C,3,),"")</f>
        <v/>
      </c>
      <c r="E329" s="262">
        <f ca="1">IFERROR(INDEX(凭证录入!K:K,$AD329),0)</f>
        <v>0</v>
      </c>
      <c r="F329" s="262">
        <f ca="1">IFERROR(INDEX(凭证录入!L:L,$AD329),0)</f>
        <v>0</v>
      </c>
      <c r="G329" s="263" t="str">
        <f t="shared" ca="1" si="115"/>
        <v/>
      </c>
      <c r="H329" s="264" t="str">
        <f t="shared" ca="1" si="115"/>
        <v/>
      </c>
      <c r="I329" s="265" t="str">
        <f t="shared" ca="1" si="115"/>
        <v/>
      </c>
      <c r="J329" s="266" t="str">
        <f t="shared" ca="1" si="115"/>
        <v/>
      </c>
      <c r="K329" s="264" t="str">
        <f t="shared" ca="1" si="115"/>
        <v/>
      </c>
      <c r="L329" s="265" t="str">
        <f t="shared" ca="1" si="115"/>
        <v/>
      </c>
      <c r="M329" s="266" t="str">
        <f t="shared" ca="1" si="115"/>
        <v/>
      </c>
      <c r="N329" s="264" t="str">
        <f t="shared" ca="1" si="115"/>
        <v/>
      </c>
      <c r="O329" s="265" t="str">
        <f t="shared" ca="1" si="115"/>
        <v/>
      </c>
      <c r="P329" s="266" t="str">
        <f t="shared" ca="1" si="115"/>
        <v/>
      </c>
      <c r="Q329" s="267" t="str">
        <f t="shared" ca="1" si="115"/>
        <v/>
      </c>
      <c r="R329" s="268" t="str">
        <f t="shared" ca="1" si="116"/>
        <v/>
      </c>
      <c r="S329" s="264" t="str">
        <f t="shared" ca="1" si="116"/>
        <v/>
      </c>
      <c r="T329" s="269" t="str">
        <f t="shared" ca="1" si="116"/>
        <v/>
      </c>
      <c r="U329" s="268" t="str">
        <f t="shared" ca="1" si="116"/>
        <v/>
      </c>
      <c r="V329" s="264" t="str">
        <f t="shared" ca="1" si="116"/>
        <v/>
      </c>
      <c r="W329" s="265" t="str">
        <f t="shared" ca="1" si="116"/>
        <v/>
      </c>
      <c r="X329" s="266" t="str">
        <f t="shared" ca="1" si="116"/>
        <v/>
      </c>
      <c r="Y329" s="264" t="str">
        <f t="shared" ca="1" si="116"/>
        <v/>
      </c>
      <c r="Z329" s="265" t="str">
        <f t="shared" ca="1" si="116"/>
        <v/>
      </c>
      <c r="AA329" s="266" t="str">
        <f t="shared" ca="1" si="116"/>
        <v/>
      </c>
      <c r="AB329" s="267" t="str">
        <f t="shared" ca="1" si="116"/>
        <v/>
      </c>
      <c r="AC329" s="541"/>
      <c r="AD329" s="212" t="str">
        <f t="shared" ca="1" si="108"/>
        <v/>
      </c>
    </row>
    <row r="330" spans="1:30" s="45" customFormat="1" ht="22.5" customHeight="1">
      <c r="A330" s="258" t="str">
        <f ca="1">IFERROR(INDEX(凭证录入!H:H,$AD330),"")</f>
        <v/>
      </c>
      <c r="B330" s="259" t="str">
        <f ca="1">IFERROR(INDEX(凭证录入!I:I,$AD330),"")</f>
        <v/>
      </c>
      <c r="C330" s="260" t="str">
        <f ca="1">IFERROR(VLOOKUP($B330,会计科目表!$A:$C,2,),"")</f>
        <v/>
      </c>
      <c r="D330" s="261" t="str">
        <f ca="1">IFERROR(VLOOKUP($B330,会计科目表!$A:$C,3,),"")</f>
        <v/>
      </c>
      <c r="E330" s="262">
        <f ca="1">IFERROR(INDEX(凭证录入!K:K,$AD330),0)</f>
        <v>0</v>
      </c>
      <c r="F330" s="262">
        <f ca="1">IFERROR(INDEX(凭证录入!L:L,$AD330),0)</f>
        <v>0</v>
      </c>
      <c r="G330" s="263" t="str">
        <f t="shared" ca="1" si="115"/>
        <v/>
      </c>
      <c r="H330" s="264" t="str">
        <f t="shared" ca="1" si="115"/>
        <v/>
      </c>
      <c r="I330" s="265" t="str">
        <f t="shared" ca="1" si="115"/>
        <v/>
      </c>
      <c r="J330" s="266" t="str">
        <f t="shared" ca="1" si="115"/>
        <v/>
      </c>
      <c r="K330" s="264" t="str">
        <f t="shared" ca="1" si="115"/>
        <v/>
      </c>
      <c r="L330" s="265" t="str">
        <f t="shared" ca="1" si="115"/>
        <v/>
      </c>
      <c r="M330" s="266" t="str">
        <f t="shared" ca="1" si="115"/>
        <v/>
      </c>
      <c r="N330" s="264" t="str">
        <f t="shared" ca="1" si="115"/>
        <v/>
      </c>
      <c r="O330" s="265" t="str">
        <f t="shared" ca="1" si="115"/>
        <v/>
      </c>
      <c r="P330" s="266" t="str">
        <f t="shared" ca="1" si="115"/>
        <v/>
      </c>
      <c r="Q330" s="267" t="str">
        <f t="shared" ca="1" si="115"/>
        <v/>
      </c>
      <c r="R330" s="268" t="str">
        <f t="shared" ca="1" si="116"/>
        <v/>
      </c>
      <c r="S330" s="264" t="str">
        <f t="shared" ca="1" si="116"/>
        <v/>
      </c>
      <c r="T330" s="269" t="str">
        <f t="shared" ca="1" si="116"/>
        <v/>
      </c>
      <c r="U330" s="268" t="str">
        <f t="shared" ca="1" si="116"/>
        <v/>
      </c>
      <c r="V330" s="264" t="str">
        <f t="shared" ca="1" si="116"/>
        <v/>
      </c>
      <c r="W330" s="265" t="str">
        <f t="shared" ca="1" si="116"/>
        <v/>
      </c>
      <c r="X330" s="266" t="str">
        <f t="shared" ca="1" si="116"/>
        <v/>
      </c>
      <c r="Y330" s="264" t="str">
        <f t="shared" ca="1" si="116"/>
        <v/>
      </c>
      <c r="Z330" s="265" t="str">
        <f t="shared" ca="1" si="116"/>
        <v/>
      </c>
      <c r="AA330" s="266" t="str">
        <f t="shared" ca="1" si="116"/>
        <v/>
      </c>
      <c r="AB330" s="267" t="str">
        <f t="shared" ca="1" si="116"/>
        <v/>
      </c>
      <c r="AC330" s="541"/>
      <c r="AD330" s="212" t="str">
        <f t="shared" ca="1" si="108"/>
        <v/>
      </c>
    </row>
    <row r="331" spans="1:30" s="45" customFormat="1" ht="22.5" customHeight="1">
      <c r="A331" s="258" t="str">
        <f ca="1">IFERROR(INDEX(凭证录入!H:H,$AD331),"")</f>
        <v/>
      </c>
      <c r="B331" s="259" t="str">
        <f ca="1">IFERROR(INDEX(凭证录入!I:I,$AD331),"")</f>
        <v/>
      </c>
      <c r="C331" s="260" t="str">
        <f ca="1">IFERROR(VLOOKUP($B331,会计科目表!$A:$C,2,),"")</f>
        <v/>
      </c>
      <c r="D331" s="261" t="str">
        <f ca="1">IFERROR(VLOOKUP($B331,会计科目表!$A:$C,3,),"")</f>
        <v/>
      </c>
      <c r="E331" s="262">
        <f ca="1">IFERROR(INDEX(凭证录入!K:K,$AD331),0)</f>
        <v>0</v>
      </c>
      <c r="F331" s="262">
        <f ca="1">IFERROR(INDEX(凭证录入!L:L,$AD331),0)</f>
        <v>0</v>
      </c>
      <c r="G331" s="263" t="str">
        <f t="shared" ca="1" si="115"/>
        <v/>
      </c>
      <c r="H331" s="264" t="str">
        <f t="shared" ca="1" si="115"/>
        <v/>
      </c>
      <c r="I331" s="265" t="str">
        <f t="shared" ca="1" si="115"/>
        <v/>
      </c>
      <c r="J331" s="266" t="str">
        <f t="shared" ca="1" si="115"/>
        <v/>
      </c>
      <c r="K331" s="264" t="str">
        <f t="shared" ca="1" si="115"/>
        <v/>
      </c>
      <c r="L331" s="265" t="str">
        <f t="shared" ca="1" si="115"/>
        <v/>
      </c>
      <c r="M331" s="266" t="str">
        <f t="shared" ca="1" si="115"/>
        <v/>
      </c>
      <c r="N331" s="264" t="str">
        <f t="shared" ca="1" si="115"/>
        <v/>
      </c>
      <c r="O331" s="265" t="str">
        <f t="shared" ca="1" si="115"/>
        <v/>
      </c>
      <c r="P331" s="266" t="str">
        <f t="shared" ca="1" si="115"/>
        <v/>
      </c>
      <c r="Q331" s="267" t="str">
        <f t="shared" ca="1" si="115"/>
        <v/>
      </c>
      <c r="R331" s="268" t="str">
        <f t="shared" ca="1" si="116"/>
        <v/>
      </c>
      <c r="S331" s="264" t="str">
        <f t="shared" ca="1" si="116"/>
        <v/>
      </c>
      <c r="T331" s="269" t="str">
        <f t="shared" ca="1" si="116"/>
        <v/>
      </c>
      <c r="U331" s="268" t="str">
        <f t="shared" ca="1" si="116"/>
        <v/>
      </c>
      <c r="V331" s="264" t="str">
        <f t="shared" ca="1" si="116"/>
        <v/>
      </c>
      <c r="W331" s="265" t="str">
        <f t="shared" ca="1" si="116"/>
        <v/>
      </c>
      <c r="X331" s="266" t="str">
        <f t="shared" ca="1" si="116"/>
        <v/>
      </c>
      <c r="Y331" s="264" t="str">
        <f t="shared" ca="1" si="116"/>
        <v/>
      </c>
      <c r="Z331" s="265" t="str">
        <f t="shared" ca="1" si="116"/>
        <v/>
      </c>
      <c r="AA331" s="266" t="str">
        <f t="shared" ca="1" si="116"/>
        <v/>
      </c>
      <c r="AB331" s="267" t="str">
        <f t="shared" ca="1" si="116"/>
        <v/>
      </c>
      <c r="AC331" s="536" t="s">
        <v>777</v>
      </c>
      <c r="AD331" s="212" t="str">
        <f t="shared" ca="1" si="108"/>
        <v/>
      </c>
    </row>
    <row r="332" spans="1:30" s="45" customFormat="1" ht="22.5" customHeight="1">
      <c r="A332" s="258" t="str">
        <f ca="1">IFERROR(INDEX(凭证录入!H:H,$AD332),"")</f>
        <v/>
      </c>
      <c r="B332" s="259" t="str">
        <f ca="1">IFERROR(INDEX(凭证录入!I:I,$AD332),"")</f>
        <v/>
      </c>
      <c r="C332" s="260" t="str">
        <f ca="1">IFERROR(VLOOKUP($B332,会计科目表!$A:$C,2,),"")</f>
        <v/>
      </c>
      <c r="D332" s="261" t="str">
        <f ca="1">IFERROR(VLOOKUP($B332,会计科目表!$A:$C,3,),"")</f>
        <v/>
      </c>
      <c r="E332" s="262">
        <f ca="1">IFERROR(INDEX(凭证录入!K:K,$AD332),0)</f>
        <v>0</v>
      </c>
      <c r="F332" s="262">
        <f ca="1">IFERROR(INDEX(凭证录入!L:L,$AD332),0)</f>
        <v>0</v>
      </c>
      <c r="G332" s="263" t="str">
        <f t="shared" ca="1" si="115"/>
        <v/>
      </c>
      <c r="H332" s="264" t="str">
        <f t="shared" ca="1" si="115"/>
        <v/>
      </c>
      <c r="I332" s="265" t="str">
        <f t="shared" ca="1" si="115"/>
        <v/>
      </c>
      <c r="J332" s="266" t="str">
        <f t="shared" ca="1" si="115"/>
        <v/>
      </c>
      <c r="K332" s="264" t="str">
        <f t="shared" ca="1" si="115"/>
        <v/>
      </c>
      <c r="L332" s="265" t="str">
        <f t="shared" ca="1" si="115"/>
        <v/>
      </c>
      <c r="M332" s="266" t="str">
        <f t="shared" ca="1" si="115"/>
        <v/>
      </c>
      <c r="N332" s="264" t="str">
        <f t="shared" ca="1" si="115"/>
        <v/>
      </c>
      <c r="O332" s="265" t="str">
        <f t="shared" ca="1" si="115"/>
        <v/>
      </c>
      <c r="P332" s="266" t="str">
        <f t="shared" ca="1" si="115"/>
        <v/>
      </c>
      <c r="Q332" s="267" t="str">
        <f t="shared" ca="1" si="115"/>
        <v/>
      </c>
      <c r="R332" s="268" t="str">
        <f t="shared" ca="1" si="116"/>
        <v/>
      </c>
      <c r="S332" s="264" t="str">
        <f t="shared" ca="1" si="116"/>
        <v/>
      </c>
      <c r="T332" s="269" t="str">
        <f t="shared" ca="1" si="116"/>
        <v/>
      </c>
      <c r="U332" s="268" t="str">
        <f t="shared" ca="1" si="116"/>
        <v/>
      </c>
      <c r="V332" s="264" t="str">
        <f t="shared" ca="1" si="116"/>
        <v/>
      </c>
      <c r="W332" s="265" t="str">
        <f t="shared" ca="1" si="116"/>
        <v/>
      </c>
      <c r="X332" s="266" t="str">
        <f t="shared" ca="1" si="116"/>
        <v/>
      </c>
      <c r="Y332" s="264" t="str">
        <f t="shared" ca="1" si="116"/>
        <v/>
      </c>
      <c r="Z332" s="265" t="str">
        <f t="shared" ca="1" si="116"/>
        <v/>
      </c>
      <c r="AA332" s="266" t="str">
        <f t="shared" ca="1" si="116"/>
        <v/>
      </c>
      <c r="AB332" s="267" t="str">
        <f t="shared" ca="1" si="116"/>
        <v/>
      </c>
      <c r="AC332" s="537"/>
      <c r="AD332" s="212" t="str">
        <f t="shared" ca="1" si="108"/>
        <v/>
      </c>
    </row>
    <row r="333" spans="1:30" s="45" customFormat="1" ht="22.5" customHeight="1">
      <c r="A333" s="258" t="str">
        <f ca="1">IFERROR(INDEX(凭证录入!H:H,$AD333),"")</f>
        <v/>
      </c>
      <c r="B333" s="259" t="str">
        <f ca="1">IFERROR(INDEX(凭证录入!I:I,$AD333),"")</f>
        <v/>
      </c>
      <c r="C333" s="260" t="str">
        <f ca="1">IFERROR(VLOOKUP($B333,会计科目表!$A:$C,2,),"")</f>
        <v/>
      </c>
      <c r="D333" s="261" t="str">
        <f ca="1">IFERROR(VLOOKUP($B333,会计科目表!$A:$C,3,),"")</f>
        <v/>
      </c>
      <c r="E333" s="262">
        <f ca="1">IFERROR(INDEX(凭证录入!K:K,$AD333),0)</f>
        <v>0</v>
      </c>
      <c r="F333" s="262">
        <f ca="1">IFERROR(INDEX(凭证录入!L:L,$AD333),0)</f>
        <v>0</v>
      </c>
      <c r="G333" s="263" t="str">
        <f t="shared" ca="1" si="115"/>
        <v/>
      </c>
      <c r="H333" s="264" t="str">
        <f t="shared" ca="1" si="115"/>
        <v/>
      </c>
      <c r="I333" s="265" t="str">
        <f t="shared" ca="1" si="115"/>
        <v/>
      </c>
      <c r="J333" s="266" t="str">
        <f t="shared" ca="1" si="115"/>
        <v/>
      </c>
      <c r="K333" s="264" t="str">
        <f t="shared" ca="1" si="115"/>
        <v/>
      </c>
      <c r="L333" s="265" t="str">
        <f t="shared" ca="1" si="115"/>
        <v/>
      </c>
      <c r="M333" s="266" t="str">
        <f t="shared" ca="1" si="115"/>
        <v/>
      </c>
      <c r="N333" s="264" t="str">
        <f t="shared" ca="1" si="115"/>
        <v/>
      </c>
      <c r="O333" s="265" t="str">
        <f t="shared" ca="1" si="115"/>
        <v/>
      </c>
      <c r="P333" s="266" t="str">
        <f t="shared" ca="1" si="115"/>
        <v/>
      </c>
      <c r="Q333" s="267" t="str">
        <f t="shared" ca="1" si="115"/>
        <v/>
      </c>
      <c r="R333" s="268" t="str">
        <f t="shared" ca="1" si="116"/>
        <v/>
      </c>
      <c r="S333" s="264" t="str">
        <f t="shared" ca="1" si="116"/>
        <v/>
      </c>
      <c r="T333" s="269" t="str">
        <f t="shared" ca="1" si="116"/>
        <v/>
      </c>
      <c r="U333" s="268" t="str">
        <f t="shared" ca="1" si="116"/>
        <v/>
      </c>
      <c r="V333" s="264" t="str">
        <f t="shared" ca="1" si="116"/>
        <v/>
      </c>
      <c r="W333" s="265" t="str">
        <f t="shared" ca="1" si="116"/>
        <v/>
      </c>
      <c r="X333" s="266" t="str">
        <f t="shared" ca="1" si="116"/>
        <v/>
      </c>
      <c r="Y333" s="264" t="str">
        <f t="shared" ca="1" si="116"/>
        <v/>
      </c>
      <c r="Z333" s="265" t="str">
        <f t="shared" ca="1" si="116"/>
        <v/>
      </c>
      <c r="AA333" s="266" t="str">
        <f t="shared" ca="1" si="116"/>
        <v/>
      </c>
      <c r="AB333" s="267" t="str">
        <f t="shared" ca="1" si="116"/>
        <v/>
      </c>
      <c r="AC333" s="538"/>
      <c r="AD333" s="212" t="str">
        <f t="shared" ca="1" si="108"/>
        <v/>
      </c>
    </row>
    <row r="334" spans="1:30" s="45" customFormat="1" ht="22.5" customHeight="1">
      <c r="A334" s="258" t="str">
        <f ca="1">IFERROR(INDEX(凭证录入!H:H,$AD334),"")</f>
        <v/>
      </c>
      <c r="B334" s="259" t="str">
        <f ca="1">IFERROR(INDEX(凭证录入!I:I,$AD334),"")</f>
        <v/>
      </c>
      <c r="C334" s="260" t="str">
        <f ca="1">IFERROR(VLOOKUP($B334,会计科目表!$A:$C,2,),"")</f>
        <v/>
      </c>
      <c r="D334" s="261" t="str">
        <f ca="1">IFERROR(VLOOKUP($B334,会计科目表!$A:$C,3,),"")</f>
        <v/>
      </c>
      <c r="E334" s="262">
        <f ca="1">IFERROR(INDEX(凭证录入!K:K,$AD334),0)</f>
        <v>0</v>
      </c>
      <c r="F334" s="262">
        <f ca="1">IFERROR(INDEX(凭证录入!L:L,$AD334),0)</f>
        <v>0</v>
      </c>
      <c r="G334" s="263" t="str">
        <f t="shared" ca="1" si="115"/>
        <v/>
      </c>
      <c r="H334" s="264" t="str">
        <f t="shared" ca="1" si="115"/>
        <v/>
      </c>
      <c r="I334" s="265" t="str">
        <f t="shared" ca="1" si="115"/>
        <v/>
      </c>
      <c r="J334" s="266" t="str">
        <f t="shared" ca="1" si="115"/>
        <v/>
      </c>
      <c r="K334" s="264" t="str">
        <f t="shared" ca="1" si="115"/>
        <v/>
      </c>
      <c r="L334" s="265" t="str">
        <f t="shared" ca="1" si="115"/>
        <v/>
      </c>
      <c r="M334" s="266" t="str">
        <f t="shared" ca="1" si="115"/>
        <v/>
      </c>
      <c r="N334" s="264" t="str">
        <f t="shared" ca="1" si="115"/>
        <v/>
      </c>
      <c r="O334" s="265" t="str">
        <f t="shared" ca="1" si="115"/>
        <v/>
      </c>
      <c r="P334" s="266" t="str">
        <f t="shared" ca="1" si="115"/>
        <v/>
      </c>
      <c r="Q334" s="267" t="str">
        <f t="shared" ca="1" si="115"/>
        <v/>
      </c>
      <c r="R334" s="268" t="str">
        <f t="shared" ca="1" si="116"/>
        <v/>
      </c>
      <c r="S334" s="264" t="str">
        <f t="shared" ca="1" si="116"/>
        <v/>
      </c>
      <c r="T334" s="269" t="str">
        <f t="shared" ca="1" si="116"/>
        <v/>
      </c>
      <c r="U334" s="268" t="str">
        <f t="shared" ca="1" si="116"/>
        <v/>
      </c>
      <c r="V334" s="264" t="str">
        <f t="shared" ca="1" si="116"/>
        <v/>
      </c>
      <c r="W334" s="265" t="str">
        <f t="shared" ca="1" si="116"/>
        <v/>
      </c>
      <c r="X334" s="266" t="str">
        <f t="shared" ca="1" si="116"/>
        <v/>
      </c>
      <c r="Y334" s="264" t="str">
        <f t="shared" ca="1" si="116"/>
        <v/>
      </c>
      <c r="Z334" s="265" t="str">
        <f t="shared" ca="1" si="116"/>
        <v/>
      </c>
      <c r="AA334" s="266" t="str">
        <f t="shared" ca="1" si="116"/>
        <v/>
      </c>
      <c r="AB334" s="267" t="str">
        <f t="shared" ca="1" si="116"/>
        <v/>
      </c>
      <c r="AC334" s="538"/>
      <c r="AD334" s="212" t="str">
        <f t="shared" ca="1" si="108"/>
        <v/>
      </c>
    </row>
    <row r="335" spans="1:30" s="45" customFormat="1" ht="22.5" customHeight="1">
      <c r="A335" s="270" t="s">
        <v>778</v>
      </c>
      <c r="B335" s="271"/>
      <c r="C335" s="272" t="str">
        <f t="shared" ref="C335" ca="1" si="122">SUBSTITUTE(SUBSTITUTE(IF(-DOLLAR(E335),IF(E335&gt;0,,"负")&amp;TEXT(INT(ABS(E335)+0.5%),"[dbnum2]G/通用格式元;;")&amp;TEXT(RIGHT(DOLLAR(E335,2),2),"[dbnum2]0角0分;;整"),),"零角",IF(E335^2&lt;1,,"零")),"零分","整")</f>
        <v/>
      </c>
      <c r="D335" s="273"/>
      <c r="E335" s="274">
        <f t="shared" ref="E335:F335" ca="1" si="123">SUM(E329:E334)</f>
        <v>0</v>
      </c>
      <c r="F335" s="275">
        <f t="shared" ca="1" si="123"/>
        <v>0</v>
      </c>
      <c r="G335" s="276" t="str">
        <f t="shared" ca="1" si="115"/>
        <v/>
      </c>
      <c r="H335" s="277" t="str">
        <f t="shared" ca="1" si="115"/>
        <v/>
      </c>
      <c r="I335" s="278" t="str">
        <f t="shared" ca="1" si="115"/>
        <v/>
      </c>
      <c r="J335" s="279" t="str">
        <f t="shared" ca="1" si="115"/>
        <v/>
      </c>
      <c r="K335" s="277" t="str">
        <f t="shared" ca="1" si="115"/>
        <v/>
      </c>
      <c r="L335" s="278" t="str">
        <f t="shared" ca="1" si="115"/>
        <v/>
      </c>
      <c r="M335" s="279" t="str">
        <f t="shared" ca="1" si="115"/>
        <v/>
      </c>
      <c r="N335" s="277" t="str">
        <f t="shared" ca="1" si="115"/>
        <v/>
      </c>
      <c r="O335" s="278" t="str">
        <f t="shared" ca="1" si="115"/>
        <v/>
      </c>
      <c r="P335" s="279" t="str">
        <f t="shared" ca="1" si="115"/>
        <v/>
      </c>
      <c r="Q335" s="280" t="str">
        <f t="shared" ca="1" si="115"/>
        <v/>
      </c>
      <c r="R335" s="281" t="str">
        <f t="shared" ca="1" si="116"/>
        <v/>
      </c>
      <c r="S335" s="277" t="str">
        <f t="shared" ca="1" si="116"/>
        <v/>
      </c>
      <c r="T335" s="282" t="str">
        <f t="shared" ca="1" si="116"/>
        <v/>
      </c>
      <c r="U335" s="281" t="str">
        <f t="shared" ca="1" si="116"/>
        <v/>
      </c>
      <c r="V335" s="277" t="str">
        <f t="shared" ca="1" si="116"/>
        <v/>
      </c>
      <c r="W335" s="278" t="str">
        <f t="shared" ca="1" si="116"/>
        <v/>
      </c>
      <c r="X335" s="279" t="str">
        <f t="shared" ca="1" si="116"/>
        <v/>
      </c>
      <c r="Y335" s="277" t="str">
        <f t="shared" ca="1" si="116"/>
        <v/>
      </c>
      <c r="Z335" s="278" t="str">
        <f t="shared" ca="1" si="116"/>
        <v/>
      </c>
      <c r="AA335" s="279" t="str">
        <f t="shared" ca="1" si="116"/>
        <v/>
      </c>
      <c r="AB335" s="280" t="str">
        <f t="shared" ca="1" si="116"/>
        <v/>
      </c>
      <c r="AC335" s="283"/>
      <c r="AD335" s="212"/>
    </row>
    <row r="336" spans="1:30" s="22" customFormat="1" ht="22.5" customHeight="1">
      <c r="A336" s="284" t="s">
        <v>779</v>
      </c>
      <c r="B336" s="284"/>
      <c r="C336" s="284"/>
      <c r="D336" s="284" t="s">
        <v>780</v>
      </c>
      <c r="E336" s="284"/>
      <c r="F336" s="284"/>
      <c r="G336" s="284"/>
      <c r="H336" s="285"/>
      <c r="I336" s="284"/>
      <c r="J336" s="285"/>
      <c r="K336" s="285"/>
      <c r="L336" s="284"/>
      <c r="M336" s="285"/>
      <c r="N336" s="285"/>
      <c r="O336" s="285"/>
      <c r="P336" s="284"/>
      <c r="Q336" s="284" t="s">
        <v>781</v>
      </c>
      <c r="R336" s="284"/>
      <c r="S336" s="284"/>
      <c r="T336" s="284"/>
      <c r="U336" s="285"/>
      <c r="V336" s="284"/>
      <c r="W336" s="285"/>
      <c r="X336" s="284"/>
      <c r="Y336" s="284"/>
      <c r="Z336" s="285"/>
      <c r="AA336" s="285"/>
      <c r="AB336" s="285"/>
      <c r="AC336" s="286"/>
      <c r="AD336" s="212"/>
    </row>
    <row r="337" spans="1:30" ht="39.75" customHeight="1" thickBot="1">
      <c r="A337" s="226"/>
      <c r="B337" s="226"/>
      <c r="C337" s="227" t="s">
        <v>782</v>
      </c>
      <c r="D337" s="228"/>
      <c r="E337" s="226"/>
      <c r="F337" s="226"/>
      <c r="G337" s="228"/>
      <c r="H337" s="228"/>
      <c r="I337" s="228"/>
      <c r="J337" s="228"/>
      <c r="K337" s="228"/>
      <c r="L337" s="228"/>
      <c r="M337" s="228"/>
      <c r="N337" s="228"/>
      <c r="O337" s="228"/>
      <c r="P337" s="228"/>
      <c r="Q337" s="228"/>
      <c r="R337" s="229" t="s">
        <v>783</v>
      </c>
      <c r="S337" s="230"/>
      <c r="T337" s="230"/>
      <c r="U337" s="231" t="e">
        <f ca="1">DATE(AD$1,AF$1,INDEX(凭证录入!B:B,AD341))</f>
        <v>#VALUE!</v>
      </c>
      <c r="V337" s="232"/>
      <c r="W337" s="232"/>
      <c r="X337" s="232"/>
      <c r="Y337" s="232"/>
      <c r="Z337" s="232"/>
      <c r="AA337" s="232"/>
      <c r="AB337" s="232"/>
      <c r="AD337" s="212"/>
    </row>
    <row r="338" spans="1:30" s="45" customFormat="1" ht="23.25" customHeight="1" thickTop="1">
      <c r="A338" s="235" t="s">
        <v>784</v>
      </c>
      <c r="B338" s="235"/>
      <c r="C338" s="236" t="str">
        <f t="shared" si="119"/>
        <v>远大开发有限公司</v>
      </c>
      <c r="D338" s="236"/>
      <c r="E338" s="236"/>
      <c r="F338" s="236"/>
      <c r="G338" s="236"/>
      <c r="H338" s="236"/>
      <c r="I338" s="236"/>
      <c r="J338" s="236"/>
      <c r="K338" s="236"/>
      <c r="L338" s="236"/>
      <c r="M338" s="236"/>
      <c r="N338" s="236"/>
      <c r="O338" s="236"/>
      <c r="P338" s="236"/>
      <c r="Q338" s="236"/>
      <c r="R338" s="229" t="s">
        <v>785</v>
      </c>
      <c r="S338" s="229"/>
      <c r="T338" s="229"/>
      <c r="U338" s="237" t="str">
        <f t="shared" ref="U338" si="124">"第 "&amp;TEXT($AF$1,"00")&amp;TEXT($AC338,"0000 号")</f>
        <v>第 010028 号</v>
      </c>
      <c r="V338" s="237"/>
      <c r="W338" s="238"/>
      <c r="X338" s="238"/>
      <c r="Y338" s="238"/>
      <c r="Z338" s="238"/>
      <c r="AA338" s="238"/>
      <c r="AB338" s="238"/>
      <c r="AC338" s="239">
        <f t="shared" si="121"/>
        <v>28</v>
      </c>
      <c r="AD338" s="212"/>
    </row>
    <row r="339" spans="1:30" s="45" customFormat="1" ht="22.5" customHeight="1">
      <c r="A339" s="241" t="s">
        <v>786</v>
      </c>
      <c r="B339" s="542" t="s">
        <v>787</v>
      </c>
      <c r="C339" s="242" t="s">
        <v>788</v>
      </c>
      <c r="D339" s="243" t="s">
        <v>789</v>
      </c>
      <c r="E339" s="539" t="s">
        <v>790</v>
      </c>
      <c r="F339" s="539" t="s">
        <v>791</v>
      </c>
      <c r="G339" s="244" t="s">
        <v>792</v>
      </c>
      <c r="H339" s="245"/>
      <c r="I339" s="245"/>
      <c r="J339" s="245"/>
      <c r="K339" s="245"/>
      <c r="L339" s="245"/>
      <c r="M339" s="245"/>
      <c r="N339" s="245"/>
      <c r="O339" s="245"/>
      <c r="P339" s="245"/>
      <c r="Q339" s="246"/>
      <c r="R339" s="247" t="s">
        <v>793</v>
      </c>
      <c r="S339" s="245"/>
      <c r="T339" s="245"/>
      <c r="U339" s="245"/>
      <c r="V339" s="245"/>
      <c r="W339" s="245"/>
      <c r="X339" s="245"/>
      <c r="Y339" s="245"/>
      <c r="Z339" s="245"/>
      <c r="AA339" s="245"/>
      <c r="AB339" s="246"/>
      <c r="AC339" s="541" t="str">
        <f ca="1">"附单据数︵"&amp;INDEX(凭证录入!$D:$D,$AD$17)&amp;"︶张"</f>
        <v>附单据数︵4︶张</v>
      </c>
      <c r="AD339" s="235"/>
    </row>
    <row r="340" spans="1:30" s="45" customFormat="1" ht="22.5" customHeight="1">
      <c r="A340" s="248" t="s">
        <v>794</v>
      </c>
      <c r="B340" s="543"/>
      <c r="C340" s="249" t="s">
        <v>795</v>
      </c>
      <c r="D340" s="250" t="s">
        <v>795</v>
      </c>
      <c r="E340" s="540"/>
      <c r="F340" s="540"/>
      <c r="G340" s="251" t="s">
        <v>796</v>
      </c>
      <c r="H340" s="252" t="s">
        <v>797</v>
      </c>
      <c r="I340" s="253" t="s">
        <v>798</v>
      </c>
      <c r="J340" s="254" t="s">
        <v>799</v>
      </c>
      <c r="K340" s="252" t="s">
        <v>800</v>
      </c>
      <c r="L340" s="253" t="s">
        <v>797</v>
      </c>
      <c r="M340" s="254" t="s">
        <v>798</v>
      </c>
      <c r="N340" s="252" t="s">
        <v>799</v>
      </c>
      <c r="O340" s="253" t="s">
        <v>801</v>
      </c>
      <c r="P340" s="254" t="s">
        <v>802</v>
      </c>
      <c r="Q340" s="255" t="s">
        <v>803</v>
      </c>
      <c r="R340" s="256" t="s">
        <v>796</v>
      </c>
      <c r="S340" s="252" t="s">
        <v>797</v>
      </c>
      <c r="T340" s="257" t="s">
        <v>798</v>
      </c>
      <c r="U340" s="256" t="s">
        <v>799</v>
      </c>
      <c r="V340" s="252" t="s">
        <v>800</v>
      </c>
      <c r="W340" s="253" t="s">
        <v>797</v>
      </c>
      <c r="X340" s="254" t="s">
        <v>798</v>
      </c>
      <c r="Y340" s="252" t="s">
        <v>799</v>
      </c>
      <c r="Z340" s="253" t="s">
        <v>801</v>
      </c>
      <c r="AA340" s="254" t="s">
        <v>802</v>
      </c>
      <c r="AB340" s="255" t="s">
        <v>803</v>
      </c>
      <c r="AC340" s="541"/>
    </row>
    <row r="341" spans="1:30" s="45" customFormat="1" ht="22.5" customHeight="1">
      <c r="A341" s="258" t="str">
        <f ca="1">IFERROR(INDEX(凭证录入!H:H,$AD341),"")</f>
        <v/>
      </c>
      <c r="B341" s="259" t="str">
        <f ca="1">IFERROR(INDEX(凭证录入!I:I,$AD341),"")</f>
        <v/>
      </c>
      <c r="C341" s="260" t="str">
        <f ca="1">IFERROR(VLOOKUP($B341,会计科目表!$A:$C,2,),"")</f>
        <v/>
      </c>
      <c r="D341" s="261" t="str">
        <f ca="1">IFERROR(VLOOKUP($B341,会计科目表!$A:$C,3,),"")</f>
        <v/>
      </c>
      <c r="E341" s="262">
        <f ca="1">IFERROR(INDEX(凭证录入!K:K,$AD341),0)</f>
        <v>0</v>
      </c>
      <c r="F341" s="262">
        <f ca="1">IFERROR(INDEX(凭证录入!L:L,$AD341),0)</f>
        <v>0</v>
      </c>
      <c r="G341" s="263" t="str">
        <f t="shared" ca="1" si="115"/>
        <v/>
      </c>
      <c r="H341" s="264" t="str">
        <f t="shared" ca="1" si="115"/>
        <v/>
      </c>
      <c r="I341" s="265" t="str">
        <f t="shared" ca="1" si="115"/>
        <v/>
      </c>
      <c r="J341" s="266" t="str">
        <f t="shared" ca="1" si="115"/>
        <v/>
      </c>
      <c r="K341" s="264" t="str">
        <f t="shared" ca="1" si="115"/>
        <v/>
      </c>
      <c r="L341" s="265" t="str">
        <f t="shared" ca="1" si="115"/>
        <v/>
      </c>
      <c r="M341" s="266" t="str">
        <f t="shared" ca="1" si="115"/>
        <v/>
      </c>
      <c r="N341" s="264" t="str">
        <f t="shared" ca="1" si="115"/>
        <v/>
      </c>
      <c r="O341" s="265" t="str">
        <f t="shared" ca="1" si="115"/>
        <v/>
      </c>
      <c r="P341" s="266" t="str">
        <f t="shared" ca="1" si="115"/>
        <v/>
      </c>
      <c r="Q341" s="267" t="str">
        <f t="shared" ca="1" si="115"/>
        <v/>
      </c>
      <c r="R341" s="268" t="str">
        <f t="shared" ca="1" si="116"/>
        <v/>
      </c>
      <c r="S341" s="264" t="str">
        <f t="shared" ca="1" si="116"/>
        <v/>
      </c>
      <c r="T341" s="269" t="str">
        <f t="shared" ca="1" si="116"/>
        <v/>
      </c>
      <c r="U341" s="268" t="str">
        <f t="shared" ca="1" si="116"/>
        <v/>
      </c>
      <c r="V341" s="264" t="str">
        <f t="shared" ca="1" si="116"/>
        <v/>
      </c>
      <c r="W341" s="265" t="str">
        <f t="shared" ca="1" si="116"/>
        <v/>
      </c>
      <c r="X341" s="266" t="str">
        <f t="shared" ca="1" si="116"/>
        <v/>
      </c>
      <c r="Y341" s="264" t="str">
        <f t="shared" ca="1" si="116"/>
        <v/>
      </c>
      <c r="Z341" s="265" t="str">
        <f t="shared" ca="1" si="116"/>
        <v/>
      </c>
      <c r="AA341" s="266" t="str">
        <f t="shared" ca="1" si="116"/>
        <v/>
      </c>
      <c r="AB341" s="267" t="str">
        <f t="shared" ca="1" si="116"/>
        <v/>
      </c>
      <c r="AC341" s="541"/>
      <c r="AD341" s="212" t="str">
        <f t="shared" ca="1" si="108"/>
        <v/>
      </c>
    </row>
    <row r="342" spans="1:30" s="45" customFormat="1" ht="22.5" customHeight="1">
      <c r="A342" s="258" t="str">
        <f ca="1">IFERROR(INDEX(凭证录入!H:H,$AD342),"")</f>
        <v/>
      </c>
      <c r="B342" s="259" t="str">
        <f ca="1">IFERROR(INDEX(凭证录入!I:I,$AD342),"")</f>
        <v/>
      </c>
      <c r="C342" s="260" t="str">
        <f ca="1">IFERROR(VLOOKUP($B342,会计科目表!$A:$C,2,),"")</f>
        <v/>
      </c>
      <c r="D342" s="261" t="str">
        <f ca="1">IFERROR(VLOOKUP($B342,会计科目表!$A:$C,3,),"")</f>
        <v/>
      </c>
      <c r="E342" s="262">
        <f ca="1">IFERROR(INDEX(凭证录入!K:K,$AD342),0)</f>
        <v>0</v>
      </c>
      <c r="F342" s="262">
        <f ca="1">IFERROR(INDEX(凭证录入!L:L,$AD342),0)</f>
        <v>0</v>
      </c>
      <c r="G342" s="263" t="str">
        <f t="shared" ca="1" si="115"/>
        <v/>
      </c>
      <c r="H342" s="264" t="str">
        <f t="shared" ca="1" si="115"/>
        <v/>
      </c>
      <c r="I342" s="265" t="str">
        <f t="shared" ca="1" si="115"/>
        <v/>
      </c>
      <c r="J342" s="266" t="str">
        <f t="shared" ca="1" si="115"/>
        <v/>
      </c>
      <c r="K342" s="264" t="str">
        <f t="shared" ca="1" si="115"/>
        <v/>
      </c>
      <c r="L342" s="265" t="str">
        <f t="shared" ca="1" si="115"/>
        <v/>
      </c>
      <c r="M342" s="266" t="str">
        <f t="shared" ca="1" si="115"/>
        <v/>
      </c>
      <c r="N342" s="264" t="str">
        <f t="shared" ca="1" si="115"/>
        <v/>
      </c>
      <c r="O342" s="265" t="str">
        <f t="shared" ca="1" si="115"/>
        <v/>
      </c>
      <c r="P342" s="266" t="str">
        <f t="shared" ca="1" si="115"/>
        <v/>
      </c>
      <c r="Q342" s="267" t="str">
        <f t="shared" ca="1" si="115"/>
        <v/>
      </c>
      <c r="R342" s="268" t="str">
        <f t="shared" ca="1" si="116"/>
        <v/>
      </c>
      <c r="S342" s="264" t="str">
        <f t="shared" ca="1" si="116"/>
        <v/>
      </c>
      <c r="T342" s="269" t="str">
        <f t="shared" ca="1" si="116"/>
        <v/>
      </c>
      <c r="U342" s="268" t="str">
        <f t="shared" ca="1" si="116"/>
        <v/>
      </c>
      <c r="V342" s="264" t="str">
        <f t="shared" ca="1" si="116"/>
        <v/>
      </c>
      <c r="W342" s="265" t="str">
        <f t="shared" ca="1" si="116"/>
        <v/>
      </c>
      <c r="X342" s="266" t="str">
        <f t="shared" ca="1" si="116"/>
        <v/>
      </c>
      <c r="Y342" s="264" t="str">
        <f t="shared" ca="1" si="116"/>
        <v/>
      </c>
      <c r="Z342" s="265" t="str">
        <f t="shared" ca="1" si="116"/>
        <v/>
      </c>
      <c r="AA342" s="266" t="str">
        <f t="shared" ca="1" si="116"/>
        <v/>
      </c>
      <c r="AB342" s="267" t="str">
        <f t="shared" ca="1" si="116"/>
        <v/>
      </c>
      <c r="AC342" s="541"/>
      <c r="AD342" s="212" t="str">
        <f t="shared" ca="1" si="108"/>
        <v/>
      </c>
    </row>
    <row r="343" spans="1:30" s="45" customFormat="1" ht="22.5" customHeight="1">
      <c r="A343" s="258" t="str">
        <f ca="1">IFERROR(INDEX(凭证录入!H:H,$AD343),"")</f>
        <v/>
      </c>
      <c r="B343" s="259" t="str">
        <f ca="1">IFERROR(INDEX(凭证录入!I:I,$AD343),"")</f>
        <v/>
      </c>
      <c r="C343" s="260" t="str">
        <f ca="1">IFERROR(VLOOKUP($B343,会计科目表!$A:$C,2,),"")</f>
        <v/>
      </c>
      <c r="D343" s="261" t="str">
        <f ca="1">IFERROR(VLOOKUP($B343,会计科目表!$A:$C,3,),"")</f>
        <v/>
      </c>
      <c r="E343" s="262">
        <f ca="1">IFERROR(INDEX(凭证录入!K:K,$AD343),0)</f>
        <v>0</v>
      </c>
      <c r="F343" s="262">
        <f ca="1">IFERROR(INDEX(凭证录入!L:L,$AD343),0)</f>
        <v>0</v>
      </c>
      <c r="G343" s="263" t="str">
        <f t="shared" ca="1" si="115"/>
        <v/>
      </c>
      <c r="H343" s="264" t="str">
        <f t="shared" ca="1" si="115"/>
        <v/>
      </c>
      <c r="I343" s="265" t="str">
        <f t="shared" ca="1" si="115"/>
        <v/>
      </c>
      <c r="J343" s="266" t="str">
        <f t="shared" ca="1" si="115"/>
        <v/>
      </c>
      <c r="K343" s="264" t="str">
        <f t="shared" ca="1" si="115"/>
        <v/>
      </c>
      <c r="L343" s="265" t="str">
        <f t="shared" ca="1" si="115"/>
        <v/>
      </c>
      <c r="M343" s="266" t="str">
        <f t="shared" ca="1" si="115"/>
        <v/>
      </c>
      <c r="N343" s="264" t="str">
        <f t="shared" ca="1" si="115"/>
        <v/>
      </c>
      <c r="O343" s="265" t="str">
        <f t="shared" ca="1" si="115"/>
        <v/>
      </c>
      <c r="P343" s="266" t="str">
        <f t="shared" ca="1" si="115"/>
        <v/>
      </c>
      <c r="Q343" s="267" t="str">
        <f t="shared" ca="1" si="115"/>
        <v/>
      </c>
      <c r="R343" s="268" t="str">
        <f t="shared" ca="1" si="116"/>
        <v/>
      </c>
      <c r="S343" s="264" t="str">
        <f t="shared" ca="1" si="116"/>
        <v/>
      </c>
      <c r="T343" s="269" t="str">
        <f t="shared" ca="1" si="116"/>
        <v/>
      </c>
      <c r="U343" s="268" t="str">
        <f t="shared" ca="1" si="116"/>
        <v/>
      </c>
      <c r="V343" s="264" t="str">
        <f t="shared" ca="1" si="116"/>
        <v/>
      </c>
      <c r="W343" s="265" t="str">
        <f t="shared" ca="1" si="116"/>
        <v/>
      </c>
      <c r="X343" s="266" t="str">
        <f t="shared" ca="1" si="116"/>
        <v/>
      </c>
      <c r="Y343" s="264" t="str">
        <f t="shared" ca="1" si="116"/>
        <v/>
      </c>
      <c r="Z343" s="265" t="str">
        <f t="shared" ca="1" si="116"/>
        <v/>
      </c>
      <c r="AA343" s="266" t="str">
        <f t="shared" ca="1" si="116"/>
        <v/>
      </c>
      <c r="AB343" s="267" t="str">
        <f t="shared" ca="1" si="116"/>
        <v/>
      </c>
      <c r="AC343" s="536" t="s">
        <v>804</v>
      </c>
      <c r="AD343" s="212" t="str">
        <f t="shared" ca="1" si="108"/>
        <v/>
      </c>
    </row>
    <row r="344" spans="1:30" s="45" customFormat="1" ht="22.5" customHeight="1">
      <c r="A344" s="258" t="str">
        <f ca="1">IFERROR(INDEX(凭证录入!H:H,$AD344),"")</f>
        <v/>
      </c>
      <c r="B344" s="259" t="str">
        <f ca="1">IFERROR(INDEX(凭证录入!I:I,$AD344),"")</f>
        <v/>
      </c>
      <c r="C344" s="260" t="str">
        <f ca="1">IFERROR(VLOOKUP($B344,会计科目表!$A:$C,2,),"")</f>
        <v/>
      </c>
      <c r="D344" s="261" t="str">
        <f ca="1">IFERROR(VLOOKUP($B344,会计科目表!$A:$C,3,),"")</f>
        <v/>
      </c>
      <c r="E344" s="262">
        <f ca="1">IFERROR(INDEX(凭证录入!K:K,$AD344),0)</f>
        <v>0</v>
      </c>
      <c r="F344" s="262">
        <f ca="1">IFERROR(INDEX(凭证录入!L:L,$AD344),0)</f>
        <v>0</v>
      </c>
      <c r="G344" s="263" t="str">
        <f t="shared" ca="1" si="115"/>
        <v/>
      </c>
      <c r="H344" s="264" t="str">
        <f t="shared" ca="1" si="115"/>
        <v/>
      </c>
      <c r="I344" s="265" t="str">
        <f t="shared" ca="1" si="115"/>
        <v/>
      </c>
      <c r="J344" s="266" t="str">
        <f t="shared" ca="1" si="115"/>
        <v/>
      </c>
      <c r="K344" s="264" t="str">
        <f t="shared" ca="1" si="115"/>
        <v/>
      </c>
      <c r="L344" s="265" t="str">
        <f t="shared" ca="1" si="115"/>
        <v/>
      </c>
      <c r="M344" s="266" t="str">
        <f t="shared" ca="1" si="115"/>
        <v/>
      </c>
      <c r="N344" s="264" t="str">
        <f t="shared" ca="1" si="115"/>
        <v/>
      </c>
      <c r="O344" s="265" t="str">
        <f t="shared" ca="1" si="115"/>
        <v/>
      </c>
      <c r="P344" s="266" t="str">
        <f t="shared" ca="1" si="115"/>
        <v/>
      </c>
      <c r="Q344" s="267" t="str">
        <f t="shared" ca="1" si="115"/>
        <v/>
      </c>
      <c r="R344" s="268" t="str">
        <f t="shared" ca="1" si="116"/>
        <v/>
      </c>
      <c r="S344" s="264" t="str">
        <f t="shared" ca="1" si="116"/>
        <v/>
      </c>
      <c r="T344" s="269" t="str">
        <f t="shared" ca="1" si="116"/>
        <v/>
      </c>
      <c r="U344" s="268" t="str">
        <f t="shared" ca="1" si="116"/>
        <v/>
      </c>
      <c r="V344" s="264" t="str">
        <f t="shared" ca="1" si="116"/>
        <v/>
      </c>
      <c r="W344" s="265" t="str">
        <f t="shared" ca="1" si="116"/>
        <v/>
      </c>
      <c r="X344" s="266" t="str">
        <f t="shared" ca="1" si="116"/>
        <v/>
      </c>
      <c r="Y344" s="264" t="str">
        <f t="shared" ca="1" si="116"/>
        <v/>
      </c>
      <c r="Z344" s="265" t="str">
        <f t="shared" ca="1" si="116"/>
        <v/>
      </c>
      <c r="AA344" s="266" t="str">
        <f t="shared" ca="1" si="116"/>
        <v/>
      </c>
      <c r="AB344" s="267" t="str">
        <f t="shared" ca="1" si="116"/>
        <v/>
      </c>
      <c r="AC344" s="537"/>
      <c r="AD344" s="212" t="str">
        <f t="shared" ca="1" si="108"/>
        <v/>
      </c>
    </row>
    <row r="345" spans="1:30" s="45" customFormat="1" ht="22.5" customHeight="1">
      <c r="A345" s="258" t="str">
        <f ca="1">IFERROR(INDEX(凭证录入!H:H,$AD345),"")</f>
        <v/>
      </c>
      <c r="B345" s="259" t="str">
        <f ca="1">IFERROR(INDEX(凭证录入!I:I,$AD345),"")</f>
        <v/>
      </c>
      <c r="C345" s="260" t="str">
        <f ca="1">IFERROR(VLOOKUP($B345,会计科目表!$A:$C,2,),"")</f>
        <v/>
      </c>
      <c r="D345" s="261" t="str">
        <f ca="1">IFERROR(VLOOKUP($B345,会计科目表!$A:$C,3,),"")</f>
        <v/>
      </c>
      <c r="E345" s="262">
        <f ca="1">IFERROR(INDEX(凭证录入!K:K,$AD345),0)</f>
        <v>0</v>
      </c>
      <c r="F345" s="262">
        <f ca="1">IFERROR(INDEX(凭证录入!L:L,$AD345),0)</f>
        <v>0</v>
      </c>
      <c r="G345" s="263" t="str">
        <f t="shared" ca="1" si="115"/>
        <v/>
      </c>
      <c r="H345" s="264" t="str">
        <f t="shared" ca="1" si="115"/>
        <v/>
      </c>
      <c r="I345" s="265" t="str">
        <f t="shared" ca="1" si="115"/>
        <v/>
      </c>
      <c r="J345" s="266" t="str">
        <f t="shared" ca="1" si="115"/>
        <v/>
      </c>
      <c r="K345" s="264" t="str">
        <f t="shared" ca="1" si="115"/>
        <v/>
      </c>
      <c r="L345" s="265" t="str">
        <f t="shared" ca="1" si="115"/>
        <v/>
      </c>
      <c r="M345" s="266" t="str">
        <f t="shared" ca="1" si="115"/>
        <v/>
      </c>
      <c r="N345" s="264" t="str">
        <f t="shared" ca="1" si="115"/>
        <v/>
      </c>
      <c r="O345" s="265" t="str">
        <f t="shared" ca="1" si="115"/>
        <v/>
      </c>
      <c r="P345" s="266" t="str">
        <f t="shared" ca="1" si="115"/>
        <v/>
      </c>
      <c r="Q345" s="267" t="str">
        <f t="shared" ca="1" si="115"/>
        <v/>
      </c>
      <c r="R345" s="268" t="str">
        <f t="shared" ca="1" si="116"/>
        <v/>
      </c>
      <c r="S345" s="264" t="str">
        <f t="shared" ca="1" si="116"/>
        <v/>
      </c>
      <c r="T345" s="269" t="str">
        <f t="shared" ca="1" si="116"/>
        <v/>
      </c>
      <c r="U345" s="268" t="str">
        <f t="shared" ca="1" si="116"/>
        <v/>
      </c>
      <c r="V345" s="264" t="str">
        <f t="shared" ca="1" si="116"/>
        <v/>
      </c>
      <c r="W345" s="265" t="str">
        <f t="shared" ca="1" si="116"/>
        <v/>
      </c>
      <c r="X345" s="266" t="str">
        <f t="shared" ca="1" si="116"/>
        <v/>
      </c>
      <c r="Y345" s="264" t="str">
        <f t="shared" ca="1" si="116"/>
        <v/>
      </c>
      <c r="Z345" s="265" t="str">
        <f t="shared" ca="1" si="116"/>
        <v/>
      </c>
      <c r="AA345" s="266" t="str">
        <f t="shared" ca="1" si="116"/>
        <v/>
      </c>
      <c r="AB345" s="267" t="str">
        <f t="shared" ca="1" si="116"/>
        <v/>
      </c>
      <c r="AC345" s="538"/>
      <c r="AD345" s="212" t="str">
        <f t="shared" ca="1" si="108"/>
        <v/>
      </c>
    </row>
    <row r="346" spans="1:30" s="45" customFormat="1" ht="22.5" customHeight="1">
      <c r="A346" s="258" t="str">
        <f ca="1">IFERROR(INDEX(凭证录入!H:H,$AD346),"")</f>
        <v/>
      </c>
      <c r="B346" s="259" t="str">
        <f ca="1">IFERROR(INDEX(凭证录入!I:I,$AD346),"")</f>
        <v/>
      </c>
      <c r="C346" s="260" t="str">
        <f ca="1">IFERROR(VLOOKUP($B346,会计科目表!$A:$C,2,),"")</f>
        <v/>
      </c>
      <c r="D346" s="261" t="str">
        <f ca="1">IFERROR(VLOOKUP($B346,会计科目表!$A:$C,3,),"")</f>
        <v/>
      </c>
      <c r="E346" s="262">
        <f ca="1">IFERROR(INDEX(凭证录入!K:K,$AD346),0)</f>
        <v>0</v>
      </c>
      <c r="F346" s="262">
        <f ca="1">IFERROR(INDEX(凭证录入!L:L,$AD346),0)</f>
        <v>0</v>
      </c>
      <c r="G346" s="263" t="str">
        <f t="shared" ca="1" si="115"/>
        <v/>
      </c>
      <c r="H346" s="264" t="str">
        <f t="shared" ca="1" si="115"/>
        <v/>
      </c>
      <c r="I346" s="265" t="str">
        <f t="shared" ca="1" si="115"/>
        <v/>
      </c>
      <c r="J346" s="266" t="str">
        <f t="shared" ca="1" si="115"/>
        <v/>
      </c>
      <c r="K346" s="264" t="str">
        <f t="shared" ca="1" si="115"/>
        <v/>
      </c>
      <c r="L346" s="265" t="str">
        <f t="shared" ca="1" si="115"/>
        <v/>
      </c>
      <c r="M346" s="266" t="str">
        <f t="shared" ca="1" si="115"/>
        <v/>
      </c>
      <c r="N346" s="264" t="str">
        <f t="shared" ca="1" si="115"/>
        <v/>
      </c>
      <c r="O346" s="265" t="str">
        <f t="shared" ca="1" si="115"/>
        <v/>
      </c>
      <c r="P346" s="266" t="str">
        <f t="shared" ca="1" si="115"/>
        <v/>
      </c>
      <c r="Q346" s="267" t="str">
        <f t="shared" ca="1" si="115"/>
        <v/>
      </c>
      <c r="R346" s="268" t="str">
        <f t="shared" ca="1" si="116"/>
        <v/>
      </c>
      <c r="S346" s="264" t="str">
        <f t="shared" ca="1" si="116"/>
        <v/>
      </c>
      <c r="T346" s="269" t="str">
        <f t="shared" ca="1" si="116"/>
        <v/>
      </c>
      <c r="U346" s="268" t="str">
        <f t="shared" ca="1" si="116"/>
        <v/>
      </c>
      <c r="V346" s="264" t="str">
        <f t="shared" ca="1" si="116"/>
        <v/>
      </c>
      <c r="W346" s="265" t="str">
        <f t="shared" ca="1" si="116"/>
        <v/>
      </c>
      <c r="X346" s="266" t="str">
        <f t="shared" ca="1" si="116"/>
        <v/>
      </c>
      <c r="Y346" s="264" t="str">
        <f t="shared" ca="1" si="116"/>
        <v/>
      </c>
      <c r="Z346" s="265" t="str">
        <f t="shared" ca="1" si="116"/>
        <v/>
      </c>
      <c r="AA346" s="266" t="str">
        <f t="shared" ca="1" si="116"/>
        <v/>
      </c>
      <c r="AB346" s="267" t="str">
        <f t="shared" ca="1" si="116"/>
        <v/>
      </c>
      <c r="AC346" s="538"/>
      <c r="AD346" s="212" t="str">
        <f t="shared" ca="1" si="108"/>
        <v/>
      </c>
    </row>
    <row r="347" spans="1:30" s="45" customFormat="1" ht="22.5" customHeight="1">
      <c r="A347" s="270" t="s">
        <v>805</v>
      </c>
      <c r="B347" s="271"/>
      <c r="C347" s="272" t="str">
        <f t="shared" ref="C347" ca="1" si="125">SUBSTITUTE(SUBSTITUTE(IF(-DOLLAR(E347),IF(E347&gt;0,,"负")&amp;TEXT(INT(ABS(E347)+0.5%),"[dbnum2]G/通用格式元;;")&amp;TEXT(RIGHT(DOLLAR(E347,2),2),"[dbnum2]0角0分;;整"),),"零角",IF(E347^2&lt;1,,"零")),"零分","整")</f>
        <v/>
      </c>
      <c r="D347" s="273"/>
      <c r="E347" s="274">
        <f t="shared" ref="E347:F347" ca="1" si="126">SUM(E341:E346)</f>
        <v>0</v>
      </c>
      <c r="F347" s="275">
        <f t="shared" ca="1" si="126"/>
        <v>0</v>
      </c>
      <c r="G347" s="276" t="str">
        <f t="shared" ca="1" si="115"/>
        <v/>
      </c>
      <c r="H347" s="277" t="str">
        <f t="shared" ca="1" si="115"/>
        <v/>
      </c>
      <c r="I347" s="278" t="str">
        <f t="shared" ca="1" si="115"/>
        <v/>
      </c>
      <c r="J347" s="279" t="str">
        <f t="shared" ca="1" si="115"/>
        <v/>
      </c>
      <c r="K347" s="277" t="str">
        <f t="shared" ca="1" si="115"/>
        <v/>
      </c>
      <c r="L347" s="278" t="str">
        <f t="shared" ca="1" si="115"/>
        <v/>
      </c>
      <c r="M347" s="279" t="str">
        <f t="shared" ca="1" si="115"/>
        <v/>
      </c>
      <c r="N347" s="277" t="str">
        <f t="shared" ca="1" si="115"/>
        <v/>
      </c>
      <c r="O347" s="278" t="str">
        <f t="shared" ca="1" si="115"/>
        <v/>
      </c>
      <c r="P347" s="279" t="str">
        <f t="shared" ca="1" si="115"/>
        <v/>
      </c>
      <c r="Q347" s="280" t="str">
        <f t="shared" ca="1" si="115"/>
        <v/>
      </c>
      <c r="R347" s="281" t="str">
        <f t="shared" ca="1" si="116"/>
        <v/>
      </c>
      <c r="S347" s="277" t="str">
        <f t="shared" ca="1" si="116"/>
        <v/>
      </c>
      <c r="T347" s="282" t="str">
        <f t="shared" ca="1" si="116"/>
        <v/>
      </c>
      <c r="U347" s="281" t="str">
        <f t="shared" ca="1" si="116"/>
        <v/>
      </c>
      <c r="V347" s="277" t="str">
        <f t="shared" ca="1" si="116"/>
        <v/>
      </c>
      <c r="W347" s="278" t="str">
        <f t="shared" ca="1" si="116"/>
        <v/>
      </c>
      <c r="X347" s="279" t="str">
        <f t="shared" ca="1" si="116"/>
        <v/>
      </c>
      <c r="Y347" s="277" t="str">
        <f t="shared" ca="1" si="116"/>
        <v/>
      </c>
      <c r="Z347" s="278" t="str">
        <f t="shared" ca="1" si="116"/>
        <v/>
      </c>
      <c r="AA347" s="279" t="str">
        <f t="shared" ca="1" si="116"/>
        <v/>
      </c>
      <c r="AB347" s="280" t="str">
        <f t="shared" ca="1" si="116"/>
        <v/>
      </c>
      <c r="AC347" s="283"/>
      <c r="AD347" s="212"/>
    </row>
    <row r="348" spans="1:30" s="22" customFormat="1" ht="22.5" customHeight="1">
      <c r="A348" s="284" t="s">
        <v>806</v>
      </c>
      <c r="B348" s="284"/>
      <c r="C348" s="284"/>
      <c r="D348" s="284" t="s">
        <v>807</v>
      </c>
      <c r="E348" s="284"/>
      <c r="F348" s="284"/>
      <c r="G348" s="284"/>
      <c r="H348" s="285"/>
      <c r="I348" s="284"/>
      <c r="J348" s="285"/>
      <c r="K348" s="285"/>
      <c r="L348" s="284"/>
      <c r="M348" s="285"/>
      <c r="N348" s="285"/>
      <c r="O348" s="285"/>
      <c r="P348" s="284"/>
      <c r="Q348" s="284" t="s">
        <v>808</v>
      </c>
      <c r="R348" s="284"/>
      <c r="S348" s="284"/>
      <c r="T348" s="284"/>
      <c r="U348" s="285"/>
      <c r="V348" s="284"/>
      <c r="W348" s="285"/>
      <c r="X348" s="284"/>
      <c r="Y348" s="284"/>
      <c r="Z348" s="285"/>
      <c r="AA348" s="285"/>
      <c r="AB348" s="285"/>
      <c r="AC348" s="286"/>
      <c r="AD348" s="212"/>
    </row>
    <row r="349" spans="1:30" ht="39.75" customHeight="1" thickBot="1">
      <c r="A349" s="226"/>
      <c r="B349" s="226"/>
      <c r="C349" s="227" t="s">
        <v>809</v>
      </c>
      <c r="D349" s="228"/>
      <c r="E349" s="226"/>
      <c r="F349" s="226"/>
      <c r="G349" s="228"/>
      <c r="H349" s="228"/>
      <c r="I349" s="228"/>
      <c r="J349" s="228"/>
      <c r="K349" s="228"/>
      <c r="L349" s="228"/>
      <c r="M349" s="228"/>
      <c r="N349" s="228"/>
      <c r="O349" s="228"/>
      <c r="P349" s="228"/>
      <c r="Q349" s="228"/>
      <c r="R349" s="229" t="s">
        <v>810</v>
      </c>
      <c r="S349" s="230"/>
      <c r="T349" s="230"/>
      <c r="U349" s="231" t="e">
        <f ca="1">DATE(AD$1,AF$1,INDEX(凭证录入!B:B,AD353))</f>
        <v>#VALUE!</v>
      </c>
      <c r="V349" s="232"/>
      <c r="W349" s="232"/>
      <c r="X349" s="232"/>
      <c r="Y349" s="232"/>
      <c r="Z349" s="232"/>
      <c r="AA349" s="232"/>
      <c r="AB349" s="232"/>
      <c r="AD349" s="212"/>
    </row>
    <row r="350" spans="1:30" s="45" customFormat="1" ht="23.25" customHeight="1" thickTop="1">
      <c r="A350" s="235" t="s">
        <v>811</v>
      </c>
      <c r="B350" s="235"/>
      <c r="C350" s="236" t="str">
        <f t="shared" si="119"/>
        <v>远大开发有限公司</v>
      </c>
      <c r="D350" s="236"/>
      <c r="E350" s="236"/>
      <c r="F350" s="236"/>
      <c r="G350" s="236"/>
      <c r="H350" s="236"/>
      <c r="I350" s="236"/>
      <c r="J350" s="236"/>
      <c r="K350" s="236"/>
      <c r="L350" s="236"/>
      <c r="M350" s="236"/>
      <c r="N350" s="236"/>
      <c r="O350" s="236"/>
      <c r="P350" s="236"/>
      <c r="Q350" s="236"/>
      <c r="R350" s="229" t="s">
        <v>812</v>
      </c>
      <c r="S350" s="229"/>
      <c r="T350" s="229"/>
      <c r="U350" s="237" t="str">
        <f t="shared" ref="U350" si="127">"第 "&amp;TEXT($AF$1,"00")&amp;TEXT($AC350,"0000 号")</f>
        <v>第 010029 号</v>
      </c>
      <c r="V350" s="237"/>
      <c r="W350" s="238"/>
      <c r="X350" s="238"/>
      <c r="Y350" s="238"/>
      <c r="Z350" s="238"/>
      <c r="AA350" s="238"/>
      <c r="AB350" s="238"/>
      <c r="AC350" s="239">
        <f t="shared" si="121"/>
        <v>29</v>
      </c>
      <c r="AD350" s="212"/>
    </row>
    <row r="351" spans="1:30" s="45" customFormat="1" ht="22.5" customHeight="1">
      <c r="A351" s="241" t="s">
        <v>813</v>
      </c>
      <c r="B351" s="542" t="s">
        <v>814</v>
      </c>
      <c r="C351" s="242" t="s">
        <v>815</v>
      </c>
      <c r="D351" s="243" t="s">
        <v>816</v>
      </c>
      <c r="E351" s="539" t="s">
        <v>817</v>
      </c>
      <c r="F351" s="539" t="s">
        <v>818</v>
      </c>
      <c r="G351" s="244" t="s">
        <v>819</v>
      </c>
      <c r="H351" s="245"/>
      <c r="I351" s="245"/>
      <c r="J351" s="245"/>
      <c r="K351" s="245"/>
      <c r="L351" s="245"/>
      <c r="M351" s="245"/>
      <c r="N351" s="245"/>
      <c r="O351" s="245"/>
      <c r="P351" s="245"/>
      <c r="Q351" s="246"/>
      <c r="R351" s="247" t="s">
        <v>820</v>
      </c>
      <c r="S351" s="245"/>
      <c r="T351" s="245"/>
      <c r="U351" s="245"/>
      <c r="V351" s="245"/>
      <c r="W351" s="245"/>
      <c r="X351" s="245"/>
      <c r="Y351" s="245"/>
      <c r="Z351" s="245"/>
      <c r="AA351" s="245"/>
      <c r="AB351" s="246"/>
      <c r="AC351" s="541" t="str">
        <f ca="1">"附单据数︵"&amp;INDEX(凭证录入!$D:$D,$AD$17)&amp;"︶张"</f>
        <v>附单据数︵4︶张</v>
      </c>
      <c r="AD351" s="235"/>
    </row>
    <row r="352" spans="1:30" s="45" customFormat="1" ht="22.5" customHeight="1">
      <c r="A352" s="248" t="s">
        <v>821</v>
      </c>
      <c r="B352" s="543"/>
      <c r="C352" s="249" t="s">
        <v>822</v>
      </c>
      <c r="D352" s="250" t="s">
        <v>822</v>
      </c>
      <c r="E352" s="540"/>
      <c r="F352" s="540"/>
      <c r="G352" s="251" t="s">
        <v>823</v>
      </c>
      <c r="H352" s="252" t="s">
        <v>824</v>
      </c>
      <c r="I352" s="253" t="s">
        <v>825</v>
      </c>
      <c r="J352" s="254" t="s">
        <v>826</v>
      </c>
      <c r="K352" s="252" t="s">
        <v>827</v>
      </c>
      <c r="L352" s="253" t="s">
        <v>824</v>
      </c>
      <c r="M352" s="254" t="s">
        <v>825</v>
      </c>
      <c r="N352" s="252" t="s">
        <v>826</v>
      </c>
      <c r="O352" s="253" t="s">
        <v>828</v>
      </c>
      <c r="P352" s="254" t="s">
        <v>829</v>
      </c>
      <c r="Q352" s="255" t="s">
        <v>830</v>
      </c>
      <c r="R352" s="256" t="s">
        <v>823</v>
      </c>
      <c r="S352" s="252" t="s">
        <v>824</v>
      </c>
      <c r="T352" s="257" t="s">
        <v>825</v>
      </c>
      <c r="U352" s="256" t="s">
        <v>826</v>
      </c>
      <c r="V352" s="252" t="s">
        <v>827</v>
      </c>
      <c r="W352" s="253" t="s">
        <v>824</v>
      </c>
      <c r="X352" s="254" t="s">
        <v>825</v>
      </c>
      <c r="Y352" s="252" t="s">
        <v>826</v>
      </c>
      <c r="Z352" s="253" t="s">
        <v>828</v>
      </c>
      <c r="AA352" s="254" t="s">
        <v>829</v>
      </c>
      <c r="AB352" s="255" t="s">
        <v>830</v>
      </c>
      <c r="AC352" s="541"/>
    </row>
    <row r="353" spans="1:30" s="45" customFormat="1" ht="22.5" customHeight="1">
      <c r="A353" s="258" t="str">
        <f ca="1">IFERROR(INDEX(凭证录入!H:H,$AD353),"")</f>
        <v/>
      </c>
      <c r="B353" s="259" t="str">
        <f ca="1">IFERROR(INDEX(凭证录入!I:I,$AD353),"")</f>
        <v/>
      </c>
      <c r="C353" s="260" t="str">
        <f ca="1">IFERROR(VLOOKUP($B353,会计科目表!$A:$C,2,),"")</f>
        <v/>
      </c>
      <c r="D353" s="261" t="str">
        <f ca="1">IFERROR(VLOOKUP($B353,会计科目表!$A:$C,3,),"")</f>
        <v/>
      </c>
      <c r="E353" s="262">
        <f ca="1">IFERROR(INDEX(凭证录入!K:K,$AD353),0)</f>
        <v>0</v>
      </c>
      <c r="F353" s="262">
        <f ca="1">IFERROR(INDEX(凭证录入!L:L,$AD353),0)</f>
        <v>0</v>
      </c>
      <c r="G353" s="263" t="str">
        <f t="shared" ca="1" si="115"/>
        <v/>
      </c>
      <c r="H353" s="264" t="str">
        <f t="shared" ca="1" si="115"/>
        <v/>
      </c>
      <c r="I353" s="265" t="str">
        <f t="shared" ca="1" si="115"/>
        <v/>
      </c>
      <c r="J353" s="266" t="str">
        <f t="shared" ca="1" si="115"/>
        <v/>
      </c>
      <c r="K353" s="264" t="str">
        <f t="shared" ca="1" si="115"/>
        <v/>
      </c>
      <c r="L353" s="265" t="str">
        <f t="shared" ca="1" si="115"/>
        <v/>
      </c>
      <c r="M353" s="266" t="str">
        <f t="shared" ca="1" si="115"/>
        <v/>
      </c>
      <c r="N353" s="264" t="str">
        <f t="shared" ca="1" si="115"/>
        <v/>
      </c>
      <c r="O353" s="265" t="str">
        <f t="shared" ca="1" si="115"/>
        <v/>
      </c>
      <c r="P353" s="266" t="str">
        <f t="shared" ca="1" si="115"/>
        <v/>
      </c>
      <c r="Q353" s="267" t="str">
        <f t="shared" ca="1" si="115"/>
        <v/>
      </c>
      <c r="R353" s="268" t="str">
        <f t="shared" ca="1" si="116"/>
        <v/>
      </c>
      <c r="S353" s="264" t="str">
        <f t="shared" ca="1" si="116"/>
        <v/>
      </c>
      <c r="T353" s="269" t="str">
        <f t="shared" ca="1" si="116"/>
        <v/>
      </c>
      <c r="U353" s="268" t="str">
        <f t="shared" ca="1" si="116"/>
        <v/>
      </c>
      <c r="V353" s="264" t="str">
        <f t="shared" ca="1" si="116"/>
        <v/>
      </c>
      <c r="W353" s="265" t="str">
        <f t="shared" ca="1" si="116"/>
        <v/>
      </c>
      <c r="X353" s="266" t="str">
        <f t="shared" ca="1" si="116"/>
        <v/>
      </c>
      <c r="Y353" s="264" t="str">
        <f t="shared" ca="1" si="116"/>
        <v/>
      </c>
      <c r="Z353" s="265" t="str">
        <f t="shared" ca="1" si="116"/>
        <v/>
      </c>
      <c r="AA353" s="266" t="str">
        <f t="shared" ca="1" si="116"/>
        <v/>
      </c>
      <c r="AB353" s="267" t="str">
        <f t="shared" ca="1" si="116"/>
        <v/>
      </c>
      <c r="AC353" s="541"/>
      <c r="AD353" s="212" t="str">
        <f t="shared" ca="1" si="108"/>
        <v/>
      </c>
    </row>
    <row r="354" spans="1:30" s="45" customFormat="1" ht="22.5" customHeight="1">
      <c r="A354" s="258" t="str">
        <f ca="1">IFERROR(INDEX(凭证录入!H:H,$AD354),"")</f>
        <v/>
      </c>
      <c r="B354" s="259" t="str">
        <f ca="1">IFERROR(INDEX(凭证录入!I:I,$AD354),"")</f>
        <v/>
      </c>
      <c r="C354" s="260" t="str">
        <f ca="1">IFERROR(VLOOKUP($B354,会计科目表!$A:$C,2,),"")</f>
        <v/>
      </c>
      <c r="D354" s="261" t="str">
        <f ca="1">IFERROR(VLOOKUP($B354,会计科目表!$A:$C,3,),"")</f>
        <v/>
      </c>
      <c r="E354" s="262">
        <f ca="1">IFERROR(INDEX(凭证录入!K:K,$AD354),0)</f>
        <v>0</v>
      </c>
      <c r="F354" s="262">
        <f ca="1">IFERROR(INDEX(凭证录入!L:L,$AD354),0)</f>
        <v>0</v>
      </c>
      <c r="G354" s="263" t="str">
        <f t="shared" ca="1" si="115"/>
        <v/>
      </c>
      <c r="H354" s="264" t="str">
        <f t="shared" ca="1" si="115"/>
        <v/>
      </c>
      <c r="I354" s="265" t="str">
        <f t="shared" ca="1" si="115"/>
        <v/>
      </c>
      <c r="J354" s="266" t="str">
        <f t="shared" ca="1" si="115"/>
        <v/>
      </c>
      <c r="K354" s="264" t="str">
        <f t="shared" ca="1" si="115"/>
        <v/>
      </c>
      <c r="L354" s="265" t="str">
        <f t="shared" ca="1" si="115"/>
        <v/>
      </c>
      <c r="M354" s="266" t="str">
        <f t="shared" ca="1" si="115"/>
        <v/>
      </c>
      <c r="N354" s="264" t="str">
        <f t="shared" ca="1" si="115"/>
        <v/>
      </c>
      <c r="O354" s="265" t="str">
        <f t="shared" ca="1" si="115"/>
        <v/>
      </c>
      <c r="P354" s="266" t="str">
        <f t="shared" ca="1" si="115"/>
        <v/>
      </c>
      <c r="Q354" s="267" t="str">
        <f t="shared" ca="1" si="115"/>
        <v/>
      </c>
      <c r="R354" s="268" t="str">
        <f t="shared" ca="1" si="116"/>
        <v/>
      </c>
      <c r="S354" s="264" t="str">
        <f t="shared" ca="1" si="116"/>
        <v/>
      </c>
      <c r="T354" s="269" t="str">
        <f t="shared" ca="1" si="116"/>
        <v/>
      </c>
      <c r="U354" s="268" t="str">
        <f t="shared" ca="1" si="116"/>
        <v/>
      </c>
      <c r="V354" s="264" t="str">
        <f t="shared" ca="1" si="116"/>
        <v/>
      </c>
      <c r="W354" s="265" t="str">
        <f t="shared" ca="1" si="116"/>
        <v/>
      </c>
      <c r="X354" s="266" t="str">
        <f t="shared" ca="1" si="116"/>
        <v/>
      </c>
      <c r="Y354" s="264" t="str">
        <f t="shared" ca="1" si="116"/>
        <v/>
      </c>
      <c r="Z354" s="265" t="str">
        <f t="shared" ca="1" si="116"/>
        <v/>
      </c>
      <c r="AA354" s="266" t="str">
        <f t="shared" ca="1" si="116"/>
        <v/>
      </c>
      <c r="AB354" s="267" t="str">
        <f t="shared" ca="1" si="116"/>
        <v/>
      </c>
      <c r="AC354" s="541"/>
      <c r="AD354" s="212" t="str">
        <f t="shared" ca="1" si="108"/>
        <v/>
      </c>
    </row>
    <row r="355" spans="1:30" s="45" customFormat="1" ht="22.5" customHeight="1">
      <c r="A355" s="258" t="str">
        <f ca="1">IFERROR(INDEX(凭证录入!H:H,$AD355),"")</f>
        <v/>
      </c>
      <c r="B355" s="259" t="str">
        <f ca="1">IFERROR(INDEX(凭证录入!I:I,$AD355),"")</f>
        <v/>
      </c>
      <c r="C355" s="260" t="str">
        <f ca="1">IFERROR(VLOOKUP($B355,会计科目表!$A:$C,2,),"")</f>
        <v/>
      </c>
      <c r="D355" s="261" t="str">
        <f ca="1">IFERROR(VLOOKUP($B355,会计科目表!$A:$C,3,),"")</f>
        <v/>
      </c>
      <c r="E355" s="262">
        <f ca="1">IFERROR(INDEX(凭证录入!K:K,$AD355),0)</f>
        <v>0</v>
      </c>
      <c r="F355" s="262">
        <f ca="1">IFERROR(INDEX(凭证录入!L:L,$AD355),0)</f>
        <v>0</v>
      </c>
      <c r="G355" s="263" t="str">
        <f t="shared" ca="1" si="115"/>
        <v/>
      </c>
      <c r="H355" s="264" t="str">
        <f t="shared" ca="1" si="115"/>
        <v/>
      </c>
      <c r="I355" s="265" t="str">
        <f t="shared" ca="1" si="115"/>
        <v/>
      </c>
      <c r="J355" s="266" t="str">
        <f t="shared" ca="1" si="115"/>
        <v/>
      </c>
      <c r="K355" s="264" t="str">
        <f t="shared" ca="1" si="115"/>
        <v/>
      </c>
      <c r="L355" s="265" t="str">
        <f t="shared" ca="1" si="115"/>
        <v/>
      </c>
      <c r="M355" s="266" t="str">
        <f t="shared" ca="1" si="115"/>
        <v/>
      </c>
      <c r="N355" s="264" t="str">
        <f t="shared" ca="1" si="115"/>
        <v/>
      </c>
      <c r="O355" s="265" t="str">
        <f t="shared" ca="1" si="115"/>
        <v/>
      </c>
      <c r="P355" s="266" t="str">
        <f t="shared" ca="1" si="115"/>
        <v/>
      </c>
      <c r="Q355" s="267" t="str">
        <f t="shared" ca="1" si="115"/>
        <v/>
      </c>
      <c r="R355" s="268" t="str">
        <f t="shared" ca="1" si="116"/>
        <v/>
      </c>
      <c r="S355" s="264" t="str">
        <f t="shared" ca="1" si="116"/>
        <v/>
      </c>
      <c r="T355" s="269" t="str">
        <f t="shared" ca="1" si="116"/>
        <v/>
      </c>
      <c r="U355" s="268" t="str">
        <f t="shared" ca="1" si="116"/>
        <v/>
      </c>
      <c r="V355" s="264" t="str">
        <f t="shared" ca="1" si="116"/>
        <v/>
      </c>
      <c r="W355" s="265" t="str">
        <f t="shared" ca="1" si="116"/>
        <v/>
      </c>
      <c r="X355" s="266" t="str">
        <f t="shared" ca="1" si="116"/>
        <v/>
      </c>
      <c r="Y355" s="264" t="str">
        <f t="shared" ca="1" si="116"/>
        <v/>
      </c>
      <c r="Z355" s="265" t="str">
        <f t="shared" ca="1" si="116"/>
        <v/>
      </c>
      <c r="AA355" s="266" t="str">
        <f t="shared" ca="1" si="116"/>
        <v/>
      </c>
      <c r="AB355" s="267" t="str">
        <f t="shared" ca="1" si="116"/>
        <v/>
      </c>
      <c r="AC355" s="536" t="s">
        <v>831</v>
      </c>
      <c r="AD355" s="212" t="str">
        <f t="shared" ca="1" si="108"/>
        <v/>
      </c>
    </row>
    <row r="356" spans="1:30" s="45" customFormat="1" ht="22.5" customHeight="1">
      <c r="A356" s="258" t="str">
        <f ca="1">IFERROR(INDEX(凭证录入!H:H,$AD356),"")</f>
        <v/>
      </c>
      <c r="B356" s="259" t="str">
        <f ca="1">IFERROR(INDEX(凭证录入!I:I,$AD356),"")</f>
        <v/>
      </c>
      <c r="C356" s="260" t="str">
        <f ca="1">IFERROR(VLOOKUP($B356,会计科目表!$A:$C,2,),"")</f>
        <v/>
      </c>
      <c r="D356" s="261" t="str">
        <f ca="1">IFERROR(VLOOKUP($B356,会计科目表!$A:$C,3,),"")</f>
        <v/>
      </c>
      <c r="E356" s="262">
        <f ca="1">IFERROR(INDEX(凭证录入!K:K,$AD356),0)</f>
        <v>0</v>
      </c>
      <c r="F356" s="262">
        <f ca="1">IFERROR(INDEX(凭证录入!L:L,$AD356),0)</f>
        <v>0</v>
      </c>
      <c r="G356" s="263" t="str">
        <f t="shared" ca="1" si="115"/>
        <v/>
      </c>
      <c r="H356" s="264" t="str">
        <f t="shared" ca="1" si="115"/>
        <v/>
      </c>
      <c r="I356" s="265" t="str">
        <f t="shared" ca="1" si="115"/>
        <v/>
      </c>
      <c r="J356" s="266" t="str">
        <f t="shared" ca="1" si="115"/>
        <v/>
      </c>
      <c r="K356" s="264" t="str">
        <f t="shared" ca="1" si="115"/>
        <v/>
      </c>
      <c r="L356" s="265" t="str">
        <f t="shared" ca="1" si="115"/>
        <v/>
      </c>
      <c r="M356" s="266" t="str">
        <f t="shared" ca="1" si="115"/>
        <v/>
      </c>
      <c r="N356" s="264" t="str">
        <f t="shared" ca="1" si="115"/>
        <v/>
      </c>
      <c r="O356" s="265" t="str">
        <f t="shared" ca="1" si="115"/>
        <v/>
      </c>
      <c r="P356" s="266" t="str">
        <f t="shared" ca="1" si="115"/>
        <v/>
      </c>
      <c r="Q356" s="267" t="str">
        <f t="shared" ca="1" si="115"/>
        <v/>
      </c>
      <c r="R356" s="268" t="str">
        <f t="shared" ca="1" si="116"/>
        <v/>
      </c>
      <c r="S356" s="264" t="str">
        <f t="shared" ca="1" si="116"/>
        <v/>
      </c>
      <c r="T356" s="269" t="str">
        <f t="shared" ca="1" si="116"/>
        <v/>
      </c>
      <c r="U356" s="268" t="str">
        <f t="shared" ca="1" si="116"/>
        <v/>
      </c>
      <c r="V356" s="264" t="str">
        <f t="shared" ca="1" si="116"/>
        <v/>
      </c>
      <c r="W356" s="265" t="str">
        <f t="shared" ca="1" si="116"/>
        <v/>
      </c>
      <c r="X356" s="266" t="str">
        <f t="shared" ca="1" si="116"/>
        <v/>
      </c>
      <c r="Y356" s="264" t="str">
        <f t="shared" ca="1" si="116"/>
        <v/>
      </c>
      <c r="Z356" s="265" t="str">
        <f t="shared" ca="1" si="116"/>
        <v/>
      </c>
      <c r="AA356" s="266" t="str">
        <f t="shared" ca="1" si="116"/>
        <v/>
      </c>
      <c r="AB356" s="267" t="str">
        <f t="shared" ca="1" si="116"/>
        <v/>
      </c>
      <c r="AC356" s="537"/>
      <c r="AD356" s="212" t="str">
        <f t="shared" ca="1" si="108"/>
        <v/>
      </c>
    </row>
    <row r="357" spans="1:30" s="45" customFormat="1" ht="22.5" customHeight="1">
      <c r="A357" s="258" t="str">
        <f ca="1">IFERROR(INDEX(凭证录入!H:H,$AD357),"")</f>
        <v/>
      </c>
      <c r="B357" s="259" t="str">
        <f ca="1">IFERROR(INDEX(凭证录入!I:I,$AD357),"")</f>
        <v/>
      </c>
      <c r="C357" s="260" t="str">
        <f ca="1">IFERROR(VLOOKUP($B357,会计科目表!$A:$C,2,),"")</f>
        <v/>
      </c>
      <c r="D357" s="261" t="str">
        <f ca="1">IFERROR(VLOOKUP($B357,会计科目表!$A:$C,3,),"")</f>
        <v/>
      </c>
      <c r="E357" s="262">
        <f ca="1">IFERROR(INDEX(凭证录入!K:K,$AD357),0)</f>
        <v>0</v>
      </c>
      <c r="F357" s="262">
        <f ca="1">IFERROR(INDEX(凭证录入!L:L,$AD357),0)</f>
        <v>0</v>
      </c>
      <c r="G357" s="263" t="str">
        <f t="shared" ca="1" si="115"/>
        <v/>
      </c>
      <c r="H357" s="264" t="str">
        <f t="shared" ca="1" si="115"/>
        <v/>
      </c>
      <c r="I357" s="265" t="str">
        <f t="shared" ca="1" si="115"/>
        <v/>
      </c>
      <c r="J357" s="266" t="str">
        <f t="shared" ca="1" si="115"/>
        <v/>
      </c>
      <c r="K357" s="264" t="str">
        <f t="shared" ref="G357:Q359" ca="1" si="128">LEFT(RIGHT(TEXT($E357/1%," ￥0; ￥-0;"),18-COLUMN()))</f>
        <v/>
      </c>
      <c r="L357" s="265" t="str">
        <f t="shared" ca="1" si="128"/>
        <v/>
      </c>
      <c r="M357" s="266" t="str">
        <f t="shared" ca="1" si="128"/>
        <v/>
      </c>
      <c r="N357" s="264" t="str">
        <f t="shared" ca="1" si="128"/>
        <v/>
      </c>
      <c r="O357" s="265" t="str">
        <f t="shared" ca="1" si="128"/>
        <v/>
      </c>
      <c r="P357" s="266" t="str">
        <f t="shared" ca="1" si="128"/>
        <v/>
      </c>
      <c r="Q357" s="267" t="str">
        <f t="shared" ca="1" si="128"/>
        <v/>
      </c>
      <c r="R357" s="268" t="str">
        <f t="shared" ca="1" si="116"/>
        <v/>
      </c>
      <c r="S357" s="264" t="str">
        <f t="shared" ca="1" si="116"/>
        <v/>
      </c>
      <c r="T357" s="269" t="str">
        <f t="shared" ca="1" si="116"/>
        <v/>
      </c>
      <c r="U357" s="268" t="str">
        <f t="shared" ca="1" si="116"/>
        <v/>
      </c>
      <c r="V357" s="264" t="str">
        <f t="shared" ref="R357:AB359" ca="1" si="129">LEFT(RIGHT(TEXT($F357/1%," ￥0; ￥-0;"),29-COLUMN()))</f>
        <v/>
      </c>
      <c r="W357" s="265" t="str">
        <f t="shared" ca="1" si="129"/>
        <v/>
      </c>
      <c r="X357" s="266" t="str">
        <f t="shared" ca="1" si="129"/>
        <v/>
      </c>
      <c r="Y357" s="264" t="str">
        <f t="shared" ca="1" si="129"/>
        <v/>
      </c>
      <c r="Z357" s="265" t="str">
        <f t="shared" ca="1" si="129"/>
        <v/>
      </c>
      <c r="AA357" s="266" t="str">
        <f t="shared" ca="1" si="129"/>
        <v/>
      </c>
      <c r="AB357" s="267" t="str">
        <f t="shared" ca="1" si="129"/>
        <v/>
      </c>
      <c r="AC357" s="538"/>
      <c r="AD357" s="212" t="str">
        <f t="shared" ref="AD357:AD358" ca="1" si="130">IFERROR(INDEX(记账行号,MOD(ROW()-4,12)),"")</f>
        <v/>
      </c>
    </row>
    <row r="358" spans="1:30" s="45" customFormat="1" ht="22.5" customHeight="1">
      <c r="A358" s="258" t="str">
        <f ca="1">IFERROR(INDEX(凭证录入!H:H,$AD358),"")</f>
        <v/>
      </c>
      <c r="B358" s="259" t="str">
        <f ca="1">IFERROR(INDEX(凭证录入!I:I,$AD358),"")</f>
        <v/>
      </c>
      <c r="C358" s="260" t="str">
        <f ca="1">IFERROR(VLOOKUP($B358,会计科目表!$A:$C,2,),"")</f>
        <v/>
      </c>
      <c r="D358" s="261" t="str">
        <f ca="1">IFERROR(VLOOKUP($B358,会计科目表!$A:$C,3,),"")</f>
        <v/>
      </c>
      <c r="E358" s="262">
        <f ca="1">IFERROR(INDEX(凭证录入!K:K,$AD358),0)</f>
        <v>0</v>
      </c>
      <c r="F358" s="262">
        <f ca="1">IFERROR(INDEX(凭证录入!L:L,$AD358),0)</f>
        <v>0</v>
      </c>
      <c r="G358" s="263" t="str">
        <f t="shared" ca="1" si="128"/>
        <v/>
      </c>
      <c r="H358" s="264" t="str">
        <f t="shared" ca="1" si="128"/>
        <v/>
      </c>
      <c r="I358" s="265" t="str">
        <f t="shared" ca="1" si="128"/>
        <v/>
      </c>
      <c r="J358" s="266" t="str">
        <f t="shared" ca="1" si="128"/>
        <v/>
      </c>
      <c r="K358" s="264" t="str">
        <f t="shared" ca="1" si="128"/>
        <v/>
      </c>
      <c r="L358" s="265" t="str">
        <f t="shared" ca="1" si="128"/>
        <v/>
      </c>
      <c r="M358" s="266" t="str">
        <f t="shared" ca="1" si="128"/>
        <v/>
      </c>
      <c r="N358" s="264" t="str">
        <f t="shared" ca="1" si="128"/>
        <v/>
      </c>
      <c r="O358" s="265" t="str">
        <f t="shared" ca="1" si="128"/>
        <v/>
      </c>
      <c r="P358" s="266" t="str">
        <f t="shared" ca="1" si="128"/>
        <v/>
      </c>
      <c r="Q358" s="267" t="str">
        <f t="shared" ca="1" si="128"/>
        <v/>
      </c>
      <c r="R358" s="268" t="str">
        <f t="shared" ca="1" si="129"/>
        <v/>
      </c>
      <c r="S358" s="264" t="str">
        <f t="shared" ca="1" si="129"/>
        <v/>
      </c>
      <c r="T358" s="269" t="str">
        <f t="shared" ca="1" si="129"/>
        <v/>
      </c>
      <c r="U358" s="268" t="str">
        <f t="shared" ca="1" si="129"/>
        <v/>
      </c>
      <c r="V358" s="264" t="str">
        <f t="shared" ca="1" si="129"/>
        <v/>
      </c>
      <c r="W358" s="265" t="str">
        <f t="shared" ca="1" si="129"/>
        <v/>
      </c>
      <c r="X358" s="266" t="str">
        <f t="shared" ca="1" si="129"/>
        <v/>
      </c>
      <c r="Y358" s="264" t="str">
        <f t="shared" ca="1" si="129"/>
        <v/>
      </c>
      <c r="Z358" s="265" t="str">
        <f t="shared" ca="1" si="129"/>
        <v/>
      </c>
      <c r="AA358" s="266" t="str">
        <f t="shared" ca="1" si="129"/>
        <v/>
      </c>
      <c r="AB358" s="267" t="str">
        <f t="shared" ca="1" si="129"/>
        <v/>
      </c>
      <c r="AC358" s="538"/>
      <c r="AD358" s="212" t="str">
        <f t="shared" ca="1" si="130"/>
        <v/>
      </c>
    </row>
    <row r="359" spans="1:30" s="45" customFormat="1" ht="22.5" customHeight="1">
      <c r="A359" s="270" t="s">
        <v>832</v>
      </c>
      <c r="B359" s="271"/>
      <c r="C359" s="272" t="str">
        <f t="shared" ref="C359" ca="1" si="131">SUBSTITUTE(SUBSTITUTE(IF(-DOLLAR(E359),IF(E359&gt;0,,"负")&amp;TEXT(INT(ABS(E359)+0.5%),"[dbnum2]G/通用格式元;;")&amp;TEXT(RIGHT(DOLLAR(E359,2),2),"[dbnum2]0角0分;;整"),),"零角",IF(E359^2&lt;1,,"零")),"零分","整")</f>
        <v/>
      </c>
      <c r="D359" s="273"/>
      <c r="E359" s="274">
        <f t="shared" ref="E359:F359" ca="1" si="132">SUM(E353:E358)</f>
        <v>0</v>
      </c>
      <c r="F359" s="275">
        <f t="shared" ca="1" si="132"/>
        <v>0</v>
      </c>
      <c r="G359" s="276" t="str">
        <f t="shared" ca="1" si="128"/>
        <v/>
      </c>
      <c r="H359" s="277" t="str">
        <f t="shared" ca="1" si="128"/>
        <v/>
      </c>
      <c r="I359" s="278" t="str">
        <f t="shared" ca="1" si="128"/>
        <v/>
      </c>
      <c r="J359" s="279" t="str">
        <f t="shared" ca="1" si="128"/>
        <v/>
      </c>
      <c r="K359" s="277" t="str">
        <f t="shared" ca="1" si="128"/>
        <v/>
      </c>
      <c r="L359" s="278" t="str">
        <f t="shared" ca="1" si="128"/>
        <v/>
      </c>
      <c r="M359" s="279" t="str">
        <f t="shared" ca="1" si="128"/>
        <v/>
      </c>
      <c r="N359" s="277" t="str">
        <f t="shared" ca="1" si="128"/>
        <v/>
      </c>
      <c r="O359" s="278" t="str">
        <f t="shared" ca="1" si="128"/>
        <v/>
      </c>
      <c r="P359" s="279" t="str">
        <f t="shared" ca="1" si="128"/>
        <v/>
      </c>
      <c r="Q359" s="280" t="str">
        <f t="shared" ca="1" si="128"/>
        <v/>
      </c>
      <c r="R359" s="281" t="str">
        <f t="shared" ca="1" si="129"/>
        <v/>
      </c>
      <c r="S359" s="277" t="str">
        <f t="shared" ca="1" si="129"/>
        <v/>
      </c>
      <c r="T359" s="282" t="str">
        <f t="shared" ca="1" si="129"/>
        <v/>
      </c>
      <c r="U359" s="281" t="str">
        <f t="shared" ca="1" si="129"/>
        <v/>
      </c>
      <c r="V359" s="277" t="str">
        <f t="shared" ca="1" si="129"/>
        <v/>
      </c>
      <c r="W359" s="278" t="str">
        <f t="shared" ca="1" si="129"/>
        <v/>
      </c>
      <c r="X359" s="279" t="str">
        <f t="shared" ca="1" si="129"/>
        <v/>
      </c>
      <c r="Y359" s="277" t="str">
        <f t="shared" ca="1" si="129"/>
        <v/>
      </c>
      <c r="Z359" s="278" t="str">
        <f t="shared" ca="1" si="129"/>
        <v/>
      </c>
      <c r="AA359" s="279" t="str">
        <f t="shared" ca="1" si="129"/>
        <v/>
      </c>
      <c r="AB359" s="280" t="str">
        <f t="shared" ca="1" si="129"/>
        <v/>
      </c>
      <c r="AC359" s="283"/>
      <c r="AD359" s="212"/>
    </row>
    <row r="360" spans="1:30" s="22" customFormat="1" ht="22.5" customHeight="1">
      <c r="A360" s="284" t="s">
        <v>627</v>
      </c>
      <c r="B360" s="284"/>
      <c r="C360" s="284"/>
      <c r="D360" s="284" t="s">
        <v>629</v>
      </c>
      <c r="E360" s="284"/>
      <c r="F360" s="284"/>
      <c r="G360" s="284"/>
      <c r="H360" s="285"/>
      <c r="I360" s="284"/>
      <c r="J360" s="285"/>
      <c r="K360" s="285"/>
      <c r="L360" s="284"/>
      <c r="M360" s="285"/>
      <c r="N360" s="285"/>
      <c r="O360" s="285"/>
      <c r="P360" s="284"/>
      <c r="Q360" s="284" t="s">
        <v>631</v>
      </c>
      <c r="R360" s="284"/>
      <c r="S360" s="284"/>
      <c r="T360" s="284"/>
      <c r="U360" s="285"/>
      <c r="V360" s="284"/>
      <c r="W360" s="285"/>
      <c r="X360" s="284"/>
      <c r="Y360" s="284"/>
      <c r="Z360" s="285"/>
      <c r="AA360" s="285"/>
      <c r="AB360" s="285"/>
      <c r="AC360" s="286"/>
      <c r="AD360" s="212"/>
    </row>
    <row r="361" spans="1:30" ht="37.5" customHeight="1">
      <c r="A361" s="177" t="s">
        <v>476</v>
      </c>
      <c r="B361" s="178"/>
      <c r="C361" s="179"/>
      <c r="D361" s="179"/>
      <c r="E361" s="178"/>
      <c r="F361" s="178"/>
      <c r="G361" s="212"/>
      <c r="H361" s="192" t="str">
        <f t="shared" ref="H361:H424" si="133">IFERROR(INDEX(行号,TEXT(MOD(ROW(),12)-4,"[=]A")),"")</f>
        <v/>
      </c>
    </row>
    <row r="362" spans="1:30" s="45" customFormat="1" ht="19.5" customHeight="1" thickBot="1">
      <c r="C362" s="180" t="e">
        <f>DATEVALUE("2010-"&amp;$H$1&amp;"-"&amp;INDEX(凭证录入!B:B,H365))</f>
        <v>#VALUE!</v>
      </c>
      <c r="D362" s="181"/>
      <c r="E362" s="182" t="s">
        <v>477</v>
      </c>
      <c r="F362" s="183" t="e">
        <f>N(LEFT((F350),3)+1)</f>
        <v>#VALUE!</v>
      </c>
      <c r="G362" s="212"/>
      <c r="H362" s="192" t="str">
        <f t="shared" si="133"/>
        <v/>
      </c>
      <c r="I362" s="184"/>
    </row>
    <row r="363" spans="1:30" s="45" customFormat="1" ht="19.5" customHeight="1" thickBot="1">
      <c r="A363" s="544" t="s">
        <v>478</v>
      </c>
      <c r="B363" s="545" t="s">
        <v>479</v>
      </c>
      <c r="C363" s="185" t="s">
        <v>480</v>
      </c>
      <c r="D363" s="186"/>
      <c r="E363" s="187"/>
      <c r="F363" s="482"/>
      <c r="G363" s="212"/>
      <c r="H363" s="192" t="str">
        <f t="shared" si="133"/>
        <v/>
      </c>
    </row>
    <row r="364" spans="1:30" s="45" customFormat="1" ht="19.5" customHeight="1" thickBot="1">
      <c r="A364" s="545"/>
      <c r="B364" s="546"/>
      <c r="C364" s="482" t="s">
        <v>481</v>
      </c>
      <c r="D364" s="482" t="s">
        <v>482</v>
      </c>
      <c r="E364" s="482" t="s">
        <v>483</v>
      </c>
      <c r="F364" s="482" t="s">
        <v>484</v>
      </c>
      <c r="G364" s="212"/>
      <c r="H364" s="192" t="str">
        <f t="shared" si="133"/>
        <v/>
      </c>
    </row>
    <row r="365" spans="1:30" s="45" customFormat="1" ht="19.5" customHeight="1" thickBot="1">
      <c r="A365" s="189" t="str">
        <f>IFERROR(INDEX(凭证录入!H:H,$H365),"")</f>
        <v/>
      </c>
      <c r="B365" s="189" t="str">
        <f>IFERROR(INDEX(凭证录入!I:I,$H365),"")</f>
        <v/>
      </c>
      <c r="C365" s="190" t="str">
        <f>IFERROR(VLOOKUP($B365,会计科目表!$A:$C,2,),"")</f>
        <v/>
      </c>
      <c r="D365" s="190" t="str">
        <f>IFERROR(VLOOKUP($B365,会计科目表!$A:$C,3,),"")</f>
        <v/>
      </c>
      <c r="E365" s="191">
        <f>IFERROR(INDEX(凭证录入!K:K,$H365),0)</f>
        <v>0</v>
      </c>
      <c r="F365" s="191">
        <f>IFERROR(INDEX(凭证录入!L:L,$H365),0)</f>
        <v>0</v>
      </c>
      <c r="G365" s="212"/>
      <c r="H365" s="192" t="str">
        <f t="shared" si="133"/>
        <v/>
      </c>
    </row>
    <row r="366" spans="1:30" s="45" customFormat="1" ht="19.5" customHeight="1" thickBot="1">
      <c r="A366" s="189" t="str">
        <f>IFERROR(INDEX(凭证录入!H:H,$H366),"")</f>
        <v/>
      </c>
      <c r="B366" s="189" t="str">
        <f>IFERROR(INDEX(凭证录入!I:I,$H366),"")</f>
        <v/>
      </c>
      <c r="C366" s="190" t="str">
        <f>IFERROR(VLOOKUP($B366,会计科目表!$A:$C,2,),"")</f>
        <v/>
      </c>
      <c r="D366" s="190" t="str">
        <f>IFERROR(VLOOKUP($B366,会计科目表!$A:$C,3,),"")</f>
        <v/>
      </c>
      <c r="E366" s="191">
        <f>IFERROR(INDEX(凭证录入!K:K,$H366),0)</f>
        <v>0</v>
      </c>
      <c r="F366" s="191">
        <f>IFERROR(INDEX(凭证录入!L:L,$H366),0)</f>
        <v>0</v>
      </c>
      <c r="G366" s="212" t="s">
        <v>490</v>
      </c>
      <c r="H366" s="192" t="str">
        <f t="shared" si="133"/>
        <v/>
      </c>
      <c r="I366" s="212"/>
    </row>
    <row r="367" spans="1:30" s="45" customFormat="1" ht="19.5" customHeight="1" thickBot="1">
      <c r="A367" s="189" t="str">
        <f>IFERROR(INDEX(凭证录入!H:H,$H367),"")</f>
        <v/>
      </c>
      <c r="B367" s="189" t="str">
        <f>IFERROR(INDEX(凭证录入!I:I,$H367),"")</f>
        <v/>
      </c>
      <c r="C367" s="190" t="str">
        <f>IFERROR(VLOOKUP($B367,会计科目表!$A:$C,2,),"")</f>
        <v/>
      </c>
      <c r="D367" s="190" t="str">
        <f>IFERROR(VLOOKUP($B367,会计科目表!$A:$C,3,),"")</f>
        <v/>
      </c>
      <c r="E367" s="191">
        <f>IFERROR(INDEX(凭证录入!K:K,$H367),0)</f>
        <v>0</v>
      </c>
      <c r="F367" s="191">
        <f>IFERROR(INDEX(凭证录入!L:L,$H367),0)</f>
        <v>0</v>
      </c>
      <c r="G367" s="212" t="s">
        <v>491</v>
      </c>
      <c r="H367" s="192" t="str">
        <f t="shared" si="133"/>
        <v/>
      </c>
      <c r="I367" s="212"/>
    </row>
    <row r="368" spans="1:30" s="45" customFormat="1" ht="19.5" customHeight="1" thickBot="1">
      <c r="A368" s="189" t="str">
        <f>IFERROR(INDEX(凭证录入!H:H,$H368),"")</f>
        <v/>
      </c>
      <c r="B368" s="189" t="str">
        <f>IFERROR(INDEX(凭证录入!I:I,$H368),"")</f>
        <v/>
      </c>
      <c r="C368" s="190" t="str">
        <f>IFERROR(VLOOKUP($B368,会计科目表!$A:$C,2,),"")</f>
        <v/>
      </c>
      <c r="D368" s="190" t="str">
        <f>IFERROR(VLOOKUP($B368,会计科目表!$A:$C,3,),"")</f>
        <v/>
      </c>
      <c r="E368" s="191">
        <f>IFERROR(INDEX(凭证录入!K:K,$H368),0)</f>
        <v>0</v>
      </c>
      <c r="F368" s="191">
        <f>IFERROR(INDEX(凭证录入!L:L,$H368),0)</f>
        <v>0</v>
      </c>
      <c r="G368" s="212" t="e">
        <f>INDEX(凭证录入!$D:$D,$H365)</f>
        <v>#VALUE!</v>
      </c>
      <c r="H368" s="192" t="str">
        <f t="shared" si="133"/>
        <v/>
      </c>
      <c r="I368" s="212"/>
    </row>
    <row r="369" spans="1:9" s="45" customFormat="1" ht="19.5" customHeight="1" thickBot="1">
      <c r="A369" s="189" t="str">
        <f>IFERROR(INDEX(凭证录入!H:H,$H369),"")</f>
        <v/>
      </c>
      <c r="B369" s="189" t="str">
        <f>IFERROR(INDEX(凭证录入!I:I,$H369),"")</f>
        <v/>
      </c>
      <c r="C369" s="190" t="str">
        <f>IFERROR(VLOOKUP($B369,会计科目表!$A:$C,2,),"")</f>
        <v/>
      </c>
      <c r="D369" s="190" t="str">
        <f>IFERROR(VLOOKUP($B369,会计科目表!$A:$C,3,),"")</f>
        <v/>
      </c>
      <c r="E369" s="191">
        <f>IFERROR(INDEX(凭证录入!K:K,$H369),0)</f>
        <v>0</v>
      </c>
      <c r="F369" s="191">
        <f>IFERROR(INDEX(凭证录入!L:L,$H369),0)</f>
        <v>0</v>
      </c>
      <c r="G369" s="212" t="s">
        <v>492</v>
      </c>
      <c r="H369" s="192" t="str">
        <f t="shared" si="133"/>
        <v/>
      </c>
    </row>
    <row r="370" spans="1:9" s="45" customFormat="1" ht="19.5" customHeight="1" thickBot="1">
      <c r="A370" s="189" t="str">
        <f>IFERROR(INDEX(凭证录入!H:H,$H370),"")</f>
        <v/>
      </c>
      <c r="B370" s="189" t="str">
        <f>IFERROR(INDEX(凭证录入!I:I,$H370),"")</f>
        <v/>
      </c>
      <c r="C370" s="190" t="str">
        <f>IFERROR(VLOOKUP($B370,会计科目表!$A:$C,2,),"")</f>
        <v/>
      </c>
      <c r="D370" s="190" t="str">
        <f>IFERROR(VLOOKUP($B370,会计科目表!$A:$C,3,),"")</f>
        <v/>
      </c>
      <c r="E370" s="191">
        <f>IFERROR(INDEX(凭证录入!K:K,$H370),0)</f>
        <v>0</v>
      </c>
      <c r="F370" s="191">
        <f>IFERROR(INDEX(凭证录入!L:L,$H370),0)</f>
        <v>0</v>
      </c>
      <c r="G370" s="212"/>
      <c r="H370" s="192" t="str">
        <f t="shared" si="133"/>
        <v/>
      </c>
    </row>
    <row r="371" spans="1:9" s="45" customFormat="1" ht="19.5" customHeight="1" thickBot="1">
      <c r="A371" s="193"/>
      <c r="B371" s="194" t="s">
        <v>485</v>
      </c>
      <c r="C371" s="195" t="str">
        <f>SUBSTITUTE(SUBSTITUTE(IF(-DOLLAR(E371),IF(E371&gt;0,,"负")&amp;TEXT(INT(ABS(E371)+0.5%),"[dbnum2]G/通用格式元;;")&amp;TEXT(RIGHT(DOLLAR(E371),2),"[dbnum2]0角0分;;整"),),"零角",IF(E371^2&lt;1,,"零")),"零分","整")</f>
        <v/>
      </c>
      <c r="D371" s="196"/>
      <c r="E371" s="197">
        <f>SUM(E365:E370)</f>
        <v>0</v>
      </c>
      <c r="F371" s="197">
        <f>SUM(F365:F370)</f>
        <v>0</v>
      </c>
      <c r="G371" s="212"/>
      <c r="H371" s="192" t="str">
        <f t="shared" si="133"/>
        <v/>
      </c>
    </row>
    <row r="372" spans="1:9" s="199" customFormat="1" ht="19.5" customHeight="1">
      <c r="A372" s="45" t="s">
        <v>486</v>
      </c>
      <c r="B372" s="45" t="s">
        <v>487</v>
      </c>
      <c r="C372" s="45" t="s">
        <v>488</v>
      </c>
      <c r="D372" s="45" t="s">
        <v>504</v>
      </c>
      <c r="E372" s="45" t="s">
        <v>489</v>
      </c>
      <c r="F372" s="212" t="str">
        <f>IF($E371&lt;&gt;$F371,"借贷不平","")</f>
        <v/>
      </c>
      <c r="G372" s="183"/>
      <c r="H372" s="198" t="str">
        <f t="shared" si="133"/>
        <v/>
      </c>
    </row>
    <row r="373" spans="1:9" ht="37.5" customHeight="1">
      <c r="A373" s="177" t="s">
        <v>476</v>
      </c>
      <c r="B373" s="178"/>
      <c r="C373" s="179"/>
      <c r="D373" s="179"/>
      <c r="E373" s="178"/>
      <c r="F373" s="178"/>
      <c r="G373" s="212"/>
      <c r="H373" s="192" t="str">
        <f t="shared" si="133"/>
        <v/>
      </c>
    </row>
    <row r="374" spans="1:9" s="45" customFormat="1" ht="19.5" customHeight="1" thickBot="1">
      <c r="C374" s="180" t="e">
        <f>DATEVALUE("2010-"&amp;$H$1&amp;"-"&amp;INDEX(凭证录入!B:B,H377))</f>
        <v>#VALUE!</v>
      </c>
      <c r="D374" s="181"/>
      <c r="E374" s="182" t="s">
        <v>477</v>
      </c>
      <c r="F374" s="183" t="e">
        <f>N(LEFT((F362),3)+1)</f>
        <v>#VALUE!</v>
      </c>
      <c r="G374" s="212"/>
      <c r="H374" s="192" t="str">
        <f t="shared" si="133"/>
        <v/>
      </c>
      <c r="I374" s="184"/>
    </row>
    <row r="375" spans="1:9" s="45" customFormat="1" ht="19.5" customHeight="1" thickBot="1">
      <c r="A375" s="544" t="s">
        <v>478</v>
      </c>
      <c r="B375" s="545" t="s">
        <v>479</v>
      </c>
      <c r="C375" s="185" t="s">
        <v>480</v>
      </c>
      <c r="D375" s="186"/>
      <c r="E375" s="187"/>
      <c r="F375" s="482"/>
      <c r="G375" s="212"/>
      <c r="H375" s="192" t="str">
        <f t="shared" si="133"/>
        <v/>
      </c>
    </row>
    <row r="376" spans="1:9" s="45" customFormat="1" ht="19.5" customHeight="1" thickBot="1">
      <c r="A376" s="545"/>
      <c r="B376" s="546"/>
      <c r="C376" s="482" t="s">
        <v>481</v>
      </c>
      <c r="D376" s="482" t="s">
        <v>482</v>
      </c>
      <c r="E376" s="482" t="s">
        <v>483</v>
      </c>
      <c r="F376" s="482" t="s">
        <v>484</v>
      </c>
      <c r="G376" s="212"/>
      <c r="H376" s="192" t="str">
        <f t="shared" si="133"/>
        <v/>
      </c>
    </row>
    <row r="377" spans="1:9" s="45" customFormat="1" ht="19.5" customHeight="1" thickBot="1">
      <c r="A377" s="189" t="str">
        <f>IFERROR(INDEX(凭证录入!H:H,$H377),"")</f>
        <v/>
      </c>
      <c r="B377" s="189" t="str">
        <f>IFERROR(INDEX(凭证录入!I:I,$H377),"")</f>
        <v/>
      </c>
      <c r="C377" s="190" t="str">
        <f>IFERROR(VLOOKUP($B377,会计科目表!$A:$C,2,),"")</f>
        <v/>
      </c>
      <c r="D377" s="190" t="str">
        <f>IFERROR(VLOOKUP($B377,会计科目表!$A:$C,3,),"")</f>
        <v/>
      </c>
      <c r="E377" s="191">
        <f>IFERROR(INDEX(凭证录入!K:K,$H377),0)</f>
        <v>0</v>
      </c>
      <c r="F377" s="191">
        <f>IFERROR(INDEX(凭证录入!L:L,$H377),0)</f>
        <v>0</v>
      </c>
      <c r="G377" s="212"/>
      <c r="H377" s="192" t="str">
        <f t="shared" si="133"/>
        <v/>
      </c>
    </row>
    <row r="378" spans="1:9" s="45" customFormat="1" ht="19.5" customHeight="1" thickBot="1">
      <c r="A378" s="189" t="str">
        <f>IFERROR(INDEX(凭证录入!H:H,$H378),"")</f>
        <v/>
      </c>
      <c r="B378" s="189" t="str">
        <f>IFERROR(INDEX(凭证录入!I:I,$H378),"")</f>
        <v/>
      </c>
      <c r="C378" s="190" t="str">
        <f>IFERROR(VLOOKUP($B378,会计科目表!$A:$C,2,),"")</f>
        <v/>
      </c>
      <c r="D378" s="190" t="str">
        <f>IFERROR(VLOOKUP($B378,会计科目表!$A:$C,3,),"")</f>
        <v/>
      </c>
      <c r="E378" s="191">
        <f>IFERROR(INDEX(凭证录入!K:K,$H378),0)</f>
        <v>0</v>
      </c>
      <c r="F378" s="191">
        <f>IFERROR(INDEX(凭证录入!L:L,$H378),0)</f>
        <v>0</v>
      </c>
      <c r="G378" s="212" t="s">
        <v>490</v>
      </c>
      <c r="H378" s="192" t="str">
        <f t="shared" si="133"/>
        <v/>
      </c>
      <c r="I378" s="212"/>
    </row>
    <row r="379" spans="1:9" s="45" customFormat="1" ht="19.5" customHeight="1" thickBot="1">
      <c r="A379" s="189" t="str">
        <f>IFERROR(INDEX(凭证录入!H:H,$H379),"")</f>
        <v/>
      </c>
      <c r="B379" s="189" t="str">
        <f>IFERROR(INDEX(凭证录入!I:I,$H379),"")</f>
        <v/>
      </c>
      <c r="C379" s="190" t="str">
        <f>IFERROR(VLOOKUP($B379,会计科目表!$A:$C,2,),"")</f>
        <v/>
      </c>
      <c r="D379" s="190" t="str">
        <f>IFERROR(VLOOKUP($B379,会计科目表!$A:$C,3,),"")</f>
        <v/>
      </c>
      <c r="E379" s="191">
        <f>IFERROR(INDEX(凭证录入!K:K,$H379),0)</f>
        <v>0</v>
      </c>
      <c r="F379" s="191">
        <f>IFERROR(INDEX(凭证录入!L:L,$H379),0)</f>
        <v>0</v>
      </c>
      <c r="G379" s="212" t="s">
        <v>491</v>
      </c>
      <c r="H379" s="192" t="str">
        <f t="shared" si="133"/>
        <v/>
      </c>
      <c r="I379" s="212"/>
    </row>
    <row r="380" spans="1:9" s="45" customFormat="1" ht="19.5" customHeight="1" thickBot="1">
      <c r="A380" s="189" t="str">
        <f>IFERROR(INDEX(凭证录入!H:H,$H380),"")</f>
        <v/>
      </c>
      <c r="B380" s="189" t="str">
        <f>IFERROR(INDEX(凭证录入!I:I,$H380),"")</f>
        <v/>
      </c>
      <c r="C380" s="190" t="str">
        <f>IFERROR(VLOOKUP($B380,会计科目表!$A:$C,2,),"")</f>
        <v/>
      </c>
      <c r="D380" s="190" t="str">
        <f>IFERROR(VLOOKUP($B380,会计科目表!$A:$C,3,),"")</f>
        <v/>
      </c>
      <c r="E380" s="191">
        <f>IFERROR(INDEX(凭证录入!K:K,$H380),0)</f>
        <v>0</v>
      </c>
      <c r="F380" s="191">
        <f>IFERROR(INDEX(凭证录入!L:L,$H380),0)</f>
        <v>0</v>
      </c>
      <c r="G380" s="212" t="e">
        <f>INDEX(凭证录入!$D:$D,$H377)</f>
        <v>#VALUE!</v>
      </c>
      <c r="H380" s="192" t="str">
        <f t="shared" si="133"/>
        <v/>
      </c>
      <c r="I380" s="212"/>
    </row>
    <row r="381" spans="1:9" s="45" customFormat="1" ht="19.5" customHeight="1" thickBot="1">
      <c r="A381" s="189" t="str">
        <f>IFERROR(INDEX(凭证录入!H:H,$H381),"")</f>
        <v/>
      </c>
      <c r="B381" s="189" t="str">
        <f>IFERROR(INDEX(凭证录入!I:I,$H381),"")</f>
        <v/>
      </c>
      <c r="C381" s="190" t="str">
        <f>IFERROR(VLOOKUP($B381,会计科目表!$A:$C,2,),"")</f>
        <v/>
      </c>
      <c r="D381" s="190" t="str">
        <f>IFERROR(VLOOKUP($B381,会计科目表!$A:$C,3,),"")</f>
        <v/>
      </c>
      <c r="E381" s="191">
        <f>IFERROR(INDEX(凭证录入!K:K,$H381),0)</f>
        <v>0</v>
      </c>
      <c r="F381" s="191">
        <f>IFERROR(INDEX(凭证录入!L:L,$H381),0)</f>
        <v>0</v>
      </c>
      <c r="G381" s="212" t="s">
        <v>492</v>
      </c>
      <c r="H381" s="192" t="str">
        <f t="shared" si="133"/>
        <v/>
      </c>
    </row>
    <row r="382" spans="1:9" s="45" customFormat="1" ht="19.5" customHeight="1" thickBot="1">
      <c r="A382" s="189" t="str">
        <f>IFERROR(INDEX(凭证录入!H:H,$H382),"")</f>
        <v/>
      </c>
      <c r="B382" s="189" t="str">
        <f>IFERROR(INDEX(凭证录入!I:I,$H382),"")</f>
        <v/>
      </c>
      <c r="C382" s="190" t="str">
        <f>IFERROR(VLOOKUP($B382,会计科目表!$A:$C,2,),"")</f>
        <v/>
      </c>
      <c r="D382" s="190" t="str">
        <f>IFERROR(VLOOKUP($B382,会计科目表!$A:$C,3,),"")</f>
        <v/>
      </c>
      <c r="E382" s="191">
        <f>IFERROR(INDEX(凭证录入!K:K,$H382),0)</f>
        <v>0</v>
      </c>
      <c r="F382" s="191">
        <f>IFERROR(INDEX(凭证录入!L:L,$H382),0)</f>
        <v>0</v>
      </c>
      <c r="G382" s="212"/>
      <c r="H382" s="192" t="str">
        <f t="shared" si="133"/>
        <v/>
      </c>
    </row>
    <row r="383" spans="1:9" s="45" customFormat="1" ht="19.5" customHeight="1" thickBot="1">
      <c r="A383" s="193"/>
      <c r="B383" s="194" t="s">
        <v>485</v>
      </c>
      <c r="C383" s="195" t="str">
        <f>SUBSTITUTE(SUBSTITUTE(IF(-DOLLAR(E383),IF(E383&gt;0,,"负")&amp;TEXT(INT(ABS(E383)+0.5%),"[dbnum2]G/通用格式元;;")&amp;TEXT(RIGHT(DOLLAR(E383),2),"[dbnum2]0角0分;;整"),),"零角",IF(E383^2&lt;1,,"零")),"零分","整")</f>
        <v/>
      </c>
      <c r="D383" s="196"/>
      <c r="E383" s="197">
        <f>SUM(E377:E382)</f>
        <v>0</v>
      </c>
      <c r="F383" s="197">
        <f>SUM(F377:F382)</f>
        <v>0</v>
      </c>
      <c r="G383" s="212"/>
      <c r="H383" s="192" t="str">
        <f t="shared" si="133"/>
        <v/>
      </c>
    </row>
    <row r="384" spans="1:9" s="199" customFormat="1" ht="19.5" customHeight="1">
      <c r="A384" s="45" t="s">
        <v>486</v>
      </c>
      <c r="B384" s="45" t="s">
        <v>487</v>
      </c>
      <c r="C384" s="45" t="s">
        <v>488</v>
      </c>
      <c r="D384" s="45" t="s">
        <v>504</v>
      </c>
      <c r="E384" s="45" t="s">
        <v>489</v>
      </c>
      <c r="F384" s="212" t="str">
        <f>IF($E383&lt;&gt;$F383,"借贷不平","")</f>
        <v/>
      </c>
      <c r="G384" s="183"/>
      <c r="H384" s="198" t="str">
        <f t="shared" si="133"/>
        <v/>
      </c>
    </row>
    <row r="385" spans="1:9" ht="37.5" customHeight="1">
      <c r="A385" s="177" t="s">
        <v>476</v>
      </c>
      <c r="B385" s="178"/>
      <c r="C385" s="179"/>
      <c r="D385" s="179"/>
      <c r="E385" s="178"/>
      <c r="F385" s="178"/>
      <c r="G385" s="212"/>
      <c r="H385" s="192" t="str">
        <f t="shared" si="133"/>
        <v/>
      </c>
    </row>
    <row r="386" spans="1:9" s="45" customFormat="1" ht="19.5" customHeight="1" thickBot="1">
      <c r="C386" s="180" t="e">
        <f>DATEVALUE("2010-"&amp;$H$1&amp;"-"&amp;INDEX(凭证录入!B:B,H389))</f>
        <v>#VALUE!</v>
      </c>
      <c r="D386" s="181"/>
      <c r="E386" s="182" t="s">
        <v>477</v>
      </c>
      <c r="F386" s="183" t="e">
        <f>N(LEFT((F374),3)+1)</f>
        <v>#VALUE!</v>
      </c>
      <c r="G386" s="212"/>
      <c r="H386" s="192" t="str">
        <f t="shared" si="133"/>
        <v/>
      </c>
      <c r="I386" s="184"/>
    </row>
    <row r="387" spans="1:9" s="45" customFormat="1" ht="19.5" customHeight="1" thickBot="1">
      <c r="A387" s="544" t="s">
        <v>478</v>
      </c>
      <c r="B387" s="545" t="s">
        <v>479</v>
      </c>
      <c r="C387" s="185" t="s">
        <v>480</v>
      </c>
      <c r="D387" s="186"/>
      <c r="E387" s="187"/>
      <c r="F387" s="482"/>
      <c r="G387" s="212"/>
      <c r="H387" s="192" t="str">
        <f t="shared" si="133"/>
        <v/>
      </c>
    </row>
    <row r="388" spans="1:9" s="45" customFormat="1" ht="19.5" customHeight="1" thickBot="1">
      <c r="A388" s="545"/>
      <c r="B388" s="546"/>
      <c r="C388" s="482" t="s">
        <v>481</v>
      </c>
      <c r="D388" s="482" t="s">
        <v>482</v>
      </c>
      <c r="E388" s="482" t="s">
        <v>483</v>
      </c>
      <c r="F388" s="482" t="s">
        <v>484</v>
      </c>
      <c r="G388" s="212"/>
      <c r="H388" s="192" t="str">
        <f t="shared" si="133"/>
        <v/>
      </c>
    </row>
    <row r="389" spans="1:9" s="45" customFormat="1" ht="19.5" customHeight="1" thickBot="1">
      <c r="A389" s="189" t="str">
        <f>IFERROR(INDEX(凭证录入!H:H,$H389),"")</f>
        <v/>
      </c>
      <c r="B389" s="189" t="str">
        <f>IFERROR(INDEX(凭证录入!I:I,$H389),"")</f>
        <v/>
      </c>
      <c r="C389" s="190" t="str">
        <f>IFERROR(VLOOKUP($B389,会计科目表!$A:$C,2,),"")</f>
        <v/>
      </c>
      <c r="D389" s="190" t="str">
        <f>IFERROR(VLOOKUP($B389,会计科目表!$A:$C,3,),"")</f>
        <v/>
      </c>
      <c r="E389" s="191">
        <f>IFERROR(INDEX(凭证录入!K:K,$H389),0)</f>
        <v>0</v>
      </c>
      <c r="F389" s="191">
        <f>IFERROR(INDEX(凭证录入!L:L,$H389),0)</f>
        <v>0</v>
      </c>
      <c r="G389" s="212"/>
      <c r="H389" s="192" t="str">
        <f t="shared" si="133"/>
        <v/>
      </c>
    </row>
    <row r="390" spans="1:9" s="45" customFormat="1" ht="19.5" customHeight="1" thickBot="1">
      <c r="A390" s="189" t="str">
        <f>IFERROR(INDEX(凭证录入!H:H,$H390),"")</f>
        <v/>
      </c>
      <c r="B390" s="189" t="str">
        <f>IFERROR(INDEX(凭证录入!I:I,$H390),"")</f>
        <v/>
      </c>
      <c r="C390" s="190" t="str">
        <f>IFERROR(VLOOKUP($B390,会计科目表!$A:$C,2,),"")</f>
        <v/>
      </c>
      <c r="D390" s="190" t="str">
        <f>IFERROR(VLOOKUP($B390,会计科目表!$A:$C,3,),"")</f>
        <v/>
      </c>
      <c r="E390" s="191">
        <f>IFERROR(INDEX(凭证录入!K:K,$H390),0)</f>
        <v>0</v>
      </c>
      <c r="F390" s="191">
        <f>IFERROR(INDEX(凭证录入!L:L,$H390),0)</f>
        <v>0</v>
      </c>
      <c r="G390" s="212" t="s">
        <v>490</v>
      </c>
      <c r="H390" s="192" t="str">
        <f t="shared" si="133"/>
        <v/>
      </c>
      <c r="I390" s="212"/>
    </row>
    <row r="391" spans="1:9" s="45" customFormat="1" ht="19.5" customHeight="1" thickBot="1">
      <c r="A391" s="189" t="str">
        <f>IFERROR(INDEX(凭证录入!H:H,$H391),"")</f>
        <v/>
      </c>
      <c r="B391" s="189" t="str">
        <f>IFERROR(INDEX(凭证录入!I:I,$H391),"")</f>
        <v/>
      </c>
      <c r="C391" s="190" t="str">
        <f>IFERROR(VLOOKUP($B391,会计科目表!$A:$C,2,),"")</f>
        <v/>
      </c>
      <c r="D391" s="190" t="str">
        <f>IFERROR(VLOOKUP($B391,会计科目表!$A:$C,3,),"")</f>
        <v/>
      </c>
      <c r="E391" s="191">
        <f>IFERROR(INDEX(凭证录入!K:K,$H391),0)</f>
        <v>0</v>
      </c>
      <c r="F391" s="191">
        <f>IFERROR(INDEX(凭证录入!L:L,$H391),0)</f>
        <v>0</v>
      </c>
      <c r="G391" s="212" t="s">
        <v>491</v>
      </c>
      <c r="H391" s="192" t="str">
        <f t="shared" si="133"/>
        <v/>
      </c>
      <c r="I391" s="212"/>
    </row>
    <row r="392" spans="1:9" s="45" customFormat="1" ht="19.5" customHeight="1" thickBot="1">
      <c r="A392" s="189" t="str">
        <f>IFERROR(INDEX(凭证录入!H:H,$H392),"")</f>
        <v/>
      </c>
      <c r="B392" s="189" t="str">
        <f>IFERROR(INDEX(凭证录入!I:I,$H392),"")</f>
        <v/>
      </c>
      <c r="C392" s="190" t="str">
        <f>IFERROR(VLOOKUP($B392,会计科目表!$A:$C,2,),"")</f>
        <v/>
      </c>
      <c r="D392" s="190" t="str">
        <f>IFERROR(VLOOKUP($B392,会计科目表!$A:$C,3,),"")</f>
        <v/>
      </c>
      <c r="E392" s="191">
        <f>IFERROR(INDEX(凭证录入!K:K,$H392),0)</f>
        <v>0</v>
      </c>
      <c r="F392" s="191">
        <f>IFERROR(INDEX(凭证录入!L:L,$H392),0)</f>
        <v>0</v>
      </c>
      <c r="G392" s="212" t="e">
        <f>INDEX(凭证录入!$D:$D,$H389)</f>
        <v>#VALUE!</v>
      </c>
      <c r="H392" s="192" t="str">
        <f t="shared" si="133"/>
        <v/>
      </c>
      <c r="I392" s="212"/>
    </row>
    <row r="393" spans="1:9" s="45" customFormat="1" ht="19.5" customHeight="1" thickBot="1">
      <c r="A393" s="189" t="str">
        <f>IFERROR(INDEX(凭证录入!H:H,$H393),"")</f>
        <v/>
      </c>
      <c r="B393" s="189" t="str">
        <f>IFERROR(INDEX(凭证录入!I:I,$H393),"")</f>
        <v/>
      </c>
      <c r="C393" s="190" t="str">
        <f>IFERROR(VLOOKUP($B393,会计科目表!$A:$C,2,),"")</f>
        <v/>
      </c>
      <c r="D393" s="190" t="str">
        <f>IFERROR(VLOOKUP($B393,会计科目表!$A:$C,3,),"")</f>
        <v/>
      </c>
      <c r="E393" s="191">
        <f>IFERROR(INDEX(凭证录入!K:K,$H393),0)</f>
        <v>0</v>
      </c>
      <c r="F393" s="191">
        <f>IFERROR(INDEX(凭证录入!L:L,$H393),0)</f>
        <v>0</v>
      </c>
      <c r="G393" s="212" t="s">
        <v>492</v>
      </c>
      <c r="H393" s="192" t="str">
        <f t="shared" si="133"/>
        <v/>
      </c>
    </row>
    <row r="394" spans="1:9" s="45" customFormat="1" ht="19.5" customHeight="1" thickBot="1">
      <c r="A394" s="189" t="str">
        <f>IFERROR(INDEX(凭证录入!H:H,$H394),"")</f>
        <v/>
      </c>
      <c r="B394" s="189" t="str">
        <f>IFERROR(INDEX(凭证录入!I:I,$H394),"")</f>
        <v/>
      </c>
      <c r="C394" s="190" t="str">
        <f>IFERROR(VLOOKUP($B394,会计科目表!$A:$C,2,),"")</f>
        <v/>
      </c>
      <c r="D394" s="190" t="str">
        <f>IFERROR(VLOOKUP($B394,会计科目表!$A:$C,3,),"")</f>
        <v/>
      </c>
      <c r="E394" s="191">
        <f>IFERROR(INDEX(凭证录入!K:K,$H394),0)</f>
        <v>0</v>
      </c>
      <c r="F394" s="191">
        <f>IFERROR(INDEX(凭证录入!L:L,$H394),0)</f>
        <v>0</v>
      </c>
      <c r="G394" s="212"/>
      <c r="H394" s="192" t="str">
        <f t="shared" si="133"/>
        <v/>
      </c>
    </row>
    <row r="395" spans="1:9" s="45" customFormat="1" ht="19.5" customHeight="1" thickBot="1">
      <c r="A395" s="193"/>
      <c r="B395" s="194" t="s">
        <v>485</v>
      </c>
      <c r="C395" s="195" t="str">
        <f>SUBSTITUTE(SUBSTITUTE(IF(-DOLLAR(E395),IF(E395&gt;0,,"负")&amp;TEXT(INT(ABS(E395)+0.5%),"[dbnum2]G/通用格式元;;")&amp;TEXT(RIGHT(DOLLAR(E395),2),"[dbnum2]0角0分;;整"),),"零角",IF(E395^2&lt;1,,"零")),"零分","整")</f>
        <v/>
      </c>
      <c r="D395" s="196"/>
      <c r="E395" s="197">
        <f>SUM(E389:E394)</f>
        <v>0</v>
      </c>
      <c r="F395" s="197">
        <f>SUM(F389:F394)</f>
        <v>0</v>
      </c>
      <c r="G395" s="212"/>
      <c r="H395" s="192" t="str">
        <f t="shared" si="133"/>
        <v/>
      </c>
    </row>
    <row r="396" spans="1:9" s="199" customFormat="1" ht="19.5" customHeight="1">
      <c r="A396" s="45" t="s">
        <v>486</v>
      </c>
      <c r="B396" s="45" t="s">
        <v>487</v>
      </c>
      <c r="C396" s="45" t="s">
        <v>488</v>
      </c>
      <c r="D396" s="45" t="s">
        <v>504</v>
      </c>
      <c r="E396" s="45" t="s">
        <v>489</v>
      </c>
      <c r="F396" s="212" t="str">
        <f>IF($E395&lt;&gt;$F395,"借贷不平","")</f>
        <v/>
      </c>
      <c r="G396" s="183"/>
      <c r="H396" s="198" t="str">
        <f t="shared" si="133"/>
        <v/>
      </c>
    </row>
    <row r="397" spans="1:9" ht="37.5" customHeight="1">
      <c r="A397" s="177" t="s">
        <v>476</v>
      </c>
      <c r="B397" s="178"/>
      <c r="C397" s="179"/>
      <c r="D397" s="179"/>
      <c r="E397" s="178"/>
      <c r="F397" s="178"/>
      <c r="G397" s="212"/>
      <c r="H397" s="192" t="str">
        <f t="shared" si="133"/>
        <v/>
      </c>
    </row>
    <row r="398" spans="1:9" s="45" customFormat="1" ht="19.5" customHeight="1" thickBot="1">
      <c r="C398" s="180" t="e">
        <f>DATEVALUE("2010-"&amp;$H$1&amp;"-"&amp;INDEX(凭证录入!B:B,H401))</f>
        <v>#VALUE!</v>
      </c>
      <c r="D398" s="181"/>
      <c r="E398" s="182" t="s">
        <v>477</v>
      </c>
      <c r="F398" s="183" t="e">
        <f>N(LEFT((F386),3)+1)</f>
        <v>#VALUE!</v>
      </c>
      <c r="G398" s="212"/>
      <c r="H398" s="192" t="str">
        <f t="shared" si="133"/>
        <v/>
      </c>
      <c r="I398" s="184"/>
    </row>
    <row r="399" spans="1:9" s="45" customFormat="1" ht="19.5" customHeight="1" thickBot="1">
      <c r="A399" s="544" t="s">
        <v>478</v>
      </c>
      <c r="B399" s="545" t="s">
        <v>479</v>
      </c>
      <c r="C399" s="185" t="s">
        <v>480</v>
      </c>
      <c r="D399" s="186"/>
      <c r="E399" s="187"/>
      <c r="F399" s="482"/>
      <c r="G399" s="212"/>
      <c r="H399" s="192" t="str">
        <f t="shared" si="133"/>
        <v/>
      </c>
    </row>
    <row r="400" spans="1:9" s="45" customFormat="1" ht="19.5" customHeight="1" thickBot="1">
      <c r="A400" s="545"/>
      <c r="B400" s="546"/>
      <c r="C400" s="482" t="s">
        <v>481</v>
      </c>
      <c r="D400" s="482" t="s">
        <v>482</v>
      </c>
      <c r="E400" s="482" t="s">
        <v>483</v>
      </c>
      <c r="F400" s="482" t="s">
        <v>484</v>
      </c>
      <c r="G400" s="212"/>
      <c r="H400" s="192" t="str">
        <f t="shared" si="133"/>
        <v/>
      </c>
    </row>
    <row r="401" spans="1:9" s="45" customFormat="1" ht="19.5" customHeight="1" thickBot="1">
      <c r="A401" s="189" t="str">
        <f>IFERROR(INDEX(凭证录入!H:H,$H401),"")</f>
        <v/>
      </c>
      <c r="B401" s="189" t="str">
        <f>IFERROR(INDEX(凭证录入!I:I,$H401),"")</f>
        <v/>
      </c>
      <c r="C401" s="190" t="str">
        <f>IFERROR(VLOOKUP($B401,会计科目表!$A:$C,2,),"")</f>
        <v/>
      </c>
      <c r="D401" s="190" t="str">
        <f>IFERROR(VLOOKUP($B401,会计科目表!$A:$C,3,),"")</f>
        <v/>
      </c>
      <c r="E401" s="191">
        <f>IFERROR(INDEX(凭证录入!K:K,$H401),0)</f>
        <v>0</v>
      </c>
      <c r="F401" s="191">
        <f>IFERROR(INDEX(凭证录入!L:L,$H401),0)</f>
        <v>0</v>
      </c>
      <c r="G401" s="212"/>
      <c r="H401" s="192" t="str">
        <f t="shared" si="133"/>
        <v/>
      </c>
    </row>
    <row r="402" spans="1:9" s="45" customFormat="1" ht="19.5" customHeight="1" thickBot="1">
      <c r="A402" s="189" t="str">
        <f>IFERROR(INDEX(凭证录入!H:H,$H402),"")</f>
        <v/>
      </c>
      <c r="B402" s="189" t="str">
        <f>IFERROR(INDEX(凭证录入!I:I,$H402),"")</f>
        <v/>
      </c>
      <c r="C402" s="190" t="str">
        <f>IFERROR(VLOOKUP($B402,会计科目表!$A:$C,2,),"")</f>
        <v/>
      </c>
      <c r="D402" s="190" t="str">
        <f>IFERROR(VLOOKUP($B402,会计科目表!$A:$C,3,),"")</f>
        <v/>
      </c>
      <c r="E402" s="191">
        <f>IFERROR(INDEX(凭证录入!K:K,$H402),0)</f>
        <v>0</v>
      </c>
      <c r="F402" s="191">
        <f>IFERROR(INDEX(凭证录入!L:L,$H402),0)</f>
        <v>0</v>
      </c>
      <c r="G402" s="212" t="s">
        <v>490</v>
      </c>
      <c r="H402" s="192" t="str">
        <f t="shared" si="133"/>
        <v/>
      </c>
      <c r="I402" s="212"/>
    </row>
    <row r="403" spans="1:9" s="45" customFormat="1" ht="19.5" customHeight="1" thickBot="1">
      <c r="A403" s="189" t="str">
        <f>IFERROR(INDEX(凭证录入!H:H,$H403),"")</f>
        <v/>
      </c>
      <c r="B403" s="189" t="str">
        <f>IFERROR(INDEX(凭证录入!I:I,$H403),"")</f>
        <v/>
      </c>
      <c r="C403" s="190" t="str">
        <f>IFERROR(VLOOKUP($B403,会计科目表!$A:$C,2,),"")</f>
        <v/>
      </c>
      <c r="D403" s="190" t="str">
        <f>IFERROR(VLOOKUP($B403,会计科目表!$A:$C,3,),"")</f>
        <v/>
      </c>
      <c r="E403" s="191">
        <f>IFERROR(INDEX(凭证录入!K:K,$H403),0)</f>
        <v>0</v>
      </c>
      <c r="F403" s="191">
        <f>IFERROR(INDEX(凭证录入!L:L,$H403),0)</f>
        <v>0</v>
      </c>
      <c r="G403" s="212" t="s">
        <v>491</v>
      </c>
      <c r="H403" s="192" t="str">
        <f t="shared" si="133"/>
        <v/>
      </c>
      <c r="I403" s="212"/>
    </row>
    <row r="404" spans="1:9" s="45" customFormat="1" ht="19.5" customHeight="1" thickBot="1">
      <c r="A404" s="189" t="str">
        <f>IFERROR(INDEX(凭证录入!H:H,$H404),"")</f>
        <v/>
      </c>
      <c r="B404" s="189" t="str">
        <f>IFERROR(INDEX(凭证录入!I:I,$H404),"")</f>
        <v/>
      </c>
      <c r="C404" s="190" t="str">
        <f>IFERROR(VLOOKUP($B404,会计科目表!$A:$C,2,),"")</f>
        <v/>
      </c>
      <c r="D404" s="190" t="str">
        <f>IFERROR(VLOOKUP($B404,会计科目表!$A:$C,3,),"")</f>
        <v/>
      </c>
      <c r="E404" s="191">
        <f>IFERROR(INDEX(凭证录入!K:K,$H404),0)</f>
        <v>0</v>
      </c>
      <c r="F404" s="191">
        <f>IFERROR(INDEX(凭证录入!L:L,$H404),0)</f>
        <v>0</v>
      </c>
      <c r="G404" s="212" t="e">
        <f>INDEX(凭证录入!$D:$D,$H401)</f>
        <v>#VALUE!</v>
      </c>
      <c r="H404" s="192" t="str">
        <f t="shared" si="133"/>
        <v/>
      </c>
      <c r="I404" s="212"/>
    </row>
    <row r="405" spans="1:9" s="45" customFormat="1" ht="19.5" customHeight="1" thickBot="1">
      <c r="A405" s="189" t="str">
        <f>IFERROR(INDEX(凭证录入!H:H,$H405),"")</f>
        <v/>
      </c>
      <c r="B405" s="189" t="str">
        <f>IFERROR(INDEX(凭证录入!I:I,$H405),"")</f>
        <v/>
      </c>
      <c r="C405" s="190" t="str">
        <f>IFERROR(VLOOKUP($B405,会计科目表!$A:$C,2,),"")</f>
        <v/>
      </c>
      <c r="D405" s="190" t="str">
        <f>IFERROR(VLOOKUP($B405,会计科目表!$A:$C,3,),"")</f>
        <v/>
      </c>
      <c r="E405" s="191">
        <f>IFERROR(INDEX(凭证录入!K:K,$H405),0)</f>
        <v>0</v>
      </c>
      <c r="F405" s="191">
        <f>IFERROR(INDEX(凭证录入!L:L,$H405),0)</f>
        <v>0</v>
      </c>
      <c r="G405" s="212" t="s">
        <v>492</v>
      </c>
      <c r="H405" s="192" t="str">
        <f t="shared" si="133"/>
        <v/>
      </c>
    </row>
    <row r="406" spans="1:9" s="45" customFormat="1" ht="19.5" customHeight="1" thickBot="1">
      <c r="A406" s="189" t="str">
        <f>IFERROR(INDEX(凭证录入!H:H,$H406),"")</f>
        <v/>
      </c>
      <c r="B406" s="189" t="str">
        <f>IFERROR(INDEX(凭证录入!I:I,$H406),"")</f>
        <v/>
      </c>
      <c r="C406" s="190" t="str">
        <f>IFERROR(VLOOKUP($B406,会计科目表!$A:$C,2,),"")</f>
        <v/>
      </c>
      <c r="D406" s="190" t="str">
        <f>IFERROR(VLOOKUP($B406,会计科目表!$A:$C,3,),"")</f>
        <v/>
      </c>
      <c r="E406" s="191">
        <f>IFERROR(INDEX(凭证录入!K:K,$H406),0)</f>
        <v>0</v>
      </c>
      <c r="F406" s="191">
        <f>IFERROR(INDEX(凭证录入!L:L,$H406),0)</f>
        <v>0</v>
      </c>
      <c r="G406" s="212"/>
      <c r="H406" s="192" t="str">
        <f t="shared" si="133"/>
        <v/>
      </c>
    </row>
    <row r="407" spans="1:9" s="45" customFormat="1" ht="19.5" customHeight="1" thickBot="1">
      <c r="A407" s="193"/>
      <c r="B407" s="194" t="s">
        <v>485</v>
      </c>
      <c r="C407" s="195" t="str">
        <f>SUBSTITUTE(SUBSTITUTE(IF(-DOLLAR(E407),IF(E407&gt;0,,"负")&amp;TEXT(INT(ABS(E407)+0.5%),"[dbnum2]G/通用格式元;;")&amp;TEXT(RIGHT(DOLLAR(E407),2),"[dbnum2]0角0分;;整"),),"零角",IF(E407^2&lt;1,,"零")),"零分","整")</f>
        <v/>
      </c>
      <c r="D407" s="196"/>
      <c r="E407" s="197">
        <f>SUM(E401:E406)</f>
        <v>0</v>
      </c>
      <c r="F407" s="197">
        <f>SUM(F401:F406)</f>
        <v>0</v>
      </c>
      <c r="G407" s="212"/>
      <c r="H407" s="192" t="str">
        <f t="shared" si="133"/>
        <v/>
      </c>
    </row>
    <row r="408" spans="1:9" s="199" customFormat="1" ht="19.5" customHeight="1">
      <c r="A408" s="45" t="s">
        <v>486</v>
      </c>
      <c r="B408" s="45" t="s">
        <v>487</v>
      </c>
      <c r="C408" s="45" t="s">
        <v>488</v>
      </c>
      <c r="D408" s="45" t="s">
        <v>504</v>
      </c>
      <c r="E408" s="45" t="s">
        <v>489</v>
      </c>
      <c r="F408" s="212" t="str">
        <f>IF($E407&lt;&gt;$F407,"借贷不平","")</f>
        <v/>
      </c>
      <c r="G408" s="183"/>
      <c r="H408" s="198" t="str">
        <f t="shared" si="133"/>
        <v/>
      </c>
    </row>
    <row r="409" spans="1:9" ht="37.5" customHeight="1">
      <c r="A409" s="177" t="s">
        <v>476</v>
      </c>
      <c r="B409" s="178"/>
      <c r="C409" s="179"/>
      <c r="D409" s="179"/>
      <c r="E409" s="178"/>
      <c r="F409" s="178"/>
      <c r="G409" s="212"/>
      <c r="H409" s="192" t="str">
        <f t="shared" si="133"/>
        <v/>
      </c>
    </row>
    <row r="410" spans="1:9" s="45" customFormat="1" ht="19.5" customHeight="1" thickBot="1">
      <c r="C410" s="180" t="e">
        <f>DATEVALUE("2010-"&amp;$H$1&amp;"-"&amp;INDEX(凭证录入!B:B,H413))</f>
        <v>#VALUE!</v>
      </c>
      <c r="D410" s="181"/>
      <c r="E410" s="182" t="s">
        <v>477</v>
      </c>
      <c r="F410" s="183" t="e">
        <f>N(LEFT((F398),3)+1)</f>
        <v>#VALUE!</v>
      </c>
      <c r="G410" s="212"/>
      <c r="H410" s="192" t="str">
        <f t="shared" si="133"/>
        <v/>
      </c>
      <c r="I410" s="184"/>
    </row>
    <row r="411" spans="1:9" s="45" customFormat="1" ht="19.5" customHeight="1" thickBot="1">
      <c r="A411" s="544" t="s">
        <v>478</v>
      </c>
      <c r="B411" s="545" t="s">
        <v>479</v>
      </c>
      <c r="C411" s="185" t="s">
        <v>480</v>
      </c>
      <c r="D411" s="186"/>
      <c r="E411" s="187"/>
      <c r="F411" s="482"/>
      <c r="G411" s="212"/>
      <c r="H411" s="192" t="str">
        <f t="shared" si="133"/>
        <v/>
      </c>
    </row>
    <row r="412" spans="1:9" s="45" customFormat="1" ht="19.5" customHeight="1" thickBot="1">
      <c r="A412" s="545"/>
      <c r="B412" s="546"/>
      <c r="C412" s="482" t="s">
        <v>481</v>
      </c>
      <c r="D412" s="482" t="s">
        <v>482</v>
      </c>
      <c r="E412" s="482" t="s">
        <v>483</v>
      </c>
      <c r="F412" s="482" t="s">
        <v>484</v>
      </c>
      <c r="G412" s="212"/>
      <c r="H412" s="192" t="str">
        <f t="shared" si="133"/>
        <v/>
      </c>
    </row>
    <row r="413" spans="1:9" s="45" customFormat="1" ht="19.5" customHeight="1" thickBot="1">
      <c r="A413" s="189" t="str">
        <f>IFERROR(INDEX(凭证录入!H:H,$H413),"")</f>
        <v/>
      </c>
      <c r="B413" s="189" t="str">
        <f>IFERROR(INDEX(凭证录入!I:I,$H413),"")</f>
        <v/>
      </c>
      <c r="C413" s="190" t="str">
        <f>IFERROR(VLOOKUP($B413,会计科目表!$A:$C,2,),"")</f>
        <v/>
      </c>
      <c r="D413" s="190" t="str">
        <f>IFERROR(VLOOKUP($B413,会计科目表!$A:$C,3,),"")</f>
        <v/>
      </c>
      <c r="E413" s="191">
        <f>IFERROR(INDEX(凭证录入!K:K,$H413),0)</f>
        <v>0</v>
      </c>
      <c r="F413" s="191">
        <f>IFERROR(INDEX(凭证录入!L:L,$H413),0)</f>
        <v>0</v>
      </c>
      <c r="G413" s="212"/>
      <c r="H413" s="192" t="str">
        <f t="shared" si="133"/>
        <v/>
      </c>
    </row>
    <row r="414" spans="1:9" s="45" customFormat="1" ht="19.5" customHeight="1" thickBot="1">
      <c r="A414" s="189" t="str">
        <f>IFERROR(INDEX(凭证录入!H:H,$H414),"")</f>
        <v/>
      </c>
      <c r="B414" s="189" t="str">
        <f>IFERROR(INDEX(凭证录入!I:I,$H414),"")</f>
        <v/>
      </c>
      <c r="C414" s="190" t="str">
        <f>IFERROR(VLOOKUP($B414,会计科目表!$A:$C,2,),"")</f>
        <v/>
      </c>
      <c r="D414" s="190" t="str">
        <f>IFERROR(VLOOKUP($B414,会计科目表!$A:$C,3,),"")</f>
        <v/>
      </c>
      <c r="E414" s="191">
        <f>IFERROR(INDEX(凭证录入!K:K,$H414),0)</f>
        <v>0</v>
      </c>
      <c r="F414" s="191">
        <f>IFERROR(INDEX(凭证录入!L:L,$H414),0)</f>
        <v>0</v>
      </c>
      <c r="G414" s="212" t="s">
        <v>490</v>
      </c>
      <c r="H414" s="192" t="str">
        <f t="shared" si="133"/>
        <v/>
      </c>
      <c r="I414" s="212"/>
    </row>
    <row r="415" spans="1:9" s="45" customFormat="1" ht="19.5" customHeight="1" thickBot="1">
      <c r="A415" s="189" t="str">
        <f>IFERROR(INDEX(凭证录入!H:H,$H415),"")</f>
        <v/>
      </c>
      <c r="B415" s="189" t="str">
        <f>IFERROR(INDEX(凭证录入!I:I,$H415),"")</f>
        <v/>
      </c>
      <c r="C415" s="190" t="str">
        <f>IFERROR(VLOOKUP($B415,会计科目表!$A:$C,2,),"")</f>
        <v/>
      </c>
      <c r="D415" s="190" t="str">
        <f>IFERROR(VLOOKUP($B415,会计科目表!$A:$C,3,),"")</f>
        <v/>
      </c>
      <c r="E415" s="191">
        <f>IFERROR(INDEX(凭证录入!K:K,$H415),0)</f>
        <v>0</v>
      </c>
      <c r="F415" s="191">
        <f>IFERROR(INDEX(凭证录入!L:L,$H415),0)</f>
        <v>0</v>
      </c>
      <c r="G415" s="212" t="s">
        <v>491</v>
      </c>
      <c r="H415" s="192" t="str">
        <f t="shared" si="133"/>
        <v/>
      </c>
      <c r="I415" s="212"/>
    </row>
    <row r="416" spans="1:9" s="45" customFormat="1" ht="19.5" customHeight="1" thickBot="1">
      <c r="A416" s="189" t="str">
        <f>IFERROR(INDEX(凭证录入!H:H,$H416),"")</f>
        <v/>
      </c>
      <c r="B416" s="189" t="str">
        <f>IFERROR(INDEX(凭证录入!I:I,$H416),"")</f>
        <v/>
      </c>
      <c r="C416" s="190" t="str">
        <f>IFERROR(VLOOKUP($B416,会计科目表!$A:$C,2,),"")</f>
        <v/>
      </c>
      <c r="D416" s="190" t="str">
        <f>IFERROR(VLOOKUP($B416,会计科目表!$A:$C,3,),"")</f>
        <v/>
      </c>
      <c r="E416" s="191">
        <f>IFERROR(INDEX(凭证录入!K:K,$H416),0)</f>
        <v>0</v>
      </c>
      <c r="F416" s="191">
        <f>IFERROR(INDEX(凭证录入!L:L,$H416),0)</f>
        <v>0</v>
      </c>
      <c r="G416" s="212" t="e">
        <f>INDEX(凭证录入!$D:$D,$H413)</f>
        <v>#VALUE!</v>
      </c>
      <c r="H416" s="192" t="str">
        <f t="shared" si="133"/>
        <v/>
      </c>
      <c r="I416" s="212"/>
    </row>
    <row r="417" spans="1:9" s="45" customFormat="1" ht="19.5" customHeight="1" thickBot="1">
      <c r="A417" s="189" t="str">
        <f>IFERROR(INDEX(凭证录入!H:H,$H417),"")</f>
        <v/>
      </c>
      <c r="B417" s="189" t="str">
        <f>IFERROR(INDEX(凭证录入!I:I,$H417),"")</f>
        <v/>
      </c>
      <c r="C417" s="190" t="str">
        <f>IFERROR(VLOOKUP($B417,会计科目表!$A:$C,2,),"")</f>
        <v/>
      </c>
      <c r="D417" s="190" t="str">
        <f>IFERROR(VLOOKUP($B417,会计科目表!$A:$C,3,),"")</f>
        <v/>
      </c>
      <c r="E417" s="191">
        <f>IFERROR(INDEX(凭证录入!K:K,$H417),0)</f>
        <v>0</v>
      </c>
      <c r="F417" s="191">
        <f>IFERROR(INDEX(凭证录入!L:L,$H417),0)</f>
        <v>0</v>
      </c>
      <c r="G417" s="212" t="s">
        <v>492</v>
      </c>
      <c r="H417" s="192" t="str">
        <f t="shared" si="133"/>
        <v/>
      </c>
    </row>
    <row r="418" spans="1:9" s="45" customFormat="1" ht="19.5" customHeight="1" thickBot="1">
      <c r="A418" s="189" t="str">
        <f>IFERROR(INDEX(凭证录入!H:H,$H418),"")</f>
        <v/>
      </c>
      <c r="B418" s="189" t="str">
        <f>IFERROR(INDEX(凭证录入!I:I,$H418),"")</f>
        <v/>
      </c>
      <c r="C418" s="190" t="str">
        <f>IFERROR(VLOOKUP($B418,会计科目表!$A:$C,2,),"")</f>
        <v/>
      </c>
      <c r="D418" s="190" t="str">
        <f>IFERROR(VLOOKUP($B418,会计科目表!$A:$C,3,),"")</f>
        <v/>
      </c>
      <c r="E418" s="191">
        <f>IFERROR(INDEX(凭证录入!K:K,$H418),0)</f>
        <v>0</v>
      </c>
      <c r="F418" s="191">
        <f>IFERROR(INDEX(凭证录入!L:L,$H418),0)</f>
        <v>0</v>
      </c>
      <c r="G418" s="212"/>
      <c r="H418" s="192" t="str">
        <f t="shared" si="133"/>
        <v/>
      </c>
    </row>
    <row r="419" spans="1:9" s="45" customFormat="1" ht="19.5" customHeight="1" thickBot="1">
      <c r="A419" s="193"/>
      <c r="B419" s="194" t="s">
        <v>485</v>
      </c>
      <c r="C419" s="195" t="str">
        <f>SUBSTITUTE(SUBSTITUTE(IF(-DOLLAR(E419),IF(E419&gt;0,,"负")&amp;TEXT(INT(ABS(E419)+0.5%),"[dbnum2]G/通用格式元;;")&amp;TEXT(RIGHT(DOLLAR(E419),2),"[dbnum2]0角0分;;整"),),"零角",IF(E419^2&lt;1,,"零")),"零分","整")</f>
        <v/>
      </c>
      <c r="D419" s="196"/>
      <c r="E419" s="197">
        <f>SUM(E413:E418)</f>
        <v>0</v>
      </c>
      <c r="F419" s="197">
        <f>SUM(F413:F418)</f>
        <v>0</v>
      </c>
      <c r="G419" s="212"/>
      <c r="H419" s="192" t="str">
        <f t="shared" si="133"/>
        <v/>
      </c>
    </row>
    <row r="420" spans="1:9" s="199" customFormat="1" ht="19.5" customHeight="1">
      <c r="A420" s="45" t="s">
        <v>486</v>
      </c>
      <c r="B420" s="45" t="s">
        <v>487</v>
      </c>
      <c r="C420" s="45" t="s">
        <v>488</v>
      </c>
      <c r="D420" s="45" t="s">
        <v>504</v>
      </c>
      <c r="E420" s="45" t="s">
        <v>489</v>
      </c>
      <c r="F420" s="212" t="str">
        <f>IF($E419&lt;&gt;$F419,"借贷不平","")</f>
        <v/>
      </c>
      <c r="G420" s="183"/>
      <c r="H420" s="198" t="str">
        <f t="shared" si="133"/>
        <v/>
      </c>
    </row>
    <row r="421" spans="1:9" ht="37.5" customHeight="1">
      <c r="A421" s="177" t="s">
        <v>476</v>
      </c>
      <c r="B421" s="178"/>
      <c r="C421" s="179"/>
      <c r="D421" s="179"/>
      <c r="E421" s="178"/>
      <c r="F421" s="178"/>
      <c r="G421" s="212"/>
      <c r="H421" s="192" t="str">
        <f t="shared" si="133"/>
        <v/>
      </c>
    </row>
    <row r="422" spans="1:9" s="45" customFormat="1" ht="19.5" customHeight="1" thickBot="1">
      <c r="C422" s="180" t="e">
        <f>DATEVALUE("2010-"&amp;$H$1&amp;"-"&amp;INDEX(凭证录入!B:B,H425))</f>
        <v>#VALUE!</v>
      </c>
      <c r="D422" s="181"/>
      <c r="E422" s="182" t="s">
        <v>477</v>
      </c>
      <c r="F422" s="183" t="e">
        <f>N(LEFT((F410),3)+1)</f>
        <v>#VALUE!</v>
      </c>
      <c r="G422" s="212"/>
      <c r="H422" s="192" t="str">
        <f t="shared" si="133"/>
        <v/>
      </c>
      <c r="I422" s="184"/>
    </row>
    <row r="423" spans="1:9" s="45" customFormat="1" ht="19.5" customHeight="1" thickBot="1">
      <c r="A423" s="544" t="s">
        <v>478</v>
      </c>
      <c r="B423" s="545" t="s">
        <v>479</v>
      </c>
      <c r="C423" s="185" t="s">
        <v>480</v>
      </c>
      <c r="D423" s="186"/>
      <c r="E423" s="187"/>
      <c r="F423" s="482"/>
      <c r="G423" s="212"/>
      <c r="H423" s="192" t="str">
        <f t="shared" si="133"/>
        <v/>
      </c>
    </row>
    <row r="424" spans="1:9" s="45" customFormat="1" ht="19.5" customHeight="1" thickBot="1">
      <c r="A424" s="545"/>
      <c r="B424" s="546"/>
      <c r="C424" s="482" t="s">
        <v>481</v>
      </c>
      <c r="D424" s="482" t="s">
        <v>482</v>
      </c>
      <c r="E424" s="482" t="s">
        <v>483</v>
      </c>
      <c r="F424" s="482" t="s">
        <v>484</v>
      </c>
      <c r="G424" s="212"/>
      <c r="H424" s="192" t="str">
        <f t="shared" si="133"/>
        <v/>
      </c>
    </row>
    <row r="425" spans="1:9" s="45" customFormat="1" ht="19.5" customHeight="1" thickBot="1">
      <c r="A425" s="189" t="str">
        <f>IFERROR(INDEX(凭证录入!H:H,$H425),"")</f>
        <v/>
      </c>
      <c r="B425" s="189" t="str">
        <f>IFERROR(INDEX(凭证录入!I:I,$H425),"")</f>
        <v/>
      </c>
      <c r="C425" s="190" t="str">
        <f>IFERROR(VLOOKUP($B425,会计科目表!$A:$C,2,),"")</f>
        <v/>
      </c>
      <c r="D425" s="190" t="str">
        <f>IFERROR(VLOOKUP($B425,会计科目表!$A:$C,3,),"")</f>
        <v/>
      </c>
      <c r="E425" s="191">
        <f>IFERROR(INDEX(凭证录入!K:K,$H425),0)</f>
        <v>0</v>
      </c>
      <c r="F425" s="191">
        <f>IFERROR(INDEX(凭证录入!L:L,$H425),0)</f>
        <v>0</v>
      </c>
      <c r="G425" s="212"/>
      <c r="H425" s="192" t="str">
        <f t="shared" ref="H425:H488" si="134">IFERROR(INDEX(行号,TEXT(MOD(ROW(),12)-4,"[=]A")),"")</f>
        <v/>
      </c>
    </row>
    <row r="426" spans="1:9" s="45" customFormat="1" ht="19.5" customHeight="1" thickBot="1">
      <c r="A426" s="189" t="str">
        <f>IFERROR(INDEX(凭证录入!H:H,$H426),"")</f>
        <v/>
      </c>
      <c r="B426" s="189" t="str">
        <f>IFERROR(INDEX(凭证录入!I:I,$H426),"")</f>
        <v/>
      </c>
      <c r="C426" s="190" t="str">
        <f>IFERROR(VLOOKUP($B426,会计科目表!$A:$C,2,),"")</f>
        <v/>
      </c>
      <c r="D426" s="190" t="str">
        <f>IFERROR(VLOOKUP($B426,会计科目表!$A:$C,3,),"")</f>
        <v/>
      </c>
      <c r="E426" s="191">
        <f>IFERROR(INDEX(凭证录入!K:K,$H426),0)</f>
        <v>0</v>
      </c>
      <c r="F426" s="191">
        <f>IFERROR(INDEX(凭证录入!L:L,$H426),0)</f>
        <v>0</v>
      </c>
      <c r="G426" s="212" t="s">
        <v>490</v>
      </c>
      <c r="H426" s="192" t="str">
        <f t="shared" si="134"/>
        <v/>
      </c>
      <c r="I426" s="212"/>
    </row>
    <row r="427" spans="1:9" s="45" customFormat="1" ht="19.5" customHeight="1" thickBot="1">
      <c r="A427" s="189" t="str">
        <f>IFERROR(INDEX(凭证录入!H:H,$H427),"")</f>
        <v/>
      </c>
      <c r="B427" s="189" t="str">
        <f>IFERROR(INDEX(凭证录入!I:I,$H427),"")</f>
        <v/>
      </c>
      <c r="C427" s="190" t="str">
        <f>IFERROR(VLOOKUP($B427,会计科目表!$A:$C,2,),"")</f>
        <v/>
      </c>
      <c r="D427" s="190" t="str">
        <f>IFERROR(VLOOKUP($B427,会计科目表!$A:$C,3,),"")</f>
        <v/>
      </c>
      <c r="E427" s="191">
        <f>IFERROR(INDEX(凭证录入!K:K,$H427),0)</f>
        <v>0</v>
      </c>
      <c r="F427" s="191">
        <f>IFERROR(INDEX(凭证录入!L:L,$H427),0)</f>
        <v>0</v>
      </c>
      <c r="G427" s="212" t="s">
        <v>491</v>
      </c>
      <c r="H427" s="192" t="str">
        <f t="shared" si="134"/>
        <v/>
      </c>
      <c r="I427" s="212"/>
    </row>
    <row r="428" spans="1:9" s="45" customFormat="1" ht="19.5" customHeight="1" thickBot="1">
      <c r="A428" s="189" t="str">
        <f>IFERROR(INDEX(凭证录入!H:H,$H428),"")</f>
        <v/>
      </c>
      <c r="B428" s="189" t="str">
        <f>IFERROR(INDEX(凭证录入!I:I,$H428),"")</f>
        <v/>
      </c>
      <c r="C428" s="190" t="str">
        <f>IFERROR(VLOOKUP($B428,会计科目表!$A:$C,2,),"")</f>
        <v/>
      </c>
      <c r="D428" s="190" t="str">
        <f>IFERROR(VLOOKUP($B428,会计科目表!$A:$C,3,),"")</f>
        <v/>
      </c>
      <c r="E428" s="191">
        <f>IFERROR(INDEX(凭证录入!K:K,$H428),0)</f>
        <v>0</v>
      </c>
      <c r="F428" s="191">
        <f>IFERROR(INDEX(凭证录入!L:L,$H428),0)</f>
        <v>0</v>
      </c>
      <c r="G428" s="212" t="e">
        <f>INDEX(凭证录入!$D:$D,$H425)</f>
        <v>#VALUE!</v>
      </c>
      <c r="H428" s="192" t="str">
        <f t="shared" si="134"/>
        <v/>
      </c>
      <c r="I428" s="212"/>
    </row>
    <row r="429" spans="1:9" s="45" customFormat="1" ht="19.5" customHeight="1" thickBot="1">
      <c r="A429" s="189" t="str">
        <f>IFERROR(INDEX(凭证录入!H:H,$H429),"")</f>
        <v/>
      </c>
      <c r="B429" s="189" t="str">
        <f>IFERROR(INDEX(凭证录入!I:I,$H429),"")</f>
        <v/>
      </c>
      <c r="C429" s="190" t="str">
        <f>IFERROR(VLOOKUP($B429,会计科目表!$A:$C,2,),"")</f>
        <v/>
      </c>
      <c r="D429" s="190" t="str">
        <f>IFERROR(VLOOKUP($B429,会计科目表!$A:$C,3,),"")</f>
        <v/>
      </c>
      <c r="E429" s="191">
        <f>IFERROR(INDEX(凭证录入!K:K,$H429),0)</f>
        <v>0</v>
      </c>
      <c r="F429" s="191">
        <f>IFERROR(INDEX(凭证录入!L:L,$H429),0)</f>
        <v>0</v>
      </c>
      <c r="G429" s="212" t="s">
        <v>492</v>
      </c>
      <c r="H429" s="192" t="str">
        <f t="shared" si="134"/>
        <v/>
      </c>
    </row>
    <row r="430" spans="1:9" s="45" customFormat="1" ht="19.5" customHeight="1" thickBot="1">
      <c r="A430" s="189" t="str">
        <f>IFERROR(INDEX(凭证录入!H:H,$H430),"")</f>
        <v/>
      </c>
      <c r="B430" s="189" t="str">
        <f>IFERROR(INDEX(凭证录入!I:I,$H430),"")</f>
        <v/>
      </c>
      <c r="C430" s="190" t="str">
        <f>IFERROR(VLOOKUP($B430,会计科目表!$A:$C,2,),"")</f>
        <v/>
      </c>
      <c r="D430" s="190" t="str">
        <f>IFERROR(VLOOKUP($B430,会计科目表!$A:$C,3,),"")</f>
        <v/>
      </c>
      <c r="E430" s="191">
        <f>IFERROR(INDEX(凭证录入!K:K,$H430),0)</f>
        <v>0</v>
      </c>
      <c r="F430" s="191">
        <f>IFERROR(INDEX(凭证录入!L:L,$H430),0)</f>
        <v>0</v>
      </c>
      <c r="G430" s="212"/>
      <c r="H430" s="192" t="str">
        <f t="shared" si="134"/>
        <v/>
      </c>
    </row>
    <row r="431" spans="1:9" s="45" customFormat="1" ht="19.5" customHeight="1" thickBot="1">
      <c r="A431" s="193"/>
      <c r="B431" s="194" t="s">
        <v>485</v>
      </c>
      <c r="C431" s="195" t="str">
        <f>SUBSTITUTE(SUBSTITUTE(IF(-DOLLAR(E431),IF(E431&gt;0,,"负")&amp;TEXT(INT(ABS(E431)+0.5%),"[dbnum2]G/通用格式元;;")&amp;TEXT(RIGHT(DOLLAR(E431),2),"[dbnum2]0角0分;;整"),),"零角",IF(E431^2&lt;1,,"零")),"零分","整")</f>
        <v/>
      </c>
      <c r="D431" s="196"/>
      <c r="E431" s="197">
        <f>SUM(E425:E430)</f>
        <v>0</v>
      </c>
      <c r="F431" s="197">
        <f>SUM(F425:F430)</f>
        <v>0</v>
      </c>
      <c r="G431" s="212"/>
      <c r="H431" s="192" t="str">
        <f t="shared" si="134"/>
        <v/>
      </c>
    </row>
    <row r="432" spans="1:9" s="199" customFormat="1" ht="19.5" customHeight="1">
      <c r="A432" s="45" t="s">
        <v>486</v>
      </c>
      <c r="B432" s="45" t="s">
        <v>487</v>
      </c>
      <c r="C432" s="45" t="s">
        <v>488</v>
      </c>
      <c r="D432" s="45" t="s">
        <v>504</v>
      </c>
      <c r="E432" s="45" t="s">
        <v>489</v>
      </c>
      <c r="F432" s="212" t="str">
        <f>IF($E431&lt;&gt;$F431,"借贷不平","")</f>
        <v/>
      </c>
      <c r="G432" s="183"/>
      <c r="H432" s="198" t="str">
        <f t="shared" si="134"/>
        <v/>
      </c>
    </row>
    <row r="433" spans="1:9" ht="37.5" customHeight="1">
      <c r="A433" s="177" t="s">
        <v>476</v>
      </c>
      <c r="B433" s="178"/>
      <c r="C433" s="179"/>
      <c r="D433" s="179"/>
      <c r="E433" s="178"/>
      <c r="F433" s="178"/>
      <c r="G433" s="212"/>
      <c r="H433" s="192" t="str">
        <f t="shared" si="134"/>
        <v/>
      </c>
    </row>
    <row r="434" spans="1:9" s="45" customFormat="1" ht="19.5" customHeight="1" thickBot="1">
      <c r="C434" s="180" t="e">
        <f>DATEVALUE("2010-"&amp;$H$1&amp;"-"&amp;INDEX(凭证录入!B:B,H437))</f>
        <v>#VALUE!</v>
      </c>
      <c r="D434" s="181"/>
      <c r="E434" s="182" t="s">
        <v>477</v>
      </c>
      <c r="F434" s="183" t="e">
        <f>N(LEFT((F422),3)+1)</f>
        <v>#VALUE!</v>
      </c>
      <c r="G434" s="212"/>
      <c r="H434" s="192" t="str">
        <f t="shared" si="134"/>
        <v/>
      </c>
      <c r="I434" s="184"/>
    </row>
    <row r="435" spans="1:9" s="45" customFormat="1" ht="19.5" customHeight="1" thickBot="1">
      <c r="A435" s="544" t="s">
        <v>478</v>
      </c>
      <c r="B435" s="545" t="s">
        <v>479</v>
      </c>
      <c r="C435" s="185" t="s">
        <v>480</v>
      </c>
      <c r="D435" s="186"/>
      <c r="E435" s="187"/>
      <c r="F435" s="482"/>
      <c r="G435" s="212"/>
      <c r="H435" s="192" t="str">
        <f t="shared" si="134"/>
        <v/>
      </c>
    </row>
    <row r="436" spans="1:9" s="45" customFormat="1" ht="19.5" customHeight="1" thickBot="1">
      <c r="A436" s="545"/>
      <c r="B436" s="546"/>
      <c r="C436" s="482" t="s">
        <v>481</v>
      </c>
      <c r="D436" s="482" t="s">
        <v>482</v>
      </c>
      <c r="E436" s="482" t="s">
        <v>483</v>
      </c>
      <c r="F436" s="482" t="s">
        <v>484</v>
      </c>
      <c r="G436" s="212"/>
      <c r="H436" s="192" t="str">
        <f t="shared" si="134"/>
        <v/>
      </c>
    </row>
    <row r="437" spans="1:9" s="45" customFormat="1" ht="19.5" customHeight="1" thickBot="1">
      <c r="A437" s="189" t="str">
        <f>IFERROR(INDEX(凭证录入!H:H,$H437),"")</f>
        <v/>
      </c>
      <c r="B437" s="189" t="str">
        <f>IFERROR(INDEX(凭证录入!I:I,$H437),"")</f>
        <v/>
      </c>
      <c r="C437" s="190" t="str">
        <f>IFERROR(VLOOKUP($B437,会计科目表!$A:$C,2,),"")</f>
        <v/>
      </c>
      <c r="D437" s="190" t="str">
        <f>IFERROR(VLOOKUP($B437,会计科目表!$A:$C,3,),"")</f>
        <v/>
      </c>
      <c r="E437" s="191">
        <f>IFERROR(INDEX(凭证录入!K:K,$H437),0)</f>
        <v>0</v>
      </c>
      <c r="F437" s="191">
        <f>IFERROR(INDEX(凭证录入!L:L,$H437),0)</f>
        <v>0</v>
      </c>
      <c r="G437" s="212"/>
      <c r="H437" s="192" t="str">
        <f t="shared" si="134"/>
        <v/>
      </c>
    </row>
    <row r="438" spans="1:9" s="45" customFormat="1" ht="19.5" customHeight="1" thickBot="1">
      <c r="A438" s="189" t="str">
        <f>IFERROR(INDEX(凭证录入!H:H,$H438),"")</f>
        <v/>
      </c>
      <c r="B438" s="189" t="str">
        <f>IFERROR(INDEX(凭证录入!I:I,$H438),"")</f>
        <v/>
      </c>
      <c r="C438" s="190" t="str">
        <f>IFERROR(VLOOKUP($B438,会计科目表!$A:$C,2,),"")</f>
        <v/>
      </c>
      <c r="D438" s="190" t="str">
        <f>IFERROR(VLOOKUP($B438,会计科目表!$A:$C,3,),"")</f>
        <v/>
      </c>
      <c r="E438" s="191">
        <f>IFERROR(INDEX(凭证录入!K:K,$H438),0)</f>
        <v>0</v>
      </c>
      <c r="F438" s="191">
        <f>IFERROR(INDEX(凭证录入!L:L,$H438),0)</f>
        <v>0</v>
      </c>
      <c r="G438" s="212" t="s">
        <v>490</v>
      </c>
      <c r="H438" s="192" t="str">
        <f t="shared" si="134"/>
        <v/>
      </c>
      <c r="I438" s="212"/>
    </row>
    <row r="439" spans="1:9" s="45" customFormat="1" ht="19.5" customHeight="1" thickBot="1">
      <c r="A439" s="189" t="str">
        <f>IFERROR(INDEX(凭证录入!H:H,$H439),"")</f>
        <v/>
      </c>
      <c r="B439" s="189" t="str">
        <f>IFERROR(INDEX(凭证录入!I:I,$H439),"")</f>
        <v/>
      </c>
      <c r="C439" s="190" t="str">
        <f>IFERROR(VLOOKUP($B439,会计科目表!$A:$C,2,),"")</f>
        <v/>
      </c>
      <c r="D439" s="190" t="str">
        <f>IFERROR(VLOOKUP($B439,会计科目表!$A:$C,3,),"")</f>
        <v/>
      </c>
      <c r="E439" s="191">
        <f>IFERROR(INDEX(凭证录入!K:K,$H439),0)</f>
        <v>0</v>
      </c>
      <c r="F439" s="191">
        <f>IFERROR(INDEX(凭证录入!L:L,$H439),0)</f>
        <v>0</v>
      </c>
      <c r="G439" s="212" t="s">
        <v>491</v>
      </c>
      <c r="H439" s="192" t="str">
        <f t="shared" si="134"/>
        <v/>
      </c>
      <c r="I439" s="212"/>
    </row>
    <row r="440" spans="1:9" s="45" customFormat="1" ht="19.5" customHeight="1" thickBot="1">
      <c r="A440" s="189" t="str">
        <f>IFERROR(INDEX(凭证录入!H:H,$H440),"")</f>
        <v/>
      </c>
      <c r="B440" s="189" t="str">
        <f>IFERROR(INDEX(凭证录入!I:I,$H440),"")</f>
        <v/>
      </c>
      <c r="C440" s="190" t="str">
        <f>IFERROR(VLOOKUP($B440,会计科目表!$A:$C,2,),"")</f>
        <v/>
      </c>
      <c r="D440" s="190" t="str">
        <f>IFERROR(VLOOKUP($B440,会计科目表!$A:$C,3,),"")</f>
        <v/>
      </c>
      <c r="E440" s="191">
        <f>IFERROR(INDEX(凭证录入!K:K,$H440),0)</f>
        <v>0</v>
      </c>
      <c r="F440" s="191">
        <f>IFERROR(INDEX(凭证录入!L:L,$H440),0)</f>
        <v>0</v>
      </c>
      <c r="G440" s="212" t="e">
        <f>INDEX(凭证录入!$D:$D,$H437)</f>
        <v>#VALUE!</v>
      </c>
      <c r="H440" s="192" t="str">
        <f t="shared" si="134"/>
        <v/>
      </c>
      <c r="I440" s="212"/>
    </row>
    <row r="441" spans="1:9" s="45" customFormat="1" ht="19.5" customHeight="1" thickBot="1">
      <c r="A441" s="189" t="str">
        <f>IFERROR(INDEX(凭证录入!H:H,$H441),"")</f>
        <v/>
      </c>
      <c r="B441" s="189" t="str">
        <f>IFERROR(INDEX(凭证录入!I:I,$H441),"")</f>
        <v/>
      </c>
      <c r="C441" s="190" t="str">
        <f>IFERROR(VLOOKUP($B441,会计科目表!$A:$C,2,),"")</f>
        <v/>
      </c>
      <c r="D441" s="190" t="str">
        <f>IFERROR(VLOOKUP($B441,会计科目表!$A:$C,3,),"")</f>
        <v/>
      </c>
      <c r="E441" s="191">
        <f>IFERROR(INDEX(凭证录入!K:K,$H441),0)</f>
        <v>0</v>
      </c>
      <c r="F441" s="191">
        <f>IFERROR(INDEX(凭证录入!L:L,$H441),0)</f>
        <v>0</v>
      </c>
      <c r="G441" s="212" t="s">
        <v>492</v>
      </c>
      <c r="H441" s="192" t="str">
        <f t="shared" si="134"/>
        <v/>
      </c>
    </row>
    <row r="442" spans="1:9" s="45" customFormat="1" ht="19.5" customHeight="1" thickBot="1">
      <c r="A442" s="189" t="str">
        <f>IFERROR(INDEX(凭证录入!H:H,$H442),"")</f>
        <v/>
      </c>
      <c r="B442" s="189" t="str">
        <f>IFERROR(INDEX(凭证录入!I:I,$H442),"")</f>
        <v/>
      </c>
      <c r="C442" s="190" t="str">
        <f>IFERROR(VLOOKUP($B442,会计科目表!$A:$C,2,),"")</f>
        <v/>
      </c>
      <c r="D442" s="190" t="str">
        <f>IFERROR(VLOOKUP($B442,会计科目表!$A:$C,3,),"")</f>
        <v/>
      </c>
      <c r="E442" s="191">
        <f>IFERROR(INDEX(凭证录入!K:K,$H442),0)</f>
        <v>0</v>
      </c>
      <c r="F442" s="191">
        <f>IFERROR(INDEX(凭证录入!L:L,$H442),0)</f>
        <v>0</v>
      </c>
      <c r="G442" s="212"/>
      <c r="H442" s="192" t="str">
        <f t="shared" si="134"/>
        <v/>
      </c>
    </row>
    <row r="443" spans="1:9" s="45" customFormat="1" ht="19.5" customHeight="1" thickBot="1">
      <c r="A443" s="193"/>
      <c r="B443" s="194" t="s">
        <v>485</v>
      </c>
      <c r="C443" s="195" t="str">
        <f>SUBSTITUTE(SUBSTITUTE(IF(-DOLLAR(E443),IF(E443&gt;0,,"负")&amp;TEXT(INT(ABS(E443)+0.5%),"[dbnum2]G/通用格式元;;")&amp;TEXT(RIGHT(DOLLAR(E443),2),"[dbnum2]0角0分;;整"),),"零角",IF(E443^2&lt;1,,"零")),"零分","整")</f>
        <v/>
      </c>
      <c r="D443" s="196"/>
      <c r="E443" s="197">
        <f>SUM(E437:E442)</f>
        <v>0</v>
      </c>
      <c r="F443" s="197">
        <f>SUM(F437:F442)</f>
        <v>0</v>
      </c>
      <c r="G443" s="212"/>
      <c r="H443" s="192" t="str">
        <f t="shared" si="134"/>
        <v/>
      </c>
    </row>
    <row r="444" spans="1:9" s="199" customFormat="1" ht="19.5" customHeight="1">
      <c r="A444" s="45" t="s">
        <v>486</v>
      </c>
      <c r="B444" s="45" t="s">
        <v>487</v>
      </c>
      <c r="C444" s="45" t="s">
        <v>488</v>
      </c>
      <c r="D444" s="45" t="s">
        <v>504</v>
      </c>
      <c r="E444" s="45" t="s">
        <v>489</v>
      </c>
      <c r="F444" s="212" t="str">
        <f>IF($E443&lt;&gt;$F443,"借贷不平","")</f>
        <v/>
      </c>
      <c r="G444" s="183"/>
      <c r="H444" s="198" t="str">
        <f t="shared" si="134"/>
        <v/>
      </c>
    </row>
    <row r="445" spans="1:9" ht="37.5" customHeight="1">
      <c r="A445" s="177" t="s">
        <v>476</v>
      </c>
      <c r="B445" s="178"/>
      <c r="C445" s="179"/>
      <c r="D445" s="179"/>
      <c r="E445" s="178"/>
      <c r="F445" s="178"/>
      <c r="G445" s="212"/>
      <c r="H445" s="192" t="str">
        <f t="shared" si="134"/>
        <v/>
      </c>
    </row>
    <row r="446" spans="1:9" s="45" customFormat="1" ht="19.5" customHeight="1" thickBot="1">
      <c r="C446" s="180" t="e">
        <f>DATEVALUE("2010-"&amp;$H$1&amp;"-"&amp;INDEX(凭证录入!B:B,H449))</f>
        <v>#VALUE!</v>
      </c>
      <c r="D446" s="181"/>
      <c r="E446" s="182" t="s">
        <v>477</v>
      </c>
      <c r="F446" s="183" t="e">
        <f>N(LEFT((F434),3)+1)</f>
        <v>#VALUE!</v>
      </c>
      <c r="G446" s="212"/>
      <c r="H446" s="192" t="str">
        <f t="shared" si="134"/>
        <v/>
      </c>
      <c r="I446" s="184"/>
    </row>
    <row r="447" spans="1:9" s="45" customFormat="1" ht="19.5" customHeight="1" thickBot="1">
      <c r="A447" s="544" t="s">
        <v>478</v>
      </c>
      <c r="B447" s="545" t="s">
        <v>479</v>
      </c>
      <c r="C447" s="185" t="s">
        <v>480</v>
      </c>
      <c r="D447" s="186"/>
      <c r="E447" s="187"/>
      <c r="F447" s="482"/>
      <c r="G447" s="212"/>
      <c r="H447" s="192" t="str">
        <f t="shared" si="134"/>
        <v/>
      </c>
    </row>
    <row r="448" spans="1:9" s="45" customFormat="1" ht="19.5" customHeight="1" thickBot="1">
      <c r="A448" s="545"/>
      <c r="B448" s="546"/>
      <c r="C448" s="482" t="s">
        <v>481</v>
      </c>
      <c r="D448" s="482" t="s">
        <v>482</v>
      </c>
      <c r="E448" s="482" t="s">
        <v>483</v>
      </c>
      <c r="F448" s="482" t="s">
        <v>484</v>
      </c>
      <c r="G448" s="212"/>
      <c r="H448" s="192" t="str">
        <f t="shared" si="134"/>
        <v/>
      </c>
    </row>
    <row r="449" spans="1:9" s="45" customFormat="1" ht="19.5" customHeight="1" thickBot="1">
      <c r="A449" s="189" t="str">
        <f>IFERROR(INDEX(凭证录入!H:H,$H449),"")</f>
        <v/>
      </c>
      <c r="B449" s="189" t="str">
        <f>IFERROR(INDEX(凭证录入!I:I,$H449),"")</f>
        <v/>
      </c>
      <c r="C449" s="190" t="str">
        <f>IFERROR(VLOOKUP($B449,会计科目表!$A:$C,2,),"")</f>
        <v/>
      </c>
      <c r="D449" s="190" t="str">
        <f>IFERROR(VLOOKUP($B449,会计科目表!$A:$C,3,),"")</f>
        <v/>
      </c>
      <c r="E449" s="191">
        <f>IFERROR(INDEX(凭证录入!K:K,$H449),0)</f>
        <v>0</v>
      </c>
      <c r="F449" s="191">
        <f>IFERROR(INDEX(凭证录入!L:L,$H449),0)</f>
        <v>0</v>
      </c>
      <c r="G449" s="212"/>
      <c r="H449" s="192" t="str">
        <f t="shared" si="134"/>
        <v/>
      </c>
    </row>
    <row r="450" spans="1:9" s="45" customFormat="1" ht="19.5" customHeight="1" thickBot="1">
      <c r="A450" s="189" t="str">
        <f>IFERROR(INDEX(凭证录入!H:H,$H450),"")</f>
        <v/>
      </c>
      <c r="B450" s="189" t="str">
        <f>IFERROR(INDEX(凭证录入!I:I,$H450),"")</f>
        <v/>
      </c>
      <c r="C450" s="190" t="str">
        <f>IFERROR(VLOOKUP($B450,会计科目表!$A:$C,2,),"")</f>
        <v/>
      </c>
      <c r="D450" s="190" t="str">
        <f>IFERROR(VLOOKUP($B450,会计科目表!$A:$C,3,),"")</f>
        <v/>
      </c>
      <c r="E450" s="191">
        <f>IFERROR(INDEX(凭证录入!K:K,$H450),0)</f>
        <v>0</v>
      </c>
      <c r="F450" s="191">
        <f>IFERROR(INDEX(凭证录入!L:L,$H450),0)</f>
        <v>0</v>
      </c>
      <c r="G450" s="212" t="s">
        <v>490</v>
      </c>
      <c r="H450" s="192" t="str">
        <f t="shared" si="134"/>
        <v/>
      </c>
      <c r="I450" s="212"/>
    </row>
    <row r="451" spans="1:9" s="45" customFormat="1" ht="19.5" customHeight="1" thickBot="1">
      <c r="A451" s="189" t="str">
        <f>IFERROR(INDEX(凭证录入!H:H,$H451),"")</f>
        <v/>
      </c>
      <c r="B451" s="189" t="str">
        <f>IFERROR(INDEX(凭证录入!I:I,$H451),"")</f>
        <v/>
      </c>
      <c r="C451" s="190" t="str">
        <f>IFERROR(VLOOKUP($B451,会计科目表!$A:$C,2,),"")</f>
        <v/>
      </c>
      <c r="D451" s="190" t="str">
        <f>IFERROR(VLOOKUP($B451,会计科目表!$A:$C,3,),"")</f>
        <v/>
      </c>
      <c r="E451" s="191">
        <f>IFERROR(INDEX(凭证录入!K:K,$H451),0)</f>
        <v>0</v>
      </c>
      <c r="F451" s="191">
        <f>IFERROR(INDEX(凭证录入!L:L,$H451),0)</f>
        <v>0</v>
      </c>
      <c r="G451" s="212" t="s">
        <v>491</v>
      </c>
      <c r="H451" s="192" t="str">
        <f t="shared" si="134"/>
        <v/>
      </c>
      <c r="I451" s="212"/>
    </row>
    <row r="452" spans="1:9" s="45" customFormat="1" ht="19.5" customHeight="1" thickBot="1">
      <c r="A452" s="189" t="str">
        <f>IFERROR(INDEX(凭证录入!H:H,$H452),"")</f>
        <v/>
      </c>
      <c r="B452" s="189" t="str">
        <f>IFERROR(INDEX(凭证录入!I:I,$H452),"")</f>
        <v/>
      </c>
      <c r="C452" s="190" t="str">
        <f>IFERROR(VLOOKUP($B452,会计科目表!$A:$C,2,),"")</f>
        <v/>
      </c>
      <c r="D452" s="190" t="str">
        <f>IFERROR(VLOOKUP($B452,会计科目表!$A:$C,3,),"")</f>
        <v/>
      </c>
      <c r="E452" s="191">
        <f>IFERROR(INDEX(凭证录入!K:K,$H452),0)</f>
        <v>0</v>
      </c>
      <c r="F452" s="191">
        <f>IFERROR(INDEX(凭证录入!L:L,$H452),0)</f>
        <v>0</v>
      </c>
      <c r="G452" s="212" t="e">
        <f>INDEX(凭证录入!$D:$D,$H449)</f>
        <v>#VALUE!</v>
      </c>
      <c r="H452" s="192" t="str">
        <f t="shared" si="134"/>
        <v/>
      </c>
      <c r="I452" s="212"/>
    </row>
    <row r="453" spans="1:9" s="45" customFormat="1" ht="19.5" customHeight="1" thickBot="1">
      <c r="A453" s="189" t="str">
        <f>IFERROR(INDEX(凭证录入!H:H,$H453),"")</f>
        <v/>
      </c>
      <c r="B453" s="189" t="str">
        <f>IFERROR(INDEX(凭证录入!I:I,$H453),"")</f>
        <v/>
      </c>
      <c r="C453" s="190" t="str">
        <f>IFERROR(VLOOKUP($B453,会计科目表!$A:$C,2,),"")</f>
        <v/>
      </c>
      <c r="D453" s="190" t="str">
        <f>IFERROR(VLOOKUP($B453,会计科目表!$A:$C,3,),"")</f>
        <v/>
      </c>
      <c r="E453" s="191">
        <f>IFERROR(INDEX(凭证录入!K:K,$H453),0)</f>
        <v>0</v>
      </c>
      <c r="F453" s="191">
        <f>IFERROR(INDEX(凭证录入!L:L,$H453),0)</f>
        <v>0</v>
      </c>
      <c r="G453" s="212" t="s">
        <v>492</v>
      </c>
      <c r="H453" s="192" t="str">
        <f t="shared" si="134"/>
        <v/>
      </c>
    </row>
    <row r="454" spans="1:9" s="45" customFormat="1" ht="19.5" customHeight="1" thickBot="1">
      <c r="A454" s="189" t="str">
        <f>IFERROR(INDEX(凭证录入!H:H,$H454),"")</f>
        <v/>
      </c>
      <c r="B454" s="189" t="str">
        <f>IFERROR(INDEX(凭证录入!I:I,$H454),"")</f>
        <v/>
      </c>
      <c r="C454" s="190" t="str">
        <f>IFERROR(VLOOKUP($B454,会计科目表!$A:$C,2,),"")</f>
        <v/>
      </c>
      <c r="D454" s="190" t="str">
        <f>IFERROR(VLOOKUP($B454,会计科目表!$A:$C,3,),"")</f>
        <v/>
      </c>
      <c r="E454" s="191">
        <f>IFERROR(INDEX(凭证录入!K:K,$H454),0)</f>
        <v>0</v>
      </c>
      <c r="F454" s="191">
        <f>IFERROR(INDEX(凭证录入!L:L,$H454),0)</f>
        <v>0</v>
      </c>
      <c r="G454" s="212"/>
      <c r="H454" s="192" t="str">
        <f t="shared" si="134"/>
        <v/>
      </c>
    </row>
    <row r="455" spans="1:9" s="45" customFormat="1" ht="19.5" customHeight="1" thickBot="1">
      <c r="A455" s="193"/>
      <c r="B455" s="194" t="s">
        <v>485</v>
      </c>
      <c r="C455" s="195" t="str">
        <f>SUBSTITUTE(SUBSTITUTE(IF(-DOLLAR(E455),IF(E455&gt;0,,"负")&amp;TEXT(INT(ABS(E455)+0.5%),"[dbnum2]G/通用格式元;;")&amp;TEXT(RIGHT(DOLLAR(E455),2),"[dbnum2]0角0分;;整"),),"零角",IF(E455^2&lt;1,,"零")),"零分","整")</f>
        <v/>
      </c>
      <c r="D455" s="196"/>
      <c r="E455" s="197">
        <f>SUM(E449:E454)</f>
        <v>0</v>
      </c>
      <c r="F455" s="197">
        <f>SUM(F449:F454)</f>
        <v>0</v>
      </c>
      <c r="G455" s="212"/>
      <c r="H455" s="192" t="str">
        <f t="shared" si="134"/>
        <v/>
      </c>
    </row>
    <row r="456" spans="1:9" s="199" customFormat="1" ht="19.5" customHeight="1">
      <c r="A456" s="45" t="s">
        <v>486</v>
      </c>
      <c r="B456" s="45" t="s">
        <v>487</v>
      </c>
      <c r="C456" s="45" t="s">
        <v>488</v>
      </c>
      <c r="D456" s="45" t="s">
        <v>504</v>
      </c>
      <c r="E456" s="45" t="s">
        <v>489</v>
      </c>
      <c r="F456" s="212" t="str">
        <f>IF($E455&lt;&gt;$F455,"借贷不平","")</f>
        <v/>
      </c>
      <c r="G456" s="183"/>
      <c r="H456" s="198" t="str">
        <f t="shared" si="134"/>
        <v/>
      </c>
    </row>
    <row r="457" spans="1:9" ht="37.5" customHeight="1">
      <c r="A457" s="177" t="s">
        <v>476</v>
      </c>
      <c r="B457" s="178"/>
      <c r="C457" s="179"/>
      <c r="D457" s="179"/>
      <c r="E457" s="178"/>
      <c r="F457" s="178"/>
      <c r="G457" s="212"/>
      <c r="H457" s="192" t="str">
        <f t="shared" si="134"/>
        <v/>
      </c>
    </row>
    <row r="458" spans="1:9" s="45" customFormat="1" ht="19.5" customHeight="1" thickBot="1">
      <c r="C458" s="180" t="e">
        <f>DATEVALUE("2010-"&amp;$H$1&amp;"-"&amp;INDEX(凭证录入!B:B,H461))</f>
        <v>#VALUE!</v>
      </c>
      <c r="D458" s="181"/>
      <c r="E458" s="182" t="s">
        <v>477</v>
      </c>
      <c r="F458" s="183" t="e">
        <f>N(LEFT((F446),3)+1)</f>
        <v>#VALUE!</v>
      </c>
      <c r="G458" s="212"/>
      <c r="H458" s="192" t="str">
        <f t="shared" si="134"/>
        <v/>
      </c>
      <c r="I458" s="184"/>
    </row>
    <row r="459" spans="1:9" s="45" customFormat="1" ht="19.5" customHeight="1" thickBot="1">
      <c r="A459" s="544" t="s">
        <v>478</v>
      </c>
      <c r="B459" s="545" t="s">
        <v>479</v>
      </c>
      <c r="C459" s="185" t="s">
        <v>480</v>
      </c>
      <c r="D459" s="186"/>
      <c r="E459" s="187"/>
      <c r="F459" s="482"/>
      <c r="G459" s="212"/>
      <c r="H459" s="192" t="str">
        <f t="shared" si="134"/>
        <v/>
      </c>
    </row>
    <row r="460" spans="1:9" s="45" customFormat="1" ht="19.5" customHeight="1" thickBot="1">
      <c r="A460" s="545"/>
      <c r="B460" s="546"/>
      <c r="C460" s="482" t="s">
        <v>481</v>
      </c>
      <c r="D460" s="482" t="s">
        <v>482</v>
      </c>
      <c r="E460" s="482" t="s">
        <v>483</v>
      </c>
      <c r="F460" s="482" t="s">
        <v>484</v>
      </c>
      <c r="G460" s="212"/>
      <c r="H460" s="192" t="str">
        <f t="shared" si="134"/>
        <v/>
      </c>
    </row>
    <row r="461" spans="1:9" s="45" customFormat="1" ht="19.5" customHeight="1" thickBot="1">
      <c r="A461" s="189" t="str">
        <f>IFERROR(INDEX(凭证录入!H:H,$H461),"")</f>
        <v/>
      </c>
      <c r="B461" s="189" t="str">
        <f>IFERROR(INDEX(凭证录入!I:I,$H461),"")</f>
        <v/>
      </c>
      <c r="C461" s="190" t="str">
        <f>IFERROR(VLOOKUP($B461,会计科目表!$A:$C,2,),"")</f>
        <v/>
      </c>
      <c r="D461" s="190" t="str">
        <f>IFERROR(VLOOKUP($B461,会计科目表!$A:$C,3,),"")</f>
        <v/>
      </c>
      <c r="E461" s="191">
        <f>IFERROR(INDEX(凭证录入!K:K,$H461),0)</f>
        <v>0</v>
      </c>
      <c r="F461" s="191">
        <f>IFERROR(INDEX(凭证录入!L:L,$H461),0)</f>
        <v>0</v>
      </c>
      <c r="G461" s="212"/>
      <c r="H461" s="192" t="str">
        <f t="shared" si="134"/>
        <v/>
      </c>
    </row>
    <row r="462" spans="1:9" s="45" customFormat="1" ht="19.5" customHeight="1" thickBot="1">
      <c r="A462" s="189" t="str">
        <f>IFERROR(INDEX(凭证录入!H:H,$H462),"")</f>
        <v/>
      </c>
      <c r="B462" s="189" t="str">
        <f>IFERROR(INDEX(凭证录入!I:I,$H462),"")</f>
        <v/>
      </c>
      <c r="C462" s="190" t="str">
        <f>IFERROR(VLOOKUP($B462,会计科目表!$A:$C,2,),"")</f>
        <v/>
      </c>
      <c r="D462" s="190" t="str">
        <f>IFERROR(VLOOKUP($B462,会计科目表!$A:$C,3,),"")</f>
        <v/>
      </c>
      <c r="E462" s="191">
        <f>IFERROR(INDEX(凭证录入!K:K,$H462),0)</f>
        <v>0</v>
      </c>
      <c r="F462" s="191">
        <f>IFERROR(INDEX(凭证录入!L:L,$H462),0)</f>
        <v>0</v>
      </c>
      <c r="G462" s="212" t="s">
        <v>490</v>
      </c>
      <c r="H462" s="192" t="str">
        <f t="shared" si="134"/>
        <v/>
      </c>
      <c r="I462" s="212"/>
    </row>
    <row r="463" spans="1:9" s="45" customFormat="1" ht="19.5" customHeight="1" thickBot="1">
      <c r="A463" s="189" t="str">
        <f>IFERROR(INDEX(凭证录入!H:H,$H463),"")</f>
        <v/>
      </c>
      <c r="B463" s="189" t="str">
        <f>IFERROR(INDEX(凭证录入!I:I,$H463),"")</f>
        <v/>
      </c>
      <c r="C463" s="190" t="str">
        <f>IFERROR(VLOOKUP($B463,会计科目表!$A:$C,2,),"")</f>
        <v/>
      </c>
      <c r="D463" s="190" t="str">
        <f>IFERROR(VLOOKUP($B463,会计科目表!$A:$C,3,),"")</f>
        <v/>
      </c>
      <c r="E463" s="191">
        <f>IFERROR(INDEX(凭证录入!K:K,$H463),0)</f>
        <v>0</v>
      </c>
      <c r="F463" s="191">
        <f>IFERROR(INDEX(凭证录入!L:L,$H463),0)</f>
        <v>0</v>
      </c>
      <c r="G463" s="212" t="s">
        <v>491</v>
      </c>
      <c r="H463" s="192" t="str">
        <f t="shared" si="134"/>
        <v/>
      </c>
      <c r="I463" s="212"/>
    </row>
    <row r="464" spans="1:9" s="45" customFormat="1" ht="19.5" customHeight="1" thickBot="1">
      <c r="A464" s="189" t="str">
        <f>IFERROR(INDEX(凭证录入!H:H,$H464),"")</f>
        <v/>
      </c>
      <c r="B464" s="189" t="str">
        <f>IFERROR(INDEX(凭证录入!I:I,$H464),"")</f>
        <v/>
      </c>
      <c r="C464" s="190" t="str">
        <f>IFERROR(VLOOKUP($B464,会计科目表!$A:$C,2,),"")</f>
        <v/>
      </c>
      <c r="D464" s="190" t="str">
        <f>IFERROR(VLOOKUP($B464,会计科目表!$A:$C,3,),"")</f>
        <v/>
      </c>
      <c r="E464" s="191">
        <f>IFERROR(INDEX(凭证录入!K:K,$H464),0)</f>
        <v>0</v>
      </c>
      <c r="F464" s="191">
        <f>IFERROR(INDEX(凭证录入!L:L,$H464),0)</f>
        <v>0</v>
      </c>
      <c r="G464" s="212" t="e">
        <f>INDEX(凭证录入!$D:$D,$H461)</f>
        <v>#VALUE!</v>
      </c>
      <c r="H464" s="192" t="str">
        <f t="shared" si="134"/>
        <v/>
      </c>
      <c r="I464" s="212"/>
    </row>
    <row r="465" spans="1:9" s="45" customFormat="1" ht="19.5" customHeight="1" thickBot="1">
      <c r="A465" s="189" t="str">
        <f>IFERROR(INDEX(凭证录入!H:H,$H465),"")</f>
        <v/>
      </c>
      <c r="B465" s="189" t="str">
        <f>IFERROR(INDEX(凭证录入!I:I,$H465),"")</f>
        <v/>
      </c>
      <c r="C465" s="190" t="str">
        <f>IFERROR(VLOOKUP($B465,会计科目表!$A:$C,2,),"")</f>
        <v/>
      </c>
      <c r="D465" s="190" t="str">
        <f>IFERROR(VLOOKUP($B465,会计科目表!$A:$C,3,),"")</f>
        <v/>
      </c>
      <c r="E465" s="191">
        <f>IFERROR(INDEX(凭证录入!K:K,$H465),0)</f>
        <v>0</v>
      </c>
      <c r="F465" s="191">
        <f>IFERROR(INDEX(凭证录入!L:L,$H465),0)</f>
        <v>0</v>
      </c>
      <c r="G465" s="212" t="s">
        <v>492</v>
      </c>
      <c r="H465" s="192" t="str">
        <f t="shared" si="134"/>
        <v/>
      </c>
    </row>
    <row r="466" spans="1:9" s="45" customFormat="1" ht="19.5" customHeight="1" thickBot="1">
      <c r="A466" s="189" t="str">
        <f>IFERROR(INDEX(凭证录入!H:H,$H466),"")</f>
        <v/>
      </c>
      <c r="B466" s="189" t="str">
        <f>IFERROR(INDEX(凭证录入!I:I,$H466),"")</f>
        <v/>
      </c>
      <c r="C466" s="190" t="str">
        <f>IFERROR(VLOOKUP($B466,会计科目表!$A:$C,2,),"")</f>
        <v/>
      </c>
      <c r="D466" s="190" t="str">
        <f>IFERROR(VLOOKUP($B466,会计科目表!$A:$C,3,),"")</f>
        <v/>
      </c>
      <c r="E466" s="191">
        <f>IFERROR(INDEX(凭证录入!K:K,$H466),0)</f>
        <v>0</v>
      </c>
      <c r="F466" s="191">
        <f>IFERROR(INDEX(凭证录入!L:L,$H466),0)</f>
        <v>0</v>
      </c>
      <c r="G466" s="212"/>
      <c r="H466" s="192" t="str">
        <f t="shared" si="134"/>
        <v/>
      </c>
    </row>
    <row r="467" spans="1:9" s="45" customFormat="1" ht="19.5" customHeight="1" thickBot="1">
      <c r="A467" s="193"/>
      <c r="B467" s="194" t="s">
        <v>485</v>
      </c>
      <c r="C467" s="195" t="str">
        <f>SUBSTITUTE(SUBSTITUTE(IF(-DOLLAR(E467),IF(E467&gt;0,,"负")&amp;TEXT(INT(ABS(E467)+0.5%),"[dbnum2]G/通用格式元;;")&amp;TEXT(RIGHT(DOLLAR(E467),2),"[dbnum2]0角0分;;整"),),"零角",IF(E467^2&lt;1,,"零")),"零分","整")</f>
        <v/>
      </c>
      <c r="D467" s="196"/>
      <c r="E467" s="197">
        <f>SUM(E461:E466)</f>
        <v>0</v>
      </c>
      <c r="F467" s="197">
        <f>SUM(F461:F466)</f>
        <v>0</v>
      </c>
      <c r="G467" s="212"/>
      <c r="H467" s="192" t="str">
        <f t="shared" si="134"/>
        <v/>
      </c>
    </row>
    <row r="468" spans="1:9" s="199" customFormat="1" ht="19.5" customHeight="1">
      <c r="A468" s="45" t="s">
        <v>486</v>
      </c>
      <c r="B468" s="45" t="s">
        <v>487</v>
      </c>
      <c r="C468" s="45" t="s">
        <v>488</v>
      </c>
      <c r="D468" s="45" t="s">
        <v>504</v>
      </c>
      <c r="E468" s="45" t="s">
        <v>489</v>
      </c>
      <c r="F468" s="212" t="str">
        <f>IF($E467&lt;&gt;$F467,"借贷不平","")</f>
        <v/>
      </c>
      <c r="G468" s="183"/>
      <c r="H468" s="198" t="str">
        <f t="shared" si="134"/>
        <v/>
      </c>
    </row>
    <row r="469" spans="1:9" ht="37.5" customHeight="1">
      <c r="A469" s="177" t="s">
        <v>476</v>
      </c>
      <c r="B469" s="178"/>
      <c r="C469" s="179"/>
      <c r="D469" s="179"/>
      <c r="E469" s="178"/>
      <c r="F469" s="178"/>
      <c r="G469" s="212"/>
      <c r="H469" s="192" t="str">
        <f t="shared" si="134"/>
        <v/>
      </c>
    </row>
    <row r="470" spans="1:9" s="45" customFormat="1" ht="19.5" customHeight="1" thickBot="1">
      <c r="C470" s="180" t="e">
        <f>DATEVALUE("2010-"&amp;$H$1&amp;"-"&amp;INDEX(凭证录入!B:B,H473))</f>
        <v>#VALUE!</v>
      </c>
      <c r="D470" s="181"/>
      <c r="E470" s="182" t="s">
        <v>477</v>
      </c>
      <c r="F470" s="183" t="e">
        <f>N(LEFT((F458),3)+1)</f>
        <v>#VALUE!</v>
      </c>
      <c r="G470" s="212"/>
      <c r="H470" s="192" t="str">
        <f t="shared" si="134"/>
        <v/>
      </c>
      <c r="I470" s="184"/>
    </row>
    <row r="471" spans="1:9" s="45" customFormat="1" ht="19.5" customHeight="1" thickBot="1">
      <c r="A471" s="544" t="s">
        <v>478</v>
      </c>
      <c r="B471" s="545" t="s">
        <v>479</v>
      </c>
      <c r="C471" s="185" t="s">
        <v>480</v>
      </c>
      <c r="D471" s="186"/>
      <c r="E471" s="187"/>
      <c r="F471" s="482"/>
      <c r="G471" s="212"/>
      <c r="H471" s="192" t="str">
        <f t="shared" si="134"/>
        <v/>
      </c>
    </row>
    <row r="472" spans="1:9" s="45" customFormat="1" ht="19.5" customHeight="1" thickBot="1">
      <c r="A472" s="545"/>
      <c r="B472" s="546"/>
      <c r="C472" s="482" t="s">
        <v>481</v>
      </c>
      <c r="D472" s="482" t="s">
        <v>482</v>
      </c>
      <c r="E472" s="482" t="s">
        <v>483</v>
      </c>
      <c r="F472" s="482" t="s">
        <v>484</v>
      </c>
      <c r="G472" s="212"/>
      <c r="H472" s="192" t="str">
        <f t="shared" si="134"/>
        <v/>
      </c>
    </row>
    <row r="473" spans="1:9" s="45" customFormat="1" ht="19.5" customHeight="1" thickBot="1">
      <c r="A473" s="189" t="str">
        <f>IFERROR(INDEX(凭证录入!H:H,$H473),"")</f>
        <v/>
      </c>
      <c r="B473" s="189" t="str">
        <f>IFERROR(INDEX(凭证录入!I:I,$H473),"")</f>
        <v/>
      </c>
      <c r="C473" s="190" t="str">
        <f>IFERROR(VLOOKUP($B473,会计科目表!$A:$C,2,),"")</f>
        <v/>
      </c>
      <c r="D473" s="190" t="str">
        <f>IFERROR(VLOOKUP($B473,会计科目表!$A:$C,3,),"")</f>
        <v/>
      </c>
      <c r="E473" s="191">
        <f>IFERROR(INDEX(凭证录入!K:K,$H473),0)</f>
        <v>0</v>
      </c>
      <c r="F473" s="191">
        <f>IFERROR(INDEX(凭证录入!L:L,$H473),0)</f>
        <v>0</v>
      </c>
      <c r="G473" s="212"/>
      <c r="H473" s="192" t="str">
        <f t="shared" si="134"/>
        <v/>
      </c>
    </row>
    <row r="474" spans="1:9" s="45" customFormat="1" ht="19.5" customHeight="1" thickBot="1">
      <c r="A474" s="189" t="str">
        <f>IFERROR(INDEX(凭证录入!H:H,$H474),"")</f>
        <v/>
      </c>
      <c r="B474" s="189" t="str">
        <f>IFERROR(INDEX(凭证录入!I:I,$H474),"")</f>
        <v/>
      </c>
      <c r="C474" s="190" t="str">
        <f>IFERROR(VLOOKUP($B474,会计科目表!$A:$C,2,),"")</f>
        <v/>
      </c>
      <c r="D474" s="190" t="str">
        <f>IFERROR(VLOOKUP($B474,会计科目表!$A:$C,3,),"")</f>
        <v/>
      </c>
      <c r="E474" s="191">
        <f>IFERROR(INDEX(凭证录入!K:K,$H474),0)</f>
        <v>0</v>
      </c>
      <c r="F474" s="191">
        <f>IFERROR(INDEX(凭证录入!L:L,$H474),0)</f>
        <v>0</v>
      </c>
      <c r="G474" s="212" t="s">
        <v>490</v>
      </c>
      <c r="H474" s="192" t="str">
        <f t="shared" si="134"/>
        <v/>
      </c>
      <c r="I474" s="212"/>
    </row>
    <row r="475" spans="1:9" s="45" customFormat="1" ht="19.5" customHeight="1" thickBot="1">
      <c r="A475" s="189" t="str">
        <f>IFERROR(INDEX(凭证录入!H:H,$H475),"")</f>
        <v/>
      </c>
      <c r="B475" s="189" t="str">
        <f>IFERROR(INDEX(凭证录入!I:I,$H475),"")</f>
        <v/>
      </c>
      <c r="C475" s="190" t="str">
        <f>IFERROR(VLOOKUP($B475,会计科目表!$A:$C,2,),"")</f>
        <v/>
      </c>
      <c r="D475" s="190" t="str">
        <f>IFERROR(VLOOKUP($B475,会计科目表!$A:$C,3,),"")</f>
        <v/>
      </c>
      <c r="E475" s="191">
        <f>IFERROR(INDEX(凭证录入!K:K,$H475),0)</f>
        <v>0</v>
      </c>
      <c r="F475" s="191">
        <f>IFERROR(INDEX(凭证录入!L:L,$H475),0)</f>
        <v>0</v>
      </c>
      <c r="G475" s="212" t="s">
        <v>491</v>
      </c>
      <c r="H475" s="192" t="str">
        <f t="shared" si="134"/>
        <v/>
      </c>
      <c r="I475" s="212"/>
    </row>
    <row r="476" spans="1:9" s="45" customFormat="1" ht="19.5" customHeight="1" thickBot="1">
      <c r="A476" s="189" t="str">
        <f>IFERROR(INDEX(凭证录入!H:H,$H476),"")</f>
        <v/>
      </c>
      <c r="B476" s="189" t="str">
        <f>IFERROR(INDEX(凭证录入!I:I,$H476),"")</f>
        <v/>
      </c>
      <c r="C476" s="190" t="str">
        <f>IFERROR(VLOOKUP($B476,会计科目表!$A:$C,2,),"")</f>
        <v/>
      </c>
      <c r="D476" s="190" t="str">
        <f>IFERROR(VLOOKUP($B476,会计科目表!$A:$C,3,),"")</f>
        <v/>
      </c>
      <c r="E476" s="191">
        <f>IFERROR(INDEX(凭证录入!K:K,$H476),0)</f>
        <v>0</v>
      </c>
      <c r="F476" s="191">
        <f>IFERROR(INDEX(凭证录入!L:L,$H476),0)</f>
        <v>0</v>
      </c>
      <c r="G476" s="212" t="e">
        <f>INDEX(凭证录入!$D:$D,$H473)</f>
        <v>#VALUE!</v>
      </c>
      <c r="H476" s="192" t="str">
        <f t="shared" si="134"/>
        <v/>
      </c>
      <c r="I476" s="212"/>
    </row>
    <row r="477" spans="1:9" s="45" customFormat="1" ht="19.5" customHeight="1" thickBot="1">
      <c r="A477" s="189" t="str">
        <f>IFERROR(INDEX(凭证录入!H:H,$H477),"")</f>
        <v/>
      </c>
      <c r="B477" s="189" t="str">
        <f>IFERROR(INDEX(凭证录入!I:I,$H477),"")</f>
        <v/>
      </c>
      <c r="C477" s="190" t="str">
        <f>IFERROR(VLOOKUP($B477,会计科目表!$A:$C,2,),"")</f>
        <v/>
      </c>
      <c r="D477" s="190" t="str">
        <f>IFERROR(VLOOKUP($B477,会计科目表!$A:$C,3,),"")</f>
        <v/>
      </c>
      <c r="E477" s="191">
        <f>IFERROR(INDEX(凭证录入!K:K,$H477),0)</f>
        <v>0</v>
      </c>
      <c r="F477" s="191">
        <f>IFERROR(INDEX(凭证录入!L:L,$H477),0)</f>
        <v>0</v>
      </c>
      <c r="G477" s="212" t="s">
        <v>492</v>
      </c>
      <c r="H477" s="192" t="str">
        <f t="shared" si="134"/>
        <v/>
      </c>
    </row>
    <row r="478" spans="1:9" s="45" customFormat="1" ht="19.5" customHeight="1" thickBot="1">
      <c r="A478" s="189" t="str">
        <f>IFERROR(INDEX(凭证录入!H:H,$H478),"")</f>
        <v/>
      </c>
      <c r="B478" s="189" t="str">
        <f>IFERROR(INDEX(凭证录入!I:I,$H478),"")</f>
        <v/>
      </c>
      <c r="C478" s="190" t="str">
        <f>IFERROR(VLOOKUP($B478,会计科目表!$A:$C,2,),"")</f>
        <v/>
      </c>
      <c r="D478" s="190" t="str">
        <f>IFERROR(VLOOKUP($B478,会计科目表!$A:$C,3,),"")</f>
        <v/>
      </c>
      <c r="E478" s="191">
        <f>IFERROR(INDEX(凭证录入!K:K,$H478),0)</f>
        <v>0</v>
      </c>
      <c r="F478" s="191">
        <f>IFERROR(INDEX(凭证录入!L:L,$H478),0)</f>
        <v>0</v>
      </c>
      <c r="G478" s="212"/>
      <c r="H478" s="192" t="str">
        <f t="shared" si="134"/>
        <v/>
      </c>
    </row>
    <row r="479" spans="1:9" s="45" customFormat="1" ht="19.5" customHeight="1" thickBot="1">
      <c r="A479" s="193"/>
      <c r="B479" s="194" t="s">
        <v>485</v>
      </c>
      <c r="C479" s="195" t="str">
        <f>SUBSTITUTE(SUBSTITUTE(IF(-DOLLAR(E479),IF(E479&gt;0,,"负")&amp;TEXT(INT(ABS(E479)+0.5%),"[dbnum2]G/通用格式元;;")&amp;TEXT(RIGHT(DOLLAR(E479),2),"[dbnum2]0角0分;;整"),),"零角",IF(E479^2&lt;1,,"零")),"零分","整")</f>
        <v/>
      </c>
      <c r="D479" s="196"/>
      <c r="E479" s="197">
        <f>SUM(E473:E478)</f>
        <v>0</v>
      </c>
      <c r="F479" s="197">
        <f>SUM(F473:F478)</f>
        <v>0</v>
      </c>
      <c r="G479" s="212"/>
      <c r="H479" s="192" t="str">
        <f t="shared" si="134"/>
        <v/>
      </c>
    </row>
    <row r="480" spans="1:9" s="199" customFormat="1" ht="19.5" customHeight="1">
      <c r="A480" s="45" t="s">
        <v>486</v>
      </c>
      <c r="B480" s="45" t="s">
        <v>487</v>
      </c>
      <c r="C480" s="45" t="s">
        <v>488</v>
      </c>
      <c r="D480" s="45" t="s">
        <v>504</v>
      </c>
      <c r="E480" s="45" t="s">
        <v>489</v>
      </c>
      <c r="F480" s="212" t="str">
        <f>IF($E479&lt;&gt;$F479,"借贷不平","")</f>
        <v/>
      </c>
      <c r="G480" s="183"/>
      <c r="H480" s="198" t="str">
        <f t="shared" si="134"/>
        <v/>
      </c>
    </row>
    <row r="481" spans="1:9" ht="37.5" customHeight="1">
      <c r="A481" s="177" t="s">
        <v>493</v>
      </c>
      <c r="B481" s="178"/>
      <c r="C481" s="179"/>
      <c r="D481" s="179"/>
      <c r="E481" s="178"/>
      <c r="F481" s="178"/>
      <c r="G481" s="212"/>
      <c r="H481" s="192" t="str">
        <f t="shared" si="134"/>
        <v/>
      </c>
    </row>
    <row r="482" spans="1:9" s="45" customFormat="1" ht="19.5" customHeight="1" thickBot="1">
      <c r="C482" s="180" t="e">
        <f>DATEVALUE("2010-"&amp;$H$1&amp;"-"&amp;INDEX(凭证录入!B:B,H485))</f>
        <v>#VALUE!</v>
      </c>
      <c r="D482" s="181"/>
      <c r="E482" s="182" t="s">
        <v>477</v>
      </c>
      <c r="F482" s="183" t="e">
        <f>N(LEFT((F470),3)+1)</f>
        <v>#VALUE!</v>
      </c>
      <c r="G482" s="212"/>
      <c r="H482" s="192" t="str">
        <f t="shared" si="134"/>
        <v/>
      </c>
      <c r="I482" s="184"/>
    </row>
    <row r="483" spans="1:9" s="45" customFormat="1" ht="19.5" customHeight="1" thickBot="1">
      <c r="A483" s="544" t="s">
        <v>494</v>
      </c>
      <c r="B483" s="545" t="s">
        <v>495</v>
      </c>
      <c r="C483" s="185" t="s">
        <v>496</v>
      </c>
      <c r="D483" s="186"/>
      <c r="E483" s="187"/>
      <c r="F483" s="482"/>
      <c r="G483" s="212"/>
      <c r="H483" s="192" t="str">
        <f t="shared" si="134"/>
        <v/>
      </c>
    </row>
    <row r="484" spans="1:9" s="45" customFormat="1" ht="19.5" customHeight="1" thickBot="1">
      <c r="A484" s="545"/>
      <c r="B484" s="546"/>
      <c r="C484" s="482" t="s">
        <v>497</v>
      </c>
      <c r="D484" s="482" t="s">
        <v>498</v>
      </c>
      <c r="E484" s="482" t="s">
        <v>499</v>
      </c>
      <c r="F484" s="482" t="s">
        <v>500</v>
      </c>
      <c r="G484" s="212"/>
      <c r="H484" s="192" t="str">
        <f t="shared" si="134"/>
        <v/>
      </c>
    </row>
    <row r="485" spans="1:9" s="45" customFormat="1" ht="19.5" customHeight="1" thickBot="1">
      <c r="A485" s="189" t="str">
        <f>IFERROR(INDEX(凭证录入!H:H,$H485),"")</f>
        <v/>
      </c>
      <c r="B485" s="189" t="str">
        <f>IFERROR(INDEX(凭证录入!I:I,$H485),"")</f>
        <v/>
      </c>
      <c r="C485" s="190" t="str">
        <f>IFERROR(VLOOKUP($B485,会计科目表!$A:$C,2,),"")</f>
        <v/>
      </c>
      <c r="D485" s="190" t="str">
        <f>IFERROR(VLOOKUP($B485,会计科目表!$A:$C,3,),"")</f>
        <v/>
      </c>
      <c r="E485" s="191">
        <f>IFERROR(INDEX(凭证录入!K:K,$H485),0)</f>
        <v>0</v>
      </c>
      <c r="F485" s="191">
        <f>IFERROR(INDEX(凭证录入!L:L,$H485),0)</f>
        <v>0</v>
      </c>
      <c r="G485" s="212"/>
      <c r="H485" s="192" t="str">
        <f t="shared" si="134"/>
        <v/>
      </c>
    </row>
    <row r="486" spans="1:9" s="45" customFormat="1" ht="19.5" customHeight="1" thickBot="1">
      <c r="A486" s="189" t="str">
        <f>IFERROR(INDEX(凭证录入!H:H,$H486),"")</f>
        <v/>
      </c>
      <c r="B486" s="189" t="str">
        <f>IFERROR(INDEX(凭证录入!I:I,$H486),"")</f>
        <v/>
      </c>
      <c r="C486" s="190" t="str">
        <f>IFERROR(VLOOKUP($B486,会计科目表!$A:$C,2,),"")</f>
        <v/>
      </c>
      <c r="D486" s="190" t="str">
        <f>IFERROR(VLOOKUP($B486,会计科目表!$A:$C,3,),"")</f>
        <v/>
      </c>
      <c r="E486" s="191">
        <f>IFERROR(INDEX(凭证录入!K:K,$H486),0)</f>
        <v>0</v>
      </c>
      <c r="F486" s="191">
        <f>IFERROR(INDEX(凭证录入!L:L,$H486),0)</f>
        <v>0</v>
      </c>
      <c r="G486" s="212" t="s">
        <v>490</v>
      </c>
      <c r="H486" s="192" t="str">
        <f t="shared" si="134"/>
        <v/>
      </c>
      <c r="I486" s="212"/>
    </row>
    <row r="487" spans="1:9" s="45" customFormat="1" ht="19.5" customHeight="1" thickBot="1">
      <c r="A487" s="189" t="str">
        <f>IFERROR(INDEX(凭证录入!H:H,$H487),"")</f>
        <v/>
      </c>
      <c r="B487" s="189" t="str">
        <f>IFERROR(INDEX(凭证录入!I:I,$H487),"")</f>
        <v/>
      </c>
      <c r="C487" s="190" t="str">
        <f>IFERROR(VLOOKUP($B487,会计科目表!$A:$C,2,),"")</f>
        <v/>
      </c>
      <c r="D487" s="190" t="str">
        <f>IFERROR(VLOOKUP($B487,会计科目表!$A:$C,3,),"")</f>
        <v/>
      </c>
      <c r="E487" s="191">
        <f>IFERROR(INDEX(凭证录入!K:K,$H487),0)</f>
        <v>0</v>
      </c>
      <c r="F487" s="191">
        <f>IFERROR(INDEX(凭证录入!L:L,$H487),0)</f>
        <v>0</v>
      </c>
      <c r="G487" s="212" t="s">
        <v>491</v>
      </c>
      <c r="H487" s="192" t="str">
        <f t="shared" si="134"/>
        <v/>
      </c>
      <c r="I487" s="212"/>
    </row>
    <row r="488" spans="1:9" s="45" customFormat="1" ht="19.5" customHeight="1" thickBot="1">
      <c r="A488" s="189" t="str">
        <f>IFERROR(INDEX(凭证录入!H:H,$H488),"")</f>
        <v/>
      </c>
      <c r="B488" s="189" t="str">
        <f>IFERROR(INDEX(凭证录入!I:I,$H488),"")</f>
        <v/>
      </c>
      <c r="C488" s="190" t="str">
        <f>IFERROR(VLOOKUP($B488,会计科目表!$A:$C,2,),"")</f>
        <v/>
      </c>
      <c r="D488" s="190" t="str">
        <f>IFERROR(VLOOKUP($B488,会计科目表!$A:$C,3,),"")</f>
        <v/>
      </c>
      <c r="E488" s="191">
        <f>IFERROR(INDEX(凭证录入!K:K,$H488),0)</f>
        <v>0</v>
      </c>
      <c r="F488" s="191">
        <f>IFERROR(INDEX(凭证录入!L:L,$H488),0)</f>
        <v>0</v>
      </c>
      <c r="G488" s="212" t="e">
        <f>INDEX(凭证录入!$D:$D,$H485)</f>
        <v>#VALUE!</v>
      </c>
      <c r="H488" s="192" t="str">
        <f t="shared" si="134"/>
        <v/>
      </c>
      <c r="I488" s="212"/>
    </row>
    <row r="489" spans="1:9" s="45" customFormat="1" ht="19.5" customHeight="1" thickBot="1">
      <c r="A489" s="189" t="str">
        <f>IFERROR(INDEX(凭证录入!H:H,$H489),"")</f>
        <v/>
      </c>
      <c r="B489" s="189" t="str">
        <f>IFERROR(INDEX(凭证录入!I:I,$H489),"")</f>
        <v/>
      </c>
      <c r="C489" s="190" t="str">
        <f>IFERROR(VLOOKUP($B489,会计科目表!$A:$C,2,),"")</f>
        <v/>
      </c>
      <c r="D489" s="190" t="str">
        <f>IFERROR(VLOOKUP($B489,会计科目表!$A:$C,3,),"")</f>
        <v/>
      </c>
      <c r="E489" s="191">
        <f>IFERROR(INDEX(凭证录入!K:K,$H489),0)</f>
        <v>0</v>
      </c>
      <c r="F489" s="191">
        <f>IFERROR(INDEX(凭证录入!L:L,$H489),0)</f>
        <v>0</v>
      </c>
      <c r="G489" s="212" t="s">
        <v>492</v>
      </c>
      <c r="H489" s="192" t="str">
        <f t="shared" ref="H489:H552" si="135">IFERROR(INDEX(行号,TEXT(MOD(ROW(),12)-4,"[=]A")),"")</f>
        <v/>
      </c>
    </row>
    <row r="490" spans="1:9" s="45" customFormat="1" ht="19.5" customHeight="1" thickBot="1">
      <c r="A490" s="189" t="str">
        <f>IFERROR(INDEX(凭证录入!H:H,$H490),"")</f>
        <v/>
      </c>
      <c r="B490" s="189" t="str">
        <f>IFERROR(INDEX(凭证录入!I:I,$H490),"")</f>
        <v/>
      </c>
      <c r="C490" s="190" t="str">
        <f>IFERROR(VLOOKUP($B490,会计科目表!$A:$C,2,),"")</f>
        <v/>
      </c>
      <c r="D490" s="190" t="str">
        <f>IFERROR(VLOOKUP($B490,会计科目表!$A:$C,3,),"")</f>
        <v/>
      </c>
      <c r="E490" s="191">
        <f>IFERROR(INDEX(凭证录入!K:K,$H490),0)</f>
        <v>0</v>
      </c>
      <c r="F490" s="191">
        <f>IFERROR(INDEX(凭证录入!L:L,$H490),0)</f>
        <v>0</v>
      </c>
      <c r="G490" s="212"/>
      <c r="H490" s="192" t="str">
        <f t="shared" si="135"/>
        <v/>
      </c>
    </row>
    <row r="491" spans="1:9" s="45" customFormat="1" ht="19.5" customHeight="1" thickBot="1">
      <c r="A491" s="193"/>
      <c r="B491" s="194" t="s">
        <v>485</v>
      </c>
      <c r="C491" s="195" t="str">
        <f>SUBSTITUTE(SUBSTITUTE(IF(-DOLLAR(E491),IF(E491&gt;0,,"负")&amp;TEXT(INT(ABS(E491)+0.5%),"[dbnum2]G/通用格式元;;")&amp;TEXT(RIGHT(DOLLAR(E491),2),"[dbnum2]0角0分;;整"),),"零角",IF(E491^2&lt;1,,"零")),"零分","整")</f>
        <v/>
      </c>
      <c r="D491" s="196"/>
      <c r="E491" s="197">
        <f>SUM(E485:E490)</f>
        <v>0</v>
      </c>
      <c r="F491" s="197">
        <f>SUM(F485:F490)</f>
        <v>0</v>
      </c>
      <c r="G491" s="212"/>
      <c r="H491" s="192" t="str">
        <f t="shared" si="135"/>
        <v/>
      </c>
    </row>
    <row r="492" spans="1:9" s="199" customFormat="1" ht="19.5" customHeight="1">
      <c r="A492" s="45" t="s">
        <v>486</v>
      </c>
      <c r="B492" s="45" t="s">
        <v>487</v>
      </c>
      <c r="C492" s="45" t="s">
        <v>488</v>
      </c>
      <c r="D492" s="45" t="s">
        <v>504</v>
      </c>
      <c r="E492" s="45" t="s">
        <v>489</v>
      </c>
      <c r="F492" s="212" t="str">
        <f>IF($E491&lt;&gt;$F491,"借贷不平","")</f>
        <v/>
      </c>
      <c r="G492" s="183"/>
      <c r="H492" s="198" t="str">
        <f t="shared" si="135"/>
        <v/>
      </c>
    </row>
    <row r="493" spans="1:9" ht="37.5" customHeight="1">
      <c r="A493" s="177" t="s">
        <v>493</v>
      </c>
      <c r="B493" s="178"/>
      <c r="C493" s="179"/>
      <c r="D493" s="179"/>
      <c r="E493" s="178"/>
      <c r="F493" s="178"/>
      <c r="G493" s="212"/>
      <c r="H493" s="192" t="str">
        <f t="shared" si="135"/>
        <v/>
      </c>
    </row>
    <row r="494" spans="1:9" s="45" customFormat="1" ht="19.5" customHeight="1" thickBot="1">
      <c r="C494" s="180" t="e">
        <f>DATEVALUE("2010-"&amp;$H$1&amp;"-"&amp;INDEX(凭证录入!B:B,H497))</f>
        <v>#VALUE!</v>
      </c>
      <c r="D494" s="181"/>
      <c r="E494" s="182" t="s">
        <v>477</v>
      </c>
      <c r="F494" s="183" t="e">
        <f>N(LEFT((F482),3)+1)</f>
        <v>#VALUE!</v>
      </c>
      <c r="G494" s="212"/>
      <c r="H494" s="192" t="str">
        <f t="shared" si="135"/>
        <v/>
      </c>
      <c r="I494" s="184"/>
    </row>
    <row r="495" spans="1:9" s="45" customFormat="1" ht="19.5" customHeight="1" thickBot="1">
      <c r="A495" s="544" t="s">
        <v>494</v>
      </c>
      <c r="B495" s="545" t="s">
        <v>495</v>
      </c>
      <c r="C495" s="185" t="s">
        <v>496</v>
      </c>
      <c r="D495" s="186"/>
      <c r="E495" s="187"/>
      <c r="F495" s="482"/>
      <c r="G495" s="212"/>
      <c r="H495" s="192" t="str">
        <f t="shared" si="135"/>
        <v/>
      </c>
    </row>
    <row r="496" spans="1:9" s="45" customFormat="1" ht="19.5" customHeight="1" thickBot="1">
      <c r="A496" s="545"/>
      <c r="B496" s="546"/>
      <c r="C496" s="482" t="s">
        <v>497</v>
      </c>
      <c r="D496" s="482" t="s">
        <v>498</v>
      </c>
      <c r="E496" s="482" t="s">
        <v>499</v>
      </c>
      <c r="F496" s="482" t="s">
        <v>500</v>
      </c>
      <c r="G496" s="212"/>
      <c r="H496" s="192" t="str">
        <f t="shared" si="135"/>
        <v/>
      </c>
    </row>
    <row r="497" spans="1:9" s="45" customFormat="1" ht="19.5" customHeight="1" thickBot="1">
      <c r="A497" s="189" t="str">
        <f>IFERROR(INDEX(凭证录入!H:H,$H497),"")</f>
        <v/>
      </c>
      <c r="B497" s="189" t="str">
        <f>IFERROR(INDEX(凭证录入!I:I,$H497),"")</f>
        <v/>
      </c>
      <c r="C497" s="190" t="str">
        <f>IFERROR(VLOOKUP($B497,会计科目表!$A:$C,2,),"")</f>
        <v/>
      </c>
      <c r="D497" s="190" t="str">
        <f>IFERROR(VLOOKUP($B497,会计科目表!$A:$C,3,),"")</f>
        <v/>
      </c>
      <c r="E497" s="191">
        <f>IFERROR(INDEX(凭证录入!K:K,$H497),0)</f>
        <v>0</v>
      </c>
      <c r="F497" s="191">
        <f>IFERROR(INDEX(凭证录入!L:L,$H497),0)</f>
        <v>0</v>
      </c>
      <c r="G497" s="212"/>
      <c r="H497" s="192" t="str">
        <f t="shared" si="135"/>
        <v/>
      </c>
    </row>
    <row r="498" spans="1:9" s="45" customFormat="1" ht="19.5" customHeight="1" thickBot="1">
      <c r="A498" s="189" t="str">
        <f>IFERROR(INDEX(凭证录入!H:H,$H498),"")</f>
        <v/>
      </c>
      <c r="B498" s="189" t="str">
        <f>IFERROR(INDEX(凭证录入!I:I,$H498),"")</f>
        <v/>
      </c>
      <c r="C498" s="190" t="str">
        <f>IFERROR(VLOOKUP($B498,会计科目表!$A:$C,2,),"")</f>
        <v/>
      </c>
      <c r="D498" s="190" t="str">
        <f>IFERROR(VLOOKUP($B498,会计科目表!$A:$C,3,),"")</f>
        <v/>
      </c>
      <c r="E498" s="191">
        <f>IFERROR(INDEX(凭证录入!K:K,$H498),0)</f>
        <v>0</v>
      </c>
      <c r="F498" s="191">
        <f>IFERROR(INDEX(凭证录入!L:L,$H498),0)</f>
        <v>0</v>
      </c>
      <c r="G498" s="212" t="s">
        <v>490</v>
      </c>
      <c r="H498" s="192" t="str">
        <f t="shared" si="135"/>
        <v/>
      </c>
      <c r="I498" s="212"/>
    </row>
    <row r="499" spans="1:9" s="45" customFormat="1" ht="19.5" customHeight="1" thickBot="1">
      <c r="A499" s="189" t="str">
        <f>IFERROR(INDEX(凭证录入!H:H,$H499),"")</f>
        <v/>
      </c>
      <c r="B499" s="189" t="str">
        <f>IFERROR(INDEX(凭证录入!I:I,$H499),"")</f>
        <v/>
      </c>
      <c r="C499" s="190" t="str">
        <f>IFERROR(VLOOKUP($B499,会计科目表!$A:$C,2,),"")</f>
        <v/>
      </c>
      <c r="D499" s="190" t="str">
        <f>IFERROR(VLOOKUP($B499,会计科目表!$A:$C,3,),"")</f>
        <v/>
      </c>
      <c r="E499" s="191">
        <f>IFERROR(INDEX(凭证录入!K:K,$H499),0)</f>
        <v>0</v>
      </c>
      <c r="F499" s="191">
        <f>IFERROR(INDEX(凭证录入!L:L,$H499),0)</f>
        <v>0</v>
      </c>
      <c r="G499" s="212" t="s">
        <v>491</v>
      </c>
      <c r="H499" s="192" t="str">
        <f t="shared" si="135"/>
        <v/>
      </c>
      <c r="I499" s="212"/>
    </row>
    <row r="500" spans="1:9" s="45" customFormat="1" ht="19.5" customHeight="1" thickBot="1">
      <c r="A500" s="189" t="str">
        <f>IFERROR(INDEX(凭证录入!H:H,$H500),"")</f>
        <v/>
      </c>
      <c r="B500" s="189" t="str">
        <f>IFERROR(INDEX(凭证录入!I:I,$H500),"")</f>
        <v/>
      </c>
      <c r="C500" s="190" t="str">
        <f>IFERROR(VLOOKUP($B500,会计科目表!$A:$C,2,),"")</f>
        <v/>
      </c>
      <c r="D500" s="190" t="str">
        <f>IFERROR(VLOOKUP($B500,会计科目表!$A:$C,3,),"")</f>
        <v/>
      </c>
      <c r="E500" s="191">
        <f>IFERROR(INDEX(凭证录入!K:K,$H500),0)</f>
        <v>0</v>
      </c>
      <c r="F500" s="191">
        <f>IFERROR(INDEX(凭证录入!L:L,$H500),0)</f>
        <v>0</v>
      </c>
      <c r="G500" s="212" t="e">
        <f>INDEX(凭证录入!$D:$D,$H497)</f>
        <v>#VALUE!</v>
      </c>
      <c r="H500" s="192" t="str">
        <f t="shared" si="135"/>
        <v/>
      </c>
      <c r="I500" s="212"/>
    </row>
    <row r="501" spans="1:9" s="45" customFormat="1" ht="19.5" customHeight="1" thickBot="1">
      <c r="A501" s="189" t="str">
        <f>IFERROR(INDEX(凭证录入!H:H,$H501),"")</f>
        <v/>
      </c>
      <c r="B501" s="189" t="str">
        <f>IFERROR(INDEX(凭证录入!I:I,$H501),"")</f>
        <v/>
      </c>
      <c r="C501" s="190" t="str">
        <f>IFERROR(VLOOKUP($B501,会计科目表!$A:$C,2,),"")</f>
        <v/>
      </c>
      <c r="D501" s="190" t="str">
        <f>IFERROR(VLOOKUP($B501,会计科目表!$A:$C,3,),"")</f>
        <v/>
      </c>
      <c r="E501" s="191">
        <f>IFERROR(INDEX(凭证录入!K:K,$H501),0)</f>
        <v>0</v>
      </c>
      <c r="F501" s="191">
        <f>IFERROR(INDEX(凭证录入!L:L,$H501),0)</f>
        <v>0</v>
      </c>
      <c r="G501" s="212" t="s">
        <v>492</v>
      </c>
      <c r="H501" s="192" t="str">
        <f t="shared" si="135"/>
        <v/>
      </c>
    </row>
    <row r="502" spans="1:9" s="45" customFormat="1" ht="19.5" customHeight="1" thickBot="1">
      <c r="A502" s="189" t="str">
        <f>IFERROR(INDEX(凭证录入!H:H,$H502),"")</f>
        <v/>
      </c>
      <c r="B502" s="189" t="str">
        <f>IFERROR(INDEX(凭证录入!I:I,$H502),"")</f>
        <v/>
      </c>
      <c r="C502" s="190" t="str">
        <f>IFERROR(VLOOKUP($B502,会计科目表!$A:$C,2,),"")</f>
        <v/>
      </c>
      <c r="D502" s="190" t="str">
        <f>IFERROR(VLOOKUP($B502,会计科目表!$A:$C,3,),"")</f>
        <v/>
      </c>
      <c r="E502" s="191">
        <f>IFERROR(INDEX(凭证录入!K:K,$H502),0)</f>
        <v>0</v>
      </c>
      <c r="F502" s="191">
        <f>IFERROR(INDEX(凭证录入!L:L,$H502),0)</f>
        <v>0</v>
      </c>
      <c r="G502" s="212"/>
      <c r="H502" s="192" t="str">
        <f t="shared" si="135"/>
        <v/>
      </c>
    </row>
    <row r="503" spans="1:9" s="45" customFormat="1" ht="19.5" customHeight="1" thickBot="1">
      <c r="A503" s="193"/>
      <c r="B503" s="194" t="s">
        <v>485</v>
      </c>
      <c r="C503" s="195" t="str">
        <f>SUBSTITUTE(SUBSTITUTE(IF(-DOLLAR(E503),IF(E503&gt;0,,"负")&amp;TEXT(INT(ABS(E503)+0.5%),"[dbnum2]G/通用格式元;;")&amp;TEXT(RIGHT(DOLLAR(E503),2),"[dbnum2]0角0分;;整"),),"零角",IF(E503^2&lt;1,,"零")),"零分","整")</f>
        <v/>
      </c>
      <c r="D503" s="196"/>
      <c r="E503" s="197">
        <f>SUM(E497:E502)</f>
        <v>0</v>
      </c>
      <c r="F503" s="197">
        <f>SUM(F497:F502)</f>
        <v>0</v>
      </c>
      <c r="G503" s="212"/>
      <c r="H503" s="192" t="str">
        <f t="shared" si="135"/>
        <v/>
      </c>
    </row>
    <row r="504" spans="1:9" s="199" customFormat="1" ht="19.5" customHeight="1">
      <c r="A504" s="45" t="s">
        <v>486</v>
      </c>
      <c r="B504" s="45" t="s">
        <v>487</v>
      </c>
      <c r="C504" s="45" t="s">
        <v>488</v>
      </c>
      <c r="D504" s="45" t="s">
        <v>504</v>
      </c>
      <c r="E504" s="45" t="s">
        <v>489</v>
      </c>
      <c r="F504" s="212" t="str">
        <f>IF($E503&lt;&gt;$F503,"借贷不平","")</f>
        <v/>
      </c>
      <c r="G504" s="183"/>
      <c r="H504" s="198" t="str">
        <f t="shared" si="135"/>
        <v/>
      </c>
    </row>
    <row r="505" spans="1:9" ht="37.5" customHeight="1">
      <c r="A505" s="177" t="s">
        <v>493</v>
      </c>
      <c r="B505" s="178"/>
      <c r="C505" s="179"/>
      <c r="D505" s="179"/>
      <c r="E505" s="178"/>
      <c r="F505" s="178"/>
      <c r="G505" s="212"/>
      <c r="H505" s="192" t="str">
        <f t="shared" si="135"/>
        <v/>
      </c>
    </row>
    <row r="506" spans="1:9" s="45" customFormat="1" ht="19.5" customHeight="1" thickBot="1">
      <c r="C506" s="180" t="e">
        <f>DATEVALUE("2010-"&amp;$H$1&amp;"-"&amp;INDEX(凭证录入!B:B,H509))</f>
        <v>#VALUE!</v>
      </c>
      <c r="D506" s="181"/>
      <c r="E506" s="182" t="s">
        <v>477</v>
      </c>
      <c r="F506" s="183" t="e">
        <f>N(LEFT((F494),3)+1)</f>
        <v>#VALUE!</v>
      </c>
      <c r="G506" s="212"/>
      <c r="H506" s="192" t="str">
        <f t="shared" si="135"/>
        <v/>
      </c>
      <c r="I506" s="184"/>
    </row>
    <row r="507" spans="1:9" s="45" customFormat="1" ht="19.5" customHeight="1" thickBot="1">
      <c r="A507" s="544" t="s">
        <v>494</v>
      </c>
      <c r="B507" s="545" t="s">
        <v>495</v>
      </c>
      <c r="C507" s="185" t="s">
        <v>496</v>
      </c>
      <c r="D507" s="186"/>
      <c r="E507" s="187"/>
      <c r="F507" s="482"/>
      <c r="G507" s="212"/>
      <c r="H507" s="192" t="str">
        <f t="shared" si="135"/>
        <v/>
      </c>
    </row>
    <row r="508" spans="1:9" s="45" customFormat="1" ht="19.5" customHeight="1" thickBot="1">
      <c r="A508" s="545"/>
      <c r="B508" s="546"/>
      <c r="C508" s="482" t="s">
        <v>497</v>
      </c>
      <c r="D508" s="482" t="s">
        <v>498</v>
      </c>
      <c r="E508" s="482" t="s">
        <v>499</v>
      </c>
      <c r="F508" s="482" t="s">
        <v>500</v>
      </c>
      <c r="G508" s="212"/>
      <c r="H508" s="192" t="str">
        <f t="shared" si="135"/>
        <v/>
      </c>
    </row>
    <row r="509" spans="1:9" s="45" customFormat="1" ht="19.5" customHeight="1" thickBot="1">
      <c r="A509" s="189" t="str">
        <f>IFERROR(INDEX(凭证录入!H:H,$H509),"")</f>
        <v/>
      </c>
      <c r="B509" s="189" t="str">
        <f>IFERROR(INDEX(凭证录入!I:I,$H509),"")</f>
        <v/>
      </c>
      <c r="C509" s="190" t="str">
        <f>IFERROR(VLOOKUP($B509,会计科目表!$A:$C,2,),"")</f>
        <v/>
      </c>
      <c r="D509" s="190" t="str">
        <f>IFERROR(VLOOKUP($B509,会计科目表!$A:$C,3,),"")</f>
        <v/>
      </c>
      <c r="E509" s="191">
        <f>IFERROR(INDEX(凭证录入!K:K,$H509),0)</f>
        <v>0</v>
      </c>
      <c r="F509" s="191">
        <f>IFERROR(INDEX(凭证录入!L:L,$H509),0)</f>
        <v>0</v>
      </c>
      <c r="G509" s="212"/>
      <c r="H509" s="192" t="str">
        <f t="shared" si="135"/>
        <v/>
      </c>
    </row>
    <row r="510" spans="1:9" s="45" customFormat="1" ht="19.5" customHeight="1" thickBot="1">
      <c r="A510" s="189" t="str">
        <f>IFERROR(INDEX(凭证录入!H:H,$H510),"")</f>
        <v/>
      </c>
      <c r="B510" s="189" t="str">
        <f>IFERROR(INDEX(凭证录入!I:I,$H510),"")</f>
        <v/>
      </c>
      <c r="C510" s="190" t="str">
        <f>IFERROR(VLOOKUP($B510,会计科目表!$A:$C,2,),"")</f>
        <v/>
      </c>
      <c r="D510" s="190" t="str">
        <f>IFERROR(VLOOKUP($B510,会计科目表!$A:$C,3,),"")</f>
        <v/>
      </c>
      <c r="E510" s="191">
        <f>IFERROR(INDEX(凭证录入!K:K,$H510),0)</f>
        <v>0</v>
      </c>
      <c r="F510" s="191">
        <f>IFERROR(INDEX(凭证录入!L:L,$H510),0)</f>
        <v>0</v>
      </c>
      <c r="G510" s="212" t="s">
        <v>490</v>
      </c>
      <c r="H510" s="192" t="str">
        <f t="shared" si="135"/>
        <v/>
      </c>
      <c r="I510" s="212"/>
    </row>
    <row r="511" spans="1:9" s="45" customFormat="1" ht="19.5" customHeight="1" thickBot="1">
      <c r="A511" s="189" t="str">
        <f>IFERROR(INDEX(凭证录入!H:H,$H511),"")</f>
        <v/>
      </c>
      <c r="B511" s="189" t="str">
        <f>IFERROR(INDEX(凭证录入!I:I,$H511),"")</f>
        <v/>
      </c>
      <c r="C511" s="190" t="str">
        <f>IFERROR(VLOOKUP($B511,会计科目表!$A:$C,2,),"")</f>
        <v/>
      </c>
      <c r="D511" s="190" t="str">
        <f>IFERROR(VLOOKUP($B511,会计科目表!$A:$C,3,),"")</f>
        <v/>
      </c>
      <c r="E511" s="191">
        <f>IFERROR(INDEX(凭证录入!K:K,$H511),0)</f>
        <v>0</v>
      </c>
      <c r="F511" s="191">
        <f>IFERROR(INDEX(凭证录入!L:L,$H511),0)</f>
        <v>0</v>
      </c>
      <c r="G511" s="212" t="s">
        <v>491</v>
      </c>
      <c r="H511" s="192" t="str">
        <f t="shared" si="135"/>
        <v/>
      </c>
      <c r="I511" s="212"/>
    </row>
    <row r="512" spans="1:9" s="45" customFormat="1" ht="19.5" customHeight="1" thickBot="1">
      <c r="A512" s="189" t="str">
        <f>IFERROR(INDEX(凭证录入!H:H,$H512),"")</f>
        <v/>
      </c>
      <c r="B512" s="189" t="str">
        <f>IFERROR(INDEX(凭证录入!I:I,$H512),"")</f>
        <v/>
      </c>
      <c r="C512" s="190" t="str">
        <f>IFERROR(VLOOKUP($B512,会计科目表!$A:$C,2,),"")</f>
        <v/>
      </c>
      <c r="D512" s="190" t="str">
        <f>IFERROR(VLOOKUP($B512,会计科目表!$A:$C,3,),"")</f>
        <v/>
      </c>
      <c r="E512" s="191">
        <f>IFERROR(INDEX(凭证录入!K:K,$H512),0)</f>
        <v>0</v>
      </c>
      <c r="F512" s="191">
        <f>IFERROR(INDEX(凭证录入!L:L,$H512),0)</f>
        <v>0</v>
      </c>
      <c r="G512" s="212" t="e">
        <f>INDEX(凭证录入!$D:$D,$H509)</f>
        <v>#VALUE!</v>
      </c>
      <c r="H512" s="192" t="str">
        <f t="shared" si="135"/>
        <v/>
      </c>
      <c r="I512" s="212"/>
    </row>
    <row r="513" spans="1:9" s="45" customFormat="1" ht="19.5" customHeight="1" thickBot="1">
      <c r="A513" s="189" t="str">
        <f>IFERROR(INDEX(凭证录入!H:H,$H513),"")</f>
        <v/>
      </c>
      <c r="B513" s="189" t="str">
        <f>IFERROR(INDEX(凭证录入!I:I,$H513),"")</f>
        <v/>
      </c>
      <c r="C513" s="190" t="str">
        <f>IFERROR(VLOOKUP($B513,会计科目表!$A:$C,2,),"")</f>
        <v/>
      </c>
      <c r="D513" s="190" t="str">
        <f>IFERROR(VLOOKUP($B513,会计科目表!$A:$C,3,),"")</f>
        <v/>
      </c>
      <c r="E513" s="191">
        <f>IFERROR(INDEX(凭证录入!K:K,$H513),0)</f>
        <v>0</v>
      </c>
      <c r="F513" s="191">
        <f>IFERROR(INDEX(凭证录入!L:L,$H513),0)</f>
        <v>0</v>
      </c>
      <c r="G513" s="212" t="s">
        <v>492</v>
      </c>
      <c r="H513" s="192" t="str">
        <f t="shared" si="135"/>
        <v/>
      </c>
    </row>
    <row r="514" spans="1:9" s="45" customFormat="1" ht="19.5" customHeight="1" thickBot="1">
      <c r="A514" s="189" t="str">
        <f>IFERROR(INDEX(凭证录入!H:H,$H514),"")</f>
        <v/>
      </c>
      <c r="B514" s="189" t="str">
        <f>IFERROR(INDEX(凭证录入!I:I,$H514),"")</f>
        <v/>
      </c>
      <c r="C514" s="190" t="str">
        <f>IFERROR(VLOOKUP($B514,会计科目表!$A:$C,2,),"")</f>
        <v/>
      </c>
      <c r="D514" s="190" t="str">
        <f>IFERROR(VLOOKUP($B514,会计科目表!$A:$C,3,),"")</f>
        <v/>
      </c>
      <c r="E514" s="191">
        <f>IFERROR(INDEX(凭证录入!K:K,$H514),0)</f>
        <v>0</v>
      </c>
      <c r="F514" s="191">
        <f>IFERROR(INDEX(凭证录入!L:L,$H514),0)</f>
        <v>0</v>
      </c>
      <c r="G514" s="212"/>
      <c r="H514" s="192" t="str">
        <f t="shared" si="135"/>
        <v/>
      </c>
    </row>
    <row r="515" spans="1:9" s="45" customFormat="1" ht="19.5" customHeight="1" thickBot="1">
      <c r="A515" s="193"/>
      <c r="B515" s="194" t="s">
        <v>485</v>
      </c>
      <c r="C515" s="195" t="str">
        <f>SUBSTITUTE(SUBSTITUTE(IF(-DOLLAR(E515),IF(E515&gt;0,,"负")&amp;TEXT(INT(ABS(E515)+0.5%),"[dbnum2]G/通用格式元;;")&amp;TEXT(RIGHT(DOLLAR(E515),2),"[dbnum2]0角0分;;整"),),"零角",IF(E515^2&lt;1,,"零")),"零分","整")</f>
        <v/>
      </c>
      <c r="D515" s="196"/>
      <c r="E515" s="197">
        <f>SUM(E509:E514)</f>
        <v>0</v>
      </c>
      <c r="F515" s="197">
        <f>SUM(F509:F514)</f>
        <v>0</v>
      </c>
      <c r="G515" s="212"/>
      <c r="H515" s="192" t="str">
        <f t="shared" si="135"/>
        <v/>
      </c>
    </row>
    <row r="516" spans="1:9" s="199" customFormat="1" ht="19.5" customHeight="1">
      <c r="A516" s="45" t="s">
        <v>486</v>
      </c>
      <c r="B516" s="45" t="s">
        <v>487</v>
      </c>
      <c r="C516" s="45" t="s">
        <v>488</v>
      </c>
      <c r="D516" s="45" t="s">
        <v>504</v>
      </c>
      <c r="E516" s="45" t="s">
        <v>489</v>
      </c>
      <c r="F516" s="212" t="str">
        <f>IF($E515&lt;&gt;$F515,"借贷不平","")</f>
        <v/>
      </c>
      <c r="G516" s="183"/>
      <c r="H516" s="198" t="str">
        <f t="shared" si="135"/>
        <v/>
      </c>
    </row>
    <row r="517" spans="1:9" ht="37.5" customHeight="1">
      <c r="A517" s="177" t="s">
        <v>493</v>
      </c>
      <c r="B517" s="178"/>
      <c r="C517" s="179"/>
      <c r="D517" s="179"/>
      <c r="E517" s="178"/>
      <c r="F517" s="178"/>
      <c r="G517" s="212"/>
      <c r="H517" s="192" t="str">
        <f t="shared" si="135"/>
        <v/>
      </c>
    </row>
    <row r="518" spans="1:9" s="45" customFormat="1" ht="19.5" customHeight="1" thickBot="1">
      <c r="C518" s="180" t="e">
        <f>DATEVALUE("2010-"&amp;$H$1&amp;"-"&amp;INDEX(凭证录入!B:B,H521))</f>
        <v>#VALUE!</v>
      </c>
      <c r="D518" s="181"/>
      <c r="E518" s="182" t="s">
        <v>477</v>
      </c>
      <c r="F518" s="183" t="e">
        <f>N(LEFT((F506),3)+1)</f>
        <v>#VALUE!</v>
      </c>
      <c r="G518" s="212"/>
      <c r="H518" s="192" t="str">
        <f t="shared" si="135"/>
        <v/>
      </c>
      <c r="I518" s="184"/>
    </row>
    <row r="519" spans="1:9" s="45" customFormat="1" ht="19.5" customHeight="1" thickBot="1">
      <c r="A519" s="544" t="s">
        <v>494</v>
      </c>
      <c r="B519" s="545" t="s">
        <v>495</v>
      </c>
      <c r="C519" s="185" t="s">
        <v>496</v>
      </c>
      <c r="D519" s="186"/>
      <c r="E519" s="187"/>
      <c r="F519" s="482"/>
      <c r="G519" s="212"/>
      <c r="H519" s="192" t="str">
        <f t="shared" si="135"/>
        <v/>
      </c>
    </row>
    <row r="520" spans="1:9" s="45" customFormat="1" ht="19.5" customHeight="1" thickBot="1">
      <c r="A520" s="545"/>
      <c r="B520" s="546"/>
      <c r="C520" s="482" t="s">
        <v>497</v>
      </c>
      <c r="D520" s="482" t="s">
        <v>498</v>
      </c>
      <c r="E520" s="482" t="s">
        <v>499</v>
      </c>
      <c r="F520" s="482" t="s">
        <v>500</v>
      </c>
      <c r="G520" s="212"/>
      <c r="H520" s="192" t="str">
        <f t="shared" si="135"/>
        <v/>
      </c>
    </row>
    <row r="521" spans="1:9" s="45" customFormat="1" ht="19.5" customHeight="1" thickBot="1">
      <c r="A521" s="189" t="str">
        <f>IFERROR(INDEX(凭证录入!H:H,$H521),"")</f>
        <v/>
      </c>
      <c r="B521" s="189" t="str">
        <f>IFERROR(INDEX(凭证录入!I:I,$H521),"")</f>
        <v/>
      </c>
      <c r="C521" s="190" t="str">
        <f>IFERROR(VLOOKUP($B521,会计科目表!$A:$C,2,),"")</f>
        <v/>
      </c>
      <c r="D521" s="190" t="str">
        <f>IFERROR(VLOOKUP($B521,会计科目表!$A:$C,3,),"")</f>
        <v/>
      </c>
      <c r="E521" s="191">
        <f>IFERROR(INDEX(凭证录入!K:K,$H521),0)</f>
        <v>0</v>
      </c>
      <c r="F521" s="191">
        <f>IFERROR(INDEX(凭证录入!L:L,$H521),0)</f>
        <v>0</v>
      </c>
      <c r="G521" s="212"/>
      <c r="H521" s="192" t="str">
        <f t="shared" si="135"/>
        <v/>
      </c>
    </row>
    <row r="522" spans="1:9" s="45" customFormat="1" ht="19.5" customHeight="1" thickBot="1">
      <c r="A522" s="189" t="str">
        <f>IFERROR(INDEX(凭证录入!H:H,$H522),"")</f>
        <v/>
      </c>
      <c r="B522" s="189" t="str">
        <f>IFERROR(INDEX(凭证录入!I:I,$H522),"")</f>
        <v/>
      </c>
      <c r="C522" s="190" t="str">
        <f>IFERROR(VLOOKUP($B522,会计科目表!$A:$C,2,),"")</f>
        <v/>
      </c>
      <c r="D522" s="190" t="str">
        <f>IFERROR(VLOOKUP($B522,会计科目表!$A:$C,3,),"")</f>
        <v/>
      </c>
      <c r="E522" s="191">
        <f>IFERROR(INDEX(凭证录入!K:K,$H522),0)</f>
        <v>0</v>
      </c>
      <c r="F522" s="191">
        <f>IFERROR(INDEX(凭证录入!L:L,$H522),0)</f>
        <v>0</v>
      </c>
      <c r="G522" s="212" t="s">
        <v>490</v>
      </c>
      <c r="H522" s="192" t="str">
        <f t="shared" si="135"/>
        <v/>
      </c>
      <c r="I522" s="212"/>
    </row>
    <row r="523" spans="1:9" s="45" customFormat="1" ht="19.5" customHeight="1" thickBot="1">
      <c r="A523" s="189" t="str">
        <f>IFERROR(INDEX(凭证录入!H:H,$H523),"")</f>
        <v/>
      </c>
      <c r="B523" s="189" t="str">
        <f>IFERROR(INDEX(凭证录入!I:I,$H523),"")</f>
        <v/>
      </c>
      <c r="C523" s="190" t="str">
        <f>IFERROR(VLOOKUP($B523,会计科目表!$A:$C,2,),"")</f>
        <v/>
      </c>
      <c r="D523" s="190" t="str">
        <f>IFERROR(VLOOKUP($B523,会计科目表!$A:$C,3,),"")</f>
        <v/>
      </c>
      <c r="E523" s="191">
        <f>IFERROR(INDEX(凭证录入!K:K,$H523),0)</f>
        <v>0</v>
      </c>
      <c r="F523" s="191">
        <f>IFERROR(INDEX(凭证录入!L:L,$H523),0)</f>
        <v>0</v>
      </c>
      <c r="G523" s="212" t="s">
        <v>491</v>
      </c>
      <c r="H523" s="192" t="str">
        <f t="shared" si="135"/>
        <v/>
      </c>
      <c r="I523" s="212"/>
    </row>
    <row r="524" spans="1:9" s="45" customFormat="1" ht="19.5" customHeight="1" thickBot="1">
      <c r="A524" s="189" t="str">
        <f>IFERROR(INDEX(凭证录入!H:H,$H524),"")</f>
        <v/>
      </c>
      <c r="B524" s="189" t="str">
        <f>IFERROR(INDEX(凭证录入!I:I,$H524),"")</f>
        <v/>
      </c>
      <c r="C524" s="190" t="str">
        <f>IFERROR(VLOOKUP($B524,会计科目表!$A:$C,2,),"")</f>
        <v/>
      </c>
      <c r="D524" s="190" t="str">
        <f>IFERROR(VLOOKUP($B524,会计科目表!$A:$C,3,),"")</f>
        <v/>
      </c>
      <c r="E524" s="191">
        <f>IFERROR(INDEX(凭证录入!K:K,$H524),0)</f>
        <v>0</v>
      </c>
      <c r="F524" s="191">
        <f>IFERROR(INDEX(凭证录入!L:L,$H524),0)</f>
        <v>0</v>
      </c>
      <c r="G524" s="212" t="e">
        <f>INDEX(凭证录入!$D:$D,$H521)</f>
        <v>#VALUE!</v>
      </c>
      <c r="H524" s="192" t="str">
        <f t="shared" si="135"/>
        <v/>
      </c>
      <c r="I524" s="212"/>
    </row>
    <row r="525" spans="1:9" s="45" customFormat="1" ht="19.5" customHeight="1" thickBot="1">
      <c r="A525" s="189" t="str">
        <f>IFERROR(INDEX(凭证录入!H:H,$H525),"")</f>
        <v/>
      </c>
      <c r="B525" s="189" t="str">
        <f>IFERROR(INDEX(凭证录入!I:I,$H525),"")</f>
        <v/>
      </c>
      <c r="C525" s="190" t="str">
        <f>IFERROR(VLOOKUP($B525,会计科目表!$A:$C,2,),"")</f>
        <v/>
      </c>
      <c r="D525" s="190" t="str">
        <f>IFERROR(VLOOKUP($B525,会计科目表!$A:$C,3,),"")</f>
        <v/>
      </c>
      <c r="E525" s="191">
        <f>IFERROR(INDEX(凭证录入!K:K,$H525),0)</f>
        <v>0</v>
      </c>
      <c r="F525" s="191">
        <f>IFERROR(INDEX(凭证录入!L:L,$H525),0)</f>
        <v>0</v>
      </c>
      <c r="G525" s="212" t="s">
        <v>492</v>
      </c>
      <c r="H525" s="192" t="str">
        <f t="shared" si="135"/>
        <v/>
      </c>
    </row>
    <row r="526" spans="1:9" s="45" customFormat="1" ht="19.5" customHeight="1" thickBot="1">
      <c r="A526" s="189" t="str">
        <f>IFERROR(INDEX(凭证录入!H:H,$H526),"")</f>
        <v/>
      </c>
      <c r="B526" s="189" t="str">
        <f>IFERROR(INDEX(凭证录入!I:I,$H526),"")</f>
        <v/>
      </c>
      <c r="C526" s="190" t="str">
        <f>IFERROR(VLOOKUP($B526,会计科目表!$A:$C,2,),"")</f>
        <v/>
      </c>
      <c r="D526" s="190" t="str">
        <f>IFERROR(VLOOKUP($B526,会计科目表!$A:$C,3,),"")</f>
        <v/>
      </c>
      <c r="E526" s="191">
        <f>IFERROR(INDEX(凭证录入!K:K,$H526),0)</f>
        <v>0</v>
      </c>
      <c r="F526" s="191">
        <f>IFERROR(INDEX(凭证录入!L:L,$H526),0)</f>
        <v>0</v>
      </c>
      <c r="G526" s="212"/>
      <c r="H526" s="192" t="str">
        <f t="shared" si="135"/>
        <v/>
      </c>
    </row>
    <row r="527" spans="1:9" s="45" customFormat="1" ht="19.5" customHeight="1" thickBot="1">
      <c r="A527" s="193"/>
      <c r="B527" s="194" t="s">
        <v>485</v>
      </c>
      <c r="C527" s="195" t="str">
        <f>SUBSTITUTE(SUBSTITUTE(IF(-DOLLAR(E527),IF(E527&gt;0,,"负")&amp;TEXT(INT(ABS(E527)+0.5%),"[dbnum2]G/通用格式元;;")&amp;TEXT(RIGHT(DOLLAR(E527),2),"[dbnum2]0角0分;;整"),),"零角",IF(E527^2&lt;1,,"零")),"零分","整")</f>
        <v/>
      </c>
      <c r="D527" s="196"/>
      <c r="E527" s="197">
        <f>SUM(E521:E526)</f>
        <v>0</v>
      </c>
      <c r="F527" s="197">
        <f>SUM(F521:F526)</f>
        <v>0</v>
      </c>
      <c r="G527" s="212"/>
      <c r="H527" s="192" t="str">
        <f t="shared" si="135"/>
        <v/>
      </c>
    </row>
    <row r="528" spans="1:9" s="199" customFormat="1" ht="19.5" customHeight="1">
      <c r="A528" s="45" t="s">
        <v>486</v>
      </c>
      <c r="B528" s="45" t="s">
        <v>487</v>
      </c>
      <c r="C528" s="45" t="s">
        <v>488</v>
      </c>
      <c r="D528" s="45" t="s">
        <v>504</v>
      </c>
      <c r="E528" s="45" t="s">
        <v>489</v>
      </c>
      <c r="F528" s="212" t="str">
        <f>IF($E527&lt;&gt;$F527,"借贷不平","")</f>
        <v/>
      </c>
      <c r="G528" s="183"/>
      <c r="H528" s="198" t="str">
        <f t="shared" si="135"/>
        <v/>
      </c>
    </row>
    <row r="529" spans="1:9" ht="37.5" customHeight="1">
      <c r="A529" s="177" t="s">
        <v>493</v>
      </c>
      <c r="B529" s="178"/>
      <c r="C529" s="179"/>
      <c r="D529" s="179"/>
      <c r="E529" s="178"/>
      <c r="F529" s="178"/>
      <c r="G529" s="212"/>
      <c r="H529" s="192" t="str">
        <f t="shared" si="135"/>
        <v/>
      </c>
    </row>
    <row r="530" spans="1:9" s="45" customFormat="1" ht="19.5" customHeight="1" thickBot="1">
      <c r="C530" s="180" t="e">
        <f>DATEVALUE("2010-"&amp;$H$1&amp;"-"&amp;INDEX(凭证录入!B:B,H533))</f>
        <v>#VALUE!</v>
      </c>
      <c r="D530" s="181"/>
      <c r="E530" s="182" t="s">
        <v>477</v>
      </c>
      <c r="F530" s="183" t="e">
        <f>N(LEFT((F518),3)+1)</f>
        <v>#VALUE!</v>
      </c>
      <c r="G530" s="212"/>
      <c r="H530" s="192" t="str">
        <f t="shared" si="135"/>
        <v/>
      </c>
      <c r="I530" s="184"/>
    </row>
    <row r="531" spans="1:9" s="45" customFormat="1" ht="19.5" customHeight="1" thickBot="1">
      <c r="A531" s="544" t="s">
        <v>494</v>
      </c>
      <c r="B531" s="545" t="s">
        <v>495</v>
      </c>
      <c r="C531" s="185" t="s">
        <v>496</v>
      </c>
      <c r="D531" s="186"/>
      <c r="E531" s="187"/>
      <c r="F531" s="482"/>
      <c r="G531" s="212"/>
      <c r="H531" s="192" t="str">
        <f t="shared" si="135"/>
        <v/>
      </c>
    </row>
    <row r="532" spans="1:9" s="45" customFormat="1" ht="19.5" customHeight="1" thickBot="1">
      <c r="A532" s="545"/>
      <c r="B532" s="546"/>
      <c r="C532" s="482" t="s">
        <v>497</v>
      </c>
      <c r="D532" s="482" t="s">
        <v>498</v>
      </c>
      <c r="E532" s="482" t="s">
        <v>499</v>
      </c>
      <c r="F532" s="482" t="s">
        <v>500</v>
      </c>
      <c r="G532" s="212"/>
      <c r="H532" s="192" t="str">
        <f t="shared" si="135"/>
        <v/>
      </c>
    </row>
    <row r="533" spans="1:9" s="45" customFormat="1" ht="19.5" customHeight="1" thickBot="1">
      <c r="A533" s="189" t="str">
        <f>IFERROR(INDEX(凭证录入!H:H,$H533),"")</f>
        <v/>
      </c>
      <c r="B533" s="189" t="str">
        <f>IFERROR(INDEX(凭证录入!I:I,$H533),"")</f>
        <v/>
      </c>
      <c r="C533" s="190" t="str">
        <f>IFERROR(VLOOKUP($B533,会计科目表!$A:$C,2,),"")</f>
        <v/>
      </c>
      <c r="D533" s="190" t="str">
        <f>IFERROR(VLOOKUP($B533,会计科目表!$A:$C,3,),"")</f>
        <v/>
      </c>
      <c r="E533" s="191">
        <f>IFERROR(INDEX(凭证录入!K:K,$H533),0)</f>
        <v>0</v>
      </c>
      <c r="F533" s="191">
        <f>IFERROR(INDEX(凭证录入!L:L,$H533),0)</f>
        <v>0</v>
      </c>
      <c r="G533" s="212"/>
      <c r="H533" s="192" t="str">
        <f t="shared" si="135"/>
        <v/>
      </c>
    </row>
    <row r="534" spans="1:9" s="45" customFormat="1" ht="19.5" customHeight="1" thickBot="1">
      <c r="A534" s="189" t="str">
        <f>IFERROR(INDEX(凭证录入!H:H,$H534),"")</f>
        <v/>
      </c>
      <c r="B534" s="189" t="str">
        <f>IFERROR(INDEX(凭证录入!I:I,$H534),"")</f>
        <v/>
      </c>
      <c r="C534" s="190" t="str">
        <f>IFERROR(VLOOKUP($B534,会计科目表!$A:$C,2,),"")</f>
        <v/>
      </c>
      <c r="D534" s="190" t="str">
        <f>IFERROR(VLOOKUP($B534,会计科目表!$A:$C,3,),"")</f>
        <v/>
      </c>
      <c r="E534" s="191">
        <f>IFERROR(INDEX(凭证录入!K:K,$H534),0)</f>
        <v>0</v>
      </c>
      <c r="F534" s="191">
        <f>IFERROR(INDEX(凭证录入!L:L,$H534),0)</f>
        <v>0</v>
      </c>
      <c r="G534" s="212" t="s">
        <v>490</v>
      </c>
      <c r="H534" s="192" t="str">
        <f t="shared" si="135"/>
        <v/>
      </c>
      <c r="I534" s="212"/>
    </row>
    <row r="535" spans="1:9" s="45" customFormat="1" ht="19.5" customHeight="1" thickBot="1">
      <c r="A535" s="189" t="str">
        <f>IFERROR(INDEX(凭证录入!H:H,$H535),"")</f>
        <v/>
      </c>
      <c r="B535" s="189" t="str">
        <f>IFERROR(INDEX(凭证录入!I:I,$H535),"")</f>
        <v/>
      </c>
      <c r="C535" s="190" t="str">
        <f>IFERROR(VLOOKUP($B535,会计科目表!$A:$C,2,),"")</f>
        <v/>
      </c>
      <c r="D535" s="190" t="str">
        <f>IFERROR(VLOOKUP($B535,会计科目表!$A:$C,3,),"")</f>
        <v/>
      </c>
      <c r="E535" s="191">
        <f>IFERROR(INDEX(凭证录入!K:K,$H535),0)</f>
        <v>0</v>
      </c>
      <c r="F535" s="191">
        <f>IFERROR(INDEX(凭证录入!L:L,$H535),0)</f>
        <v>0</v>
      </c>
      <c r="G535" s="212" t="s">
        <v>491</v>
      </c>
      <c r="H535" s="192" t="str">
        <f t="shared" si="135"/>
        <v/>
      </c>
      <c r="I535" s="212"/>
    </row>
    <row r="536" spans="1:9" s="45" customFormat="1" ht="19.5" customHeight="1" thickBot="1">
      <c r="A536" s="189" t="str">
        <f>IFERROR(INDEX(凭证录入!H:H,$H536),"")</f>
        <v/>
      </c>
      <c r="B536" s="189" t="str">
        <f>IFERROR(INDEX(凭证录入!I:I,$H536),"")</f>
        <v/>
      </c>
      <c r="C536" s="190" t="str">
        <f>IFERROR(VLOOKUP($B536,会计科目表!$A:$C,2,),"")</f>
        <v/>
      </c>
      <c r="D536" s="190" t="str">
        <f>IFERROR(VLOOKUP($B536,会计科目表!$A:$C,3,),"")</f>
        <v/>
      </c>
      <c r="E536" s="191">
        <f>IFERROR(INDEX(凭证录入!K:K,$H536),0)</f>
        <v>0</v>
      </c>
      <c r="F536" s="191">
        <f>IFERROR(INDEX(凭证录入!L:L,$H536),0)</f>
        <v>0</v>
      </c>
      <c r="G536" s="212" t="e">
        <f>INDEX(凭证录入!$D:$D,$H533)</f>
        <v>#VALUE!</v>
      </c>
      <c r="H536" s="192" t="str">
        <f t="shared" si="135"/>
        <v/>
      </c>
      <c r="I536" s="212"/>
    </row>
    <row r="537" spans="1:9" s="45" customFormat="1" ht="19.5" customHeight="1" thickBot="1">
      <c r="A537" s="189" t="str">
        <f>IFERROR(INDEX(凭证录入!H:H,$H537),"")</f>
        <v/>
      </c>
      <c r="B537" s="189" t="str">
        <f>IFERROR(INDEX(凭证录入!I:I,$H537),"")</f>
        <v/>
      </c>
      <c r="C537" s="190" t="str">
        <f>IFERROR(VLOOKUP($B537,会计科目表!$A:$C,2,),"")</f>
        <v/>
      </c>
      <c r="D537" s="190" t="str">
        <f>IFERROR(VLOOKUP($B537,会计科目表!$A:$C,3,),"")</f>
        <v/>
      </c>
      <c r="E537" s="191">
        <f>IFERROR(INDEX(凭证录入!K:K,$H537),0)</f>
        <v>0</v>
      </c>
      <c r="F537" s="191">
        <f>IFERROR(INDEX(凭证录入!L:L,$H537),0)</f>
        <v>0</v>
      </c>
      <c r="G537" s="212" t="s">
        <v>492</v>
      </c>
      <c r="H537" s="192" t="str">
        <f t="shared" si="135"/>
        <v/>
      </c>
    </row>
    <row r="538" spans="1:9" s="45" customFormat="1" ht="19.5" customHeight="1" thickBot="1">
      <c r="A538" s="189" t="str">
        <f>IFERROR(INDEX(凭证录入!H:H,$H538),"")</f>
        <v/>
      </c>
      <c r="B538" s="189" t="str">
        <f>IFERROR(INDEX(凭证录入!I:I,$H538),"")</f>
        <v/>
      </c>
      <c r="C538" s="190" t="str">
        <f>IFERROR(VLOOKUP($B538,会计科目表!$A:$C,2,),"")</f>
        <v/>
      </c>
      <c r="D538" s="190" t="str">
        <f>IFERROR(VLOOKUP($B538,会计科目表!$A:$C,3,),"")</f>
        <v/>
      </c>
      <c r="E538" s="191">
        <f>IFERROR(INDEX(凭证录入!K:K,$H538),0)</f>
        <v>0</v>
      </c>
      <c r="F538" s="191">
        <f>IFERROR(INDEX(凭证录入!L:L,$H538),0)</f>
        <v>0</v>
      </c>
      <c r="G538" s="212"/>
      <c r="H538" s="192" t="str">
        <f t="shared" si="135"/>
        <v/>
      </c>
    </row>
    <row r="539" spans="1:9" s="45" customFormat="1" ht="19.5" customHeight="1" thickBot="1">
      <c r="A539" s="193"/>
      <c r="B539" s="194" t="s">
        <v>485</v>
      </c>
      <c r="C539" s="195" t="str">
        <f>SUBSTITUTE(SUBSTITUTE(IF(-DOLLAR(E539),IF(E539&gt;0,,"负")&amp;TEXT(INT(ABS(E539)+0.5%),"[dbnum2]G/通用格式元;;")&amp;TEXT(RIGHT(DOLLAR(E539),2),"[dbnum2]0角0分;;整"),),"零角",IF(E539^2&lt;1,,"零")),"零分","整")</f>
        <v/>
      </c>
      <c r="D539" s="196"/>
      <c r="E539" s="197">
        <f>SUM(E533:E538)</f>
        <v>0</v>
      </c>
      <c r="F539" s="197">
        <f>SUM(F533:F538)</f>
        <v>0</v>
      </c>
      <c r="G539" s="212"/>
      <c r="H539" s="192" t="str">
        <f t="shared" si="135"/>
        <v/>
      </c>
    </row>
    <row r="540" spans="1:9" s="199" customFormat="1" ht="19.5" customHeight="1">
      <c r="A540" s="45" t="s">
        <v>486</v>
      </c>
      <c r="B540" s="45" t="s">
        <v>487</v>
      </c>
      <c r="C540" s="45" t="s">
        <v>488</v>
      </c>
      <c r="D540" s="45" t="s">
        <v>504</v>
      </c>
      <c r="E540" s="45" t="s">
        <v>489</v>
      </c>
      <c r="F540" s="212" t="str">
        <f>IF($E539&lt;&gt;$F539,"借贷不平","")</f>
        <v/>
      </c>
      <c r="G540" s="183"/>
      <c r="H540" s="198" t="str">
        <f t="shared" si="135"/>
        <v/>
      </c>
    </row>
    <row r="541" spans="1:9" ht="37.5" customHeight="1">
      <c r="A541" s="177" t="s">
        <v>493</v>
      </c>
      <c r="B541" s="178"/>
      <c r="C541" s="179"/>
      <c r="D541" s="179"/>
      <c r="E541" s="178"/>
      <c r="F541" s="178"/>
      <c r="G541" s="212"/>
      <c r="H541" s="192" t="str">
        <f t="shared" si="135"/>
        <v/>
      </c>
    </row>
    <row r="542" spans="1:9" s="45" customFormat="1" ht="19.5" customHeight="1" thickBot="1">
      <c r="C542" s="180" t="e">
        <f>DATEVALUE("2010-"&amp;$H$1&amp;"-"&amp;INDEX(凭证录入!B:B,H545))</f>
        <v>#VALUE!</v>
      </c>
      <c r="D542" s="181"/>
      <c r="E542" s="182" t="s">
        <v>477</v>
      </c>
      <c r="F542" s="183" t="e">
        <f>N(LEFT((F530),3)+1)</f>
        <v>#VALUE!</v>
      </c>
      <c r="G542" s="212"/>
      <c r="H542" s="192" t="str">
        <f t="shared" si="135"/>
        <v/>
      </c>
      <c r="I542" s="184"/>
    </row>
    <row r="543" spans="1:9" s="45" customFormat="1" ht="19.5" customHeight="1" thickBot="1">
      <c r="A543" s="544" t="s">
        <v>494</v>
      </c>
      <c r="B543" s="545" t="s">
        <v>495</v>
      </c>
      <c r="C543" s="185" t="s">
        <v>496</v>
      </c>
      <c r="D543" s="186"/>
      <c r="E543" s="187"/>
      <c r="F543" s="482"/>
      <c r="G543" s="212"/>
      <c r="H543" s="192" t="str">
        <f t="shared" si="135"/>
        <v/>
      </c>
    </row>
    <row r="544" spans="1:9" s="45" customFormat="1" ht="19.5" customHeight="1" thickBot="1">
      <c r="A544" s="545"/>
      <c r="B544" s="546"/>
      <c r="C544" s="482" t="s">
        <v>497</v>
      </c>
      <c r="D544" s="482" t="s">
        <v>498</v>
      </c>
      <c r="E544" s="482" t="s">
        <v>499</v>
      </c>
      <c r="F544" s="482" t="s">
        <v>500</v>
      </c>
      <c r="G544" s="212"/>
      <c r="H544" s="192" t="str">
        <f t="shared" si="135"/>
        <v/>
      </c>
    </row>
    <row r="545" spans="1:9" s="45" customFormat="1" ht="19.5" customHeight="1" thickBot="1">
      <c r="A545" s="189" t="str">
        <f>IFERROR(INDEX(凭证录入!H:H,$H545),"")</f>
        <v/>
      </c>
      <c r="B545" s="189" t="str">
        <f>IFERROR(INDEX(凭证录入!I:I,$H545),"")</f>
        <v/>
      </c>
      <c r="C545" s="190" t="str">
        <f>IFERROR(VLOOKUP($B545,会计科目表!$A:$C,2,),"")</f>
        <v/>
      </c>
      <c r="D545" s="190" t="str">
        <f>IFERROR(VLOOKUP($B545,会计科目表!$A:$C,3,),"")</f>
        <v/>
      </c>
      <c r="E545" s="191">
        <f>IFERROR(INDEX(凭证录入!K:K,$H545),0)</f>
        <v>0</v>
      </c>
      <c r="F545" s="191">
        <f>IFERROR(INDEX(凭证录入!L:L,$H545),0)</f>
        <v>0</v>
      </c>
      <c r="G545" s="212"/>
      <c r="H545" s="192" t="str">
        <f t="shared" si="135"/>
        <v/>
      </c>
    </row>
    <row r="546" spans="1:9" s="45" customFormat="1" ht="19.5" customHeight="1" thickBot="1">
      <c r="A546" s="189" t="str">
        <f>IFERROR(INDEX(凭证录入!H:H,$H546),"")</f>
        <v/>
      </c>
      <c r="B546" s="189" t="str">
        <f>IFERROR(INDEX(凭证录入!I:I,$H546),"")</f>
        <v/>
      </c>
      <c r="C546" s="190" t="str">
        <f>IFERROR(VLOOKUP($B546,会计科目表!$A:$C,2,),"")</f>
        <v/>
      </c>
      <c r="D546" s="190" t="str">
        <f>IFERROR(VLOOKUP($B546,会计科目表!$A:$C,3,),"")</f>
        <v/>
      </c>
      <c r="E546" s="191">
        <f>IFERROR(INDEX(凭证录入!K:K,$H546),0)</f>
        <v>0</v>
      </c>
      <c r="F546" s="191">
        <f>IFERROR(INDEX(凭证录入!L:L,$H546),0)</f>
        <v>0</v>
      </c>
      <c r="G546" s="212" t="s">
        <v>490</v>
      </c>
      <c r="H546" s="192" t="str">
        <f t="shared" si="135"/>
        <v/>
      </c>
      <c r="I546" s="212"/>
    </row>
    <row r="547" spans="1:9" s="45" customFormat="1" ht="19.5" customHeight="1" thickBot="1">
      <c r="A547" s="189" t="str">
        <f>IFERROR(INDEX(凭证录入!H:H,$H547),"")</f>
        <v/>
      </c>
      <c r="B547" s="189" t="str">
        <f>IFERROR(INDEX(凭证录入!I:I,$H547),"")</f>
        <v/>
      </c>
      <c r="C547" s="190" t="str">
        <f>IFERROR(VLOOKUP($B547,会计科目表!$A:$C,2,),"")</f>
        <v/>
      </c>
      <c r="D547" s="190" t="str">
        <f>IFERROR(VLOOKUP($B547,会计科目表!$A:$C,3,),"")</f>
        <v/>
      </c>
      <c r="E547" s="191">
        <f>IFERROR(INDEX(凭证录入!K:K,$H547),0)</f>
        <v>0</v>
      </c>
      <c r="F547" s="191">
        <f>IFERROR(INDEX(凭证录入!L:L,$H547),0)</f>
        <v>0</v>
      </c>
      <c r="G547" s="212" t="s">
        <v>491</v>
      </c>
      <c r="H547" s="192" t="str">
        <f t="shared" si="135"/>
        <v/>
      </c>
      <c r="I547" s="212"/>
    </row>
    <row r="548" spans="1:9" s="45" customFormat="1" ht="19.5" customHeight="1" thickBot="1">
      <c r="A548" s="189" t="str">
        <f>IFERROR(INDEX(凭证录入!H:H,$H548),"")</f>
        <v/>
      </c>
      <c r="B548" s="189" t="str">
        <f>IFERROR(INDEX(凭证录入!I:I,$H548),"")</f>
        <v/>
      </c>
      <c r="C548" s="190" t="str">
        <f>IFERROR(VLOOKUP($B548,会计科目表!$A:$C,2,),"")</f>
        <v/>
      </c>
      <c r="D548" s="190" t="str">
        <f>IFERROR(VLOOKUP($B548,会计科目表!$A:$C,3,),"")</f>
        <v/>
      </c>
      <c r="E548" s="191">
        <f>IFERROR(INDEX(凭证录入!K:K,$H548),0)</f>
        <v>0</v>
      </c>
      <c r="F548" s="191">
        <f>IFERROR(INDEX(凭证录入!L:L,$H548),0)</f>
        <v>0</v>
      </c>
      <c r="G548" s="212" t="e">
        <f>INDEX(凭证录入!$D:$D,$H545)</f>
        <v>#VALUE!</v>
      </c>
      <c r="H548" s="192" t="str">
        <f t="shared" si="135"/>
        <v/>
      </c>
      <c r="I548" s="212"/>
    </row>
    <row r="549" spans="1:9" s="45" customFormat="1" ht="19.5" customHeight="1" thickBot="1">
      <c r="A549" s="189" t="str">
        <f>IFERROR(INDEX(凭证录入!H:H,$H549),"")</f>
        <v/>
      </c>
      <c r="B549" s="189" t="str">
        <f>IFERROR(INDEX(凭证录入!I:I,$H549),"")</f>
        <v/>
      </c>
      <c r="C549" s="190" t="str">
        <f>IFERROR(VLOOKUP($B549,会计科目表!$A:$C,2,),"")</f>
        <v/>
      </c>
      <c r="D549" s="190" t="str">
        <f>IFERROR(VLOOKUP($B549,会计科目表!$A:$C,3,),"")</f>
        <v/>
      </c>
      <c r="E549" s="191">
        <f>IFERROR(INDEX(凭证录入!K:K,$H549),0)</f>
        <v>0</v>
      </c>
      <c r="F549" s="191">
        <f>IFERROR(INDEX(凭证录入!L:L,$H549),0)</f>
        <v>0</v>
      </c>
      <c r="G549" s="212" t="s">
        <v>492</v>
      </c>
      <c r="H549" s="192" t="str">
        <f t="shared" si="135"/>
        <v/>
      </c>
    </row>
    <row r="550" spans="1:9" s="45" customFormat="1" ht="19.5" customHeight="1" thickBot="1">
      <c r="A550" s="189" t="str">
        <f>IFERROR(INDEX(凭证录入!H:H,$H550),"")</f>
        <v/>
      </c>
      <c r="B550" s="189" t="str">
        <f>IFERROR(INDEX(凭证录入!I:I,$H550),"")</f>
        <v/>
      </c>
      <c r="C550" s="190" t="str">
        <f>IFERROR(VLOOKUP($B550,会计科目表!$A:$C,2,),"")</f>
        <v/>
      </c>
      <c r="D550" s="190" t="str">
        <f>IFERROR(VLOOKUP($B550,会计科目表!$A:$C,3,),"")</f>
        <v/>
      </c>
      <c r="E550" s="191">
        <f>IFERROR(INDEX(凭证录入!K:K,$H550),0)</f>
        <v>0</v>
      </c>
      <c r="F550" s="191">
        <f>IFERROR(INDEX(凭证录入!L:L,$H550),0)</f>
        <v>0</v>
      </c>
      <c r="G550" s="212"/>
      <c r="H550" s="192" t="str">
        <f t="shared" si="135"/>
        <v/>
      </c>
    </row>
    <row r="551" spans="1:9" s="45" customFormat="1" ht="19.5" customHeight="1" thickBot="1">
      <c r="A551" s="193"/>
      <c r="B551" s="194" t="s">
        <v>485</v>
      </c>
      <c r="C551" s="195" t="str">
        <f>SUBSTITUTE(SUBSTITUTE(IF(-DOLLAR(E551),IF(E551&gt;0,,"负")&amp;TEXT(INT(ABS(E551)+0.5%),"[dbnum2]G/通用格式元;;")&amp;TEXT(RIGHT(DOLLAR(E551),2),"[dbnum2]0角0分;;整"),),"零角",IF(E551^2&lt;1,,"零")),"零分","整")</f>
        <v/>
      </c>
      <c r="D551" s="196"/>
      <c r="E551" s="197">
        <f>SUM(E545:E550)</f>
        <v>0</v>
      </c>
      <c r="F551" s="197">
        <f>SUM(F545:F550)</f>
        <v>0</v>
      </c>
      <c r="G551" s="212"/>
      <c r="H551" s="192" t="str">
        <f t="shared" si="135"/>
        <v/>
      </c>
    </row>
    <row r="552" spans="1:9" s="199" customFormat="1" ht="19.5" customHeight="1">
      <c r="A552" s="45" t="s">
        <v>486</v>
      </c>
      <c r="B552" s="45" t="s">
        <v>487</v>
      </c>
      <c r="C552" s="45" t="s">
        <v>488</v>
      </c>
      <c r="D552" s="45" t="s">
        <v>504</v>
      </c>
      <c r="E552" s="45" t="s">
        <v>489</v>
      </c>
      <c r="F552" s="212" t="str">
        <f>IF($E551&lt;&gt;$F551,"借贷不平","")</f>
        <v/>
      </c>
      <c r="G552" s="183"/>
      <c r="H552" s="198" t="str">
        <f t="shared" si="135"/>
        <v/>
      </c>
    </row>
    <row r="553" spans="1:9" ht="37.5" customHeight="1">
      <c r="A553" s="177" t="s">
        <v>493</v>
      </c>
      <c r="B553" s="178"/>
      <c r="C553" s="179"/>
      <c r="D553" s="179"/>
      <c r="E553" s="178"/>
      <c r="F553" s="178"/>
      <c r="G553" s="212"/>
      <c r="H553" s="192" t="str">
        <f t="shared" ref="H553:H616" si="136">IFERROR(INDEX(行号,TEXT(MOD(ROW(),12)-4,"[=]A")),"")</f>
        <v/>
      </c>
    </row>
    <row r="554" spans="1:9" s="45" customFormat="1" ht="19.5" customHeight="1" thickBot="1">
      <c r="C554" s="180" t="e">
        <f>DATEVALUE("2010-"&amp;$H$1&amp;"-"&amp;INDEX(凭证录入!B:B,H557))</f>
        <v>#VALUE!</v>
      </c>
      <c r="D554" s="181"/>
      <c r="E554" s="182" t="s">
        <v>477</v>
      </c>
      <c r="F554" s="183" t="e">
        <f>N(LEFT((F542),3)+1)</f>
        <v>#VALUE!</v>
      </c>
      <c r="G554" s="212"/>
      <c r="H554" s="192" t="str">
        <f t="shared" si="136"/>
        <v/>
      </c>
      <c r="I554" s="184"/>
    </row>
    <row r="555" spans="1:9" s="45" customFormat="1" ht="19.5" customHeight="1" thickBot="1">
      <c r="A555" s="544" t="s">
        <v>494</v>
      </c>
      <c r="B555" s="545" t="s">
        <v>495</v>
      </c>
      <c r="C555" s="185" t="s">
        <v>496</v>
      </c>
      <c r="D555" s="186"/>
      <c r="E555" s="187"/>
      <c r="F555" s="482"/>
      <c r="G555" s="212"/>
      <c r="H555" s="192" t="str">
        <f t="shared" si="136"/>
        <v/>
      </c>
    </row>
    <row r="556" spans="1:9" s="45" customFormat="1" ht="19.5" customHeight="1" thickBot="1">
      <c r="A556" s="545"/>
      <c r="B556" s="546"/>
      <c r="C556" s="482" t="s">
        <v>497</v>
      </c>
      <c r="D556" s="482" t="s">
        <v>498</v>
      </c>
      <c r="E556" s="482" t="s">
        <v>499</v>
      </c>
      <c r="F556" s="482" t="s">
        <v>500</v>
      </c>
      <c r="G556" s="212"/>
      <c r="H556" s="192" t="str">
        <f t="shared" si="136"/>
        <v/>
      </c>
    </row>
    <row r="557" spans="1:9" s="45" customFormat="1" ht="19.5" customHeight="1" thickBot="1">
      <c r="A557" s="189" t="str">
        <f>IFERROR(INDEX(凭证录入!H:H,$H557),"")</f>
        <v/>
      </c>
      <c r="B557" s="189" t="str">
        <f>IFERROR(INDEX(凭证录入!I:I,$H557),"")</f>
        <v/>
      </c>
      <c r="C557" s="190" t="str">
        <f>IFERROR(VLOOKUP($B557,会计科目表!$A:$C,2,),"")</f>
        <v/>
      </c>
      <c r="D557" s="190" t="str">
        <f>IFERROR(VLOOKUP($B557,会计科目表!$A:$C,3,),"")</f>
        <v/>
      </c>
      <c r="E557" s="191">
        <f>IFERROR(INDEX(凭证录入!K:K,$H557),0)</f>
        <v>0</v>
      </c>
      <c r="F557" s="191">
        <f>IFERROR(INDEX(凭证录入!L:L,$H557),0)</f>
        <v>0</v>
      </c>
      <c r="G557" s="212"/>
      <c r="H557" s="192" t="str">
        <f t="shared" si="136"/>
        <v/>
      </c>
    </row>
    <row r="558" spans="1:9" s="45" customFormat="1" ht="19.5" customHeight="1" thickBot="1">
      <c r="A558" s="189" t="str">
        <f>IFERROR(INDEX(凭证录入!H:H,$H558),"")</f>
        <v/>
      </c>
      <c r="B558" s="189" t="str">
        <f>IFERROR(INDEX(凭证录入!I:I,$H558),"")</f>
        <v/>
      </c>
      <c r="C558" s="190" t="str">
        <f>IFERROR(VLOOKUP($B558,会计科目表!$A:$C,2,),"")</f>
        <v/>
      </c>
      <c r="D558" s="190" t="str">
        <f>IFERROR(VLOOKUP($B558,会计科目表!$A:$C,3,),"")</f>
        <v/>
      </c>
      <c r="E558" s="191">
        <f>IFERROR(INDEX(凭证录入!K:K,$H558),0)</f>
        <v>0</v>
      </c>
      <c r="F558" s="191">
        <f>IFERROR(INDEX(凭证录入!L:L,$H558),0)</f>
        <v>0</v>
      </c>
      <c r="G558" s="212" t="s">
        <v>490</v>
      </c>
      <c r="H558" s="192" t="str">
        <f t="shared" si="136"/>
        <v/>
      </c>
      <c r="I558" s="212"/>
    </row>
    <row r="559" spans="1:9" s="45" customFormat="1" ht="19.5" customHeight="1" thickBot="1">
      <c r="A559" s="189" t="str">
        <f>IFERROR(INDEX(凭证录入!H:H,$H559),"")</f>
        <v/>
      </c>
      <c r="B559" s="189" t="str">
        <f>IFERROR(INDEX(凭证录入!I:I,$H559),"")</f>
        <v/>
      </c>
      <c r="C559" s="190" t="str">
        <f>IFERROR(VLOOKUP($B559,会计科目表!$A:$C,2,),"")</f>
        <v/>
      </c>
      <c r="D559" s="190" t="str">
        <f>IFERROR(VLOOKUP($B559,会计科目表!$A:$C,3,),"")</f>
        <v/>
      </c>
      <c r="E559" s="191">
        <f>IFERROR(INDEX(凭证录入!K:K,$H559),0)</f>
        <v>0</v>
      </c>
      <c r="F559" s="191">
        <f>IFERROR(INDEX(凭证录入!L:L,$H559),0)</f>
        <v>0</v>
      </c>
      <c r="G559" s="212" t="s">
        <v>491</v>
      </c>
      <c r="H559" s="192" t="str">
        <f t="shared" si="136"/>
        <v/>
      </c>
      <c r="I559" s="212"/>
    </row>
    <row r="560" spans="1:9" s="45" customFormat="1" ht="19.5" customHeight="1" thickBot="1">
      <c r="A560" s="189" t="str">
        <f>IFERROR(INDEX(凭证录入!H:H,$H560),"")</f>
        <v/>
      </c>
      <c r="B560" s="189" t="str">
        <f>IFERROR(INDEX(凭证录入!I:I,$H560),"")</f>
        <v/>
      </c>
      <c r="C560" s="190" t="str">
        <f>IFERROR(VLOOKUP($B560,会计科目表!$A:$C,2,),"")</f>
        <v/>
      </c>
      <c r="D560" s="190" t="str">
        <f>IFERROR(VLOOKUP($B560,会计科目表!$A:$C,3,),"")</f>
        <v/>
      </c>
      <c r="E560" s="191">
        <f>IFERROR(INDEX(凭证录入!K:K,$H560),0)</f>
        <v>0</v>
      </c>
      <c r="F560" s="191">
        <f>IFERROR(INDEX(凭证录入!L:L,$H560),0)</f>
        <v>0</v>
      </c>
      <c r="G560" s="212" t="e">
        <f>INDEX(凭证录入!$D:$D,$H557)</f>
        <v>#VALUE!</v>
      </c>
      <c r="H560" s="192" t="str">
        <f t="shared" si="136"/>
        <v/>
      </c>
      <c r="I560" s="212"/>
    </row>
    <row r="561" spans="1:9" s="45" customFormat="1" ht="19.5" customHeight="1" thickBot="1">
      <c r="A561" s="189" t="str">
        <f>IFERROR(INDEX(凭证录入!H:H,$H561),"")</f>
        <v/>
      </c>
      <c r="B561" s="189" t="str">
        <f>IFERROR(INDEX(凭证录入!I:I,$H561),"")</f>
        <v/>
      </c>
      <c r="C561" s="190" t="str">
        <f>IFERROR(VLOOKUP($B561,会计科目表!$A:$C,2,),"")</f>
        <v/>
      </c>
      <c r="D561" s="190" t="str">
        <f>IFERROR(VLOOKUP($B561,会计科目表!$A:$C,3,),"")</f>
        <v/>
      </c>
      <c r="E561" s="191">
        <f>IFERROR(INDEX(凭证录入!K:K,$H561),0)</f>
        <v>0</v>
      </c>
      <c r="F561" s="191">
        <f>IFERROR(INDEX(凭证录入!L:L,$H561),0)</f>
        <v>0</v>
      </c>
      <c r="G561" s="212" t="s">
        <v>492</v>
      </c>
      <c r="H561" s="192" t="str">
        <f t="shared" si="136"/>
        <v/>
      </c>
    </row>
    <row r="562" spans="1:9" s="45" customFormat="1" ht="19.5" customHeight="1" thickBot="1">
      <c r="A562" s="189" t="str">
        <f>IFERROR(INDEX(凭证录入!H:H,$H562),"")</f>
        <v/>
      </c>
      <c r="B562" s="189" t="str">
        <f>IFERROR(INDEX(凭证录入!I:I,$H562),"")</f>
        <v/>
      </c>
      <c r="C562" s="190" t="str">
        <f>IFERROR(VLOOKUP($B562,会计科目表!$A:$C,2,),"")</f>
        <v/>
      </c>
      <c r="D562" s="190" t="str">
        <f>IFERROR(VLOOKUP($B562,会计科目表!$A:$C,3,),"")</f>
        <v/>
      </c>
      <c r="E562" s="191">
        <f>IFERROR(INDEX(凭证录入!K:K,$H562),0)</f>
        <v>0</v>
      </c>
      <c r="F562" s="191">
        <f>IFERROR(INDEX(凭证录入!L:L,$H562),0)</f>
        <v>0</v>
      </c>
      <c r="G562" s="212"/>
      <c r="H562" s="192" t="str">
        <f t="shared" si="136"/>
        <v/>
      </c>
    </row>
    <row r="563" spans="1:9" s="45" customFormat="1" ht="19.5" customHeight="1" thickBot="1">
      <c r="A563" s="193"/>
      <c r="B563" s="194" t="s">
        <v>485</v>
      </c>
      <c r="C563" s="195" t="str">
        <f>SUBSTITUTE(SUBSTITUTE(IF(-DOLLAR(E563),IF(E563&gt;0,,"负")&amp;TEXT(INT(ABS(E563)+0.5%),"[dbnum2]G/通用格式元;;")&amp;TEXT(RIGHT(DOLLAR(E563),2),"[dbnum2]0角0分;;整"),),"零角",IF(E563^2&lt;1,,"零")),"零分","整")</f>
        <v/>
      </c>
      <c r="D563" s="196"/>
      <c r="E563" s="197">
        <f>SUM(E557:E562)</f>
        <v>0</v>
      </c>
      <c r="F563" s="197">
        <f>SUM(F557:F562)</f>
        <v>0</v>
      </c>
      <c r="G563" s="212"/>
      <c r="H563" s="192" t="str">
        <f t="shared" si="136"/>
        <v/>
      </c>
    </row>
    <row r="564" spans="1:9" s="199" customFormat="1" ht="19.5" customHeight="1">
      <c r="A564" s="45" t="s">
        <v>486</v>
      </c>
      <c r="B564" s="45" t="s">
        <v>487</v>
      </c>
      <c r="C564" s="45" t="s">
        <v>488</v>
      </c>
      <c r="D564" s="45" t="s">
        <v>504</v>
      </c>
      <c r="E564" s="45" t="s">
        <v>489</v>
      </c>
      <c r="F564" s="212" t="str">
        <f>IF($E563&lt;&gt;$F563,"借贷不平","")</f>
        <v/>
      </c>
      <c r="G564" s="183"/>
      <c r="H564" s="198" t="str">
        <f t="shared" si="136"/>
        <v/>
      </c>
    </row>
    <row r="565" spans="1:9" ht="37.5" customHeight="1">
      <c r="A565" s="177" t="s">
        <v>493</v>
      </c>
      <c r="B565" s="178"/>
      <c r="C565" s="179"/>
      <c r="D565" s="179"/>
      <c r="E565" s="178"/>
      <c r="F565" s="178"/>
      <c r="G565" s="212"/>
      <c r="H565" s="192" t="str">
        <f t="shared" si="136"/>
        <v/>
      </c>
    </row>
    <row r="566" spans="1:9" s="45" customFormat="1" ht="19.5" customHeight="1" thickBot="1">
      <c r="C566" s="180" t="e">
        <f>DATEVALUE("2010-"&amp;$H$1&amp;"-"&amp;INDEX(凭证录入!B:B,H569))</f>
        <v>#VALUE!</v>
      </c>
      <c r="D566" s="181"/>
      <c r="E566" s="182" t="s">
        <v>477</v>
      </c>
      <c r="F566" s="183" t="e">
        <f>N(LEFT((F554),3)+1)</f>
        <v>#VALUE!</v>
      </c>
      <c r="G566" s="212"/>
      <c r="H566" s="192" t="str">
        <f t="shared" si="136"/>
        <v/>
      </c>
      <c r="I566" s="184"/>
    </row>
    <row r="567" spans="1:9" s="45" customFormat="1" ht="19.5" customHeight="1" thickBot="1">
      <c r="A567" s="544" t="s">
        <v>494</v>
      </c>
      <c r="B567" s="545" t="s">
        <v>495</v>
      </c>
      <c r="C567" s="185" t="s">
        <v>496</v>
      </c>
      <c r="D567" s="186"/>
      <c r="E567" s="187"/>
      <c r="F567" s="482"/>
      <c r="G567" s="212"/>
      <c r="H567" s="192" t="str">
        <f t="shared" si="136"/>
        <v/>
      </c>
    </row>
    <row r="568" spans="1:9" s="45" customFormat="1" ht="19.5" customHeight="1" thickBot="1">
      <c r="A568" s="545"/>
      <c r="B568" s="546"/>
      <c r="C568" s="482" t="s">
        <v>497</v>
      </c>
      <c r="D568" s="482" t="s">
        <v>498</v>
      </c>
      <c r="E568" s="482" t="s">
        <v>499</v>
      </c>
      <c r="F568" s="482" t="s">
        <v>500</v>
      </c>
      <c r="G568" s="212"/>
      <c r="H568" s="192" t="str">
        <f t="shared" si="136"/>
        <v/>
      </c>
    </row>
    <row r="569" spans="1:9" s="45" customFormat="1" ht="19.5" customHeight="1" thickBot="1">
      <c r="A569" s="189" t="str">
        <f>IFERROR(INDEX(凭证录入!H:H,$H569),"")</f>
        <v/>
      </c>
      <c r="B569" s="189" t="str">
        <f>IFERROR(INDEX(凭证录入!I:I,$H569),"")</f>
        <v/>
      </c>
      <c r="C569" s="190" t="str">
        <f>IFERROR(VLOOKUP($B569,会计科目表!$A:$C,2,),"")</f>
        <v/>
      </c>
      <c r="D569" s="190" t="str">
        <f>IFERROR(VLOOKUP($B569,会计科目表!$A:$C,3,),"")</f>
        <v/>
      </c>
      <c r="E569" s="191">
        <f>IFERROR(INDEX(凭证录入!K:K,$H569),0)</f>
        <v>0</v>
      </c>
      <c r="F569" s="191">
        <f>IFERROR(INDEX(凭证录入!L:L,$H569),0)</f>
        <v>0</v>
      </c>
      <c r="G569" s="212"/>
      <c r="H569" s="192" t="str">
        <f t="shared" si="136"/>
        <v/>
      </c>
    </row>
    <row r="570" spans="1:9" s="45" customFormat="1" ht="19.5" customHeight="1" thickBot="1">
      <c r="A570" s="189" t="str">
        <f>IFERROR(INDEX(凭证录入!H:H,$H570),"")</f>
        <v/>
      </c>
      <c r="B570" s="189" t="str">
        <f>IFERROR(INDEX(凭证录入!I:I,$H570),"")</f>
        <v/>
      </c>
      <c r="C570" s="190" t="str">
        <f>IFERROR(VLOOKUP($B570,会计科目表!$A:$C,2,),"")</f>
        <v/>
      </c>
      <c r="D570" s="190" t="str">
        <f>IFERROR(VLOOKUP($B570,会计科目表!$A:$C,3,),"")</f>
        <v/>
      </c>
      <c r="E570" s="191">
        <f>IFERROR(INDEX(凭证录入!K:K,$H570),0)</f>
        <v>0</v>
      </c>
      <c r="F570" s="191">
        <f>IFERROR(INDEX(凭证录入!L:L,$H570),0)</f>
        <v>0</v>
      </c>
      <c r="G570" s="212" t="s">
        <v>490</v>
      </c>
      <c r="H570" s="192" t="str">
        <f t="shared" si="136"/>
        <v/>
      </c>
      <c r="I570" s="212"/>
    </row>
    <row r="571" spans="1:9" s="45" customFormat="1" ht="19.5" customHeight="1" thickBot="1">
      <c r="A571" s="189" t="str">
        <f>IFERROR(INDEX(凭证录入!H:H,$H571),"")</f>
        <v/>
      </c>
      <c r="B571" s="189" t="str">
        <f>IFERROR(INDEX(凭证录入!I:I,$H571),"")</f>
        <v/>
      </c>
      <c r="C571" s="190" t="str">
        <f>IFERROR(VLOOKUP($B571,会计科目表!$A:$C,2,),"")</f>
        <v/>
      </c>
      <c r="D571" s="190" t="str">
        <f>IFERROR(VLOOKUP($B571,会计科目表!$A:$C,3,),"")</f>
        <v/>
      </c>
      <c r="E571" s="191">
        <f>IFERROR(INDEX(凭证录入!K:K,$H571),0)</f>
        <v>0</v>
      </c>
      <c r="F571" s="191">
        <f>IFERROR(INDEX(凭证录入!L:L,$H571),0)</f>
        <v>0</v>
      </c>
      <c r="G571" s="212" t="s">
        <v>491</v>
      </c>
      <c r="H571" s="192" t="str">
        <f t="shared" si="136"/>
        <v/>
      </c>
      <c r="I571" s="212"/>
    </row>
    <row r="572" spans="1:9" s="45" customFormat="1" ht="19.5" customHeight="1" thickBot="1">
      <c r="A572" s="189" t="str">
        <f>IFERROR(INDEX(凭证录入!H:H,$H572),"")</f>
        <v/>
      </c>
      <c r="B572" s="189" t="str">
        <f>IFERROR(INDEX(凭证录入!I:I,$H572),"")</f>
        <v/>
      </c>
      <c r="C572" s="190" t="str">
        <f>IFERROR(VLOOKUP($B572,会计科目表!$A:$C,2,),"")</f>
        <v/>
      </c>
      <c r="D572" s="190" t="str">
        <f>IFERROR(VLOOKUP($B572,会计科目表!$A:$C,3,),"")</f>
        <v/>
      </c>
      <c r="E572" s="191">
        <f>IFERROR(INDEX(凭证录入!K:K,$H572),0)</f>
        <v>0</v>
      </c>
      <c r="F572" s="191">
        <f>IFERROR(INDEX(凭证录入!L:L,$H572),0)</f>
        <v>0</v>
      </c>
      <c r="G572" s="212" t="e">
        <f>INDEX(凭证录入!$D:$D,$H569)</f>
        <v>#VALUE!</v>
      </c>
      <c r="H572" s="192" t="str">
        <f t="shared" si="136"/>
        <v/>
      </c>
      <c r="I572" s="212"/>
    </row>
    <row r="573" spans="1:9" s="45" customFormat="1" ht="19.5" customHeight="1" thickBot="1">
      <c r="A573" s="189" t="str">
        <f>IFERROR(INDEX(凭证录入!H:H,$H573),"")</f>
        <v/>
      </c>
      <c r="B573" s="189" t="str">
        <f>IFERROR(INDEX(凭证录入!I:I,$H573),"")</f>
        <v/>
      </c>
      <c r="C573" s="190" t="str">
        <f>IFERROR(VLOOKUP($B573,会计科目表!$A:$C,2,),"")</f>
        <v/>
      </c>
      <c r="D573" s="190" t="str">
        <f>IFERROR(VLOOKUP($B573,会计科目表!$A:$C,3,),"")</f>
        <v/>
      </c>
      <c r="E573" s="191">
        <f>IFERROR(INDEX(凭证录入!K:K,$H573),0)</f>
        <v>0</v>
      </c>
      <c r="F573" s="191">
        <f>IFERROR(INDEX(凭证录入!L:L,$H573),0)</f>
        <v>0</v>
      </c>
      <c r="G573" s="212" t="s">
        <v>492</v>
      </c>
      <c r="H573" s="192" t="str">
        <f t="shared" si="136"/>
        <v/>
      </c>
    </row>
    <row r="574" spans="1:9" s="45" customFormat="1" ht="19.5" customHeight="1" thickBot="1">
      <c r="A574" s="189" t="str">
        <f>IFERROR(INDEX(凭证录入!H:H,$H574),"")</f>
        <v/>
      </c>
      <c r="B574" s="189" t="str">
        <f>IFERROR(INDEX(凭证录入!I:I,$H574),"")</f>
        <v/>
      </c>
      <c r="C574" s="190" t="str">
        <f>IFERROR(VLOOKUP($B574,会计科目表!$A:$C,2,),"")</f>
        <v/>
      </c>
      <c r="D574" s="190" t="str">
        <f>IFERROR(VLOOKUP($B574,会计科目表!$A:$C,3,),"")</f>
        <v/>
      </c>
      <c r="E574" s="191">
        <f>IFERROR(INDEX(凭证录入!K:K,$H574),0)</f>
        <v>0</v>
      </c>
      <c r="F574" s="191">
        <f>IFERROR(INDEX(凭证录入!L:L,$H574),0)</f>
        <v>0</v>
      </c>
      <c r="G574" s="212"/>
      <c r="H574" s="192" t="str">
        <f t="shared" si="136"/>
        <v/>
      </c>
    </row>
    <row r="575" spans="1:9" s="45" customFormat="1" ht="19.5" customHeight="1" thickBot="1">
      <c r="A575" s="193"/>
      <c r="B575" s="194" t="s">
        <v>485</v>
      </c>
      <c r="C575" s="195" t="str">
        <f>SUBSTITUTE(SUBSTITUTE(IF(-DOLLAR(E575),IF(E575&gt;0,,"负")&amp;TEXT(INT(ABS(E575)+0.5%),"[dbnum2]G/通用格式元;;")&amp;TEXT(RIGHT(DOLLAR(E575),2),"[dbnum2]0角0分;;整"),),"零角",IF(E575^2&lt;1,,"零")),"零分","整")</f>
        <v/>
      </c>
      <c r="D575" s="196"/>
      <c r="E575" s="197">
        <f>SUM(E569:E574)</f>
        <v>0</v>
      </c>
      <c r="F575" s="197">
        <f>SUM(F569:F574)</f>
        <v>0</v>
      </c>
      <c r="G575" s="212"/>
      <c r="H575" s="192" t="str">
        <f t="shared" si="136"/>
        <v/>
      </c>
    </row>
    <row r="576" spans="1:9" s="199" customFormat="1" ht="19.5" customHeight="1">
      <c r="A576" s="45" t="s">
        <v>486</v>
      </c>
      <c r="B576" s="45" t="s">
        <v>487</v>
      </c>
      <c r="C576" s="45" t="s">
        <v>488</v>
      </c>
      <c r="D576" s="45" t="s">
        <v>504</v>
      </c>
      <c r="E576" s="45" t="s">
        <v>489</v>
      </c>
      <c r="F576" s="212" t="str">
        <f>IF($E575&lt;&gt;$F575,"借贷不平","")</f>
        <v/>
      </c>
      <c r="G576" s="183"/>
      <c r="H576" s="198" t="str">
        <f t="shared" si="136"/>
        <v/>
      </c>
    </row>
    <row r="577" spans="1:9" ht="37.5" customHeight="1">
      <c r="A577" s="177" t="s">
        <v>493</v>
      </c>
      <c r="B577" s="178"/>
      <c r="C577" s="179"/>
      <c r="D577" s="179"/>
      <c r="E577" s="178"/>
      <c r="F577" s="178"/>
      <c r="G577" s="212"/>
      <c r="H577" s="192" t="str">
        <f t="shared" si="136"/>
        <v/>
      </c>
    </row>
    <row r="578" spans="1:9" s="45" customFormat="1" ht="19.5" customHeight="1" thickBot="1">
      <c r="C578" s="180" t="e">
        <f>DATEVALUE("2010-"&amp;$H$1&amp;"-"&amp;INDEX(凭证录入!B:B,H581))</f>
        <v>#VALUE!</v>
      </c>
      <c r="D578" s="181"/>
      <c r="E578" s="182" t="s">
        <v>477</v>
      </c>
      <c r="F578" s="183" t="e">
        <f>N(LEFT((F566),3)+1)</f>
        <v>#VALUE!</v>
      </c>
      <c r="G578" s="212"/>
      <c r="H578" s="192" t="str">
        <f t="shared" si="136"/>
        <v/>
      </c>
      <c r="I578" s="184"/>
    </row>
    <row r="579" spans="1:9" s="45" customFormat="1" ht="19.5" customHeight="1" thickBot="1">
      <c r="A579" s="544" t="s">
        <v>494</v>
      </c>
      <c r="B579" s="545" t="s">
        <v>495</v>
      </c>
      <c r="C579" s="185" t="s">
        <v>496</v>
      </c>
      <c r="D579" s="186"/>
      <c r="E579" s="187"/>
      <c r="F579" s="482"/>
      <c r="G579" s="212"/>
      <c r="H579" s="192" t="str">
        <f t="shared" si="136"/>
        <v/>
      </c>
    </row>
    <row r="580" spans="1:9" s="45" customFormat="1" ht="19.5" customHeight="1" thickBot="1">
      <c r="A580" s="545"/>
      <c r="B580" s="546"/>
      <c r="C580" s="482" t="s">
        <v>497</v>
      </c>
      <c r="D580" s="482" t="s">
        <v>498</v>
      </c>
      <c r="E580" s="482" t="s">
        <v>499</v>
      </c>
      <c r="F580" s="482" t="s">
        <v>500</v>
      </c>
      <c r="G580" s="212"/>
      <c r="H580" s="192" t="str">
        <f t="shared" si="136"/>
        <v/>
      </c>
    </row>
    <row r="581" spans="1:9" s="45" customFormat="1" ht="19.5" customHeight="1" thickBot="1">
      <c r="A581" s="189" t="str">
        <f>IFERROR(INDEX(凭证录入!H:H,$H581),"")</f>
        <v/>
      </c>
      <c r="B581" s="189" t="str">
        <f>IFERROR(INDEX(凭证录入!I:I,$H581),"")</f>
        <v/>
      </c>
      <c r="C581" s="190" t="str">
        <f>IFERROR(VLOOKUP($B581,会计科目表!$A:$C,2,),"")</f>
        <v/>
      </c>
      <c r="D581" s="190" t="str">
        <f>IFERROR(VLOOKUP($B581,会计科目表!$A:$C,3,),"")</f>
        <v/>
      </c>
      <c r="E581" s="191">
        <f>IFERROR(INDEX(凭证录入!K:K,$H581),0)</f>
        <v>0</v>
      </c>
      <c r="F581" s="191">
        <f>IFERROR(INDEX(凭证录入!L:L,$H581),0)</f>
        <v>0</v>
      </c>
      <c r="G581" s="212"/>
      <c r="H581" s="192" t="str">
        <f t="shared" si="136"/>
        <v/>
      </c>
    </row>
    <row r="582" spans="1:9" s="45" customFormat="1" ht="19.5" customHeight="1" thickBot="1">
      <c r="A582" s="189" t="str">
        <f>IFERROR(INDEX(凭证录入!H:H,$H582),"")</f>
        <v/>
      </c>
      <c r="B582" s="189" t="str">
        <f>IFERROR(INDEX(凭证录入!I:I,$H582),"")</f>
        <v/>
      </c>
      <c r="C582" s="190" t="str">
        <f>IFERROR(VLOOKUP($B582,会计科目表!$A:$C,2,),"")</f>
        <v/>
      </c>
      <c r="D582" s="190" t="str">
        <f>IFERROR(VLOOKUP($B582,会计科目表!$A:$C,3,),"")</f>
        <v/>
      </c>
      <c r="E582" s="191">
        <f>IFERROR(INDEX(凭证录入!K:K,$H582),0)</f>
        <v>0</v>
      </c>
      <c r="F582" s="191">
        <f>IFERROR(INDEX(凭证录入!L:L,$H582),0)</f>
        <v>0</v>
      </c>
      <c r="G582" s="212" t="s">
        <v>490</v>
      </c>
      <c r="H582" s="192" t="str">
        <f t="shared" si="136"/>
        <v/>
      </c>
      <c r="I582" s="212"/>
    </row>
    <row r="583" spans="1:9" s="45" customFormat="1" ht="19.5" customHeight="1" thickBot="1">
      <c r="A583" s="189" t="str">
        <f>IFERROR(INDEX(凭证录入!H:H,$H583),"")</f>
        <v/>
      </c>
      <c r="B583" s="189" t="str">
        <f>IFERROR(INDEX(凭证录入!I:I,$H583),"")</f>
        <v/>
      </c>
      <c r="C583" s="190" t="str">
        <f>IFERROR(VLOOKUP($B583,会计科目表!$A:$C,2,),"")</f>
        <v/>
      </c>
      <c r="D583" s="190" t="str">
        <f>IFERROR(VLOOKUP($B583,会计科目表!$A:$C,3,),"")</f>
        <v/>
      </c>
      <c r="E583" s="191">
        <f>IFERROR(INDEX(凭证录入!K:K,$H583),0)</f>
        <v>0</v>
      </c>
      <c r="F583" s="191">
        <f>IFERROR(INDEX(凭证录入!L:L,$H583),0)</f>
        <v>0</v>
      </c>
      <c r="G583" s="212" t="s">
        <v>491</v>
      </c>
      <c r="H583" s="192" t="str">
        <f t="shared" si="136"/>
        <v/>
      </c>
      <c r="I583" s="212"/>
    </row>
    <row r="584" spans="1:9" s="45" customFormat="1" ht="19.5" customHeight="1" thickBot="1">
      <c r="A584" s="189" t="str">
        <f>IFERROR(INDEX(凭证录入!H:H,$H584),"")</f>
        <v/>
      </c>
      <c r="B584" s="189" t="str">
        <f>IFERROR(INDEX(凭证录入!I:I,$H584),"")</f>
        <v/>
      </c>
      <c r="C584" s="190" t="str">
        <f>IFERROR(VLOOKUP($B584,会计科目表!$A:$C,2,),"")</f>
        <v/>
      </c>
      <c r="D584" s="190" t="str">
        <f>IFERROR(VLOOKUP($B584,会计科目表!$A:$C,3,),"")</f>
        <v/>
      </c>
      <c r="E584" s="191">
        <f>IFERROR(INDEX(凭证录入!K:K,$H584),0)</f>
        <v>0</v>
      </c>
      <c r="F584" s="191">
        <f>IFERROR(INDEX(凭证录入!L:L,$H584),0)</f>
        <v>0</v>
      </c>
      <c r="G584" s="212" t="e">
        <f>INDEX(凭证录入!$D:$D,$H581)</f>
        <v>#VALUE!</v>
      </c>
      <c r="H584" s="192" t="str">
        <f t="shared" si="136"/>
        <v/>
      </c>
      <c r="I584" s="212"/>
    </row>
    <row r="585" spans="1:9" s="45" customFormat="1" ht="19.5" customHeight="1" thickBot="1">
      <c r="A585" s="189" t="str">
        <f>IFERROR(INDEX(凭证录入!H:H,$H585),"")</f>
        <v/>
      </c>
      <c r="B585" s="189" t="str">
        <f>IFERROR(INDEX(凭证录入!I:I,$H585),"")</f>
        <v/>
      </c>
      <c r="C585" s="190" t="str">
        <f>IFERROR(VLOOKUP($B585,会计科目表!$A:$C,2,),"")</f>
        <v/>
      </c>
      <c r="D585" s="190" t="str">
        <f>IFERROR(VLOOKUP($B585,会计科目表!$A:$C,3,),"")</f>
        <v/>
      </c>
      <c r="E585" s="191">
        <f>IFERROR(INDEX(凭证录入!K:K,$H585),0)</f>
        <v>0</v>
      </c>
      <c r="F585" s="191">
        <f>IFERROR(INDEX(凭证录入!L:L,$H585),0)</f>
        <v>0</v>
      </c>
      <c r="G585" s="212" t="s">
        <v>492</v>
      </c>
      <c r="H585" s="192" t="str">
        <f t="shared" si="136"/>
        <v/>
      </c>
    </row>
    <row r="586" spans="1:9" s="45" customFormat="1" ht="19.5" customHeight="1" thickBot="1">
      <c r="A586" s="189" t="str">
        <f>IFERROR(INDEX(凭证录入!H:H,$H586),"")</f>
        <v/>
      </c>
      <c r="B586" s="189" t="str">
        <f>IFERROR(INDEX(凭证录入!I:I,$H586),"")</f>
        <v/>
      </c>
      <c r="C586" s="190" t="str">
        <f>IFERROR(VLOOKUP($B586,会计科目表!$A:$C,2,),"")</f>
        <v/>
      </c>
      <c r="D586" s="190" t="str">
        <f>IFERROR(VLOOKUP($B586,会计科目表!$A:$C,3,),"")</f>
        <v/>
      </c>
      <c r="E586" s="191">
        <f>IFERROR(INDEX(凭证录入!K:K,$H586),0)</f>
        <v>0</v>
      </c>
      <c r="F586" s="191">
        <f>IFERROR(INDEX(凭证录入!L:L,$H586),0)</f>
        <v>0</v>
      </c>
      <c r="G586" s="212"/>
      <c r="H586" s="192" t="str">
        <f t="shared" si="136"/>
        <v/>
      </c>
    </row>
    <row r="587" spans="1:9" s="45" customFormat="1" ht="19.5" customHeight="1" thickBot="1">
      <c r="A587" s="193"/>
      <c r="B587" s="194" t="s">
        <v>485</v>
      </c>
      <c r="C587" s="195" t="str">
        <f>SUBSTITUTE(SUBSTITUTE(IF(-DOLLAR(E587),IF(E587&gt;0,,"负")&amp;TEXT(INT(ABS(E587)+0.5%),"[dbnum2]G/通用格式元;;")&amp;TEXT(RIGHT(DOLLAR(E587),2),"[dbnum2]0角0分;;整"),),"零角",IF(E587^2&lt;1,,"零")),"零分","整")</f>
        <v/>
      </c>
      <c r="D587" s="196"/>
      <c r="E587" s="197">
        <f>SUM(E581:E586)</f>
        <v>0</v>
      </c>
      <c r="F587" s="197">
        <f>SUM(F581:F586)</f>
        <v>0</v>
      </c>
      <c r="G587" s="212"/>
      <c r="H587" s="192" t="str">
        <f t="shared" si="136"/>
        <v/>
      </c>
    </row>
    <row r="588" spans="1:9" s="199" customFormat="1" ht="19.5" customHeight="1">
      <c r="A588" s="45" t="s">
        <v>486</v>
      </c>
      <c r="B588" s="45" t="s">
        <v>487</v>
      </c>
      <c r="C588" s="45" t="s">
        <v>488</v>
      </c>
      <c r="D588" s="45" t="s">
        <v>504</v>
      </c>
      <c r="E588" s="45" t="s">
        <v>489</v>
      </c>
      <c r="F588" s="212" t="str">
        <f>IF($E587&lt;&gt;$F587,"借贷不平","")</f>
        <v/>
      </c>
      <c r="G588" s="183"/>
      <c r="H588" s="198" t="str">
        <f t="shared" si="136"/>
        <v/>
      </c>
    </row>
    <row r="589" spans="1:9" ht="37.5" customHeight="1">
      <c r="A589" s="177" t="s">
        <v>493</v>
      </c>
      <c r="B589" s="178"/>
      <c r="C589" s="179"/>
      <c r="D589" s="179"/>
      <c r="E589" s="178"/>
      <c r="F589" s="178"/>
      <c r="G589" s="212"/>
      <c r="H589" s="192" t="str">
        <f t="shared" si="136"/>
        <v/>
      </c>
    </row>
    <row r="590" spans="1:9" s="45" customFormat="1" ht="19.5" customHeight="1" thickBot="1">
      <c r="C590" s="180" t="e">
        <f>DATEVALUE("2010-"&amp;$H$1&amp;"-"&amp;INDEX(凭证录入!B:B,H593))</f>
        <v>#VALUE!</v>
      </c>
      <c r="D590" s="181"/>
      <c r="E590" s="182" t="s">
        <v>477</v>
      </c>
      <c r="F590" s="183" t="e">
        <f>N(LEFT((F578),3)+1)</f>
        <v>#VALUE!</v>
      </c>
      <c r="G590" s="212"/>
      <c r="H590" s="192" t="str">
        <f t="shared" si="136"/>
        <v/>
      </c>
      <c r="I590" s="184"/>
    </row>
    <row r="591" spans="1:9" s="45" customFormat="1" ht="19.5" customHeight="1" thickBot="1">
      <c r="A591" s="544" t="s">
        <v>494</v>
      </c>
      <c r="B591" s="545" t="s">
        <v>495</v>
      </c>
      <c r="C591" s="185" t="s">
        <v>496</v>
      </c>
      <c r="D591" s="186"/>
      <c r="E591" s="187"/>
      <c r="F591" s="482"/>
      <c r="G591" s="212"/>
      <c r="H591" s="192" t="str">
        <f t="shared" si="136"/>
        <v/>
      </c>
    </row>
    <row r="592" spans="1:9" s="45" customFormat="1" ht="19.5" customHeight="1" thickBot="1">
      <c r="A592" s="545"/>
      <c r="B592" s="546"/>
      <c r="C592" s="482" t="s">
        <v>497</v>
      </c>
      <c r="D592" s="482" t="s">
        <v>498</v>
      </c>
      <c r="E592" s="482" t="s">
        <v>499</v>
      </c>
      <c r="F592" s="482" t="s">
        <v>500</v>
      </c>
      <c r="G592" s="212"/>
      <c r="H592" s="192" t="str">
        <f t="shared" si="136"/>
        <v/>
      </c>
    </row>
    <row r="593" spans="1:9" s="45" customFormat="1" ht="19.5" customHeight="1" thickBot="1">
      <c r="A593" s="189" t="str">
        <f>IFERROR(INDEX(凭证录入!H:H,$H593),"")</f>
        <v/>
      </c>
      <c r="B593" s="189" t="str">
        <f>IFERROR(INDEX(凭证录入!I:I,$H593),"")</f>
        <v/>
      </c>
      <c r="C593" s="190" t="str">
        <f>IFERROR(VLOOKUP($B593,会计科目表!$A:$C,2,),"")</f>
        <v/>
      </c>
      <c r="D593" s="190" t="str">
        <f>IFERROR(VLOOKUP($B593,会计科目表!$A:$C,3,),"")</f>
        <v/>
      </c>
      <c r="E593" s="191">
        <f>IFERROR(INDEX(凭证录入!K:K,$H593),0)</f>
        <v>0</v>
      </c>
      <c r="F593" s="191">
        <f>IFERROR(INDEX(凭证录入!L:L,$H593),0)</f>
        <v>0</v>
      </c>
      <c r="G593" s="212"/>
      <c r="H593" s="192" t="str">
        <f t="shared" si="136"/>
        <v/>
      </c>
    </row>
    <row r="594" spans="1:9" s="45" customFormat="1" ht="19.5" customHeight="1" thickBot="1">
      <c r="A594" s="189" t="str">
        <f>IFERROR(INDEX(凭证录入!H:H,$H594),"")</f>
        <v/>
      </c>
      <c r="B594" s="189" t="str">
        <f>IFERROR(INDEX(凭证录入!I:I,$H594),"")</f>
        <v/>
      </c>
      <c r="C594" s="190" t="str">
        <f>IFERROR(VLOOKUP($B594,会计科目表!$A:$C,2,),"")</f>
        <v/>
      </c>
      <c r="D594" s="190" t="str">
        <f>IFERROR(VLOOKUP($B594,会计科目表!$A:$C,3,),"")</f>
        <v/>
      </c>
      <c r="E594" s="191">
        <f>IFERROR(INDEX(凭证录入!K:K,$H594),0)</f>
        <v>0</v>
      </c>
      <c r="F594" s="191">
        <f>IFERROR(INDEX(凭证录入!L:L,$H594),0)</f>
        <v>0</v>
      </c>
      <c r="G594" s="212" t="s">
        <v>490</v>
      </c>
      <c r="H594" s="192" t="str">
        <f t="shared" si="136"/>
        <v/>
      </c>
      <c r="I594" s="212"/>
    </row>
    <row r="595" spans="1:9" s="45" customFormat="1" ht="19.5" customHeight="1" thickBot="1">
      <c r="A595" s="189" t="str">
        <f>IFERROR(INDEX(凭证录入!H:H,$H595),"")</f>
        <v/>
      </c>
      <c r="B595" s="189" t="str">
        <f>IFERROR(INDEX(凭证录入!I:I,$H595),"")</f>
        <v/>
      </c>
      <c r="C595" s="190" t="str">
        <f>IFERROR(VLOOKUP($B595,会计科目表!$A:$C,2,),"")</f>
        <v/>
      </c>
      <c r="D595" s="190" t="str">
        <f>IFERROR(VLOOKUP($B595,会计科目表!$A:$C,3,),"")</f>
        <v/>
      </c>
      <c r="E595" s="191">
        <f>IFERROR(INDEX(凭证录入!K:K,$H595),0)</f>
        <v>0</v>
      </c>
      <c r="F595" s="191">
        <f>IFERROR(INDEX(凭证录入!L:L,$H595),0)</f>
        <v>0</v>
      </c>
      <c r="G595" s="212" t="s">
        <v>491</v>
      </c>
      <c r="H595" s="192" t="str">
        <f t="shared" si="136"/>
        <v/>
      </c>
      <c r="I595" s="212"/>
    </row>
    <row r="596" spans="1:9" s="45" customFormat="1" ht="19.5" customHeight="1" thickBot="1">
      <c r="A596" s="189" t="str">
        <f>IFERROR(INDEX(凭证录入!H:H,$H596),"")</f>
        <v/>
      </c>
      <c r="B596" s="189" t="str">
        <f>IFERROR(INDEX(凭证录入!I:I,$H596),"")</f>
        <v/>
      </c>
      <c r="C596" s="190" t="str">
        <f>IFERROR(VLOOKUP($B596,会计科目表!$A:$C,2,),"")</f>
        <v/>
      </c>
      <c r="D596" s="190" t="str">
        <f>IFERROR(VLOOKUP($B596,会计科目表!$A:$C,3,),"")</f>
        <v/>
      </c>
      <c r="E596" s="191">
        <f>IFERROR(INDEX(凭证录入!K:K,$H596),0)</f>
        <v>0</v>
      </c>
      <c r="F596" s="191">
        <f>IFERROR(INDEX(凭证录入!L:L,$H596),0)</f>
        <v>0</v>
      </c>
      <c r="G596" s="212" t="e">
        <f>INDEX(凭证录入!$D:$D,$H593)</f>
        <v>#VALUE!</v>
      </c>
      <c r="H596" s="192" t="str">
        <f t="shared" si="136"/>
        <v/>
      </c>
      <c r="I596" s="212"/>
    </row>
    <row r="597" spans="1:9" s="45" customFormat="1" ht="19.5" customHeight="1" thickBot="1">
      <c r="A597" s="189" t="str">
        <f>IFERROR(INDEX(凭证录入!H:H,$H597),"")</f>
        <v/>
      </c>
      <c r="B597" s="189" t="str">
        <f>IFERROR(INDEX(凭证录入!I:I,$H597),"")</f>
        <v/>
      </c>
      <c r="C597" s="190" t="str">
        <f>IFERROR(VLOOKUP($B597,会计科目表!$A:$C,2,),"")</f>
        <v/>
      </c>
      <c r="D597" s="190" t="str">
        <f>IFERROR(VLOOKUP($B597,会计科目表!$A:$C,3,),"")</f>
        <v/>
      </c>
      <c r="E597" s="191">
        <f>IFERROR(INDEX(凭证录入!K:K,$H597),0)</f>
        <v>0</v>
      </c>
      <c r="F597" s="191">
        <f>IFERROR(INDEX(凭证录入!L:L,$H597),0)</f>
        <v>0</v>
      </c>
      <c r="G597" s="212" t="s">
        <v>492</v>
      </c>
      <c r="H597" s="192" t="str">
        <f t="shared" si="136"/>
        <v/>
      </c>
    </row>
    <row r="598" spans="1:9" s="45" customFormat="1" ht="19.5" customHeight="1" thickBot="1">
      <c r="A598" s="189" t="str">
        <f>IFERROR(INDEX(凭证录入!H:H,$H598),"")</f>
        <v/>
      </c>
      <c r="B598" s="189" t="str">
        <f>IFERROR(INDEX(凭证录入!I:I,$H598),"")</f>
        <v/>
      </c>
      <c r="C598" s="190" t="str">
        <f>IFERROR(VLOOKUP($B598,会计科目表!$A:$C,2,),"")</f>
        <v/>
      </c>
      <c r="D598" s="190" t="str">
        <f>IFERROR(VLOOKUP($B598,会计科目表!$A:$C,3,),"")</f>
        <v/>
      </c>
      <c r="E598" s="191">
        <f>IFERROR(INDEX(凭证录入!K:K,$H598),0)</f>
        <v>0</v>
      </c>
      <c r="F598" s="191">
        <f>IFERROR(INDEX(凭证录入!L:L,$H598),0)</f>
        <v>0</v>
      </c>
      <c r="G598" s="212"/>
      <c r="H598" s="192" t="str">
        <f t="shared" si="136"/>
        <v/>
      </c>
    </row>
    <row r="599" spans="1:9" s="45" customFormat="1" ht="19.5" customHeight="1" thickBot="1">
      <c r="A599" s="193"/>
      <c r="B599" s="194" t="s">
        <v>485</v>
      </c>
      <c r="C599" s="195" t="str">
        <f>SUBSTITUTE(SUBSTITUTE(IF(-DOLLAR(E599),IF(E599&gt;0,,"负")&amp;TEXT(INT(ABS(E599)+0.5%),"[dbnum2]G/通用格式元;;")&amp;TEXT(RIGHT(DOLLAR(E599),2),"[dbnum2]0角0分;;整"),),"零角",IF(E599^2&lt;1,,"零")),"零分","整")</f>
        <v/>
      </c>
      <c r="D599" s="196"/>
      <c r="E599" s="197">
        <f>SUM(E593:E598)</f>
        <v>0</v>
      </c>
      <c r="F599" s="197">
        <f>SUM(F593:F598)</f>
        <v>0</v>
      </c>
      <c r="G599" s="212"/>
      <c r="H599" s="192" t="str">
        <f t="shared" si="136"/>
        <v/>
      </c>
    </row>
    <row r="600" spans="1:9" s="199" customFormat="1" ht="19.5" customHeight="1">
      <c r="A600" s="45" t="s">
        <v>486</v>
      </c>
      <c r="B600" s="45" t="s">
        <v>487</v>
      </c>
      <c r="C600" s="45" t="s">
        <v>488</v>
      </c>
      <c r="D600" s="45" t="s">
        <v>504</v>
      </c>
      <c r="E600" s="45" t="s">
        <v>489</v>
      </c>
      <c r="F600" s="212" t="str">
        <f>IF($E599&lt;&gt;$F599,"借贷不平","")</f>
        <v/>
      </c>
      <c r="G600" s="183"/>
      <c r="H600" s="198" t="str">
        <f t="shared" si="136"/>
        <v/>
      </c>
    </row>
    <row r="601" spans="1:9" ht="37.5" customHeight="1">
      <c r="A601" s="177" t="s">
        <v>493</v>
      </c>
      <c r="B601" s="178"/>
      <c r="C601" s="179"/>
      <c r="D601" s="179"/>
      <c r="E601" s="178"/>
      <c r="F601" s="178"/>
      <c r="G601" s="212"/>
      <c r="H601" s="192" t="str">
        <f t="shared" si="136"/>
        <v/>
      </c>
    </row>
    <row r="602" spans="1:9" s="45" customFormat="1" ht="19.5" customHeight="1" thickBot="1">
      <c r="C602" s="180" t="e">
        <f>DATEVALUE("2010-"&amp;$H$1&amp;"-"&amp;INDEX(凭证录入!B:B,H605))</f>
        <v>#VALUE!</v>
      </c>
      <c r="D602" s="181"/>
      <c r="E602" s="182" t="s">
        <v>477</v>
      </c>
      <c r="F602" s="183" t="e">
        <f>N(LEFT((F590),3)+1)</f>
        <v>#VALUE!</v>
      </c>
      <c r="G602" s="212"/>
      <c r="H602" s="192" t="str">
        <f t="shared" si="136"/>
        <v/>
      </c>
      <c r="I602" s="184"/>
    </row>
    <row r="603" spans="1:9" s="45" customFormat="1" ht="19.5" customHeight="1" thickBot="1">
      <c r="A603" s="544" t="s">
        <v>494</v>
      </c>
      <c r="B603" s="545" t="s">
        <v>495</v>
      </c>
      <c r="C603" s="185" t="s">
        <v>496</v>
      </c>
      <c r="D603" s="186"/>
      <c r="E603" s="187"/>
      <c r="F603" s="482"/>
      <c r="G603" s="212"/>
      <c r="H603" s="192" t="str">
        <f t="shared" si="136"/>
        <v/>
      </c>
    </row>
    <row r="604" spans="1:9" s="45" customFormat="1" ht="19.5" customHeight="1" thickBot="1">
      <c r="A604" s="545"/>
      <c r="B604" s="546"/>
      <c r="C604" s="482" t="s">
        <v>497</v>
      </c>
      <c r="D604" s="482" t="s">
        <v>498</v>
      </c>
      <c r="E604" s="482" t="s">
        <v>499</v>
      </c>
      <c r="F604" s="482" t="s">
        <v>500</v>
      </c>
      <c r="G604" s="212"/>
      <c r="H604" s="192" t="str">
        <f t="shared" si="136"/>
        <v/>
      </c>
    </row>
    <row r="605" spans="1:9" s="45" customFormat="1" ht="19.5" customHeight="1" thickBot="1">
      <c r="A605" s="189" t="str">
        <f>IFERROR(INDEX(凭证录入!H:H,$H605),"")</f>
        <v/>
      </c>
      <c r="B605" s="189" t="str">
        <f>IFERROR(INDEX(凭证录入!I:I,$H605),"")</f>
        <v/>
      </c>
      <c r="C605" s="190" t="str">
        <f>IFERROR(VLOOKUP($B605,会计科目表!$A:$C,2,),"")</f>
        <v/>
      </c>
      <c r="D605" s="190" t="str">
        <f>IFERROR(VLOOKUP($B605,会计科目表!$A:$C,3,),"")</f>
        <v/>
      </c>
      <c r="E605" s="191">
        <f>IFERROR(INDEX(凭证录入!K:K,$H605),0)</f>
        <v>0</v>
      </c>
      <c r="F605" s="191">
        <f>IFERROR(INDEX(凭证录入!L:L,$H605),0)</f>
        <v>0</v>
      </c>
      <c r="G605" s="212"/>
      <c r="H605" s="192" t="str">
        <f t="shared" si="136"/>
        <v/>
      </c>
    </row>
    <row r="606" spans="1:9" s="45" customFormat="1" ht="19.5" customHeight="1" thickBot="1">
      <c r="A606" s="189" t="str">
        <f>IFERROR(INDEX(凭证录入!H:H,$H606),"")</f>
        <v/>
      </c>
      <c r="B606" s="189" t="str">
        <f>IFERROR(INDEX(凭证录入!I:I,$H606),"")</f>
        <v/>
      </c>
      <c r="C606" s="190" t="str">
        <f>IFERROR(VLOOKUP($B606,会计科目表!$A:$C,2,),"")</f>
        <v/>
      </c>
      <c r="D606" s="190" t="str">
        <f>IFERROR(VLOOKUP($B606,会计科目表!$A:$C,3,),"")</f>
        <v/>
      </c>
      <c r="E606" s="191">
        <f>IFERROR(INDEX(凭证录入!K:K,$H606),0)</f>
        <v>0</v>
      </c>
      <c r="F606" s="191">
        <f>IFERROR(INDEX(凭证录入!L:L,$H606),0)</f>
        <v>0</v>
      </c>
      <c r="G606" s="212" t="s">
        <v>490</v>
      </c>
      <c r="H606" s="192" t="str">
        <f t="shared" si="136"/>
        <v/>
      </c>
      <c r="I606" s="212"/>
    </row>
    <row r="607" spans="1:9" s="45" customFormat="1" ht="19.5" customHeight="1" thickBot="1">
      <c r="A607" s="189" t="str">
        <f>IFERROR(INDEX(凭证录入!H:H,$H607),"")</f>
        <v/>
      </c>
      <c r="B607" s="189" t="str">
        <f>IFERROR(INDEX(凭证录入!I:I,$H607),"")</f>
        <v/>
      </c>
      <c r="C607" s="190" t="str">
        <f>IFERROR(VLOOKUP($B607,会计科目表!$A:$C,2,),"")</f>
        <v/>
      </c>
      <c r="D607" s="190" t="str">
        <f>IFERROR(VLOOKUP($B607,会计科目表!$A:$C,3,),"")</f>
        <v/>
      </c>
      <c r="E607" s="191">
        <f>IFERROR(INDEX(凭证录入!K:K,$H607),0)</f>
        <v>0</v>
      </c>
      <c r="F607" s="191">
        <f>IFERROR(INDEX(凭证录入!L:L,$H607),0)</f>
        <v>0</v>
      </c>
      <c r="G607" s="212" t="s">
        <v>491</v>
      </c>
      <c r="H607" s="192" t="str">
        <f t="shared" si="136"/>
        <v/>
      </c>
      <c r="I607" s="212"/>
    </row>
    <row r="608" spans="1:9" s="45" customFormat="1" ht="19.5" customHeight="1" thickBot="1">
      <c r="A608" s="189" t="str">
        <f>IFERROR(INDEX(凭证录入!H:H,$H608),"")</f>
        <v/>
      </c>
      <c r="B608" s="189" t="str">
        <f>IFERROR(INDEX(凭证录入!I:I,$H608),"")</f>
        <v/>
      </c>
      <c r="C608" s="190" t="str">
        <f>IFERROR(VLOOKUP($B608,会计科目表!$A:$C,2,),"")</f>
        <v/>
      </c>
      <c r="D608" s="190" t="str">
        <f>IFERROR(VLOOKUP($B608,会计科目表!$A:$C,3,),"")</f>
        <v/>
      </c>
      <c r="E608" s="191">
        <f>IFERROR(INDEX(凭证录入!K:K,$H608),0)</f>
        <v>0</v>
      </c>
      <c r="F608" s="191">
        <f>IFERROR(INDEX(凭证录入!L:L,$H608),0)</f>
        <v>0</v>
      </c>
      <c r="G608" s="212" t="e">
        <f>INDEX(凭证录入!$D:$D,$H605)</f>
        <v>#VALUE!</v>
      </c>
      <c r="H608" s="192" t="str">
        <f t="shared" si="136"/>
        <v/>
      </c>
      <c r="I608" s="212"/>
    </row>
    <row r="609" spans="1:9" s="45" customFormat="1" ht="19.5" customHeight="1" thickBot="1">
      <c r="A609" s="189" t="str">
        <f>IFERROR(INDEX(凭证录入!H:H,$H609),"")</f>
        <v/>
      </c>
      <c r="B609" s="189" t="str">
        <f>IFERROR(INDEX(凭证录入!I:I,$H609),"")</f>
        <v/>
      </c>
      <c r="C609" s="190" t="str">
        <f>IFERROR(VLOOKUP($B609,会计科目表!$A:$C,2,),"")</f>
        <v/>
      </c>
      <c r="D609" s="190" t="str">
        <f>IFERROR(VLOOKUP($B609,会计科目表!$A:$C,3,),"")</f>
        <v/>
      </c>
      <c r="E609" s="191">
        <f>IFERROR(INDEX(凭证录入!K:K,$H609),0)</f>
        <v>0</v>
      </c>
      <c r="F609" s="191">
        <f>IFERROR(INDEX(凭证录入!L:L,$H609),0)</f>
        <v>0</v>
      </c>
      <c r="G609" s="212" t="s">
        <v>492</v>
      </c>
      <c r="H609" s="192" t="str">
        <f t="shared" si="136"/>
        <v/>
      </c>
    </row>
    <row r="610" spans="1:9" s="45" customFormat="1" ht="19.5" customHeight="1" thickBot="1">
      <c r="A610" s="189" t="str">
        <f>IFERROR(INDEX(凭证录入!H:H,$H610),"")</f>
        <v/>
      </c>
      <c r="B610" s="189" t="str">
        <f>IFERROR(INDEX(凭证录入!I:I,$H610),"")</f>
        <v/>
      </c>
      <c r="C610" s="190" t="str">
        <f>IFERROR(VLOOKUP($B610,会计科目表!$A:$C,2,),"")</f>
        <v/>
      </c>
      <c r="D610" s="190" t="str">
        <f>IFERROR(VLOOKUP($B610,会计科目表!$A:$C,3,),"")</f>
        <v/>
      </c>
      <c r="E610" s="191">
        <f>IFERROR(INDEX(凭证录入!K:K,$H610),0)</f>
        <v>0</v>
      </c>
      <c r="F610" s="191">
        <f>IFERROR(INDEX(凭证录入!L:L,$H610),0)</f>
        <v>0</v>
      </c>
      <c r="G610" s="212"/>
      <c r="H610" s="192" t="str">
        <f t="shared" si="136"/>
        <v/>
      </c>
    </row>
    <row r="611" spans="1:9" s="45" customFormat="1" ht="19.5" customHeight="1" thickBot="1">
      <c r="A611" s="193"/>
      <c r="B611" s="194" t="s">
        <v>485</v>
      </c>
      <c r="C611" s="195" t="str">
        <f>SUBSTITUTE(SUBSTITUTE(IF(-DOLLAR(E611),IF(E611&gt;0,,"负")&amp;TEXT(INT(ABS(E611)+0.5%),"[dbnum2]G/通用格式元;;")&amp;TEXT(RIGHT(DOLLAR(E611),2),"[dbnum2]0角0分;;整"),),"零角",IF(E611^2&lt;1,,"零")),"零分","整")</f>
        <v/>
      </c>
      <c r="D611" s="196"/>
      <c r="E611" s="197">
        <f>SUM(E605:E610)</f>
        <v>0</v>
      </c>
      <c r="F611" s="197">
        <f>SUM(F605:F610)</f>
        <v>0</v>
      </c>
      <c r="G611" s="212"/>
      <c r="H611" s="192" t="str">
        <f t="shared" si="136"/>
        <v/>
      </c>
    </row>
    <row r="612" spans="1:9" s="199" customFormat="1" ht="19.5" customHeight="1">
      <c r="A612" s="45" t="s">
        <v>486</v>
      </c>
      <c r="B612" s="45" t="s">
        <v>487</v>
      </c>
      <c r="C612" s="45" t="s">
        <v>488</v>
      </c>
      <c r="D612" s="45" t="s">
        <v>504</v>
      </c>
      <c r="E612" s="45" t="s">
        <v>489</v>
      </c>
      <c r="F612" s="212" t="str">
        <f>IF($E611&lt;&gt;$F611,"借贷不平","")</f>
        <v/>
      </c>
      <c r="G612" s="183"/>
      <c r="H612" s="198" t="str">
        <f t="shared" si="136"/>
        <v/>
      </c>
    </row>
    <row r="613" spans="1:9" ht="37.5" customHeight="1">
      <c r="A613" s="177" t="s">
        <v>493</v>
      </c>
      <c r="B613" s="178"/>
      <c r="C613" s="179"/>
      <c r="D613" s="179"/>
      <c r="E613" s="178"/>
      <c r="F613" s="178"/>
      <c r="G613" s="212"/>
      <c r="H613" s="192" t="str">
        <f t="shared" si="136"/>
        <v/>
      </c>
    </row>
    <row r="614" spans="1:9" s="45" customFormat="1" ht="19.5" customHeight="1" thickBot="1">
      <c r="C614" s="180" t="e">
        <f>DATEVALUE("2010-"&amp;$H$1&amp;"-"&amp;INDEX(凭证录入!B:B,H617))</f>
        <v>#VALUE!</v>
      </c>
      <c r="D614" s="181"/>
      <c r="E614" s="182" t="s">
        <v>477</v>
      </c>
      <c r="F614" s="183" t="e">
        <f>N(LEFT((F602),3)+1)</f>
        <v>#VALUE!</v>
      </c>
      <c r="G614" s="212"/>
      <c r="H614" s="192" t="str">
        <f t="shared" si="136"/>
        <v/>
      </c>
      <c r="I614" s="184"/>
    </row>
    <row r="615" spans="1:9" s="45" customFormat="1" ht="19.5" customHeight="1" thickBot="1">
      <c r="A615" s="544" t="s">
        <v>494</v>
      </c>
      <c r="B615" s="545" t="s">
        <v>495</v>
      </c>
      <c r="C615" s="185" t="s">
        <v>496</v>
      </c>
      <c r="D615" s="186"/>
      <c r="E615" s="187"/>
      <c r="F615" s="482"/>
      <c r="G615" s="212"/>
      <c r="H615" s="192" t="str">
        <f t="shared" si="136"/>
        <v/>
      </c>
    </row>
    <row r="616" spans="1:9" s="45" customFormat="1" ht="19.5" customHeight="1" thickBot="1">
      <c r="A616" s="545"/>
      <c r="B616" s="546"/>
      <c r="C616" s="482" t="s">
        <v>497</v>
      </c>
      <c r="D616" s="482" t="s">
        <v>498</v>
      </c>
      <c r="E616" s="482" t="s">
        <v>499</v>
      </c>
      <c r="F616" s="482" t="s">
        <v>500</v>
      </c>
      <c r="G616" s="212"/>
      <c r="H616" s="192" t="str">
        <f t="shared" si="136"/>
        <v/>
      </c>
    </row>
    <row r="617" spans="1:9" s="45" customFormat="1" ht="19.5" customHeight="1" thickBot="1">
      <c r="A617" s="189" t="str">
        <f>IFERROR(INDEX(凭证录入!H:H,$H617),"")</f>
        <v/>
      </c>
      <c r="B617" s="189" t="str">
        <f>IFERROR(INDEX(凭证录入!I:I,$H617),"")</f>
        <v/>
      </c>
      <c r="C617" s="190" t="str">
        <f>IFERROR(VLOOKUP($B617,会计科目表!$A:$C,2,),"")</f>
        <v/>
      </c>
      <c r="D617" s="190" t="str">
        <f>IFERROR(VLOOKUP($B617,会计科目表!$A:$C,3,),"")</f>
        <v/>
      </c>
      <c r="E617" s="191">
        <f>IFERROR(INDEX(凭证录入!K:K,$H617),0)</f>
        <v>0</v>
      </c>
      <c r="F617" s="191">
        <f>IFERROR(INDEX(凭证录入!L:L,$H617),0)</f>
        <v>0</v>
      </c>
      <c r="G617" s="212"/>
      <c r="H617" s="192" t="str">
        <f t="shared" ref="H617:H680" si="137">IFERROR(INDEX(行号,TEXT(MOD(ROW(),12)-4,"[=]A")),"")</f>
        <v/>
      </c>
    </row>
    <row r="618" spans="1:9" s="45" customFormat="1" ht="19.5" customHeight="1" thickBot="1">
      <c r="A618" s="189" t="str">
        <f>IFERROR(INDEX(凭证录入!H:H,$H618),"")</f>
        <v/>
      </c>
      <c r="B618" s="189" t="str">
        <f>IFERROR(INDEX(凭证录入!I:I,$H618),"")</f>
        <v/>
      </c>
      <c r="C618" s="190" t="str">
        <f>IFERROR(VLOOKUP($B618,会计科目表!$A:$C,2,),"")</f>
        <v/>
      </c>
      <c r="D618" s="190" t="str">
        <f>IFERROR(VLOOKUP($B618,会计科目表!$A:$C,3,),"")</f>
        <v/>
      </c>
      <c r="E618" s="191">
        <f>IFERROR(INDEX(凭证录入!K:K,$H618),0)</f>
        <v>0</v>
      </c>
      <c r="F618" s="191">
        <f>IFERROR(INDEX(凭证录入!L:L,$H618),0)</f>
        <v>0</v>
      </c>
      <c r="G618" s="212" t="s">
        <v>490</v>
      </c>
      <c r="H618" s="192" t="str">
        <f t="shared" si="137"/>
        <v/>
      </c>
      <c r="I618" s="212"/>
    </row>
    <row r="619" spans="1:9" s="45" customFormat="1" ht="19.5" customHeight="1" thickBot="1">
      <c r="A619" s="189" t="str">
        <f>IFERROR(INDEX(凭证录入!H:H,$H619),"")</f>
        <v/>
      </c>
      <c r="B619" s="189" t="str">
        <f>IFERROR(INDEX(凭证录入!I:I,$H619),"")</f>
        <v/>
      </c>
      <c r="C619" s="190" t="str">
        <f>IFERROR(VLOOKUP($B619,会计科目表!$A:$C,2,),"")</f>
        <v/>
      </c>
      <c r="D619" s="190" t="str">
        <f>IFERROR(VLOOKUP($B619,会计科目表!$A:$C,3,),"")</f>
        <v/>
      </c>
      <c r="E619" s="191">
        <f>IFERROR(INDEX(凭证录入!K:K,$H619),0)</f>
        <v>0</v>
      </c>
      <c r="F619" s="191">
        <f>IFERROR(INDEX(凭证录入!L:L,$H619),0)</f>
        <v>0</v>
      </c>
      <c r="G619" s="212" t="s">
        <v>491</v>
      </c>
      <c r="H619" s="192" t="str">
        <f t="shared" si="137"/>
        <v/>
      </c>
      <c r="I619" s="212"/>
    </row>
    <row r="620" spans="1:9" s="45" customFormat="1" ht="19.5" customHeight="1" thickBot="1">
      <c r="A620" s="189" t="str">
        <f>IFERROR(INDEX(凭证录入!H:H,$H620),"")</f>
        <v/>
      </c>
      <c r="B620" s="189" t="str">
        <f>IFERROR(INDEX(凭证录入!I:I,$H620),"")</f>
        <v/>
      </c>
      <c r="C620" s="190" t="str">
        <f>IFERROR(VLOOKUP($B620,会计科目表!$A:$C,2,),"")</f>
        <v/>
      </c>
      <c r="D620" s="190" t="str">
        <f>IFERROR(VLOOKUP($B620,会计科目表!$A:$C,3,),"")</f>
        <v/>
      </c>
      <c r="E620" s="191">
        <f>IFERROR(INDEX(凭证录入!K:K,$H620),0)</f>
        <v>0</v>
      </c>
      <c r="F620" s="191">
        <f>IFERROR(INDEX(凭证录入!L:L,$H620),0)</f>
        <v>0</v>
      </c>
      <c r="G620" s="212" t="e">
        <f>INDEX(凭证录入!$D:$D,$H617)</f>
        <v>#VALUE!</v>
      </c>
      <c r="H620" s="192" t="str">
        <f t="shared" si="137"/>
        <v/>
      </c>
      <c r="I620" s="212"/>
    </row>
    <row r="621" spans="1:9" s="45" customFormat="1" ht="19.5" customHeight="1" thickBot="1">
      <c r="A621" s="189" t="str">
        <f>IFERROR(INDEX(凭证录入!H:H,$H621),"")</f>
        <v/>
      </c>
      <c r="B621" s="189" t="str">
        <f>IFERROR(INDEX(凭证录入!I:I,$H621),"")</f>
        <v/>
      </c>
      <c r="C621" s="190" t="str">
        <f>IFERROR(VLOOKUP($B621,会计科目表!$A:$C,2,),"")</f>
        <v/>
      </c>
      <c r="D621" s="190" t="str">
        <f>IFERROR(VLOOKUP($B621,会计科目表!$A:$C,3,),"")</f>
        <v/>
      </c>
      <c r="E621" s="191">
        <f>IFERROR(INDEX(凭证录入!K:K,$H621),0)</f>
        <v>0</v>
      </c>
      <c r="F621" s="191">
        <f>IFERROR(INDEX(凭证录入!L:L,$H621),0)</f>
        <v>0</v>
      </c>
      <c r="G621" s="212" t="s">
        <v>492</v>
      </c>
      <c r="H621" s="192" t="str">
        <f t="shared" si="137"/>
        <v/>
      </c>
    </row>
    <row r="622" spans="1:9" s="45" customFormat="1" ht="19.5" customHeight="1" thickBot="1">
      <c r="A622" s="189" t="str">
        <f>IFERROR(INDEX(凭证录入!H:H,$H622),"")</f>
        <v/>
      </c>
      <c r="B622" s="189" t="str">
        <f>IFERROR(INDEX(凭证录入!I:I,$H622),"")</f>
        <v/>
      </c>
      <c r="C622" s="190" t="str">
        <f>IFERROR(VLOOKUP($B622,会计科目表!$A:$C,2,),"")</f>
        <v/>
      </c>
      <c r="D622" s="190" t="str">
        <f>IFERROR(VLOOKUP($B622,会计科目表!$A:$C,3,),"")</f>
        <v/>
      </c>
      <c r="E622" s="191">
        <f>IFERROR(INDEX(凭证录入!K:K,$H622),0)</f>
        <v>0</v>
      </c>
      <c r="F622" s="191">
        <f>IFERROR(INDEX(凭证录入!L:L,$H622),0)</f>
        <v>0</v>
      </c>
      <c r="G622" s="212"/>
      <c r="H622" s="192" t="str">
        <f t="shared" si="137"/>
        <v/>
      </c>
    </row>
    <row r="623" spans="1:9" s="45" customFormat="1" ht="19.5" customHeight="1" thickBot="1">
      <c r="A623" s="193"/>
      <c r="B623" s="194" t="s">
        <v>485</v>
      </c>
      <c r="C623" s="195" t="str">
        <f>SUBSTITUTE(SUBSTITUTE(IF(-DOLLAR(E623),IF(E623&gt;0,,"负")&amp;TEXT(INT(ABS(E623)+0.5%),"[dbnum2]G/通用格式元;;")&amp;TEXT(RIGHT(DOLLAR(E623),2),"[dbnum2]0角0分;;整"),),"零角",IF(E623^2&lt;1,,"零")),"零分","整")</f>
        <v/>
      </c>
      <c r="D623" s="196"/>
      <c r="E623" s="197">
        <f>SUM(E617:E622)</f>
        <v>0</v>
      </c>
      <c r="F623" s="197">
        <f>SUM(F617:F622)</f>
        <v>0</v>
      </c>
      <c r="G623" s="212"/>
      <c r="H623" s="192" t="str">
        <f t="shared" si="137"/>
        <v/>
      </c>
    </row>
    <row r="624" spans="1:9" s="199" customFormat="1" ht="19.5" customHeight="1">
      <c r="A624" s="45" t="s">
        <v>486</v>
      </c>
      <c r="B624" s="45" t="s">
        <v>487</v>
      </c>
      <c r="C624" s="45" t="s">
        <v>488</v>
      </c>
      <c r="D624" s="45" t="s">
        <v>504</v>
      </c>
      <c r="E624" s="45" t="s">
        <v>489</v>
      </c>
      <c r="F624" s="212" t="str">
        <f>IF($E623&lt;&gt;$F623,"借贷不平","")</f>
        <v/>
      </c>
      <c r="G624" s="183"/>
      <c r="H624" s="198" t="str">
        <f t="shared" si="137"/>
        <v/>
      </c>
    </row>
    <row r="625" spans="1:9" ht="37.5" customHeight="1">
      <c r="A625" s="177" t="s">
        <v>493</v>
      </c>
      <c r="B625" s="178"/>
      <c r="C625" s="179"/>
      <c r="D625" s="179"/>
      <c r="E625" s="178"/>
      <c r="F625" s="178"/>
      <c r="G625" s="212"/>
      <c r="H625" s="192" t="str">
        <f t="shared" si="137"/>
        <v/>
      </c>
    </row>
    <row r="626" spans="1:9" s="45" customFormat="1" ht="19.5" customHeight="1" thickBot="1">
      <c r="C626" s="180" t="e">
        <f>DATEVALUE("2010-"&amp;$H$1&amp;"-"&amp;INDEX(凭证录入!B:B,H629))</f>
        <v>#VALUE!</v>
      </c>
      <c r="D626" s="181"/>
      <c r="E626" s="182" t="s">
        <v>477</v>
      </c>
      <c r="F626" s="183" t="e">
        <f>N(LEFT((F614),3)+1)</f>
        <v>#VALUE!</v>
      </c>
      <c r="G626" s="212"/>
      <c r="H626" s="192" t="str">
        <f t="shared" si="137"/>
        <v/>
      </c>
      <c r="I626" s="184"/>
    </row>
    <row r="627" spans="1:9" s="45" customFormat="1" ht="19.5" customHeight="1" thickBot="1">
      <c r="A627" s="544" t="s">
        <v>494</v>
      </c>
      <c r="B627" s="545" t="s">
        <v>495</v>
      </c>
      <c r="C627" s="185" t="s">
        <v>496</v>
      </c>
      <c r="D627" s="186"/>
      <c r="E627" s="187"/>
      <c r="F627" s="482"/>
      <c r="G627" s="212"/>
      <c r="H627" s="192" t="str">
        <f t="shared" si="137"/>
        <v/>
      </c>
    </row>
    <row r="628" spans="1:9" s="45" customFormat="1" ht="19.5" customHeight="1" thickBot="1">
      <c r="A628" s="545"/>
      <c r="B628" s="546"/>
      <c r="C628" s="482" t="s">
        <v>497</v>
      </c>
      <c r="D628" s="482" t="s">
        <v>498</v>
      </c>
      <c r="E628" s="482" t="s">
        <v>499</v>
      </c>
      <c r="F628" s="482" t="s">
        <v>500</v>
      </c>
      <c r="G628" s="212"/>
      <c r="H628" s="192" t="str">
        <f t="shared" si="137"/>
        <v/>
      </c>
    </row>
    <row r="629" spans="1:9" s="45" customFormat="1" ht="19.5" customHeight="1" thickBot="1">
      <c r="A629" s="189" t="str">
        <f>IFERROR(INDEX(凭证录入!H:H,$H629),"")</f>
        <v/>
      </c>
      <c r="B629" s="189" t="str">
        <f>IFERROR(INDEX(凭证录入!I:I,$H629),"")</f>
        <v/>
      </c>
      <c r="C629" s="190" t="str">
        <f>IFERROR(VLOOKUP($B629,会计科目表!$A:$C,2,),"")</f>
        <v/>
      </c>
      <c r="D629" s="190" t="str">
        <f>IFERROR(VLOOKUP($B629,会计科目表!$A:$C,3,),"")</f>
        <v/>
      </c>
      <c r="E629" s="191">
        <f>IFERROR(INDEX(凭证录入!K:K,$H629),0)</f>
        <v>0</v>
      </c>
      <c r="F629" s="191">
        <f>IFERROR(INDEX(凭证录入!L:L,$H629),0)</f>
        <v>0</v>
      </c>
      <c r="G629" s="212"/>
      <c r="H629" s="192" t="str">
        <f t="shared" si="137"/>
        <v/>
      </c>
    </row>
    <row r="630" spans="1:9" s="45" customFormat="1" ht="19.5" customHeight="1" thickBot="1">
      <c r="A630" s="189" t="str">
        <f>IFERROR(INDEX(凭证录入!H:H,$H630),"")</f>
        <v/>
      </c>
      <c r="B630" s="189" t="str">
        <f>IFERROR(INDEX(凭证录入!I:I,$H630),"")</f>
        <v/>
      </c>
      <c r="C630" s="190" t="str">
        <f>IFERROR(VLOOKUP($B630,会计科目表!$A:$C,2,),"")</f>
        <v/>
      </c>
      <c r="D630" s="190" t="str">
        <f>IFERROR(VLOOKUP($B630,会计科目表!$A:$C,3,),"")</f>
        <v/>
      </c>
      <c r="E630" s="191">
        <f>IFERROR(INDEX(凭证录入!K:K,$H630),0)</f>
        <v>0</v>
      </c>
      <c r="F630" s="191">
        <f>IFERROR(INDEX(凭证录入!L:L,$H630),0)</f>
        <v>0</v>
      </c>
      <c r="G630" s="212" t="s">
        <v>490</v>
      </c>
      <c r="H630" s="192" t="str">
        <f t="shared" si="137"/>
        <v/>
      </c>
      <c r="I630" s="212"/>
    </row>
    <row r="631" spans="1:9" s="45" customFormat="1" ht="19.5" customHeight="1" thickBot="1">
      <c r="A631" s="189" t="str">
        <f>IFERROR(INDEX(凭证录入!H:H,$H631),"")</f>
        <v/>
      </c>
      <c r="B631" s="189" t="str">
        <f>IFERROR(INDEX(凭证录入!I:I,$H631),"")</f>
        <v/>
      </c>
      <c r="C631" s="190" t="str">
        <f>IFERROR(VLOOKUP($B631,会计科目表!$A:$C,2,),"")</f>
        <v/>
      </c>
      <c r="D631" s="190" t="str">
        <f>IFERROR(VLOOKUP($B631,会计科目表!$A:$C,3,),"")</f>
        <v/>
      </c>
      <c r="E631" s="191">
        <f>IFERROR(INDEX(凭证录入!K:K,$H631),0)</f>
        <v>0</v>
      </c>
      <c r="F631" s="191">
        <f>IFERROR(INDEX(凭证录入!L:L,$H631),0)</f>
        <v>0</v>
      </c>
      <c r="G631" s="212" t="s">
        <v>491</v>
      </c>
      <c r="H631" s="192" t="str">
        <f t="shared" si="137"/>
        <v/>
      </c>
      <c r="I631" s="212"/>
    </row>
    <row r="632" spans="1:9" s="45" customFormat="1" ht="19.5" customHeight="1" thickBot="1">
      <c r="A632" s="189" t="str">
        <f>IFERROR(INDEX(凭证录入!H:H,$H632),"")</f>
        <v/>
      </c>
      <c r="B632" s="189" t="str">
        <f>IFERROR(INDEX(凭证录入!I:I,$H632),"")</f>
        <v/>
      </c>
      <c r="C632" s="190" t="str">
        <f>IFERROR(VLOOKUP($B632,会计科目表!$A:$C,2,),"")</f>
        <v/>
      </c>
      <c r="D632" s="190" t="str">
        <f>IFERROR(VLOOKUP($B632,会计科目表!$A:$C,3,),"")</f>
        <v/>
      </c>
      <c r="E632" s="191">
        <f>IFERROR(INDEX(凭证录入!K:K,$H632),0)</f>
        <v>0</v>
      </c>
      <c r="F632" s="191">
        <f>IFERROR(INDEX(凭证录入!L:L,$H632),0)</f>
        <v>0</v>
      </c>
      <c r="G632" s="212" t="e">
        <f>INDEX(凭证录入!$D:$D,$H629)</f>
        <v>#VALUE!</v>
      </c>
      <c r="H632" s="192" t="str">
        <f t="shared" si="137"/>
        <v/>
      </c>
      <c r="I632" s="212"/>
    </row>
    <row r="633" spans="1:9" s="45" customFormat="1" ht="19.5" customHeight="1" thickBot="1">
      <c r="A633" s="189" t="str">
        <f>IFERROR(INDEX(凭证录入!H:H,$H633),"")</f>
        <v/>
      </c>
      <c r="B633" s="189" t="str">
        <f>IFERROR(INDEX(凭证录入!I:I,$H633),"")</f>
        <v/>
      </c>
      <c r="C633" s="190" t="str">
        <f>IFERROR(VLOOKUP($B633,会计科目表!$A:$C,2,),"")</f>
        <v/>
      </c>
      <c r="D633" s="190" t="str">
        <f>IFERROR(VLOOKUP($B633,会计科目表!$A:$C,3,),"")</f>
        <v/>
      </c>
      <c r="E633" s="191">
        <f>IFERROR(INDEX(凭证录入!K:K,$H633),0)</f>
        <v>0</v>
      </c>
      <c r="F633" s="191">
        <f>IFERROR(INDEX(凭证录入!L:L,$H633),0)</f>
        <v>0</v>
      </c>
      <c r="G633" s="212" t="s">
        <v>492</v>
      </c>
      <c r="H633" s="192" t="str">
        <f t="shared" si="137"/>
        <v/>
      </c>
    </row>
    <row r="634" spans="1:9" s="45" customFormat="1" ht="19.5" customHeight="1" thickBot="1">
      <c r="A634" s="189" t="str">
        <f>IFERROR(INDEX(凭证录入!H:H,$H634),"")</f>
        <v/>
      </c>
      <c r="B634" s="189" t="str">
        <f>IFERROR(INDEX(凭证录入!I:I,$H634),"")</f>
        <v/>
      </c>
      <c r="C634" s="190" t="str">
        <f>IFERROR(VLOOKUP($B634,会计科目表!$A:$C,2,),"")</f>
        <v/>
      </c>
      <c r="D634" s="190" t="str">
        <f>IFERROR(VLOOKUP($B634,会计科目表!$A:$C,3,),"")</f>
        <v/>
      </c>
      <c r="E634" s="191">
        <f>IFERROR(INDEX(凭证录入!K:K,$H634),0)</f>
        <v>0</v>
      </c>
      <c r="F634" s="191">
        <f>IFERROR(INDEX(凭证录入!L:L,$H634),0)</f>
        <v>0</v>
      </c>
      <c r="G634" s="212"/>
      <c r="H634" s="192" t="str">
        <f t="shared" si="137"/>
        <v/>
      </c>
    </row>
    <row r="635" spans="1:9" s="45" customFormat="1" ht="19.5" customHeight="1" thickBot="1">
      <c r="A635" s="193"/>
      <c r="B635" s="194" t="s">
        <v>485</v>
      </c>
      <c r="C635" s="195" t="str">
        <f>SUBSTITUTE(SUBSTITUTE(IF(-DOLLAR(E635),IF(E635&gt;0,,"负")&amp;TEXT(INT(ABS(E635)+0.5%),"[dbnum2]G/通用格式元;;")&amp;TEXT(RIGHT(DOLLAR(E635),2),"[dbnum2]0角0分;;整"),),"零角",IF(E635^2&lt;1,,"零")),"零分","整")</f>
        <v/>
      </c>
      <c r="D635" s="196"/>
      <c r="E635" s="197">
        <f>SUM(E629:E634)</f>
        <v>0</v>
      </c>
      <c r="F635" s="197">
        <f>SUM(F629:F634)</f>
        <v>0</v>
      </c>
      <c r="G635" s="212"/>
      <c r="H635" s="192" t="str">
        <f t="shared" si="137"/>
        <v/>
      </c>
    </row>
    <row r="636" spans="1:9" s="199" customFormat="1" ht="19.5" customHeight="1">
      <c r="A636" s="45" t="s">
        <v>486</v>
      </c>
      <c r="B636" s="45" t="s">
        <v>487</v>
      </c>
      <c r="C636" s="45" t="s">
        <v>488</v>
      </c>
      <c r="D636" s="45" t="s">
        <v>504</v>
      </c>
      <c r="E636" s="45" t="s">
        <v>489</v>
      </c>
      <c r="F636" s="212" t="str">
        <f>IF($E635&lt;&gt;$F635,"借贷不平","")</f>
        <v/>
      </c>
      <c r="G636" s="183"/>
      <c r="H636" s="198" t="str">
        <f t="shared" si="137"/>
        <v/>
      </c>
    </row>
    <row r="637" spans="1:9" ht="37.5" customHeight="1">
      <c r="A637" s="177" t="s">
        <v>493</v>
      </c>
      <c r="B637" s="178"/>
      <c r="C637" s="179"/>
      <c r="D637" s="179"/>
      <c r="E637" s="178"/>
      <c r="F637" s="178"/>
      <c r="G637" s="212"/>
      <c r="H637" s="192" t="str">
        <f t="shared" si="137"/>
        <v/>
      </c>
    </row>
    <row r="638" spans="1:9" s="45" customFormat="1" ht="19.5" customHeight="1" thickBot="1">
      <c r="C638" s="180" t="e">
        <f>DATEVALUE("2010-"&amp;$H$1&amp;"-"&amp;INDEX(凭证录入!B:B,H641))</f>
        <v>#VALUE!</v>
      </c>
      <c r="D638" s="181"/>
      <c r="E638" s="182" t="s">
        <v>477</v>
      </c>
      <c r="F638" s="183" t="e">
        <f>N(LEFT((F626),3)+1)</f>
        <v>#VALUE!</v>
      </c>
      <c r="G638" s="212"/>
      <c r="H638" s="192" t="str">
        <f t="shared" si="137"/>
        <v/>
      </c>
      <c r="I638" s="184"/>
    </row>
    <row r="639" spans="1:9" s="45" customFormat="1" ht="19.5" customHeight="1" thickBot="1">
      <c r="A639" s="544" t="s">
        <v>494</v>
      </c>
      <c r="B639" s="545" t="s">
        <v>495</v>
      </c>
      <c r="C639" s="185" t="s">
        <v>496</v>
      </c>
      <c r="D639" s="186"/>
      <c r="E639" s="187"/>
      <c r="F639" s="482"/>
      <c r="G639" s="212"/>
      <c r="H639" s="192" t="str">
        <f t="shared" si="137"/>
        <v/>
      </c>
    </row>
    <row r="640" spans="1:9" s="45" customFormat="1" ht="19.5" customHeight="1" thickBot="1">
      <c r="A640" s="545"/>
      <c r="B640" s="546"/>
      <c r="C640" s="482" t="s">
        <v>497</v>
      </c>
      <c r="D640" s="482" t="s">
        <v>498</v>
      </c>
      <c r="E640" s="482" t="s">
        <v>499</v>
      </c>
      <c r="F640" s="482" t="s">
        <v>500</v>
      </c>
      <c r="G640" s="212"/>
      <c r="H640" s="192" t="str">
        <f t="shared" si="137"/>
        <v/>
      </c>
    </row>
    <row r="641" spans="1:9" s="45" customFormat="1" ht="19.5" customHeight="1" thickBot="1">
      <c r="A641" s="189" t="str">
        <f>IFERROR(INDEX(凭证录入!H:H,$H641),"")</f>
        <v/>
      </c>
      <c r="B641" s="189" t="str">
        <f>IFERROR(INDEX(凭证录入!I:I,$H641),"")</f>
        <v/>
      </c>
      <c r="C641" s="190" t="str">
        <f>IFERROR(VLOOKUP($B641,会计科目表!$A:$C,2,),"")</f>
        <v/>
      </c>
      <c r="D641" s="190" t="str">
        <f>IFERROR(VLOOKUP($B641,会计科目表!$A:$C,3,),"")</f>
        <v/>
      </c>
      <c r="E641" s="191">
        <f>IFERROR(INDEX(凭证录入!K:K,$H641),0)</f>
        <v>0</v>
      </c>
      <c r="F641" s="191">
        <f>IFERROR(INDEX(凭证录入!L:L,$H641),0)</f>
        <v>0</v>
      </c>
      <c r="G641" s="212"/>
      <c r="H641" s="192" t="str">
        <f t="shared" si="137"/>
        <v/>
      </c>
    </row>
    <row r="642" spans="1:9" s="45" customFormat="1" ht="19.5" customHeight="1" thickBot="1">
      <c r="A642" s="189" t="str">
        <f>IFERROR(INDEX(凭证录入!H:H,$H642),"")</f>
        <v/>
      </c>
      <c r="B642" s="189" t="str">
        <f>IFERROR(INDEX(凭证录入!I:I,$H642),"")</f>
        <v/>
      </c>
      <c r="C642" s="190" t="str">
        <f>IFERROR(VLOOKUP($B642,会计科目表!$A:$C,2,),"")</f>
        <v/>
      </c>
      <c r="D642" s="190" t="str">
        <f>IFERROR(VLOOKUP($B642,会计科目表!$A:$C,3,),"")</f>
        <v/>
      </c>
      <c r="E642" s="191">
        <f>IFERROR(INDEX(凭证录入!K:K,$H642),0)</f>
        <v>0</v>
      </c>
      <c r="F642" s="191">
        <f>IFERROR(INDEX(凭证录入!L:L,$H642),0)</f>
        <v>0</v>
      </c>
      <c r="G642" s="212" t="s">
        <v>490</v>
      </c>
      <c r="H642" s="192" t="str">
        <f t="shared" si="137"/>
        <v/>
      </c>
      <c r="I642" s="212"/>
    </row>
    <row r="643" spans="1:9" s="45" customFormat="1" ht="19.5" customHeight="1" thickBot="1">
      <c r="A643" s="189" t="str">
        <f>IFERROR(INDEX(凭证录入!H:H,$H643),"")</f>
        <v/>
      </c>
      <c r="B643" s="189" t="str">
        <f>IFERROR(INDEX(凭证录入!I:I,$H643),"")</f>
        <v/>
      </c>
      <c r="C643" s="190" t="str">
        <f>IFERROR(VLOOKUP($B643,会计科目表!$A:$C,2,),"")</f>
        <v/>
      </c>
      <c r="D643" s="190" t="str">
        <f>IFERROR(VLOOKUP($B643,会计科目表!$A:$C,3,),"")</f>
        <v/>
      </c>
      <c r="E643" s="191">
        <f>IFERROR(INDEX(凭证录入!K:K,$H643),0)</f>
        <v>0</v>
      </c>
      <c r="F643" s="191">
        <f>IFERROR(INDEX(凭证录入!L:L,$H643),0)</f>
        <v>0</v>
      </c>
      <c r="G643" s="212" t="s">
        <v>491</v>
      </c>
      <c r="H643" s="192" t="str">
        <f t="shared" si="137"/>
        <v/>
      </c>
      <c r="I643" s="212"/>
    </row>
    <row r="644" spans="1:9" s="45" customFormat="1" ht="19.5" customHeight="1" thickBot="1">
      <c r="A644" s="189" t="str">
        <f>IFERROR(INDEX(凭证录入!H:H,$H644),"")</f>
        <v/>
      </c>
      <c r="B644" s="189" t="str">
        <f>IFERROR(INDEX(凭证录入!I:I,$H644),"")</f>
        <v/>
      </c>
      <c r="C644" s="190" t="str">
        <f>IFERROR(VLOOKUP($B644,会计科目表!$A:$C,2,),"")</f>
        <v/>
      </c>
      <c r="D644" s="190" t="str">
        <f>IFERROR(VLOOKUP($B644,会计科目表!$A:$C,3,),"")</f>
        <v/>
      </c>
      <c r="E644" s="191">
        <f>IFERROR(INDEX(凭证录入!K:K,$H644),0)</f>
        <v>0</v>
      </c>
      <c r="F644" s="191">
        <f>IFERROR(INDEX(凭证录入!L:L,$H644),0)</f>
        <v>0</v>
      </c>
      <c r="G644" s="212" t="e">
        <f>INDEX(凭证录入!$D:$D,$H641)</f>
        <v>#VALUE!</v>
      </c>
      <c r="H644" s="192" t="str">
        <f t="shared" si="137"/>
        <v/>
      </c>
      <c r="I644" s="212"/>
    </row>
    <row r="645" spans="1:9" s="45" customFormat="1" ht="19.5" customHeight="1" thickBot="1">
      <c r="A645" s="189" t="str">
        <f>IFERROR(INDEX(凭证录入!H:H,$H645),"")</f>
        <v/>
      </c>
      <c r="B645" s="189" t="str">
        <f>IFERROR(INDEX(凭证录入!I:I,$H645),"")</f>
        <v/>
      </c>
      <c r="C645" s="190" t="str">
        <f>IFERROR(VLOOKUP($B645,会计科目表!$A:$C,2,),"")</f>
        <v/>
      </c>
      <c r="D645" s="190" t="str">
        <f>IFERROR(VLOOKUP($B645,会计科目表!$A:$C,3,),"")</f>
        <v/>
      </c>
      <c r="E645" s="191">
        <f>IFERROR(INDEX(凭证录入!K:K,$H645),0)</f>
        <v>0</v>
      </c>
      <c r="F645" s="191">
        <f>IFERROR(INDEX(凭证录入!L:L,$H645),0)</f>
        <v>0</v>
      </c>
      <c r="G645" s="212" t="s">
        <v>492</v>
      </c>
      <c r="H645" s="192" t="str">
        <f t="shared" si="137"/>
        <v/>
      </c>
    </row>
    <row r="646" spans="1:9" s="45" customFormat="1" ht="19.5" customHeight="1" thickBot="1">
      <c r="A646" s="189" t="str">
        <f>IFERROR(INDEX(凭证录入!H:H,$H646),"")</f>
        <v/>
      </c>
      <c r="B646" s="189" t="str">
        <f>IFERROR(INDEX(凭证录入!I:I,$H646),"")</f>
        <v/>
      </c>
      <c r="C646" s="190" t="str">
        <f>IFERROR(VLOOKUP($B646,会计科目表!$A:$C,2,),"")</f>
        <v/>
      </c>
      <c r="D646" s="190" t="str">
        <f>IFERROR(VLOOKUP($B646,会计科目表!$A:$C,3,),"")</f>
        <v/>
      </c>
      <c r="E646" s="191">
        <f>IFERROR(INDEX(凭证录入!K:K,$H646),0)</f>
        <v>0</v>
      </c>
      <c r="F646" s="191">
        <f>IFERROR(INDEX(凭证录入!L:L,$H646),0)</f>
        <v>0</v>
      </c>
      <c r="G646" s="212"/>
      <c r="H646" s="192" t="str">
        <f t="shared" si="137"/>
        <v/>
      </c>
    </row>
    <row r="647" spans="1:9" s="45" customFormat="1" ht="19.5" customHeight="1" thickBot="1">
      <c r="A647" s="193"/>
      <c r="B647" s="194" t="s">
        <v>485</v>
      </c>
      <c r="C647" s="195" t="str">
        <f>SUBSTITUTE(SUBSTITUTE(IF(-DOLLAR(E647),IF(E647&gt;0,,"负")&amp;TEXT(INT(ABS(E647)+0.5%),"[dbnum2]G/通用格式元;;")&amp;TEXT(RIGHT(DOLLAR(E647),2),"[dbnum2]0角0分;;整"),),"零角",IF(E647^2&lt;1,,"零")),"零分","整")</f>
        <v/>
      </c>
      <c r="D647" s="196"/>
      <c r="E647" s="197">
        <f>SUM(E641:E646)</f>
        <v>0</v>
      </c>
      <c r="F647" s="197">
        <f>SUM(F641:F646)</f>
        <v>0</v>
      </c>
      <c r="G647" s="212"/>
      <c r="H647" s="192" t="str">
        <f t="shared" si="137"/>
        <v/>
      </c>
    </row>
    <row r="648" spans="1:9" s="199" customFormat="1" ht="19.5" customHeight="1">
      <c r="A648" s="45" t="s">
        <v>486</v>
      </c>
      <c r="B648" s="45" t="s">
        <v>487</v>
      </c>
      <c r="C648" s="45" t="s">
        <v>488</v>
      </c>
      <c r="D648" s="45" t="s">
        <v>504</v>
      </c>
      <c r="E648" s="45" t="s">
        <v>489</v>
      </c>
      <c r="F648" s="212" t="str">
        <f>IF($E647&lt;&gt;$F647,"借贷不平","")</f>
        <v/>
      </c>
      <c r="G648" s="183"/>
      <c r="H648" s="198" t="str">
        <f t="shared" si="137"/>
        <v/>
      </c>
    </row>
    <row r="649" spans="1:9" ht="37.5" customHeight="1">
      <c r="A649" s="177" t="s">
        <v>493</v>
      </c>
      <c r="B649" s="178"/>
      <c r="C649" s="179"/>
      <c r="D649" s="179"/>
      <c r="E649" s="178"/>
      <c r="F649" s="178"/>
      <c r="G649" s="212"/>
      <c r="H649" s="192" t="str">
        <f t="shared" si="137"/>
        <v/>
      </c>
    </row>
    <row r="650" spans="1:9" s="45" customFormat="1" ht="19.5" customHeight="1" thickBot="1">
      <c r="C650" s="180" t="e">
        <f>DATEVALUE("2010-"&amp;$H$1&amp;"-"&amp;INDEX(凭证录入!B:B,H653))</f>
        <v>#VALUE!</v>
      </c>
      <c r="D650" s="181"/>
      <c r="E650" s="182" t="s">
        <v>477</v>
      </c>
      <c r="F650" s="183" t="e">
        <f>N(LEFT((F638),3)+1)</f>
        <v>#VALUE!</v>
      </c>
      <c r="G650" s="212"/>
      <c r="H650" s="192" t="str">
        <f t="shared" si="137"/>
        <v/>
      </c>
      <c r="I650" s="184"/>
    </row>
    <row r="651" spans="1:9" s="45" customFormat="1" ht="19.5" customHeight="1" thickBot="1">
      <c r="A651" s="544" t="s">
        <v>494</v>
      </c>
      <c r="B651" s="545" t="s">
        <v>495</v>
      </c>
      <c r="C651" s="185" t="s">
        <v>496</v>
      </c>
      <c r="D651" s="186"/>
      <c r="E651" s="187"/>
      <c r="F651" s="482"/>
      <c r="G651" s="212"/>
      <c r="H651" s="192" t="str">
        <f t="shared" si="137"/>
        <v/>
      </c>
    </row>
    <row r="652" spans="1:9" s="45" customFormat="1" ht="19.5" customHeight="1" thickBot="1">
      <c r="A652" s="545"/>
      <c r="B652" s="546"/>
      <c r="C652" s="482" t="s">
        <v>497</v>
      </c>
      <c r="D652" s="482" t="s">
        <v>498</v>
      </c>
      <c r="E652" s="482" t="s">
        <v>499</v>
      </c>
      <c r="F652" s="482" t="s">
        <v>500</v>
      </c>
      <c r="G652" s="212"/>
      <c r="H652" s="192" t="str">
        <f t="shared" si="137"/>
        <v/>
      </c>
    </row>
    <row r="653" spans="1:9" s="45" customFormat="1" ht="19.5" customHeight="1" thickBot="1">
      <c r="A653" s="189" t="str">
        <f>IFERROR(INDEX(凭证录入!H:H,$H653),"")</f>
        <v/>
      </c>
      <c r="B653" s="189" t="str">
        <f>IFERROR(INDEX(凭证录入!I:I,$H653),"")</f>
        <v/>
      </c>
      <c r="C653" s="190" t="str">
        <f>IFERROR(VLOOKUP($B653,会计科目表!$A:$C,2,),"")</f>
        <v/>
      </c>
      <c r="D653" s="190" t="str">
        <f>IFERROR(VLOOKUP($B653,会计科目表!$A:$C,3,),"")</f>
        <v/>
      </c>
      <c r="E653" s="191">
        <f>IFERROR(INDEX(凭证录入!K:K,$H653),0)</f>
        <v>0</v>
      </c>
      <c r="F653" s="191">
        <f>IFERROR(INDEX(凭证录入!L:L,$H653),0)</f>
        <v>0</v>
      </c>
      <c r="G653" s="212"/>
      <c r="H653" s="192" t="str">
        <f t="shared" si="137"/>
        <v/>
      </c>
    </row>
    <row r="654" spans="1:9" s="45" customFormat="1" ht="19.5" customHeight="1" thickBot="1">
      <c r="A654" s="189" t="str">
        <f>IFERROR(INDEX(凭证录入!H:H,$H654),"")</f>
        <v/>
      </c>
      <c r="B654" s="189" t="str">
        <f>IFERROR(INDEX(凭证录入!I:I,$H654),"")</f>
        <v/>
      </c>
      <c r="C654" s="190" t="str">
        <f>IFERROR(VLOOKUP($B654,会计科目表!$A:$C,2,),"")</f>
        <v/>
      </c>
      <c r="D654" s="190" t="str">
        <f>IFERROR(VLOOKUP($B654,会计科目表!$A:$C,3,),"")</f>
        <v/>
      </c>
      <c r="E654" s="191">
        <f>IFERROR(INDEX(凭证录入!K:K,$H654),0)</f>
        <v>0</v>
      </c>
      <c r="F654" s="191">
        <f>IFERROR(INDEX(凭证录入!L:L,$H654),0)</f>
        <v>0</v>
      </c>
      <c r="G654" s="212" t="s">
        <v>490</v>
      </c>
      <c r="H654" s="192" t="str">
        <f t="shared" si="137"/>
        <v/>
      </c>
      <c r="I654" s="212"/>
    </row>
    <row r="655" spans="1:9" s="45" customFormat="1" ht="19.5" customHeight="1" thickBot="1">
      <c r="A655" s="189" t="str">
        <f>IFERROR(INDEX(凭证录入!H:H,$H655),"")</f>
        <v/>
      </c>
      <c r="B655" s="189" t="str">
        <f>IFERROR(INDEX(凭证录入!I:I,$H655),"")</f>
        <v/>
      </c>
      <c r="C655" s="190" t="str">
        <f>IFERROR(VLOOKUP($B655,会计科目表!$A:$C,2,),"")</f>
        <v/>
      </c>
      <c r="D655" s="190" t="str">
        <f>IFERROR(VLOOKUP($B655,会计科目表!$A:$C,3,),"")</f>
        <v/>
      </c>
      <c r="E655" s="191">
        <f>IFERROR(INDEX(凭证录入!K:K,$H655),0)</f>
        <v>0</v>
      </c>
      <c r="F655" s="191">
        <f>IFERROR(INDEX(凭证录入!L:L,$H655),0)</f>
        <v>0</v>
      </c>
      <c r="G655" s="212" t="s">
        <v>491</v>
      </c>
      <c r="H655" s="192" t="str">
        <f t="shared" si="137"/>
        <v/>
      </c>
      <c r="I655" s="212"/>
    </row>
    <row r="656" spans="1:9" s="45" customFormat="1" ht="19.5" customHeight="1" thickBot="1">
      <c r="A656" s="189" t="str">
        <f>IFERROR(INDEX(凭证录入!H:H,$H656),"")</f>
        <v/>
      </c>
      <c r="B656" s="189" t="str">
        <f>IFERROR(INDEX(凭证录入!I:I,$H656),"")</f>
        <v/>
      </c>
      <c r="C656" s="190" t="str">
        <f>IFERROR(VLOOKUP($B656,会计科目表!$A:$C,2,),"")</f>
        <v/>
      </c>
      <c r="D656" s="190" t="str">
        <f>IFERROR(VLOOKUP($B656,会计科目表!$A:$C,3,),"")</f>
        <v/>
      </c>
      <c r="E656" s="191">
        <f>IFERROR(INDEX(凭证录入!K:K,$H656),0)</f>
        <v>0</v>
      </c>
      <c r="F656" s="191">
        <f>IFERROR(INDEX(凭证录入!L:L,$H656),0)</f>
        <v>0</v>
      </c>
      <c r="G656" s="212" t="e">
        <f>INDEX(凭证录入!$D:$D,$H653)</f>
        <v>#VALUE!</v>
      </c>
      <c r="H656" s="192" t="str">
        <f t="shared" si="137"/>
        <v/>
      </c>
      <c r="I656" s="212"/>
    </row>
    <row r="657" spans="1:9" s="45" customFormat="1" ht="19.5" customHeight="1" thickBot="1">
      <c r="A657" s="189" t="str">
        <f>IFERROR(INDEX(凭证录入!H:H,$H657),"")</f>
        <v/>
      </c>
      <c r="B657" s="189" t="str">
        <f>IFERROR(INDEX(凭证录入!I:I,$H657),"")</f>
        <v/>
      </c>
      <c r="C657" s="190" t="str">
        <f>IFERROR(VLOOKUP($B657,会计科目表!$A:$C,2,),"")</f>
        <v/>
      </c>
      <c r="D657" s="190" t="str">
        <f>IFERROR(VLOOKUP($B657,会计科目表!$A:$C,3,),"")</f>
        <v/>
      </c>
      <c r="E657" s="191">
        <f>IFERROR(INDEX(凭证录入!K:K,$H657),0)</f>
        <v>0</v>
      </c>
      <c r="F657" s="191">
        <f>IFERROR(INDEX(凭证录入!L:L,$H657),0)</f>
        <v>0</v>
      </c>
      <c r="G657" s="212" t="s">
        <v>492</v>
      </c>
      <c r="H657" s="192" t="str">
        <f t="shared" si="137"/>
        <v/>
      </c>
    </row>
    <row r="658" spans="1:9" s="45" customFormat="1" ht="19.5" customHeight="1" thickBot="1">
      <c r="A658" s="189" t="str">
        <f>IFERROR(INDEX(凭证录入!H:H,$H658),"")</f>
        <v/>
      </c>
      <c r="B658" s="189" t="str">
        <f>IFERROR(INDEX(凭证录入!I:I,$H658),"")</f>
        <v/>
      </c>
      <c r="C658" s="190" t="str">
        <f>IFERROR(VLOOKUP($B658,会计科目表!$A:$C,2,),"")</f>
        <v/>
      </c>
      <c r="D658" s="190" t="str">
        <f>IFERROR(VLOOKUP($B658,会计科目表!$A:$C,3,),"")</f>
        <v/>
      </c>
      <c r="E658" s="191">
        <f>IFERROR(INDEX(凭证录入!K:K,$H658),0)</f>
        <v>0</v>
      </c>
      <c r="F658" s="191">
        <f>IFERROR(INDEX(凭证录入!L:L,$H658),0)</f>
        <v>0</v>
      </c>
      <c r="G658" s="212"/>
      <c r="H658" s="192" t="str">
        <f t="shared" si="137"/>
        <v/>
      </c>
    </row>
    <row r="659" spans="1:9" s="45" customFormat="1" ht="19.5" customHeight="1" thickBot="1">
      <c r="A659" s="193"/>
      <c r="B659" s="194" t="s">
        <v>485</v>
      </c>
      <c r="C659" s="195" t="str">
        <f>SUBSTITUTE(SUBSTITUTE(IF(-DOLLAR(E659),IF(E659&gt;0,,"负")&amp;TEXT(INT(ABS(E659)+0.5%),"[dbnum2]G/通用格式元;;")&amp;TEXT(RIGHT(DOLLAR(E659),2),"[dbnum2]0角0分;;整"),),"零角",IF(E659^2&lt;1,,"零")),"零分","整")</f>
        <v/>
      </c>
      <c r="D659" s="196"/>
      <c r="E659" s="197">
        <f>SUM(E653:E658)</f>
        <v>0</v>
      </c>
      <c r="F659" s="197">
        <f>SUM(F653:F658)</f>
        <v>0</v>
      </c>
      <c r="G659" s="212"/>
      <c r="H659" s="192" t="str">
        <f t="shared" si="137"/>
        <v/>
      </c>
    </row>
    <row r="660" spans="1:9" s="199" customFormat="1" ht="19.5" customHeight="1">
      <c r="A660" s="45" t="s">
        <v>486</v>
      </c>
      <c r="B660" s="45" t="s">
        <v>487</v>
      </c>
      <c r="C660" s="45" t="s">
        <v>488</v>
      </c>
      <c r="D660" s="45" t="s">
        <v>504</v>
      </c>
      <c r="E660" s="45" t="s">
        <v>489</v>
      </c>
      <c r="F660" s="212" t="str">
        <f>IF($E659&lt;&gt;$F659,"借贷不平","")</f>
        <v/>
      </c>
      <c r="G660" s="183"/>
      <c r="H660" s="198" t="str">
        <f t="shared" si="137"/>
        <v/>
      </c>
    </row>
    <row r="661" spans="1:9" ht="37.5" customHeight="1">
      <c r="A661" s="177" t="s">
        <v>493</v>
      </c>
      <c r="B661" s="178"/>
      <c r="C661" s="179"/>
      <c r="D661" s="179"/>
      <c r="E661" s="178"/>
      <c r="F661" s="178"/>
      <c r="G661" s="212"/>
      <c r="H661" s="192" t="str">
        <f t="shared" si="137"/>
        <v/>
      </c>
    </row>
    <row r="662" spans="1:9" s="45" customFormat="1" ht="19.5" customHeight="1" thickBot="1">
      <c r="C662" s="180" t="e">
        <f>DATEVALUE("2010-"&amp;$H$1&amp;"-"&amp;INDEX(凭证录入!B:B,H665))</f>
        <v>#VALUE!</v>
      </c>
      <c r="D662" s="181"/>
      <c r="E662" s="182" t="s">
        <v>477</v>
      </c>
      <c r="F662" s="183" t="e">
        <f>N(LEFT((F650),3)+1)</f>
        <v>#VALUE!</v>
      </c>
      <c r="G662" s="212"/>
      <c r="H662" s="192" t="str">
        <f t="shared" si="137"/>
        <v/>
      </c>
      <c r="I662" s="184"/>
    </row>
    <row r="663" spans="1:9" s="45" customFormat="1" ht="19.5" customHeight="1" thickBot="1">
      <c r="A663" s="544" t="s">
        <v>494</v>
      </c>
      <c r="B663" s="545" t="s">
        <v>495</v>
      </c>
      <c r="C663" s="185" t="s">
        <v>496</v>
      </c>
      <c r="D663" s="186"/>
      <c r="E663" s="187"/>
      <c r="F663" s="482"/>
      <c r="G663" s="212"/>
      <c r="H663" s="192" t="str">
        <f t="shared" si="137"/>
        <v/>
      </c>
    </row>
    <row r="664" spans="1:9" s="45" customFormat="1" ht="19.5" customHeight="1" thickBot="1">
      <c r="A664" s="545"/>
      <c r="B664" s="546"/>
      <c r="C664" s="482" t="s">
        <v>497</v>
      </c>
      <c r="D664" s="482" t="s">
        <v>498</v>
      </c>
      <c r="E664" s="482" t="s">
        <v>499</v>
      </c>
      <c r="F664" s="482" t="s">
        <v>500</v>
      </c>
      <c r="G664" s="212"/>
      <c r="H664" s="192" t="str">
        <f t="shared" si="137"/>
        <v/>
      </c>
    </row>
    <row r="665" spans="1:9" s="45" customFormat="1" ht="19.5" customHeight="1" thickBot="1">
      <c r="A665" s="189" t="str">
        <f>IFERROR(INDEX(凭证录入!H:H,$H665),"")</f>
        <v/>
      </c>
      <c r="B665" s="189" t="str">
        <f>IFERROR(INDEX(凭证录入!I:I,$H665),"")</f>
        <v/>
      </c>
      <c r="C665" s="190" t="str">
        <f>IFERROR(VLOOKUP($B665,会计科目表!$A:$C,2,),"")</f>
        <v/>
      </c>
      <c r="D665" s="190" t="str">
        <f>IFERROR(VLOOKUP($B665,会计科目表!$A:$C,3,),"")</f>
        <v/>
      </c>
      <c r="E665" s="191">
        <f>IFERROR(INDEX(凭证录入!K:K,$H665),0)</f>
        <v>0</v>
      </c>
      <c r="F665" s="191">
        <f>IFERROR(INDEX(凭证录入!L:L,$H665),0)</f>
        <v>0</v>
      </c>
      <c r="G665" s="212"/>
      <c r="H665" s="192" t="str">
        <f t="shared" si="137"/>
        <v/>
      </c>
    </row>
    <row r="666" spans="1:9" s="45" customFormat="1" ht="19.5" customHeight="1" thickBot="1">
      <c r="A666" s="189" t="str">
        <f>IFERROR(INDEX(凭证录入!H:H,$H666),"")</f>
        <v/>
      </c>
      <c r="B666" s="189" t="str">
        <f>IFERROR(INDEX(凭证录入!I:I,$H666),"")</f>
        <v/>
      </c>
      <c r="C666" s="190" t="str">
        <f>IFERROR(VLOOKUP($B666,会计科目表!$A:$C,2,),"")</f>
        <v/>
      </c>
      <c r="D666" s="190" t="str">
        <f>IFERROR(VLOOKUP($B666,会计科目表!$A:$C,3,),"")</f>
        <v/>
      </c>
      <c r="E666" s="191">
        <f>IFERROR(INDEX(凭证录入!K:K,$H666),0)</f>
        <v>0</v>
      </c>
      <c r="F666" s="191">
        <f>IFERROR(INDEX(凭证录入!L:L,$H666),0)</f>
        <v>0</v>
      </c>
      <c r="G666" s="212" t="s">
        <v>490</v>
      </c>
      <c r="H666" s="192" t="str">
        <f t="shared" si="137"/>
        <v/>
      </c>
      <c r="I666" s="212"/>
    </row>
    <row r="667" spans="1:9" s="45" customFormat="1" ht="19.5" customHeight="1" thickBot="1">
      <c r="A667" s="189" t="str">
        <f>IFERROR(INDEX(凭证录入!H:H,$H667),"")</f>
        <v/>
      </c>
      <c r="B667" s="189" t="str">
        <f>IFERROR(INDEX(凭证录入!I:I,$H667),"")</f>
        <v/>
      </c>
      <c r="C667" s="190" t="str">
        <f>IFERROR(VLOOKUP($B667,会计科目表!$A:$C,2,),"")</f>
        <v/>
      </c>
      <c r="D667" s="190" t="str">
        <f>IFERROR(VLOOKUP($B667,会计科目表!$A:$C,3,),"")</f>
        <v/>
      </c>
      <c r="E667" s="191">
        <f>IFERROR(INDEX(凭证录入!K:K,$H667),0)</f>
        <v>0</v>
      </c>
      <c r="F667" s="191">
        <f>IFERROR(INDEX(凭证录入!L:L,$H667),0)</f>
        <v>0</v>
      </c>
      <c r="G667" s="212" t="s">
        <v>491</v>
      </c>
      <c r="H667" s="192" t="str">
        <f t="shared" si="137"/>
        <v/>
      </c>
      <c r="I667" s="212"/>
    </row>
    <row r="668" spans="1:9" s="45" customFormat="1" ht="19.5" customHeight="1" thickBot="1">
      <c r="A668" s="189" t="str">
        <f>IFERROR(INDEX(凭证录入!H:H,$H668),"")</f>
        <v/>
      </c>
      <c r="B668" s="189" t="str">
        <f>IFERROR(INDEX(凭证录入!I:I,$H668),"")</f>
        <v/>
      </c>
      <c r="C668" s="190" t="str">
        <f>IFERROR(VLOOKUP($B668,会计科目表!$A:$C,2,),"")</f>
        <v/>
      </c>
      <c r="D668" s="190" t="str">
        <f>IFERROR(VLOOKUP($B668,会计科目表!$A:$C,3,),"")</f>
        <v/>
      </c>
      <c r="E668" s="191">
        <f>IFERROR(INDEX(凭证录入!K:K,$H668),0)</f>
        <v>0</v>
      </c>
      <c r="F668" s="191">
        <f>IFERROR(INDEX(凭证录入!L:L,$H668),0)</f>
        <v>0</v>
      </c>
      <c r="G668" s="212" t="e">
        <f>INDEX(凭证录入!$D:$D,$H665)</f>
        <v>#VALUE!</v>
      </c>
      <c r="H668" s="192" t="str">
        <f t="shared" si="137"/>
        <v/>
      </c>
      <c r="I668" s="212"/>
    </row>
    <row r="669" spans="1:9" s="45" customFormat="1" ht="19.5" customHeight="1" thickBot="1">
      <c r="A669" s="189" t="str">
        <f>IFERROR(INDEX(凭证录入!H:H,$H669),"")</f>
        <v/>
      </c>
      <c r="B669" s="189" t="str">
        <f>IFERROR(INDEX(凭证录入!I:I,$H669),"")</f>
        <v/>
      </c>
      <c r="C669" s="190" t="str">
        <f>IFERROR(VLOOKUP($B669,会计科目表!$A:$C,2,),"")</f>
        <v/>
      </c>
      <c r="D669" s="190" t="str">
        <f>IFERROR(VLOOKUP($B669,会计科目表!$A:$C,3,),"")</f>
        <v/>
      </c>
      <c r="E669" s="191">
        <f>IFERROR(INDEX(凭证录入!K:K,$H669),0)</f>
        <v>0</v>
      </c>
      <c r="F669" s="191">
        <f>IFERROR(INDEX(凭证录入!L:L,$H669),0)</f>
        <v>0</v>
      </c>
      <c r="G669" s="212" t="s">
        <v>492</v>
      </c>
      <c r="H669" s="192" t="str">
        <f t="shared" si="137"/>
        <v/>
      </c>
    </row>
    <row r="670" spans="1:9" s="45" customFormat="1" ht="19.5" customHeight="1" thickBot="1">
      <c r="A670" s="189" t="str">
        <f>IFERROR(INDEX(凭证录入!H:H,$H670),"")</f>
        <v/>
      </c>
      <c r="B670" s="189" t="str">
        <f>IFERROR(INDEX(凭证录入!I:I,$H670),"")</f>
        <v/>
      </c>
      <c r="C670" s="190" t="str">
        <f>IFERROR(VLOOKUP($B670,会计科目表!$A:$C,2,),"")</f>
        <v/>
      </c>
      <c r="D670" s="190" t="str">
        <f>IFERROR(VLOOKUP($B670,会计科目表!$A:$C,3,),"")</f>
        <v/>
      </c>
      <c r="E670" s="191">
        <f>IFERROR(INDEX(凭证录入!K:K,$H670),0)</f>
        <v>0</v>
      </c>
      <c r="F670" s="191">
        <f>IFERROR(INDEX(凭证录入!L:L,$H670),0)</f>
        <v>0</v>
      </c>
      <c r="G670" s="212"/>
      <c r="H670" s="192" t="str">
        <f t="shared" si="137"/>
        <v/>
      </c>
    </row>
    <row r="671" spans="1:9" s="45" customFormat="1" ht="19.5" customHeight="1" thickBot="1">
      <c r="A671" s="193"/>
      <c r="B671" s="194" t="s">
        <v>485</v>
      </c>
      <c r="C671" s="195" t="str">
        <f>SUBSTITUTE(SUBSTITUTE(IF(-DOLLAR(E671),IF(E671&gt;0,,"负")&amp;TEXT(INT(ABS(E671)+0.5%),"[dbnum2]G/通用格式元;;")&amp;TEXT(RIGHT(DOLLAR(E671),2),"[dbnum2]0角0分;;整"),),"零角",IF(E671^2&lt;1,,"零")),"零分","整")</f>
        <v/>
      </c>
      <c r="D671" s="196"/>
      <c r="E671" s="197">
        <f>SUM(E665:E670)</f>
        <v>0</v>
      </c>
      <c r="F671" s="197">
        <f>SUM(F665:F670)</f>
        <v>0</v>
      </c>
      <c r="G671" s="212"/>
      <c r="H671" s="192" t="str">
        <f t="shared" si="137"/>
        <v/>
      </c>
    </row>
    <row r="672" spans="1:9" s="199" customFormat="1" ht="19.5" customHeight="1">
      <c r="A672" s="45" t="s">
        <v>486</v>
      </c>
      <c r="B672" s="45" t="s">
        <v>487</v>
      </c>
      <c r="C672" s="45" t="s">
        <v>488</v>
      </c>
      <c r="D672" s="45" t="s">
        <v>504</v>
      </c>
      <c r="E672" s="45" t="s">
        <v>489</v>
      </c>
      <c r="F672" s="212" t="str">
        <f>IF($E671&lt;&gt;$F671,"借贷不平","")</f>
        <v/>
      </c>
      <c r="G672" s="183"/>
      <c r="H672" s="198" t="str">
        <f t="shared" si="137"/>
        <v/>
      </c>
    </row>
    <row r="673" spans="1:9" ht="37.5" customHeight="1">
      <c r="A673" s="177" t="s">
        <v>493</v>
      </c>
      <c r="B673" s="178"/>
      <c r="C673" s="179"/>
      <c r="D673" s="179"/>
      <c r="E673" s="178"/>
      <c r="F673" s="178"/>
      <c r="G673" s="212"/>
      <c r="H673" s="192" t="str">
        <f t="shared" si="137"/>
        <v/>
      </c>
    </row>
    <row r="674" spans="1:9" s="45" customFormat="1" ht="19.5" customHeight="1" thickBot="1">
      <c r="C674" s="180" t="e">
        <f>DATEVALUE("2010-"&amp;$H$1&amp;"-"&amp;INDEX(凭证录入!B:B,H677))</f>
        <v>#VALUE!</v>
      </c>
      <c r="D674" s="181"/>
      <c r="E674" s="182" t="s">
        <v>477</v>
      </c>
      <c r="F674" s="183" t="e">
        <f>N(LEFT((F662),3)+1)</f>
        <v>#VALUE!</v>
      </c>
      <c r="G674" s="212"/>
      <c r="H674" s="192" t="str">
        <f t="shared" si="137"/>
        <v/>
      </c>
      <c r="I674" s="184"/>
    </row>
    <row r="675" spans="1:9" s="45" customFormat="1" ht="19.5" customHeight="1" thickBot="1">
      <c r="A675" s="544" t="s">
        <v>494</v>
      </c>
      <c r="B675" s="545" t="s">
        <v>495</v>
      </c>
      <c r="C675" s="185" t="s">
        <v>496</v>
      </c>
      <c r="D675" s="186"/>
      <c r="E675" s="187"/>
      <c r="F675" s="482"/>
      <c r="G675" s="212"/>
      <c r="H675" s="192" t="str">
        <f t="shared" si="137"/>
        <v/>
      </c>
    </row>
    <row r="676" spans="1:9" s="45" customFormat="1" ht="19.5" customHeight="1" thickBot="1">
      <c r="A676" s="545"/>
      <c r="B676" s="546"/>
      <c r="C676" s="482" t="s">
        <v>497</v>
      </c>
      <c r="D676" s="482" t="s">
        <v>498</v>
      </c>
      <c r="E676" s="482" t="s">
        <v>499</v>
      </c>
      <c r="F676" s="482" t="s">
        <v>500</v>
      </c>
      <c r="G676" s="212"/>
      <c r="H676" s="192" t="str">
        <f t="shared" si="137"/>
        <v/>
      </c>
    </row>
    <row r="677" spans="1:9" s="45" customFormat="1" ht="19.5" customHeight="1" thickBot="1">
      <c r="A677" s="189" t="str">
        <f>IFERROR(INDEX(凭证录入!H:H,$H677),"")</f>
        <v/>
      </c>
      <c r="B677" s="189" t="str">
        <f>IFERROR(INDEX(凭证录入!I:I,$H677),"")</f>
        <v/>
      </c>
      <c r="C677" s="190" t="str">
        <f>IFERROR(VLOOKUP($B677,会计科目表!$A:$C,2,),"")</f>
        <v/>
      </c>
      <c r="D677" s="190" t="str">
        <f>IFERROR(VLOOKUP($B677,会计科目表!$A:$C,3,),"")</f>
        <v/>
      </c>
      <c r="E677" s="191">
        <f>IFERROR(INDEX(凭证录入!K:K,$H677),0)</f>
        <v>0</v>
      </c>
      <c r="F677" s="191">
        <f>IFERROR(INDEX(凭证录入!L:L,$H677),0)</f>
        <v>0</v>
      </c>
      <c r="G677" s="212"/>
      <c r="H677" s="192" t="str">
        <f t="shared" si="137"/>
        <v/>
      </c>
    </row>
    <row r="678" spans="1:9" s="45" customFormat="1" ht="19.5" customHeight="1" thickBot="1">
      <c r="A678" s="189" t="str">
        <f>IFERROR(INDEX(凭证录入!H:H,$H678),"")</f>
        <v/>
      </c>
      <c r="B678" s="189" t="str">
        <f>IFERROR(INDEX(凭证录入!I:I,$H678),"")</f>
        <v/>
      </c>
      <c r="C678" s="190" t="str">
        <f>IFERROR(VLOOKUP($B678,会计科目表!$A:$C,2,),"")</f>
        <v/>
      </c>
      <c r="D678" s="190" t="str">
        <f>IFERROR(VLOOKUP($B678,会计科目表!$A:$C,3,),"")</f>
        <v/>
      </c>
      <c r="E678" s="191">
        <f>IFERROR(INDEX(凭证录入!K:K,$H678),0)</f>
        <v>0</v>
      </c>
      <c r="F678" s="191">
        <f>IFERROR(INDEX(凭证录入!L:L,$H678),0)</f>
        <v>0</v>
      </c>
      <c r="G678" s="212" t="s">
        <v>490</v>
      </c>
      <c r="H678" s="192" t="str">
        <f t="shared" si="137"/>
        <v/>
      </c>
      <c r="I678" s="212"/>
    </row>
    <row r="679" spans="1:9" s="45" customFormat="1" ht="19.5" customHeight="1" thickBot="1">
      <c r="A679" s="189" t="str">
        <f>IFERROR(INDEX(凭证录入!H:H,$H679),"")</f>
        <v/>
      </c>
      <c r="B679" s="189" t="str">
        <f>IFERROR(INDEX(凭证录入!I:I,$H679),"")</f>
        <v/>
      </c>
      <c r="C679" s="190" t="str">
        <f>IFERROR(VLOOKUP($B679,会计科目表!$A:$C,2,),"")</f>
        <v/>
      </c>
      <c r="D679" s="190" t="str">
        <f>IFERROR(VLOOKUP($B679,会计科目表!$A:$C,3,),"")</f>
        <v/>
      </c>
      <c r="E679" s="191">
        <f>IFERROR(INDEX(凭证录入!K:K,$H679),0)</f>
        <v>0</v>
      </c>
      <c r="F679" s="191">
        <f>IFERROR(INDEX(凭证录入!L:L,$H679),0)</f>
        <v>0</v>
      </c>
      <c r="G679" s="212" t="s">
        <v>491</v>
      </c>
      <c r="H679" s="192" t="str">
        <f t="shared" si="137"/>
        <v/>
      </c>
      <c r="I679" s="212"/>
    </row>
    <row r="680" spans="1:9" s="45" customFormat="1" ht="19.5" customHeight="1" thickBot="1">
      <c r="A680" s="189" t="str">
        <f>IFERROR(INDEX(凭证录入!H:H,$H680),"")</f>
        <v/>
      </c>
      <c r="B680" s="189" t="str">
        <f>IFERROR(INDEX(凭证录入!I:I,$H680),"")</f>
        <v/>
      </c>
      <c r="C680" s="190" t="str">
        <f>IFERROR(VLOOKUP($B680,会计科目表!$A:$C,2,),"")</f>
        <v/>
      </c>
      <c r="D680" s="190" t="str">
        <f>IFERROR(VLOOKUP($B680,会计科目表!$A:$C,3,),"")</f>
        <v/>
      </c>
      <c r="E680" s="191">
        <f>IFERROR(INDEX(凭证录入!K:K,$H680),0)</f>
        <v>0</v>
      </c>
      <c r="F680" s="191">
        <f>IFERROR(INDEX(凭证录入!L:L,$H680),0)</f>
        <v>0</v>
      </c>
      <c r="G680" s="212" t="e">
        <f>INDEX(凭证录入!$D:$D,$H677)</f>
        <v>#VALUE!</v>
      </c>
      <c r="H680" s="192" t="str">
        <f t="shared" si="137"/>
        <v/>
      </c>
      <c r="I680" s="212"/>
    </row>
    <row r="681" spans="1:9" s="45" customFormat="1" ht="19.5" customHeight="1" thickBot="1">
      <c r="A681" s="189" t="str">
        <f>IFERROR(INDEX(凭证录入!H:H,$H681),"")</f>
        <v/>
      </c>
      <c r="B681" s="189" t="str">
        <f>IFERROR(INDEX(凭证录入!I:I,$H681),"")</f>
        <v/>
      </c>
      <c r="C681" s="190" t="str">
        <f>IFERROR(VLOOKUP($B681,会计科目表!$A:$C,2,),"")</f>
        <v/>
      </c>
      <c r="D681" s="190" t="str">
        <f>IFERROR(VLOOKUP($B681,会计科目表!$A:$C,3,),"")</f>
        <v/>
      </c>
      <c r="E681" s="191">
        <f>IFERROR(INDEX(凭证录入!K:K,$H681),0)</f>
        <v>0</v>
      </c>
      <c r="F681" s="191">
        <f>IFERROR(INDEX(凭证录入!L:L,$H681),0)</f>
        <v>0</v>
      </c>
      <c r="G681" s="212" t="s">
        <v>492</v>
      </c>
      <c r="H681" s="192" t="str">
        <f t="shared" ref="H681:H744" si="138">IFERROR(INDEX(行号,TEXT(MOD(ROW(),12)-4,"[=]A")),"")</f>
        <v/>
      </c>
    </row>
    <row r="682" spans="1:9" s="45" customFormat="1" ht="19.5" customHeight="1" thickBot="1">
      <c r="A682" s="189" t="str">
        <f>IFERROR(INDEX(凭证录入!H:H,$H682),"")</f>
        <v/>
      </c>
      <c r="B682" s="189" t="str">
        <f>IFERROR(INDEX(凭证录入!I:I,$H682),"")</f>
        <v/>
      </c>
      <c r="C682" s="190" t="str">
        <f>IFERROR(VLOOKUP($B682,会计科目表!$A:$C,2,),"")</f>
        <v/>
      </c>
      <c r="D682" s="190" t="str">
        <f>IFERROR(VLOOKUP($B682,会计科目表!$A:$C,3,),"")</f>
        <v/>
      </c>
      <c r="E682" s="191">
        <f>IFERROR(INDEX(凭证录入!K:K,$H682),0)</f>
        <v>0</v>
      </c>
      <c r="F682" s="191">
        <f>IFERROR(INDEX(凭证录入!L:L,$H682),0)</f>
        <v>0</v>
      </c>
      <c r="G682" s="212"/>
      <c r="H682" s="192" t="str">
        <f t="shared" si="138"/>
        <v/>
      </c>
    </row>
    <row r="683" spans="1:9" s="45" customFormat="1" ht="19.5" customHeight="1" thickBot="1">
      <c r="A683" s="193"/>
      <c r="B683" s="194" t="s">
        <v>485</v>
      </c>
      <c r="C683" s="195" t="str">
        <f>SUBSTITUTE(SUBSTITUTE(IF(-DOLLAR(E683),IF(E683&gt;0,,"负")&amp;TEXT(INT(ABS(E683)+0.5%),"[dbnum2]G/通用格式元;;")&amp;TEXT(RIGHT(DOLLAR(E683),2),"[dbnum2]0角0分;;整"),),"零角",IF(E683^2&lt;1,,"零")),"零分","整")</f>
        <v/>
      </c>
      <c r="D683" s="196"/>
      <c r="E683" s="197">
        <f>SUM(E677:E682)</f>
        <v>0</v>
      </c>
      <c r="F683" s="197">
        <f>SUM(F677:F682)</f>
        <v>0</v>
      </c>
      <c r="G683" s="212"/>
      <c r="H683" s="192" t="str">
        <f t="shared" si="138"/>
        <v/>
      </c>
    </row>
    <row r="684" spans="1:9" s="199" customFormat="1" ht="19.5" customHeight="1">
      <c r="A684" s="45" t="s">
        <v>486</v>
      </c>
      <c r="B684" s="45" t="s">
        <v>487</v>
      </c>
      <c r="C684" s="45" t="s">
        <v>488</v>
      </c>
      <c r="D684" s="45" t="s">
        <v>504</v>
      </c>
      <c r="E684" s="45" t="s">
        <v>489</v>
      </c>
      <c r="F684" s="212" t="str">
        <f>IF($E683&lt;&gt;$F683,"借贷不平","")</f>
        <v/>
      </c>
      <c r="G684" s="183"/>
      <c r="H684" s="198" t="str">
        <f t="shared" si="138"/>
        <v/>
      </c>
    </row>
    <row r="685" spans="1:9" ht="37.5" customHeight="1">
      <c r="A685" s="177" t="s">
        <v>493</v>
      </c>
      <c r="B685" s="178"/>
      <c r="C685" s="179"/>
      <c r="D685" s="179"/>
      <c r="E685" s="178"/>
      <c r="F685" s="178"/>
      <c r="G685" s="212"/>
      <c r="H685" s="192" t="str">
        <f t="shared" si="138"/>
        <v/>
      </c>
    </row>
    <row r="686" spans="1:9" s="45" customFormat="1" ht="19.5" customHeight="1" thickBot="1">
      <c r="C686" s="180" t="e">
        <f>DATEVALUE("2010-"&amp;$H$1&amp;"-"&amp;INDEX(凭证录入!B:B,H689))</f>
        <v>#VALUE!</v>
      </c>
      <c r="D686" s="181"/>
      <c r="E686" s="182" t="s">
        <v>477</v>
      </c>
      <c r="F686" s="183" t="e">
        <f>N(LEFT((F674),3)+1)</f>
        <v>#VALUE!</v>
      </c>
      <c r="G686" s="212"/>
      <c r="H686" s="192" t="str">
        <f t="shared" si="138"/>
        <v/>
      </c>
      <c r="I686" s="184"/>
    </row>
    <row r="687" spans="1:9" s="45" customFormat="1" ht="19.5" customHeight="1" thickBot="1">
      <c r="A687" s="544" t="s">
        <v>494</v>
      </c>
      <c r="B687" s="545" t="s">
        <v>495</v>
      </c>
      <c r="C687" s="185" t="s">
        <v>496</v>
      </c>
      <c r="D687" s="186"/>
      <c r="E687" s="187"/>
      <c r="F687" s="482"/>
      <c r="G687" s="212"/>
      <c r="H687" s="192" t="str">
        <f t="shared" si="138"/>
        <v/>
      </c>
    </row>
    <row r="688" spans="1:9" s="45" customFormat="1" ht="19.5" customHeight="1" thickBot="1">
      <c r="A688" s="545"/>
      <c r="B688" s="546"/>
      <c r="C688" s="482" t="s">
        <v>497</v>
      </c>
      <c r="D688" s="482" t="s">
        <v>498</v>
      </c>
      <c r="E688" s="482" t="s">
        <v>499</v>
      </c>
      <c r="F688" s="482" t="s">
        <v>500</v>
      </c>
      <c r="G688" s="212"/>
      <c r="H688" s="192" t="str">
        <f t="shared" si="138"/>
        <v/>
      </c>
    </row>
    <row r="689" spans="1:9" s="45" customFormat="1" ht="19.5" customHeight="1" thickBot="1">
      <c r="A689" s="189" t="str">
        <f>IFERROR(INDEX(凭证录入!H:H,$H689),"")</f>
        <v/>
      </c>
      <c r="B689" s="189" t="str">
        <f>IFERROR(INDEX(凭证录入!I:I,$H689),"")</f>
        <v/>
      </c>
      <c r="C689" s="190" t="str">
        <f>IFERROR(VLOOKUP($B689,会计科目表!$A:$C,2,),"")</f>
        <v/>
      </c>
      <c r="D689" s="190" t="str">
        <f>IFERROR(VLOOKUP($B689,会计科目表!$A:$C,3,),"")</f>
        <v/>
      </c>
      <c r="E689" s="191">
        <f>IFERROR(INDEX(凭证录入!K:K,$H689),0)</f>
        <v>0</v>
      </c>
      <c r="F689" s="191">
        <f>IFERROR(INDEX(凭证录入!L:L,$H689),0)</f>
        <v>0</v>
      </c>
      <c r="G689" s="212"/>
      <c r="H689" s="192" t="str">
        <f t="shared" si="138"/>
        <v/>
      </c>
    </row>
    <row r="690" spans="1:9" s="45" customFormat="1" ht="19.5" customHeight="1" thickBot="1">
      <c r="A690" s="189" t="str">
        <f>IFERROR(INDEX(凭证录入!H:H,$H690),"")</f>
        <v/>
      </c>
      <c r="B690" s="189" t="str">
        <f>IFERROR(INDEX(凭证录入!I:I,$H690),"")</f>
        <v/>
      </c>
      <c r="C690" s="190" t="str">
        <f>IFERROR(VLOOKUP($B690,会计科目表!$A:$C,2,),"")</f>
        <v/>
      </c>
      <c r="D690" s="190" t="str">
        <f>IFERROR(VLOOKUP($B690,会计科目表!$A:$C,3,),"")</f>
        <v/>
      </c>
      <c r="E690" s="191">
        <f>IFERROR(INDEX(凭证录入!K:K,$H690),0)</f>
        <v>0</v>
      </c>
      <c r="F690" s="191">
        <f>IFERROR(INDEX(凭证录入!L:L,$H690),0)</f>
        <v>0</v>
      </c>
      <c r="G690" s="212" t="s">
        <v>490</v>
      </c>
      <c r="H690" s="192" t="str">
        <f t="shared" si="138"/>
        <v/>
      </c>
      <c r="I690" s="212"/>
    </row>
    <row r="691" spans="1:9" s="45" customFormat="1" ht="19.5" customHeight="1" thickBot="1">
      <c r="A691" s="189" t="str">
        <f>IFERROR(INDEX(凭证录入!H:H,$H691),"")</f>
        <v/>
      </c>
      <c r="B691" s="189" t="str">
        <f>IFERROR(INDEX(凭证录入!I:I,$H691),"")</f>
        <v/>
      </c>
      <c r="C691" s="190" t="str">
        <f>IFERROR(VLOOKUP($B691,会计科目表!$A:$C,2,),"")</f>
        <v/>
      </c>
      <c r="D691" s="190" t="str">
        <f>IFERROR(VLOOKUP($B691,会计科目表!$A:$C,3,),"")</f>
        <v/>
      </c>
      <c r="E691" s="191">
        <f>IFERROR(INDEX(凭证录入!K:K,$H691),0)</f>
        <v>0</v>
      </c>
      <c r="F691" s="191">
        <f>IFERROR(INDEX(凭证录入!L:L,$H691),0)</f>
        <v>0</v>
      </c>
      <c r="G691" s="212" t="s">
        <v>491</v>
      </c>
      <c r="H691" s="192" t="str">
        <f t="shared" si="138"/>
        <v/>
      </c>
      <c r="I691" s="212"/>
    </row>
    <row r="692" spans="1:9" s="45" customFormat="1" ht="19.5" customHeight="1" thickBot="1">
      <c r="A692" s="189" t="str">
        <f>IFERROR(INDEX(凭证录入!H:H,$H692),"")</f>
        <v/>
      </c>
      <c r="B692" s="189" t="str">
        <f>IFERROR(INDEX(凭证录入!I:I,$H692),"")</f>
        <v/>
      </c>
      <c r="C692" s="190" t="str">
        <f>IFERROR(VLOOKUP($B692,会计科目表!$A:$C,2,),"")</f>
        <v/>
      </c>
      <c r="D692" s="190" t="str">
        <f>IFERROR(VLOOKUP($B692,会计科目表!$A:$C,3,),"")</f>
        <v/>
      </c>
      <c r="E692" s="191">
        <f>IFERROR(INDEX(凭证录入!K:K,$H692),0)</f>
        <v>0</v>
      </c>
      <c r="F692" s="191">
        <f>IFERROR(INDEX(凭证录入!L:L,$H692),0)</f>
        <v>0</v>
      </c>
      <c r="G692" s="212" t="e">
        <f>INDEX(凭证录入!$D:$D,$H689)</f>
        <v>#VALUE!</v>
      </c>
      <c r="H692" s="192" t="str">
        <f t="shared" si="138"/>
        <v/>
      </c>
      <c r="I692" s="212"/>
    </row>
    <row r="693" spans="1:9" s="45" customFormat="1" ht="19.5" customHeight="1" thickBot="1">
      <c r="A693" s="189" t="str">
        <f>IFERROR(INDEX(凭证录入!H:H,$H693),"")</f>
        <v/>
      </c>
      <c r="B693" s="189" t="str">
        <f>IFERROR(INDEX(凭证录入!I:I,$H693),"")</f>
        <v/>
      </c>
      <c r="C693" s="190" t="str">
        <f>IFERROR(VLOOKUP($B693,会计科目表!$A:$C,2,),"")</f>
        <v/>
      </c>
      <c r="D693" s="190" t="str">
        <f>IFERROR(VLOOKUP($B693,会计科目表!$A:$C,3,),"")</f>
        <v/>
      </c>
      <c r="E693" s="191">
        <f>IFERROR(INDEX(凭证录入!K:K,$H693),0)</f>
        <v>0</v>
      </c>
      <c r="F693" s="191">
        <f>IFERROR(INDEX(凭证录入!L:L,$H693),0)</f>
        <v>0</v>
      </c>
      <c r="G693" s="212" t="s">
        <v>492</v>
      </c>
      <c r="H693" s="192" t="str">
        <f t="shared" si="138"/>
        <v/>
      </c>
    </row>
    <row r="694" spans="1:9" s="45" customFormat="1" ht="19.5" customHeight="1" thickBot="1">
      <c r="A694" s="189" t="str">
        <f>IFERROR(INDEX(凭证录入!H:H,$H694),"")</f>
        <v/>
      </c>
      <c r="B694" s="189" t="str">
        <f>IFERROR(INDEX(凭证录入!I:I,$H694),"")</f>
        <v/>
      </c>
      <c r="C694" s="190" t="str">
        <f>IFERROR(VLOOKUP($B694,会计科目表!$A:$C,2,),"")</f>
        <v/>
      </c>
      <c r="D694" s="190" t="str">
        <f>IFERROR(VLOOKUP($B694,会计科目表!$A:$C,3,),"")</f>
        <v/>
      </c>
      <c r="E694" s="191">
        <f>IFERROR(INDEX(凭证录入!K:K,$H694),0)</f>
        <v>0</v>
      </c>
      <c r="F694" s="191">
        <f>IFERROR(INDEX(凭证录入!L:L,$H694),0)</f>
        <v>0</v>
      </c>
      <c r="G694" s="212"/>
      <c r="H694" s="192" t="str">
        <f t="shared" si="138"/>
        <v/>
      </c>
    </row>
    <row r="695" spans="1:9" s="45" customFormat="1" ht="19.5" customHeight="1" thickBot="1">
      <c r="A695" s="193"/>
      <c r="B695" s="194" t="s">
        <v>485</v>
      </c>
      <c r="C695" s="195" t="str">
        <f>SUBSTITUTE(SUBSTITUTE(IF(-DOLLAR(E695),IF(E695&gt;0,,"负")&amp;TEXT(INT(ABS(E695)+0.5%),"[dbnum2]G/通用格式元;;")&amp;TEXT(RIGHT(DOLLAR(E695),2),"[dbnum2]0角0分;;整"),),"零角",IF(E695^2&lt;1,,"零")),"零分","整")</f>
        <v/>
      </c>
      <c r="D695" s="196"/>
      <c r="E695" s="197">
        <f>SUM(E689:E694)</f>
        <v>0</v>
      </c>
      <c r="F695" s="197">
        <f>SUM(F689:F694)</f>
        <v>0</v>
      </c>
      <c r="G695" s="212"/>
      <c r="H695" s="192" t="str">
        <f t="shared" si="138"/>
        <v/>
      </c>
    </row>
    <row r="696" spans="1:9" s="199" customFormat="1" ht="19.5" customHeight="1">
      <c r="A696" s="45" t="s">
        <v>486</v>
      </c>
      <c r="B696" s="45" t="s">
        <v>487</v>
      </c>
      <c r="C696" s="45" t="s">
        <v>488</v>
      </c>
      <c r="D696" s="45" t="s">
        <v>504</v>
      </c>
      <c r="E696" s="45" t="s">
        <v>489</v>
      </c>
      <c r="F696" s="212" t="str">
        <f>IF($E695&lt;&gt;$F695,"借贷不平","")</f>
        <v/>
      </c>
      <c r="G696" s="183"/>
      <c r="H696" s="198" t="str">
        <f t="shared" si="138"/>
        <v/>
      </c>
    </row>
    <row r="697" spans="1:9" ht="37.5" customHeight="1">
      <c r="A697" s="177" t="s">
        <v>493</v>
      </c>
      <c r="B697" s="178"/>
      <c r="C697" s="179"/>
      <c r="D697" s="179"/>
      <c r="E697" s="178"/>
      <c r="F697" s="178"/>
      <c r="G697" s="212"/>
      <c r="H697" s="192" t="str">
        <f t="shared" si="138"/>
        <v/>
      </c>
    </row>
    <row r="698" spans="1:9" s="45" customFormat="1" ht="19.5" customHeight="1" thickBot="1">
      <c r="C698" s="180" t="e">
        <f>DATEVALUE("2010-"&amp;$H$1&amp;"-"&amp;INDEX(凭证录入!B:B,H701))</f>
        <v>#VALUE!</v>
      </c>
      <c r="D698" s="181"/>
      <c r="E698" s="182" t="s">
        <v>477</v>
      </c>
      <c r="F698" s="183" t="e">
        <f>N(LEFT((F686),3)+1)</f>
        <v>#VALUE!</v>
      </c>
      <c r="G698" s="212"/>
      <c r="H698" s="192" t="str">
        <f t="shared" si="138"/>
        <v/>
      </c>
      <c r="I698" s="184"/>
    </row>
    <row r="699" spans="1:9" s="45" customFormat="1" ht="19.5" customHeight="1" thickBot="1">
      <c r="A699" s="544" t="s">
        <v>494</v>
      </c>
      <c r="B699" s="545" t="s">
        <v>495</v>
      </c>
      <c r="C699" s="185" t="s">
        <v>496</v>
      </c>
      <c r="D699" s="186"/>
      <c r="E699" s="187"/>
      <c r="F699" s="482"/>
      <c r="G699" s="212"/>
      <c r="H699" s="192" t="str">
        <f t="shared" si="138"/>
        <v/>
      </c>
    </row>
    <row r="700" spans="1:9" s="45" customFormat="1" ht="19.5" customHeight="1" thickBot="1">
      <c r="A700" s="545"/>
      <c r="B700" s="546"/>
      <c r="C700" s="482" t="s">
        <v>497</v>
      </c>
      <c r="D700" s="482" t="s">
        <v>498</v>
      </c>
      <c r="E700" s="482" t="s">
        <v>499</v>
      </c>
      <c r="F700" s="482" t="s">
        <v>500</v>
      </c>
      <c r="G700" s="212"/>
      <c r="H700" s="192" t="str">
        <f t="shared" si="138"/>
        <v/>
      </c>
    </row>
    <row r="701" spans="1:9" s="45" customFormat="1" ht="19.5" customHeight="1" thickBot="1">
      <c r="A701" s="189" t="str">
        <f>IFERROR(INDEX(凭证录入!H:H,$H701),"")</f>
        <v/>
      </c>
      <c r="B701" s="189" t="str">
        <f>IFERROR(INDEX(凭证录入!I:I,$H701),"")</f>
        <v/>
      </c>
      <c r="C701" s="190" t="str">
        <f>IFERROR(VLOOKUP($B701,会计科目表!$A:$C,2,),"")</f>
        <v/>
      </c>
      <c r="D701" s="190" t="str">
        <f>IFERROR(VLOOKUP($B701,会计科目表!$A:$C,3,),"")</f>
        <v/>
      </c>
      <c r="E701" s="191">
        <f>IFERROR(INDEX(凭证录入!K:K,$H701),0)</f>
        <v>0</v>
      </c>
      <c r="F701" s="191">
        <f>IFERROR(INDEX(凭证录入!L:L,$H701),0)</f>
        <v>0</v>
      </c>
      <c r="G701" s="212"/>
      <c r="H701" s="192" t="str">
        <f t="shared" si="138"/>
        <v/>
      </c>
    </row>
    <row r="702" spans="1:9" s="45" customFormat="1" ht="19.5" customHeight="1" thickBot="1">
      <c r="A702" s="189" t="str">
        <f>IFERROR(INDEX(凭证录入!H:H,$H702),"")</f>
        <v/>
      </c>
      <c r="B702" s="189" t="str">
        <f>IFERROR(INDEX(凭证录入!I:I,$H702),"")</f>
        <v/>
      </c>
      <c r="C702" s="190" t="str">
        <f>IFERROR(VLOOKUP($B702,会计科目表!$A:$C,2,),"")</f>
        <v/>
      </c>
      <c r="D702" s="190" t="str">
        <f>IFERROR(VLOOKUP($B702,会计科目表!$A:$C,3,),"")</f>
        <v/>
      </c>
      <c r="E702" s="191">
        <f>IFERROR(INDEX(凭证录入!K:K,$H702),0)</f>
        <v>0</v>
      </c>
      <c r="F702" s="191">
        <f>IFERROR(INDEX(凭证录入!L:L,$H702),0)</f>
        <v>0</v>
      </c>
      <c r="G702" s="212" t="s">
        <v>490</v>
      </c>
      <c r="H702" s="192" t="str">
        <f t="shared" si="138"/>
        <v/>
      </c>
      <c r="I702" s="212"/>
    </row>
    <row r="703" spans="1:9" s="45" customFormat="1" ht="19.5" customHeight="1" thickBot="1">
      <c r="A703" s="189" t="str">
        <f>IFERROR(INDEX(凭证录入!H:H,$H703),"")</f>
        <v/>
      </c>
      <c r="B703" s="189" t="str">
        <f>IFERROR(INDEX(凭证录入!I:I,$H703),"")</f>
        <v/>
      </c>
      <c r="C703" s="190" t="str">
        <f>IFERROR(VLOOKUP($B703,会计科目表!$A:$C,2,),"")</f>
        <v/>
      </c>
      <c r="D703" s="190" t="str">
        <f>IFERROR(VLOOKUP($B703,会计科目表!$A:$C,3,),"")</f>
        <v/>
      </c>
      <c r="E703" s="191">
        <f>IFERROR(INDEX(凭证录入!K:K,$H703),0)</f>
        <v>0</v>
      </c>
      <c r="F703" s="191">
        <f>IFERROR(INDEX(凭证录入!L:L,$H703),0)</f>
        <v>0</v>
      </c>
      <c r="G703" s="212" t="s">
        <v>491</v>
      </c>
      <c r="H703" s="192" t="str">
        <f t="shared" si="138"/>
        <v/>
      </c>
      <c r="I703" s="212"/>
    </row>
    <row r="704" spans="1:9" s="45" customFormat="1" ht="19.5" customHeight="1" thickBot="1">
      <c r="A704" s="189" t="str">
        <f>IFERROR(INDEX(凭证录入!H:H,$H704),"")</f>
        <v/>
      </c>
      <c r="B704" s="189" t="str">
        <f>IFERROR(INDEX(凭证录入!I:I,$H704),"")</f>
        <v/>
      </c>
      <c r="C704" s="190" t="str">
        <f>IFERROR(VLOOKUP($B704,会计科目表!$A:$C,2,),"")</f>
        <v/>
      </c>
      <c r="D704" s="190" t="str">
        <f>IFERROR(VLOOKUP($B704,会计科目表!$A:$C,3,),"")</f>
        <v/>
      </c>
      <c r="E704" s="191">
        <f>IFERROR(INDEX(凭证录入!K:K,$H704),0)</f>
        <v>0</v>
      </c>
      <c r="F704" s="191">
        <f>IFERROR(INDEX(凭证录入!L:L,$H704),0)</f>
        <v>0</v>
      </c>
      <c r="G704" s="212" t="e">
        <f>INDEX(凭证录入!$D:$D,$H701)</f>
        <v>#VALUE!</v>
      </c>
      <c r="H704" s="192" t="str">
        <f t="shared" si="138"/>
        <v/>
      </c>
      <c r="I704" s="212"/>
    </row>
    <row r="705" spans="1:9" s="45" customFormat="1" ht="19.5" customHeight="1" thickBot="1">
      <c r="A705" s="189" t="str">
        <f>IFERROR(INDEX(凭证录入!H:H,$H705),"")</f>
        <v/>
      </c>
      <c r="B705" s="189" t="str">
        <f>IFERROR(INDEX(凭证录入!I:I,$H705),"")</f>
        <v/>
      </c>
      <c r="C705" s="190" t="str">
        <f>IFERROR(VLOOKUP($B705,会计科目表!$A:$C,2,),"")</f>
        <v/>
      </c>
      <c r="D705" s="190" t="str">
        <f>IFERROR(VLOOKUP($B705,会计科目表!$A:$C,3,),"")</f>
        <v/>
      </c>
      <c r="E705" s="191">
        <f>IFERROR(INDEX(凭证录入!K:K,$H705),0)</f>
        <v>0</v>
      </c>
      <c r="F705" s="191">
        <f>IFERROR(INDEX(凭证录入!L:L,$H705),0)</f>
        <v>0</v>
      </c>
      <c r="G705" s="212" t="s">
        <v>492</v>
      </c>
      <c r="H705" s="192" t="str">
        <f t="shared" si="138"/>
        <v/>
      </c>
    </row>
    <row r="706" spans="1:9" s="45" customFormat="1" ht="19.5" customHeight="1" thickBot="1">
      <c r="A706" s="189" t="str">
        <f>IFERROR(INDEX(凭证录入!H:H,$H706),"")</f>
        <v/>
      </c>
      <c r="B706" s="189" t="str">
        <f>IFERROR(INDEX(凭证录入!I:I,$H706),"")</f>
        <v/>
      </c>
      <c r="C706" s="190" t="str">
        <f>IFERROR(VLOOKUP($B706,会计科目表!$A:$C,2,),"")</f>
        <v/>
      </c>
      <c r="D706" s="190" t="str">
        <f>IFERROR(VLOOKUP($B706,会计科目表!$A:$C,3,),"")</f>
        <v/>
      </c>
      <c r="E706" s="191">
        <f>IFERROR(INDEX(凭证录入!K:K,$H706),0)</f>
        <v>0</v>
      </c>
      <c r="F706" s="191">
        <f>IFERROR(INDEX(凭证录入!L:L,$H706),0)</f>
        <v>0</v>
      </c>
      <c r="G706" s="212"/>
      <c r="H706" s="192" t="str">
        <f t="shared" si="138"/>
        <v/>
      </c>
    </row>
    <row r="707" spans="1:9" s="45" customFormat="1" ht="19.5" customHeight="1" thickBot="1">
      <c r="A707" s="193"/>
      <c r="B707" s="194" t="s">
        <v>485</v>
      </c>
      <c r="C707" s="195" t="str">
        <f>SUBSTITUTE(SUBSTITUTE(IF(-DOLLAR(E707),IF(E707&gt;0,,"负")&amp;TEXT(INT(ABS(E707)+0.5%),"[dbnum2]G/通用格式元;;")&amp;TEXT(RIGHT(DOLLAR(E707),2),"[dbnum2]0角0分;;整"),),"零角",IF(E707^2&lt;1,,"零")),"零分","整")</f>
        <v/>
      </c>
      <c r="D707" s="196"/>
      <c r="E707" s="197">
        <f>SUM(E701:E706)</f>
        <v>0</v>
      </c>
      <c r="F707" s="197">
        <f>SUM(F701:F706)</f>
        <v>0</v>
      </c>
      <c r="G707" s="212"/>
      <c r="H707" s="192" t="str">
        <f t="shared" si="138"/>
        <v/>
      </c>
    </row>
    <row r="708" spans="1:9" s="199" customFormat="1" ht="19.5" customHeight="1">
      <c r="A708" s="45" t="s">
        <v>486</v>
      </c>
      <c r="B708" s="45" t="s">
        <v>487</v>
      </c>
      <c r="C708" s="45" t="s">
        <v>488</v>
      </c>
      <c r="D708" s="45" t="s">
        <v>504</v>
      </c>
      <c r="E708" s="45" t="s">
        <v>489</v>
      </c>
      <c r="F708" s="212" t="str">
        <f>IF($E707&lt;&gt;$F707,"借贷不平","")</f>
        <v/>
      </c>
      <c r="G708" s="183"/>
      <c r="H708" s="198" t="str">
        <f t="shared" si="138"/>
        <v/>
      </c>
    </row>
    <row r="709" spans="1:9" ht="37.5" customHeight="1">
      <c r="A709" s="177" t="s">
        <v>493</v>
      </c>
      <c r="B709" s="178"/>
      <c r="C709" s="179"/>
      <c r="D709" s="179"/>
      <c r="E709" s="178"/>
      <c r="F709" s="178"/>
      <c r="G709" s="212"/>
      <c r="H709" s="192" t="str">
        <f t="shared" si="138"/>
        <v/>
      </c>
    </row>
    <row r="710" spans="1:9" s="45" customFormat="1" ht="19.5" customHeight="1" thickBot="1">
      <c r="C710" s="180" t="e">
        <f>DATEVALUE("2010-"&amp;$H$1&amp;"-"&amp;INDEX(凭证录入!B:B,H713))</f>
        <v>#VALUE!</v>
      </c>
      <c r="D710" s="181"/>
      <c r="E710" s="182" t="s">
        <v>477</v>
      </c>
      <c r="F710" s="183" t="e">
        <f>N(LEFT((F698),3)+1)</f>
        <v>#VALUE!</v>
      </c>
      <c r="G710" s="212"/>
      <c r="H710" s="192" t="str">
        <f t="shared" si="138"/>
        <v/>
      </c>
      <c r="I710" s="184"/>
    </row>
    <row r="711" spans="1:9" s="45" customFormat="1" ht="19.5" customHeight="1" thickBot="1">
      <c r="A711" s="544" t="s">
        <v>494</v>
      </c>
      <c r="B711" s="545" t="s">
        <v>495</v>
      </c>
      <c r="C711" s="185" t="s">
        <v>496</v>
      </c>
      <c r="D711" s="186"/>
      <c r="E711" s="187"/>
      <c r="F711" s="482"/>
      <c r="G711" s="212"/>
      <c r="H711" s="192" t="str">
        <f t="shared" si="138"/>
        <v/>
      </c>
    </row>
    <row r="712" spans="1:9" s="45" customFormat="1" ht="19.5" customHeight="1" thickBot="1">
      <c r="A712" s="545"/>
      <c r="B712" s="546"/>
      <c r="C712" s="482" t="s">
        <v>497</v>
      </c>
      <c r="D712" s="482" t="s">
        <v>498</v>
      </c>
      <c r="E712" s="482" t="s">
        <v>499</v>
      </c>
      <c r="F712" s="482" t="s">
        <v>500</v>
      </c>
      <c r="G712" s="212"/>
      <c r="H712" s="192" t="str">
        <f t="shared" si="138"/>
        <v/>
      </c>
    </row>
    <row r="713" spans="1:9" s="45" customFormat="1" ht="19.5" customHeight="1" thickBot="1">
      <c r="A713" s="189" t="str">
        <f>IFERROR(INDEX(凭证录入!H:H,$H713),"")</f>
        <v/>
      </c>
      <c r="B713" s="189" t="str">
        <f>IFERROR(INDEX(凭证录入!I:I,$H713),"")</f>
        <v/>
      </c>
      <c r="C713" s="190" t="str">
        <f>IFERROR(VLOOKUP($B713,会计科目表!$A:$C,2,),"")</f>
        <v/>
      </c>
      <c r="D713" s="190" t="str">
        <f>IFERROR(VLOOKUP($B713,会计科目表!$A:$C,3,),"")</f>
        <v/>
      </c>
      <c r="E713" s="191">
        <f>IFERROR(INDEX(凭证录入!K:K,$H713),0)</f>
        <v>0</v>
      </c>
      <c r="F713" s="191">
        <f>IFERROR(INDEX(凭证录入!L:L,$H713),0)</f>
        <v>0</v>
      </c>
      <c r="G713" s="212"/>
      <c r="H713" s="192" t="str">
        <f t="shared" si="138"/>
        <v/>
      </c>
    </row>
    <row r="714" spans="1:9" s="45" customFormat="1" ht="19.5" customHeight="1" thickBot="1">
      <c r="A714" s="189" t="str">
        <f>IFERROR(INDEX(凭证录入!H:H,$H714),"")</f>
        <v/>
      </c>
      <c r="B714" s="189" t="str">
        <f>IFERROR(INDEX(凭证录入!I:I,$H714),"")</f>
        <v/>
      </c>
      <c r="C714" s="190" t="str">
        <f>IFERROR(VLOOKUP($B714,会计科目表!$A:$C,2,),"")</f>
        <v/>
      </c>
      <c r="D714" s="190" t="str">
        <f>IFERROR(VLOOKUP($B714,会计科目表!$A:$C,3,),"")</f>
        <v/>
      </c>
      <c r="E714" s="191">
        <f>IFERROR(INDEX(凭证录入!K:K,$H714),0)</f>
        <v>0</v>
      </c>
      <c r="F714" s="191">
        <f>IFERROR(INDEX(凭证录入!L:L,$H714),0)</f>
        <v>0</v>
      </c>
      <c r="G714" s="212" t="s">
        <v>490</v>
      </c>
      <c r="H714" s="192" t="str">
        <f t="shared" si="138"/>
        <v/>
      </c>
      <c r="I714" s="212"/>
    </row>
    <row r="715" spans="1:9" s="45" customFormat="1" ht="19.5" customHeight="1" thickBot="1">
      <c r="A715" s="189" t="str">
        <f>IFERROR(INDEX(凭证录入!H:H,$H715),"")</f>
        <v/>
      </c>
      <c r="B715" s="189" t="str">
        <f>IFERROR(INDEX(凭证录入!I:I,$H715),"")</f>
        <v/>
      </c>
      <c r="C715" s="190" t="str">
        <f>IFERROR(VLOOKUP($B715,会计科目表!$A:$C,2,),"")</f>
        <v/>
      </c>
      <c r="D715" s="190" t="str">
        <f>IFERROR(VLOOKUP($B715,会计科目表!$A:$C,3,),"")</f>
        <v/>
      </c>
      <c r="E715" s="191">
        <f>IFERROR(INDEX(凭证录入!K:K,$H715),0)</f>
        <v>0</v>
      </c>
      <c r="F715" s="191">
        <f>IFERROR(INDEX(凭证录入!L:L,$H715),0)</f>
        <v>0</v>
      </c>
      <c r="G715" s="212" t="s">
        <v>491</v>
      </c>
      <c r="H715" s="192" t="str">
        <f t="shared" si="138"/>
        <v/>
      </c>
      <c r="I715" s="212"/>
    </row>
    <row r="716" spans="1:9" s="45" customFormat="1" ht="19.5" customHeight="1" thickBot="1">
      <c r="A716" s="189" t="str">
        <f>IFERROR(INDEX(凭证录入!H:H,$H716),"")</f>
        <v/>
      </c>
      <c r="B716" s="189" t="str">
        <f>IFERROR(INDEX(凭证录入!I:I,$H716),"")</f>
        <v/>
      </c>
      <c r="C716" s="190" t="str">
        <f>IFERROR(VLOOKUP($B716,会计科目表!$A:$C,2,),"")</f>
        <v/>
      </c>
      <c r="D716" s="190" t="str">
        <f>IFERROR(VLOOKUP($B716,会计科目表!$A:$C,3,),"")</f>
        <v/>
      </c>
      <c r="E716" s="191">
        <f>IFERROR(INDEX(凭证录入!K:K,$H716),0)</f>
        <v>0</v>
      </c>
      <c r="F716" s="191">
        <f>IFERROR(INDEX(凭证录入!L:L,$H716),0)</f>
        <v>0</v>
      </c>
      <c r="G716" s="212" t="e">
        <f>INDEX(凭证录入!$D:$D,$H713)</f>
        <v>#VALUE!</v>
      </c>
      <c r="H716" s="192" t="str">
        <f t="shared" si="138"/>
        <v/>
      </c>
      <c r="I716" s="212"/>
    </row>
    <row r="717" spans="1:9" s="45" customFormat="1" ht="19.5" customHeight="1" thickBot="1">
      <c r="A717" s="189" t="str">
        <f>IFERROR(INDEX(凭证录入!H:H,$H717),"")</f>
        <v/>
      </c>
      <c r="B717" s="189" t="str">
        <f>IFERROR(INDEX(凭证录入!I:I,$H717),"")</f>
        <v/>
      </c>
      <c r="C717" s="190" t="str">
        <f>IFERROR(VLOOKUP($B717,会计科目表!$A:$C,2,),"")</f>
        <v/>
      </c>
      <c r="D717" s="190" t="str">
        <f>IFERROR(VLOOKUP($B717,会计科目表!$A:$C,3,),"")</f>
        <v/>
      </c>
      <c r="E717" s="191">
        <f>IFERROR(INDEX(凭证录入!K:K,$H717),0)</f>
        <v>0</v>
      </c>
      <c r="F717" s="191">
        <f>IFERROR(INDEX(凭证录入!L:L,$H717),0)</f>
        <v>0</v>
      </c>
      <c r="G717" s="212" t="s">
        <v>492</v>
      </c>
      <c r="H717" s="192" t="str">
        <f t="shared" si="138"/>
        <v/>
      </c>
    </row>
    <row r="718" spans="1:9" s="45" customFormat="1" ht="19.5" customHeight="1" thickBot="1">
      <c r="A718" s="189" t="str">
        <f>IFERROR(INDEX(凭证录入!H:H,$H718),"")</f>
        <v/>
      </c>
      <c r="B718" s="189" t="str">
        <f>IFERROR(INDEX(凭证录入!I:I,$H718),"")</f>
        <v/>
      </c>
      <c r="C718" s="190" t="str">
        <f>IFERROR(VLOOKUP($B718,会计科目表!$A:$C,2,),"")</f>
        <v/>
      </c>
      <c r="D718" s="190" t="str">
        <f>IFERROR(VLOOKUP($B718,会计科目表!$A:$C,3,),"")</f>
        <v/>
      </c>
      <c r="E718" s="191">
        <f>IFERROR(INDEX(凭证录入!K:K,$H718),0)</f>
        <v>0</v>
      </c>
      <c r="F718" s="191">
        <f>IFERROR(INDEX(凭证录入!L:L,$H718),0)</f>
        <v>0</v>
      </c>
      <c r="G718" s="212"/>
      <c r="H718" s="192" t="str">
        <f t="shared" si="138"/>
        <v/>
      </c>
    </row>
    <row r="719" spans="1:9" s="45" customFormat="1" ht="19.5" customHeight="1" thickBot="1">
      <c r="A719" s="193"/>
      <c r="B719" s="194" t="s">
        <v>485</v>
      </c>
      <c r="C719" s="195" t="str">
        <f>SUBSTITUTE(SUBSTITUTE(IF(-DOLLAR(E719),IF(E719&gt;0,,"负")&amp;TEXT(INT(ABS(E719)+0.5%),"[dbnum2]G/通用格式元;;")&amp;TEXT(RIGHT(DOLLAR(E719),2),"[dbnum2]0角0分;;整"),),"零角",IF(E719^2&lt;1,,"零")),"零分","整")</f>
        <v/>
      </c>
      <c r="D719" s="196"/>
      <c r="E719" s="197">
        <f>SUM(E713:E718)</f>
        <v>0</v>
      </c>
      <c r="F719" s="197">
        <f>SUM(F713:F718)</f>
        <v>0</v>
      </c>
      <c r="G719" s="212"/>
      <c r="H719" s="192" t="str">
        <f t="shared" si="138"/>
        <v/>
      </c>
    </row>
    <row r="720" spans="1:9" s="199" customFormat="1" ht="19.5" customHeight="1">
      <c r="A720" s="45" t="s">
        <v>486</v>
      </c>
      <c r="B720" s="45" t="s">
        <v>487</v>
      </c>
      <c r="C720" s="45" t="s">
        <v>488</v>
      </c>
      <c r="D720" s="45" t="s">
        <v>504</v>
      </c>
      <c r="E720" s="45" t="s">
        <v>489</v>
      </c>
      <c r="F720" s="212" t="str">
        <f>IF($E719&lt;&gt;$F719,"借贷不平","")</f>
        <v/>
      </c>
      <c r="G720" s="183"/>
      <c r="H720" s="198" t="str">
        <f t="shared" si="138"/>
        <v/>
      </c>
    </row>
    <row r="721" spans="1:9" ht="37.5" customHeight="1">
      <c r="A721" s="177" t="s">
        <v>493</v>
      </c>
      <c r="B721" s="178"/>
      <c r="C721" s="179"/>
      <c r="D721" s="179"/>
      <c r="E721" s="178"/>
      <c r="F721" s="178"/>
      <c r="G721" s="212"/>
      <c r="H721" s="192" t="str">
        <f t="shared" si="138"/>
        <v/>
      </c>
    </row>
    <row r="722" spans="1:9" s="45" customFormat="1" ht="19.5" customHeight="1" thickBot="1">
      <c r="C722" s="180" t="e">
        <f>DATEVALUE("2010-"&amp;$H$1&amp;"-"&amp;INDEX(凭证录入!B:B,H725))</f>
        <v>#VALUE!</v>
      </c>
      <c r="D722" s="181"/>
      <c r="E722" s="182" t="s">
        <v>477</v>
      </c>
      <c r="F722" s="183" t="e">
        <f>N(LEFT((F710),3)+1)</f>
        <v>#VALUE!</v>
      </c>
      <c r="G722" s="212"/>
      <c r="H722" s="192" t="str">
        <f t="shared" si="138"/>
        <v/>
      </c>
      <c r="I722" s="184"/>
    </row>
    <row r="723" spans="1:9" s="45" customFormat="1" ht="19.5" customHeight="1" thickBot="1">
      <c r="A723" s="544" t="s">
        <v>494</v>
      </c>
      <c r="B723" s="545" t="s">
        <v>495</v>
      </c>
      <c r="C723" s="185" t="s">
        <v>496</v>
      </c>
      <c r="D723" s="186"/>
      <c r="E723" s="187"/>
      <c r="F723" s="482"/>
      <c r="G723" s="212"/>
      <c r="H723" s="192" t="str">
        <f t="shared" si="138"/>
        <v/>
      </c>
    </row>
    <row r="724" spans="1:9" s="45" customFormat="1" ht="19.5" customHeight="1" thickBot="1">
      <c r="A724" s="545"/>
      <c r="B724" s="546"/>
      <c r="C724" s="482" t="s">
        <v>497</v>
      </c>
      <c r="D724" s="482" t="s">
        <v>498</v>
      </c>
      <c r="E724" s="482" t="s">
        <v>499</v>
      </c>
      <c r="F724" s="482" t="s">
        <v>500</v>
      </c>
      <c r="G724" s="212"/>
      <c r="H724" s="192" t="str">
        <f t="shared" si="138"/>
        <v/>
      </c>
    </row>
    <row r="725" spans="1:9" s="45" customFormat="1" ht="19.5" customHeight="1" thickBot="1">
      <c r="A725" s="189" t="str">
        <f>IFERROR(INDEX(凭证录入!H:H,$H725),"")</f>
        <v/>
      </c>
      <c r="B725" s="189" t="str">
        <f>IFERROR(INDEX(凭证录入!I:I,$H725),"")</f>
        <v/>
      </c>
      <c r="C725" s="190" t="str">
        <f>IFERROR(VLOOKUP($B725,会计科目表!$A:$C,2,),"")</f>
        <v/>
      </c>
      <c r="D725" s="190" t="str">
        <f>IFERROR(VLOOKUP($B725,会计科目表!$A:$C,3,),"")</f>
        <v/>
      </c>
      <c r="E725" s="191">
        <f>IFERROR(INDEX(凭证录入!K:K,$H725),0)</f>
        <v>0</v>
      </c>
      <c r="F725" s="191">
        <f>IFERROR(INDEX(凭证录入!L:L,$H725),0)</f>
        <v>0</v>
      </c>
      <c r="G725" s="212"/>
      <c r="H725" s="192" t="str">
        <f t="shared" si="138"/>
        <v/>
      </c>
    </row>
    <row r="726" spans="1:9" s="45" customFormat="1" ht="19.5" customHeight="1" thickBot="1">
      <c r="A726" s="189" t="str">
        <f>IFERROR(INDEX(凭证录入!H:H,$H726),"")</f>
        <v/>
      </c>
      <c r="B726" s="189" t="str">
        <f>IFERROR(INDEX(凭证录入!I:I,$H726),"")</f>
        <v/>
      </c>
      <c r="C726" s="190" t="str">
        <f>IFERROR(VLOOKUP($B726,会计科目表!$A:$C,2,),"")</f>
        <v/>
      </c>
      <c r="D726" s="190" t="str">
        <f>IFERROR(VLOOKUP($B726,会计科目表!$A:$C,3,),"")</f>
        <v/>
      </c>
      <c r="E726" s="191">
        <f>IFERROR(INDEX(凭证录入!K:K,$H726),0)</f>
        <v>0</v>
      </c>
      <c r="F726" s="191">
        <f>IFERROR(INDEX(凭证录入!L:L,$H726),0)</f>
        <v>0</v>
      </c>
      <c r="G726" s="212" t="s">
        <v>490</v>
      </c>
      <c r="H726" s="192" t="str">
        <f t="shared" si="138"/>
        <v/>
      </c>
      <c r="I726" s="212"/>
    </row>
    <row r="727" spans="1:9" s="45" customFormat="1" ht="19.5" customHeight="1" thickBot="1">
      <c r="A727" s="189" t="str">
        <f>IFERROR(INDEX(凭证录入!H:H,$H727),"")</f>
        <v/>
      </c>
      <c r="B727" s="189" t="str">
        <f>IFERROR(INDEX(凭证录入!I:I,$H727),"")</f>
        <v/>
      </c>
      <c r="C727" s="190" t="str">
        <f>IFERROR(VLOOKUP($B727,会计科目表!$A:$C,2,),"")</f>
        <v/>
      </c>
      <c r="D727" s="190" t="str">
        <f>IFERROR(VLOOKUP($B727,会计科目表!$A:$C,3,),"")</f>
        <v/>
      </c>
      <c r="E727" s="191">
        <f>IFERROR(INDEX(凭证录入!K:K,$H727),0)</f>
        <v>0</v>
      </c>
      <c r="F727" s="191">
        <f>IFERROR(INDEX(凭证录入!L:L,$H727),0)</f>
        <v>0</v>
      </c>
      <c r="G727" s="212" t="s">
        <v>491</v>
      </c>
      <c r="H727" s="192" t="str">
        <f t="shared" si="138"/>
        <v/>
      </c>
      <c r="I727" s="212"/>
    </row>
    <row r="728" spans="1:9" s="45" customFormat="1" ht="19.5" customHeight="1" thickBot="1">
      <c r="A728" s="189" t="str">
        <f>IFERROR(INDEX(凭证录入!H:H,$H728),"")</f>
        <v/>
      </c>
      <c r="B728" s="189" t="str">
        <f>IFERROR(INDEX(凭证录入!I:I,$H728),"")</f>
        <v/>
      </c>
      <c r="C728" s="190" t="str">
        <f>IFERROR(VLOOKUP($B728,会计科目表!$A:$C,2,),"")</f>
        <v/>
      </c>
      <c r="D728" s="190" t="str">
        <f>IFERROR(VLOOKUP($B728,会计科目表!$A:$C,3,),"")</f>
        <v/>
      </c>
      <c r="E728" s="191">
        <f>IFERROR(INDEX(凭证录入!K:K,$H728),0)</f>
        <v>0</v>
      </c>
      <c r="F728" s="191">
        <f>IFERROR(INDEX(凭证录入!L:L,$H728),0)</f>
        <v>0</v>
      </c>
      <c r="G728" s="212" t="e">
        <f>INDEX(凭证录入!$D:$D,$H725)</f>
        <v>#VALUE!</v>
      </c>
      <c r="H728" s="192" t="str">
        <f t="shared" si="138"/>
        <v/>
      </c>
      <c r="I728" s="212"/>
    </row>
    <row r="729" spans="1:9" s="45" customFormat="1" ht="19.5" customHeight="1" thickBot="1">
      <c r="A729" s="189" t="str">
        <f>IFERROR(INDEX(凭证录入!H:H,$H729),"")</f>
        <v/>
      </c>
      <c r="B729" s="189" t="str">
        <f>IFERROR(INDEX(凭证录入!I:I,$H729),"")</f>
        <v/>
      </c>
      <c r="C729" s="190" t="str">
        <f>IFERROR(VLOOKUP($B729,会计科目表!$A:$C,2,),"")</f>
        <v/>
      </c>
      <c r="D729" s="190" t="str">
        <f>IFERROR(VLOOKUP($B729,会计科目表!$A:$C,3,),"")</f>
        <v/>
      </c>
      <c r="E729" s="191">
        <f>IFERROR(INDEX(凭证录入!K:K,$H729),0)</f>
        <v>0</v>
      </c>
      <c r="F729" s="191">
        <f>IFERROR(INDEX(凭证录入!L:L,$H729),0)</f>
        <v>0</v>
      </c>
      <c r="G729" s="212" t="s">
        <v>492</v>
      </c>
      <c r="H729" s="192" t="str">
        <f t="shared" si="138"/>
        <v/>
      </c>
    </row>
    <row r="730" spans="1:9" s="45" customFormat="1" ht="19.5" customHeight="1" thickBot="1">
      <c r="A730" s="189" t="str">
        <f>IFERROR(INDEX(凭证录入!H:H,$H730),"")</f>
        <v/>
      </c>
      <c r="B730" s="189" t="str">
        <f>IFERROR(INDEX(凭证录入!I:I,$H730),"")</f>
        <v/>
      </c>
      <c r="C730" s="190" t="str">
        <f>IFERROR(VLOOKUP($B730,会计科目表!$A:$C,2,),"")</f>
        <v/>
      </c>
      <c r="D730" s="190" t="str">
        <f>IFERROR(VLOOKUP($B730,会计科目表!$A:$C,3,),"")</f>
        <v/>
      </c>
      <c r="E730" s="191">
        <f>IFERROR(INDEX(凭证录入!K:K,$H730),0)</f>
        <v>0</v>
      </c>
      <c r="F730" s="191">
        <f>IFERROR(INDEX(凭证录入!L:L,$H730),0)</f>
        <v>0</v>
      </c>
      <c r="G730" s="212"/>
      <c r="H730" s="192" t="str">
        <f t="shared" si="138"/>
        <v/>
      </c>
    </row>
    <row r="731" spans="1:9" s="45" customFormat="1" ht="19.5" customHeight="1" thickBot="1">
      <c r="A731" s="193"/>
      <c r="B731" s="194" t="s">
        <v>485</v>
      </c>
      <c r="C731" s="195" t="str">
        <f>SUBSTITUTE(SUBSTITUTE(IF(-DOLLAR(E731),IF(E731&gt;0,,"负")&amp;TEXT(INT(ABS(E731)+0.5%),"[dbnum2]G/通用格式元;;")&amp;TEXT(RIGHT(DOLLAR(E731),2),"[dbnum2]0角0分;;整"),),"零角",IF(E731^2&lt;1,,"零")),"零分","整")</f>
        <v/>
      </c>
      <c r="D731" s="196"/>
      <c r="E731" s="197">
        <f>SUM(E725:E730)</f>
        <v>0</v>
      </c>
      <c r="F731" s="197">
        <f>SUM(F725:F730)</f>
        <v>0</v>
      </c>
      <c r="G731" s="212"/>
      <c r="H731" s="192" t="str">
        <f t="shared" si="138"/>
        <v/>
      </c>
    </row>
    <row r="732" spans="1:9" s="199" customFormat="1" ht="19.5" customHeight="1">
      <c r="A732" s="45" t="s">
        <v>486</v>
      </c>
      <c r="B732" s="45" t="s">
        <v>487</v>
      </c>
      <c r="C732" s="45" t="s">
        <v>488</v>
      </c>
      <c r="D732" s="45" t="s">
        <v>504</v>
      </c>
      <c r="E732" s="45" t="s">
        <v>489</v>
      </c>
      <c r="F732" s="212" t="str">
        <f>IF($E731&lt;&gt;$F731,"借贷不平","")</f>
        <v/>
      </c>
      <c r="G732" s="183"/>
      <c r="H732" s="198" t="str">
        <f t="shared" si="138"/>
        <v/>
      </c>
    </row>
    <row r="733" spans="1:9" ht="37.5" customHeight="1">
      <c r="A733" s="177" t="s">
        <v>493</v>
      </c>
      <c r="B733" s="178"/>
      <c r="C733" s="179"/>
      <c r="D733" s="179"/>
      <c r="E733" s="178"/>
      <c r="F733" s="178"/>
      <c r="G733" s="212"/>
      <c r="H733" s="192" t="str">
        <f t="shared" si="138"/>
        <v/>
      </c>
    </row>
    <row r="734" spans="1:9" s="45" customFormat="1" ht="19.5" customHeight="1" thickBot="1">
      <c r="C734" s="180" t="e">
        <f>DATEVALUE("2010-"&amp;$H$1&amp;"-"&amp;INDEX(凭证录入!B:B,H737))</f>
        <v>#VALUE!</v>
      </c>
      <c r="D734" s="181"/>
      <c r="E734" s="182" t="s">
        <v>477</v>
      </c>
      <c r="F734" s="183" t="e">
        <f>N(LEFT((F722),3)+1)</f>
        <v>#VALUE!</v>
      </c>
      <c r="G734" s="212"/>
      <c r="H734" s="192" t="str">
        <f t="shared" si="138"/>
        <v/>
      </c>
      <c r="I734" s="184"/>
    </row>
    <row r="735" spans="1:9" s="45" customFormat="1" ht="19.5" customHeight="1" thickBot="1">
      <c r="A735" s="544" t="s">
        <v>494</v>
      </c>
      <c r="B735" s="545" t="s">
        <v>495</v>
      </c>
      <c r="C735" s="185" t="s">
        <v>496</v>
      </c>
      <c r="D735" s="186"/>
      <c r="E735" s="187"/>
      <c r="F735" s="482"/>
      <c r="G735" s="212"/>
      <c r="H735" s="192" t="str">
        <f t="shared" si="138"/>
        <v/>
      </c>
    </row>
    <row r="736" spans="1:9" s="45" customFormat="1" ht="19.5" customHeight="1" thickBot="1">
      <c r="A736" s="545"/>
      <c r="B736" s="546"/>
      <c r="C736" s="482" t="s">
        <v>497</v>
      </c>
      <c r="D736" s="482" t="s">
        <v>498</v>
      </c>
      <c r="E736" s="482" t="s">
        <v>499</v>
      </c>
      <c r="F736" s="482" t="s">
        <v>500</v>
      </c>
      <c r="G736" s="212"/>
      <c r="H736" s="192" t="str">
        <f t="shared" si="138"/>
        <v/>
      </c>
    </row>
    <row r="737" spans="1:9" s="45" customFormat="1" ht="19.5" customHeight="1" thickBot="1">
      <c r="A737" s="189" t="str">
        <f>IFERROR(INDEX(凭证录入!H:H,$H737),"")</f>
        <v/>
      </c>
      <c r="B737" s="189" t="str">
        <f>IFERROR(INDEX(凭证录入!I:I,$H737),"")</f>
        <v/>
      </c>
      <c r="C737" s="190" t="str">
        <f>IFERROR(VLOOKUP($B737,会计科目表!$A:$C,2,),"")</f>
        <v/>
      </c>
      <c r="D737" s="190" t="str">
        <f>IFERROR(VLOOKUP($B737,会计科目表!$A:$C,3,),"")</f>
        <v/>
      </c>
      <c r="E737" s="191">
        <f>IFERROR(INDEX(凭证录入!K:K,$H737),0)</f>
        <v>0</v>
      </c>
      <c r="F737" s="191">
        <f>IFERROR(INDEX(凭证录入!L:L,$H737),0)</f>
        <v>0</v>
      </c>
      <c r="G737" s="212"/>
      <c r="H737" s="192" t="str">
        <f t="shared" si="138"/>
        <v/>
      </c>
    </row>
    <row r="738" spans="1:9" s="45" customFormat="1" ht="19.5" customHeight="1" thickBot="1">
      <c r="A738" s="189" t="str">
        <f>IFERROR(INDEX(凭证录入!H:H,$H738),"")</f>
        <v/>
      </c>
      <c r="B738" s="189" t="str">
        <f>IFERROR(INDEX(凭证录入!I:I,$H738),"")</f>
        <v/>
      </c>
      <c r="C738" s="190" t="str">
        <f>IFERROR(VLOOKUP($B738,会计科目表!$A:$C,2,),"")</f>
        <v/>
      </c>
      <c r="D738" s="190" t="str">
        <f>IFERROR(VLOOKUP($B738,会计科目表!$A:$C,3,),"")</f>
        <v/>
      </c>
      <c r="E738" s="191">
        <f>IFERROR(INDEX(凭证录入!K:K,$H738),0)</f>
        <v>0</v>
      </c>
      <c r="F738" s="191">
        <f>IFERROR(INDEX(凭证录入!L:L,$H738),0)</f>
        <v>0</v>
      </c>
      <c r="G738" s="212" t="s">
        <v>490</v>
      </c>
      <c r="H738" s="192" t="str">
        <f t="shared" si="138"/>
        <v/>
      </c>
      <c r="I738" s="212"/>
    </row>
    <row r="739" spans="1:9" s="45" customFormat="1" ht="19.5" customHeight="1" thickBot="1">
      <c r="A739" s="189" t="str">
        <f>IFERROR(INDEX(凭证录入!H:H,$H739),"")</f>
        <v/>
      </c>
      <c r="B739" s="189" t="str">
        <f>IFERROR(INDEX(凭证录入!I:I,$H739),"")</f>
        <v/>
      </c>
      <c r="C739" s="190" t="str">
        <f>IFERROR(VLOOKUP($B739,会计科目表!$A:$C,2,),"")</f>
        <v/>
      </c>
      <c r="D739" s="190" t="str">
        <f>IFERROR(VLOOKUP($B739,会计科目表!$A:$C,3,),"")</f>
        <v/>
      </c>
      <c r="E739" s="191">
        <f>IFERROR(INDEX(凭证录入!K:K,$H739),0)</f>
        <v>0</v>
      </c>
      <c r="F739" s="191">
        <f>IFERROR(INDEX(凭证录入!L:L,$H739),0)</f>
        <v>0</v>
      </c>
      <c r="G739" s="212" t="s">
        <v>491</v>
      </c>
      <c r="H739" s="192" t="str">
        <f t="shared" si="138"/>
        <v/>
      </c>
      <c r="I739" s="212"/>
    </row>
    <row r="740" spans="1:9" s="45" customFormat="1" ht="19.5" customHeight="1" thickBot="1">
      <c r="A740" s="189" t="str">
        <f>IFERROR(INDEX(凭证录入!H:H,$H740),"")</f>
        <v/>
      </c>
      <c r="B740" s="189" t="str">
        <f>IFERROR(INDEX(凭证录入!I:I,$H740),"")</f>
        <v/>
      </c>
      <c r="C740" s="190" t="str">
        <f>IFERROR(VLOOKUP($B740,会计科目表!$A:$C,2,),"")</f>
        <v/>
      </c>
      <c r="D740" s="190" t="str">
        <f>IFERROR(VLOOKUP($B740,会计科目表!$A:$C,3,),"")</f>
        <v/>
      </c>
      <c r="E740" s="191">
        <f>IFERROR(INDEX(凭证录入!K:K,$H740),0)</f>
        <v>0</v>
      </c>
      <c r="F740" s="191">
        <f>IFERROR(INDEX(凭证录入!L:L,$H740),0)</f>
        <v>0</v>
      </c>
      <c r="G740" s="212" t="e">
        <f>INDEX(凭证录入!$D:$D,$H737)</f>
        <v>#VALUE!</v>
      </c>
      <c r="H740" s="192" t="str">
        <f t="shared" si="138"/>
        <v/>
      </c>
      <c r="I740" s="212"/>
    </row>
    <row r="741" spans="1:9" s="45" customFormat="1" ht="19.5" customHeight="1" thickBot="1">
      <c r="A741" s="189" t="str">
        <f>IFERROR(INDEX(凭证录入!H:H,$H741),"")</f>
        <v/>
      </c>
      <c r="B741" s="189" t="str">
        <f>IFERROR(INDEX(凭证录入!I:I,$H741),"")</f>
        <v/>
      </c>
      <c r="C741" s="190" t="str">
        <f>IFERROR(VLOOKUP($B741,会计科目表!$A:$C,2,),"")</f>
        <v/>
      </c>
      <c r="D741" s="190" t="str">
        <f>IFERROR(VLOOKUP($B741,会计科目表!$A:$C,3,),"")</f>
        <v/>
      </c>
      <c r="E741" s="191">
        <f>IFERROR(INDEX(凭证录入!K:K,$H741),0)</f>
        <v>0</v>
      </c>
      <c r="F741" s="191">
        <f>IFERROR(INDEX(凭证录入!L:L,$H741),0)</f>
        <v>0</v>
      </c>
      <c r="G741" s="212" t="s">
        <v>492</v>
      </c>
      <c r="H741" s="192" t="str">
        <f t="shared" si="138"/>
        <v/>
      </c>
    </row>
    <row r="742" spans="1:9" s="45" customFormat="1" ht="19.5" customHeight="1" thickBot="1">
      <c r="A742" s="189" t="str">
        <f>IFERROR(INDEX(凭证录入!H:H,$H742),"")</f>
        <v/>
      </c>
      <c r="B742" s="189" t="str">
        <f>IFERROR(INDEX(凭证录入!I:I,$H742),"")</f>
        <v/>
      </c>
      <c r="C742" s="190" t="str">
        <f>IFERROR(VLOOKUP($B742,会计科目表!$A:$C,2,),"")</f>
        <v/>
      </c>
      <c r="D742" s="190" t="str">
        <f>IFERROR(VLOOKUP($B742,会计科目表!$A:$C,3,),"")</f>
        <v/>
      </c>
      <c r="E742" s="191">
        <f>IFERROR(INDEX(凭证录入!K:K,$H742),0)</f>
        <v>0</v>
      </c>
      <c r="F742" s="191">
        <f>IFERROR(INDEX(凭证录入!L:L,$H742),0)</f>
        <v>0</v>
      </c>
      <c r="G742" s="212"/>
      <c r="H742" s="192" t="str">
        <f t="shared" si="138"/>
        <v/>
      </c>
    </row>
    <row r="743" spans="1:9" s="45" customFormat="1" ht="19.5" customHeight="1" thickBot="1">
      <c r="A743" s="193"/>
      <c r="B743" s="194" t="s">
        <v>485</v>
      </c>
      <c r="C743" s="195" t="str">
        <f>SUBSTITUTE(SUBSTITUTE(IF(-DOLLAR(E743),IF(E743&gt;0,,"负")&amp;TEXT(INT(ABS(E743)+0.5%),"[dbnum2]G/通用格式元;;")&amp;TEXT(RIGHT(DOLLAR(E743),2),"[dbnum2]0角0分;;整"),),"零角",IF(E743^2&lt;1,,"零")),"零分","整")</f>
        <v/>
      </c>
      <c r="D743" s="196"/>
      <c r="E743" s="197">
        <f>SUM(E737:E742)</f>
        <v>0</v>
      </c>
      <c r="F743" s="197">
        <f>SUM(F737:F742)</f>
        <v>0</v>
      </c>
      <c r="G743" s="212"/>
      <c r="H743" s="192" t="str">
        <f t="shared" si="138"/>
        <v/>
      </c>
    </row>
    <row r="744" spans="1:9" s="199" customFormat="1" ht="19.5" customHeight="1">
      <c r="A744" s="45" t="s">
        <v>486</v>
      </c>
      <c r="B744" s="45" t="s">
        <v>487</v>
      </c>
      <c r="C744" s="45" t="s">
        <v>488</v>
      </c>
      <c r="D744" s="45" t="s">
        <v>504</v>
      </c>
      <c r="E744" s="45" t="s">
        <v>489</v>
      </c>
      <c r="F744" s="212" t="str">
        <f>IF($E743&lt;&gt;$F743,"借贷不平","")</f>
        <v/>
      </c>
      <c r="G744" s="183"/>
      <c r="H744" s="198" t="str">
        <f t="shared" si="138"/>
        <v/>
      </c>
    </row>
    <row r="745" spans="1:9" ht="37.5" customHeight="1">
      <c r="A745" s="177" t="s">
        <v>493</v>
      </c>
      <c r="B745" s="178"/>
      <c r="C745" s="179"/>
      <c r="D745" s="179"/>
      <c r="E745" s="178"/>
      <c r="F745" s="178"/>
      <c r="G745" s="212"/>
      <c r="H745" s="192" t="str">
        <f t="shared" ref="H745:H808" si="139">IFERROR(INDEX(行号,TEXT(MOD(ROW(),12)-4,"[=]A")),"")</f>
        <v/>
      </c>
    </row>
    <row r="746" spans="1:9" s="45" customFormat="1" ht="19.5" customHeight="1" thickBot="1">
      <c r="C746" s="180" t="e">
        <f>DATEVALUE("2010-"&amp;$H$1&amp;"-"&amp;INDEX(凭证录入!B:B,H749))</f>
        <v>#VALUE!</v>
      </c>
      <c r="D746" s="181"/>
      <c r="E746" s="182" t="s">
        <v>477</v>
      </c>
      <c r="F746" s="183" t="e">
        <f>N(LEFT((F734),3)+1)</f>
        <v>#VALUE!</v>
      </c>
      <c r="G746" s="212"/>
      <c r="H746" s="192" t="str">
        <f t="shared" si="139"/>
        <v/>
      </c>
      <c r="I746" s="184"/>
    </row>
    <row r="747" spans="1:9" s="45" customFormat="1" ht="19.5" customHeight="1" thickBot="1">
      <c r="A747" s="544" t="s">
        <v>494</v>
      </c>
      <c r="B747" s="545" t="s">
        <v>495</v>
      </c>
      <c r="C747" s="185" t="s">
        <v>496</v>
      </c>
      <c r="D747" s="186"/>
      <c r="E747" s="187"/>
      <c r="F747" s="482"/>
      <c r="G747" s="212"/>
      <c r="H747" s="192" t="str">
        <f t="shared" si="139"/>
        <v/>
      </c>
    </row>
    <row r="748" spans="1:9" s="45" customFormat="1" ht="19.5" customHeight="1" thickBot="1">
      <c r="A748" s="545"/>
      <c r="B748" s="546"/>
      <c r="C748" s="482" t="s">
        <v>497</v>
      </c>
      <c r="D748" s="482" t="s">
        <v>498</v>
      </c>
      <c r="E748" s="482" t="s">
        <v>499</v>
      </c>
      <c r="F748" s="482" t="s">
        <v>500</v>
      </c>
      <c r="G748" s="212"/>
      <c r="H748" s="192" t="str">
        <f t="shared" si="139"/>
        <v/>
      </c>
    </row>
    <row r="749" spans="1:9" s="45" customFormat="1" ht="19.5" customHeight="1" thickBot="1">
      <c r="A749" s="189" t="str">
        <f>IFERROR(INDEX(凭证录入!H:H,$H749),"")</f>
        <v/>
      </c>
      <c r="B749" s="189" t="str">
        <f>IFERROR(INDEX(凭证录入!I:I,$H749),"")</f>
        <v/>
      </c>
      <c r="C749" s="190" t="str">
        <f>IFERROR(VLOOKUP($B749,会计科目表!$A:$C,2,),"")</f>
        <v/>
      </c>
      <c r="D749" s="190" t="str">
        <f>IFERROR(VLOOKUP($B749,会计科目表!$A:$C,3,),"")</f>
        <v/>
      </c>
      <c r="E749" s="191">
        <f>IFERROR(INDEX(凭证录入!K:K,$H749),0)</f>
        <v>0</v>
      </c>
      <c r="F749" s="191">
        <f>IFERROR(INDEX(凭证录入!L:L,$H749),0)</f>
        <v>0</v>
      </c>
      <c r="G749" s="212"/>
      <c r="H749" s="192" t="str">
        <f t="shared" si="139"/>
        <v/>
      </c>
    </row>
    <row r="750" spans="1:9" s="45" customFormat="1" ht="19.5" customHeight="1" thickBot="1">
      <c r="A750" s="189" t="str">
        <f>IFERROR(INDEX(凭证录入!H:H,$H750),"")</f>
        <v/>
      </c>
      <c r="B750" s="189" t="str">
        <f>IFERROR(INDEX(凭证录入!I:I,$H750),"")</f>
        <v/>
      </c>
      <c r="C750" s="190" t="str">
        <f>IFERROR(VLOOKUP($B750,会计科目表!$A:$C,2,),"")</f>
        <v/>
      </c>
      <c r="D750" s="190" t="str">
        <f>IFERROR(VLOOKUP($B750,会计科目表!$A:$C,3,),"")</f>
        <v/>
      </c>
      <c r="E750" s="191">
        <f>IFERROR(INDEX(凭证录入!K:K,$H750),0)</f>
        <v>0</v>
      </c>
      <c r="F750" s="191">
        <f>IFERROR(INDEX(凭证录入!L:L,$H750),0)</f>
        <v>0</v>
      </c>
      <c r="G750" s="212" t="s">
        <v>490</v>
      </c>
      <c r="H750" s="192" t="str">
        <f t="shared" si="139"/>
        <v/>
      </c>
      <c r="I750" s="212"/>
    </row>
    <row r="751" spans="1:9" s="45" customFormat="1" ht="19.5" customHeight="1" thickBot="1">
      <c r="A751" s="189" t="str">
        <f>IFERROR(INDEX(凭证录入!H:H,$H751),"")</f>
        <v/>
      </c>
      <c r="B751" s="189" t="str">
        <f>IFERROR(INDEX(凭证录入!I:I,$H751),"")</f>
        <v/>
      </c>
      <c r="C751" s="190" t="str">
        <f>IFERROR(VLOOKUP($B751,会计科目表!$A:$C,2,),"")</f>
        <v/>
      </c>
      <c r="D751" s="190" t="str">
        <f>IFERROR(VLOOKUP($B751,会计科目表!$A:$C,3,),"")</f>
        <v/>
      </c>
      <c r="E751" s="191">
        <f>IFERROR(INDEX(凭证录入!K:K,$H751),0)</f>
        <v>0</v>
      </c>
      <c r="F751" s="191">
        <f>IFERROR(INDEX(凭证录入!L:L,$H751),0)</f>
        <v>0</v>
      </c>
      <c r="G751" s="212" t="s">
        <v>491</v>
      </c>
      <c r="H751" s="192" t="str">
        <f t="shared" si="139"/>
        <v/>
      </c>
      <c r="I751" s="212"/>
    </row>
    <row r="752" spans="1:9" s="45" customFormat="1" ht="19.5" customHeight="1" thickBot="1">
      <c r="A752" s="189" t="str">
        <f>IFERROR(INDEX(凭证录入!H:H,$H752),"")</f>
        <v/>
      </c>
      <c r="B752" s="189" t="str">
        <f>IFERROR(INDEX(凭证录入!I:I,$H752),"")</f>
        <v/>
      </c>
      <c r="C752" s="190" t="str">
        <f>IFERROR(VLOOKUP($B752,会计科目表!$A:$C,2,),"")</f>
        <v/>
      </c>
      <c r="D752" s="190" t="str">
        <f>IFERROR(VLOOKUP($B752,会计科目表!$A:$C,3,),"")</f>
        <v/>
      </c>
      <c r="E752" s="191">
        <f>IFERROR(INDEX(凭证录入!K:K,$H752),0)</f>
        <v>0</v>
      </c>
      <c r="F752" s="191">
        <f>IFERROR(INDEX(凭证录入!L:L,$H752),0)</f>
        <v>0</v>
      </c>
      <c r="G752" s="212" t="e">
        <f>INDEX(凭证录入!$D:$D,$H749)</f>
        <v>#VALUE!</v>
      </c>
      <c r="H752" s="192" t="str">
        <f t="shared" si="139"/>
        <v/>
      </c>
      <c r="I752" s="212"/>
    </row>
    <row r="753" spans="1:9" s="45" customFormat="1" ht="19.5" customHeight="1" thickBot="1">
      <c r="A753" s="189" t="str">
        <f>IFERROR(INDEX(凭证录入!H:H,$H753),"")</f>
        <v/>
      </c>
      <c r="B753" s="189" t="str">
        <f>IFERROR(INDEX(凭证录入!I:I,$H753),"")</f>
        <v/>
      </c>
      <c r="C753" s="190" t="str">
        <f>IFERROR(VLOOKUP($B753,会计科目表!$A:$C,2,),"")</f>
        <v/>
      </c>
      <c r="D753" s="190" t="str">
        <f>IFERROR(VLOOKUP($B753,会计科目表!$A:$C,3,),"")</f>
        <v/>
      </c>
      <c r="E753" s="191">
        <f>IFERROR(INDEX(凭证录入!K:K,$H753),0)</f>
        <v>0</v>
      </c>
      <c r="F753" s="191">
        <f>IFERROR(INDEX(凭证录入!L:L,$H753),0)</f>
        <v>0</v>
      </c>
      <c r="G753" s="212" t="s">
        <v>492</v>
      </c>
      <c r="H753" s="192" t="str">
        <f t="shared" si="139"/>
        <v/>
      </c>
    </row>
    <row r="754" spans="1:9" s="45" customFormat="1" ht="19.5" customHeight="1" thickBot="1">
      <c r="A754" s="189" t="str">
        <f>IFERROR(INDEX(凭证录入!H:H,$H754),"")</f>
        <v/>
      </c>
      <c r="B754" s="189" t="str">
        <f>IFERROR(INDEX(凭证录入!I:I,$H754),"")</f>
        <v/>
      </c>
      <c r="C754" s="190" t="str">
        <f>IFERROR(VLOOKUP($B754,会计科目表!$A:$C,2,),"")</f>
        <v/>
      </c>
      <c r="D754" s="190" t="str">
        <f>IFERROR(VLOOKUP($B754,会计科目表!$A:$C,3,),"")</f>
        <v/>
      </c>
      <c r="E754" s="191">
        <f>IFERROR(INDEX(凭证录入!K:K,$H754),0)</f>
        <v>0</v>
      </c>
      <c r="F754" s="191">
        <f>IFERROR(INDEX(凭证录入!L:L,$H754),0)</f>
        <v>0</v>
      </c>
      <c r="G754" s="212"/>
      <c r="H754" s="192" t="str">
        <f t="shared" si="139"/>
        <v/>
      </c>
    </row>
    <row r="755" spans="1:9" s="45" customFormat="1" ht="19.5" customHeight="1" thickBot="1">
      <c r="A755" s="193"/>
      <c r="B755" s="194" t="s">
        <v>485</v>
      </c>
      <c r="C755" s="195" t="str">
        <f>SUBSTITUTE(SUBSTITUTE(IF(-DOLLAR(E755),IF(E755&gt;0,,"负")&amp;TEXT(INT(ABS(E755)+0.5%),"[dbnum2]G/通用格式元;;")&amp;TEXT(RIGHT(DOLLAR(E755),2),"[dbnum2]0角0分;;整"),),"零角",IF(E755^2&lt;1,,"零")),"零分","整")</f>
        <v/>
      </c>
      <c r="D755" s="196"/>
      <c r="E755" s="197">
        <f>SUM(E749:E754)</f>
        <v>0</v>
      </c>
      <c r="F755" s="197">
        <f>SUM(F749:F754)</f>
        <v>0</v>
      </c>
      <c r="G755" s="212"/>
      <c r="H755" s="192" t="str">
        <f t="shared" si="139"/>
        <v/>
      </c>
    </row>
    <row r="756" spans="1:9" s="199" customFormat="1" ht="19.5" customHeight="1">
      <c r="A756" s="45" t="s">
        <v>486</v>
      </c>
      <c r="B756" s="45" t="s">
        <v>487</v>
      </c>
      <c r="C756" s="45" t="s">
        <v>488</v>
      </c>
      <c r="D756" s="45" t="s">
        <v>504</v>
      </c>
      <c r="E756" s="45" t="s">
        <v>489</v>
      </c>
      <c r="F756" s="212" t="str">
        <f>IF($E755&lt;&gt;$F755,"借贷不平","")</f>
        <v/>
      </c>
      <c r="G756" s="183"/>
      <c r="H756" s="198" t="str">
        <f t="shared" si="139"/>
        <v/>
      </c>
    </row>
    <row r="757" spans="1:9" ht="37.5" customHeight="1">
      <c r="A757" s="177" t="s">
        <v>493</v>
      </c>
      <c r="B757" s="178"/>
      <c r="C757" s="179"/>
      <c r="D757" s="179"/>
      <c r="E757" s="178"/>
      <c r="F757" s="178"/>
      <c r="G757" s="212"/>
      <c r="H757" s="192" t="str">
        <f t="shared" si="139"/>
        <v/>
      </c>
    </row>
    <row r="758" spans="1:9" s="45" customFormat="1" ht="19.5" customHeight="1" thickBot="1">
      <c r="C758" s="180" t="e">
        <f>DATEVALUE("2010-"&amp;$H$1&amp;"-"&amp;INDEX(凭证录入!B:B,H761))</f>
        <v>#VALUE!</v>
      </c>
      <c r="D758" s="181"/>
      <c r="E758" s="182" t="s">
        <v>477</v>
      </c>
      <c r="F758" s="183" t="e">
        <f>N(LEFT((F746),3)+1)</f>
        <v>#VALUE!</v>
      </c>
      <c r="G758" s="212"/>
      <c r="H758" s="192" t="str">
        <f t="shared" si="139"/>
        <v/>
      </c>
      <c r="I758" s="184"/>
    </row>
    <row r="759" spans="1:9" s="45" customFormat="1" ht="19.5" customHeight="1" thickBot="1">
      <c r="A759" s="544" t="s">
        <v>494</v>
      </c>
      <c r="B759" s="545" t="s">
        <v>495</v>
      </c>
      <c r="C759" s="185" t="s">
        <v>496</v>
      </c>
      <c r="D759" s="186"/>
      <c r="E759" s="187"/>
      <c r="F759" s="482"/>
      <c r="G759" s="212"/>
      <c r="H759" s="192" t="str">
        <f t="shared" si="139"/>
        <v/>
      </c>
    </row>
    <row r="760" spans="1:9" s="45" customFormat="1" ht="19.5" customHeight="1" thickBot="1">
      <c r="A760" s="545"/>
      <c r="B760" s="546"/>
      <c r="C760" s="482" t="s">
        <v>497</v>
      </c>
      <c r="D760" s="482" t="s">
        <v>498</v>
      </c>
      <c r="E760" s="482" t="s">
        <v>499</v>
      </c>
      <c r="F760" s="482" t="s">
        <v>500</v>
      </c>
      <c r="G760" s="212"/>
      <c r="H760" s="192" t="str">
        <f t="shared" si="139"/>
        <v/>
      </c>
    </row>
    <row r="761" spans="1:9" s="45" customFormat="1" ht="19.5" customHeight="1" thickBot="1">
      <c r="A761" s="189" t="str">
        <f>IFERROR(INDEX(凭证录入!H:H,$H761),"")</f>
        <v/>
      </c>
      <c r="B761" s="189" t="str">
        <f>IFERROR(INDEX(凭证录入!I:I,$H761),"")</f>
        <v/>
      </c>
      <c r="C761" s="190" t="str">
        <f>IFERROR(VLOOKUP($B761,会计科目表!$A:$C,2,),"")</f>
        <v/>
      </c>
      <c r="D761" s="190" t="str">
        <f>IFERROR(VLOOKUP($B761,会计科目表!$A:$C,3,),"")</f>
        <v/>
      </c>
      <c r="E761" s="191">
        <f>IFERROR(INDEX(凭证录入!K:K,$H761),0)</f>
        <v>0</v>
      </c>
      <c r="F761" s="191">
        <f>IFERROR(INDEX(凭证录入!L:L,$H761),0)</f>
        <v>0</v>
      </c>
      <c r="G761" s="212"/>
      <c r="H761" s="192" t="str">
        <f t="shared" si="139"/>
        <v/>
      </c>
    </row>
    <row r="762" spans="1:9" s="45" customFormat="1" ht="19.5" customHeight="1" thickBot="1">
      <c r="A762" s="189" t="str">
        <f>IFERROR(INDEX(凭证录入!H:H,$H762),"")</f>
        <v/>
      </c>
      <c r="B762" s="189" t="str">
        <f>IFERROR(INDEX(凭证录入!I:I,$H762),"")</f>
        <v/>
      </c>
      <c r="C762" s="190" t="str">
        <f>IFERROR(VLOOKUP($B762,会计科目表!$A:$C,2,),"")</f>
        <v/>
      </c>
      <c r="D762" s="190" t="str">
        <f>IFERROR(VLOOKUP($B762,会计科目表!$A:$C,3,),"")</f>
        <v/>
      </c>
      <c r="E762" s="191">
        <f>IFERROR(INDEX(凭证录入!K:K,$H762),0)</f>
        <v>0</v>
      </c>
      <c r="F762" s="191">
        <f>IFERROR(INDEX(凭证录入!L:L,$H762),0)</f>
        <v>0</v>
      </c>
      <c r="G762" s="212" t="s">
        <v>490</v>
      </c>
      <c r="H762" s="192" t="str">
        <f t="shared" si="139"/>
        <v/>
      </c>
      <c r="I762" s="212"/>
    </row>
    <row r="763" spans="1:9" s="45" customFormat="1" ht="19.5" customHeight="1" thickBot="1">
      <c r="A763" s="189" t="str">
        <f>IFERROR(INDEX(凭证录入!H:H,$H763),"")</f>
        <v/>
      </c>
      <c r="B763" s="189" t="str">
        <f>IFERROR(INDEX(凭证录入!I:I,$H763),"")</f>
        <v/>
      </c>
      <c r="C763" s="190" t="str">
        <f>IFERROR(VLOOKUP($B763,会计科目表!$A:$C,2,),"")</f>
        <v/>
      </c>
      <c r="D763" s="190" t="str">
        <f>IFERROR(VLOOKUP($B763,会计科目表!$A:$C,3,),"")</f>
        <v/>
      </c>
      <c r="E763" s="191">
        <f>IFERROR(INDEX(凭证录入!K:K,$H763),0)</f>
        <v>0</v>
      </c>
      <c r="F763" s="191">
        <f>IFERROR(INDEX(凭证录入!L:L,$H763),0)</f>
        <v>0</v>
      </c>
      <c r="G763" s="212" t="s">
        <v>491</v>
      </c>
      <c r="H763" s="192" t="str">
        <f t="shared" si="139"/>
        <v/>
      </c>
      <c r="I763" s="212"/>
    </row>
    <row r="764" spans="1:9" s="45" customFormat="1" ht="19.5" customHeight="1" thickBot="1">
      <c r="A764" s="189" t="str">
        <f>IFERROR(INDEX(凭证录入!H:H,$H764),"")</f>
        <v/>
      </c>
      <c r="B764" s="189" t="str">
        <f>IFERROR(INDEX(凭证录入!I:I,$H764),"")</f>
        <v/>
      </c>
      <c r="C764" s="190" t="str">
        <f>IFERROR(VLOOKUP($B764,会计科目表!$A:$C,2,),"")</f>
        <v/>
      </c>
      <c r="D764" s="190" t="str">
        <f>IFERROR(VLOOKUP($B764,会计科目表!$A:$C,3,),"")</f>
        <v/>
      </c>
      <c r="E764" s="191">
        <f>IFERROR(INDEX(凭证录入!K:K,$H764),0)</f>
        <v>0</v>
      </c>
      <c r="F764" s="191">
        <f>IFERROR(INDEX(凭证录入!L:L,$H764),0)</f>
        <v>0</v>
      </c>
      <c r="G764" s="212" t="e">
        <f>INDEX(凭证录入!$D:$D,$H761)</f>
        <v>#VALUE!</v>
      </c>
      <c r="H764" s="192" t="str">
        <f t="shared" si="139"/>
        <v/>
      </c>
      <c r="I764" s="212"/>
    </row>
    <row r="765" spans="1:9" s="45" customFormat="1" ht="19.5" customHeight="1" thickBot="1">
      <c r="A765" s="189" t="str">
        <f>IFERROR(INDEX(凭证录入!H:H,$H765),"")</f>
        <v/>
      </c>
      <c r="B765" s="189" t="str">
        <f>IFERROR(INDEX(凭证录入!I:I,$H765),"")</f>
        <v/>
      </c>
      <c r="C765" s="190" t="str">
        <f>IFERROR(VLOOKUP($B765,会计科目表!$A:$C,2,),"")</f>
        <v/>
      </c>
      <c r="D765" s="190" t="str">
        <f>IFERROR(VLOOKUP($B765,会计科目表!$A:$C,3,),"")</f>
        <v/>
      </c>
      <c r="E765" s="191">
        <f>IFERROR(INDEX(凭证录入!K:K,$H765),0)</f>
        <v>0</v>
      </c>
      <c r="F765" s="191">
        <f>IFERROR(INDEX(凭证录入!L:L,$H765),0)</f>
        <v>0</v>
      </c>
      <c r="G765" s="212" t="s">
        <v>492</v>
      </c>
      <c r="H765" s="192" t="str">
        <f t="shared" si="139"/>
        <v/>
      </c>
    </row>
    <row r="766" spans="1:9" s="45" customFormat="1" ht="19.5" customHeight="1" thickBot="1">
      <c r="A766" s="189" t="str">
        <f>IFERROR(INDEX(凭证录入!H:H,$H766),"")</f>
        <v/>
      </c>
      <c r="B766" s="189" t="str">
        <f>IFERROR(INDEX(凭证录入!I:I,$H766),"")</f>
        <v/>
      </c>
      <c r="C766" s="190" t="str">
        <f>IFERROR(VLOOKUP($B766,会计科目表!$A:$C,2,),"")</f>
        <v/>
      </c>
      <c r="D766" s="190" t="str">
        <f>IFERROR(VLOOKUP($B766,会计科目表!$A:$C,3,),"")</f>
        <v/>
      </c>
      <c r="E766" s="191">
        <f>IFERROR(INDEX(凭证录入!K:K,$H766),0)</f>
        <v>0</v>
      </c>
      <c r="F766" s="191">
        <f>IFERROR(INDEX(凭证录入!L:L,$H766),0)</f>
        <v>0</v>
      </c>
      <c r="G766" s="212"/>
      <c r="H766" s="192" t="str">
        <f t="shared" si="139"/>
        <v/>
      </c>
    </row>
    <row r="767" spans="1:9" s="45" customFormat="1" ht="19.5" customHeight="1" thickBot="1">
      <c r="A767" s="193"/>
      <c r="B767" s="194" t="s">
        <v>485</v>
      </c>
      <c r="C767" s="195" t="str">
        <f>SUBSTITUTE(SUBSTITUTE(IF(-DOLLAR(E767),IF(E767&gt;0,,"负")&amp;TEXT(INT(ABS(E767)+0.5%),"[dbnum2]G/通用格式元;;")&amp;TEXT(RIGHT(DOLLAR(E767),2),"[dbnum2]0角0分;;整"),),"零角",IF(E767^2&lt;1,,"零")),"零分","整")</f>
        <v/>
      </c>
      <c r="D767" s="196"/>
      <c r="E767" s="197">
        <f>SUM(E761:E766)</f>
        <v>0</v>
      </c>
      <c r="F767" s="197">
        <f>SUM(F761:F766)</f>
        <v>0</v>
      </c>
      <c r="G767" s="212"/>
      <c r="H767" s="192" t="str">
        <f t="shared" si="139"/>
        <v/>
      </c>
    </row>
    <row r="768" spans="1:9" s="199" customFormat="1" ht="19.5" customHeight="1">
      <c r="A768" s="45" t="s">
        <v>486</v>
      </c>
      <c r="B768" s="45" t="s">
        <v>487</v>
      </c>
      <c r="C768" s="45" t="s">
        <v>488</v>
      </c>
      <c r="D768" s="45" t="s">
        <v>504</v>
      </c>
      <c r="E768" s="45" t="s">
        <v>489</v>
      </c>
      <c r="F768" s="212" t="str">
        <f>IF($E767&lt;&gt;$F767,"借贷不平","")</f>
        <v/>
      </c>
      <c r="G768" s="183"/>
      <c r="H768" s="198" t="str">
        <f t="shared" si="139"/>
        <v/>
      </c>
    </row>
    <row r="769" spans="1:9" ht="37.5" customHeight="1">
      <c r="A769" s="177" t="s">
        <v>493</v>
      </c>
      <c r="B769" s="178"/>
      <c r="C769" s="179"/>
      <c r="D769" s="179"/>
      <c r="E769" s="178"/>
      <c r="F769" s="178"/>
      <c r="G769" s="212"/>
      <c r="H769" s="192" t="str">
        <f t="shared" si="139"/>
        <v/>
      </c>
    </row>
    <row r="770" spans="1:9" s="45" customFormat="1" ht="19.5" customHeight="1" thickBot="1">
      <c r="C770" s="180" t="e">
        <f>DATEVALUE("2010-"&amp;$H$1&amp;"-"&amp;INDEX(凭证录入!B:B,H773))</f>
        <v>#VALUE!</v>
      </c>
      <c r="D770" s="181"/>
      <c r="E770" s="182" t="s">
        <v>477</v>
      </c>
      <c r="F770" s="183" t="e">
        <f>N(LEFT((F758),3)+1)</f>
        <v>#VALUE!</v>
      </c>
      <c r="G770" s="212"/>
      <c r="H770" s="192" t="str">
        <f t="shared" si="139"/>
        <v/>
      </c>
      <c r="I770" s="184"/>
    </row>
    <row r="771" spans="1:9" s="45" customFormat="1" ht="19.5" customHeight="1" thickBot="1">
      <c r="A771" s="544" t="s">
        <v>494</v>
      </c>
      <c r="B771" s="545" t="s">
        <v>495</v>
      </c>
      <c r="C771" s="185" t="s">
        <v>496</v>
      </c>
      <c r="D771" s="186"/>
      <c r="E771" s="187"/>
      <c r="F771" s="482"/>
      <c r="G771" s="212"/>
      <c r="H771" s="192" t="str">
        <f t="shared" si="139"/>
        <v/>
      </c>
    </row>
    <row r="772" spans="1:9" s="45" customFormat="1" ht="19.5" customHeight="1" thickBot="1">
      <c r="A772" s="545"/>
      <c r="B772" s="546"/>
      <c r="C772" s="482" t="s">
        <v>497</v>
      </c>
      <c r="D772" s="482" t="s">
        <v>498</v>
      </c>
      <c r="E772" s="482" t="s">
        <v>499</v>
      </c>
      <c r="F772" s="482" t="s">
        <v>500</v>
      </c>
      <c r="G772" s="212"/>
      <c r="H772" s="192" t="str">
        <f t="shared" si="139"/>
        <v/>
      </c>
    </row>
    <row r="773" spans="1:9" s="45" customFormat="1" ht="19.5" customHeight="1" thickBot="1">
      <c r="A773" s="189" t="str">
        <f>IFERROR(INDEX(凭证录入!H:H,$H773),"")</f>
        <v/>
      </c>
      <c r="B773" s="189" t="str">
        <f>IFERROR(INDEX(凭证录入!I:I,$H773),"")</f>
        <v/>
      </c>
      <c r="C773" s="190" t="str">
        <f>IFERROR(VLOOKUP($B773,会计科目表!$A:$C,2,),"")</f>
        <v/>
      </c>
      <c r="D773" s="190" t="str">
        <f>IFERROR(VLOOKUP($B773,会计科目表!$A:$C,3,),"")</f>
        <v/>
      </c>
      <c r="E773" s="191">
        <f>IFERROR(INDEX(凭证录入!K:K,$H773),0)</f>
        <v>0</v>
      </c>
      <c r="F773" s="191">
        <f>IFERROR(INDEX(凭证录入!L:L,$H773),0)</f>
        <v>0</v>
      </c>
      <c r="G773" s="212"/>
      <c r="H773" s="192" t="str">
        <f t="shared" si="139"/>
        <v/>
      </c>
    </row>
    <row r="774" spans="1:9" s="45" customFormat="1" ht="19.5" customHeight="1" thickBot="1">
      <c r="A774" s="189" t="str">
        <f>IFERROR(INDEX(凭证录入!H:H,$H774),"")</f>
        <v/>
      </c>
      <c r="B774" s="189" t="str">
        <f>IFERROR(INDEX(凭证录入!I:I,$H774),"")</f>
        <v/>
      </c>
      <c r="C774" s="190" t="str">
        <f>IFERROR(VLOOKUP($B774,会计科目表!$A:$C,2,),"")</f>
        <v/>
      </c>
      <c r="D774" s="190" t="str">
        <f>IFERROR(VLOOKUP($B774,会计科目表!$A:$C,3,),"")</f>
        <v/>
      </c>
      <c r="E774" s="191">
        <f>IFERROR(INDEX(凭证录入!K:K,$H774),0)</f>
        <v>0</v>
      </c>
      <c r="F774" s="191">
        <f>IFERROR(INDEX(凭证录入!L:L,$H774),0)</f>
        <v>0</v>
      </c>
      <c r="G774" s="212" t="s">
        <v>490</v>
      </c>
      <c r="H774" s="192" t="str">
        <f t="shared" si="139"/>
        <v/>
      </c>
      <c r="I774" s="212"/>
    </row>
    <row r="775" spans="1:9" s="45" customFormat="1" ht="19.5" customHeight="1" thickBot="1">
      <c r="A775" s="189" t="str">
        <f>IFERROR(INDEX(凭证录入!H:H,$H775),"")</f>
        <v/>
      </c>
      <c r="B775" s="189" t="str">
        <f>IFERROR(INDEX(凭证录入!I:I,$H775),"")</f>
        <v/>
      </c>
      <c r="C775" s="190" t="str">
        <f>IFERROR(VLOOKUP($B775,会计科目表!$A:$C,2,),"")</f>
        <v/>
      </c>
      <c r="D775" s="190" t="str">
        <f>IFERROR(VLOOKUP($B775,会计科目表!$A:$C,3,),"")</f>
        <v/>
      </c>
      <c r="E775" s="191">
        <f>IFERROR(INDEX(凭证录入!K:K,$H775),0)</f>
        <v>0</v>
      </c>
      <c r="F775" s="191">
        <f>IFERROR(INDEX(凭证录入!L:L,$H775),0)</f>
        <v>0</v>
      </c>
      <c r="G775" s="212" t="s">
        <v>491</v>
      </c>
      <c r="H775" s="192" t="str">
        <f t="shared" si="139"/>
        <v/>
      </c>
      <c r="I775" s="212"/>
    </row>
    <row r="776" spans="1:9" s="45" customFormat="1" ht="19.5" customHeight="1" thickBot="1">
      <c r="A776" s="189" t="str">
        <f>IFERROR(INDEX(凭证录入!H:H,$H776),"")</f>
        <v/>
      </c>
      <c r="B776" s="189" t="str">
        <f>IFERROR(INDEX(凭证录入!I:I,$H776),"")</f>
        <v/>
      </c>
      <c r="C776" s="190" t="str">
        <f>IFERROR(VLOOKUP($B776,会计科目表!$A:$C,2,),"")</f>
        <v/>
      </c>
      <c r="D776" s="190" t="str">
        <f>IFERROR(VLOOKUP($B776,会计科目表!$A:$C,3,),"")</f>
        <v/>
      </c>
      <c r="E776" s="191">
        <f>IFERROR(INDEX(凭证录入!K:K,$H776),0)</f>
        <v>0</v>
      </c>
      <c r="F776" s="191">
        <f>IFERROR(INDEX(凭证录入!L:L,$H776),0)</f>
        <v>0</v>
      </c>
      <c r="G776" s="212" t="e">
        <f>INDEX(凭证录入!$D:$D,$H773)</f>
        <v>#VALUE!</v>
      </c>
      <c r="H776" s="192" t="str">
        <f t="shared" si="139"/>
        <v/>
      </c>
      <c r="I776" s="212"/>
    </row>
    <row r="777" spans="1:9" s="45" customFormat="1" ht="19.5" customHeight="1" thickBot="1">
      <c r="A777" s="189" t="str">
        <f>IFERROR(INDEX(凭证录入!H:H,$H777),"")</f>
        <v/>
      </c>
      <c r="B777" s="189" t="str">
        <f>IFERROR(INDEX(凭证录入!I:I,$H777),"")</f>
        <v/>
      </c>
      <c r="C777" s="190" t="str">
        <f>IFERROR(VLOOKUP($B777,会计科目表!$A:$C,2,),"")</f>
        <v/>
      </c>
      <c r="D777" s="190" t="str">
        <f>IFERROR(VLOOKUP($B777,会计科目表!$A:$C,3,),"")</f>
        <v/>
      </c>
      <c r="E777" s="191">
        <f>IFERROR(INDEX(凭证录入!K:K,$H777),0)</f>
        <v>0</v>
      </c>
      <c r="F777" s="191">
        <f>IFERROR(INDEX(凭证录入!L:L,$H777),0)</f>
        <v>0</v>
      </c>
      <c r="G777" s="212" t="s">
        <v>492</v>
      </c>
      <c r="H777" s="192" t="str">
        <f t="shared" si="139"/>
        <v/>
      </c>
    </row>
    <row r="778" spans="1:9" s="45" customFormat="1" ht="19.5" customHeight="1" thickBot="1">
      <c r="A778" s="189" t="str">
        <f>IFERROR(INDEX(凭证录入!H:H,$H778),"")</f>
        <v/>
      </c>
      <c r="B778" s="189" t="str">
        <f>IFERROR(INDEX(凭证录入!I:I,$H778),"")</f>
        <v/>
      </c>
      <c r="C778" s="190" t="str">
        <f>IFERROR(VLOOKUP($B778,会计科目表!$A:$C,2,),"")</f>
        <v/>
      </c>
      <c r="D778" s="190" t="str">
        <f>IFERROR(VLOOKUP($B778,会计科目表!$A:$C,3,),"")</f>
        <v/>
      </c>
      <c r="E778" s="191">
        <f>IFERROR(INDEX(凭证录入!K:K,$H778),0)</f>
        <v>0</v>
      </c>
      <c r="F778" s="191">
        <f>IFERROR(INDEX(凭证录入!L:L,$H778),0)</f>
        <v>0</v>
      </c>
      <c r="G778" s="212"/>
      <c r="H778" s="192" t="str">
        <f t="shared" si="139"/>
        <v/>
      </c>
    </row>
    <row r="779" spans="1:9" s="45" customFormat="1" ht="19.5" customHeight="1" thickBot="1">
      <c r="A779" s="193"/>
      <c r="B779" s="194" t="s">
        <v>485</v>
      </c>
      <c r="C779" s="195" t="str">
        <f>SUBSTITUTE(SUBSTITUTE(IF(-DOLLAR(E779),IF(E779&gt;0,,"负")&amp;TEXT(INT(ABS(E779)+0.5%),"[dbnum2]G/通用格式元;;")&amp;TEXT(RIGHT(DOLLAR(E779),2),"[dbnum2]0角0分;;整"),),"零角",IF(E779^2&lt;1,,"零")),"零分","整")</f>
        <v/>
      </c>
      <c r="D779" s="196"/>
      <c r="E779" s="197">
        <f>SUM(E773:E778)</f>
        <v>0</v>
      </c>
      <c r="F779" s="197">
        <f>SUM(F773:F778)</f>
        <v>0</v>
      </c>
      <c r="G779" s="212"/>
      <c r="H779" s="192" t="str">
        <f t="shared" si="139"/>
        <v/>
      </c>
    </row>
    <row r="780" spans="1:9" s="199" customFormat="1" ht="19.5" customHeight="1">
      <c r="A780" s="45" t="s">
        <v>486</v>
      </c>
      <c r="B780" s="45" t="s">
        <v>487</v>
      </c>
      <c r="C780" s="45" t="s">
        <v>488</v>
      </c>
      <c r="D780" s="45" t="s">
        <v>504</v>
      </c>
      <c r="E780" s="45" t="s">
        <v>489</v>
      </c>
      <c r="F780" s="212" t="str">
        <f>IF($E779&lt;&gt;$F779,"借贷不平","")</f>
        <v/>
      </c>
      <c r="G780" s="183"/>
      <c r="H780" s="198" t="str">
        <f t="shared" si="139"/>
        <v/>
      </c>
    </row>
    <row r="781" spans="1:9" ht="37.5" customHeight="1">
      <c r="A781" s="177" t="s">
        <v>493</v>
      </c>
      <c r="B781" s="178"/>
      <c r="C781" s="179"/>
      <c r="D781" s="179"/>
      <c r="E781" s="178"/>
      <c r="F781" s="178"/>
      <c r="G781" s="212"/>
      <c r="H781" s="192" t="str">
        <f t="shared" si="139"/>
        <v/>
      </c>
    </row>
    <row r="782" spans="1:9" s="45" customFormat="1" ht="19.5" customHeight="1" thickBot="1">
      <c r="C782" s="180" t="e">
        <f>DATEVALUE("2010-"&amp;$H$1&amp;"-"&amp;INDEX(凭证录入!B:B,H785))</f>
        <v>#VALUE!</v>
      </c>
      <c r="D782" s="181"/>
      <c r="E782" s="182" t="s">
        <v>477</v>
      </c>
      <c r="F782" s="183" t="e">
        <f>N(LEFT((F770),3)+1)</f>
        <v>#VALUE!</v>
      </c>
      <c r="G782" s="212"/>
      <c r="H782" s="192" t="str">
        <f t="shared" si="139"/>
        <v/>
      </c>
      <c r="I782" s="184"/>
    </row>
    <row r="783" spans="1:9" s="45" customFormat="1" ht="19.5" customHeight="1" thickBot="1">
      <c r="A783" s="544" t="s">
        <v>494</v>
      </c>
      <c r="B783" s="545" t="s">
        <v>495</v>
      </c>
      <c r="C783" s="185" t="s">
        <v>496</v>
      </c>
      <c r="D783" s="186"/>
      <c r="E783" s="187"/>
      <c r="F783" s="482"/>
      <c r="G783" s="212"/>
      <c r="H783" s="192" t="str">
        <f t="shared" si="139"/>
        <v/>
      </c>
    </row>
    <row r="784" spans="1:9" s="45" customFormat="1" ht="19.5" customHeight="1" thickBot="1">
      <c r="A784" s="545"/>
      <c r="B784" s="546"/>
      <c r="C784" s="482" t="s">
        <v>497</v>
      </c>
      <c r="D784" s="482" t="s">
        <v>498</v>
      </c>
      <c r="E784" s="482" t="s">
        <v>499</v>
      </c>
      <c r="F784" s="482" t="s">
        <v>500</v>
      </c>
      <c r="G784" s="212"/>
      <c r="H784" s="192" t="str">
        <f t="shared" si="139"/>
        <v/>
      </c>
    </row>
    <row r="785" spans="1:9" s="45" customFormat="1" ht="19.5" customHeight="1" thickBot="1">
      <c r="A785" s="189" t="str">
        <f>IFERROR(INDEX(凭证录入!H:H,$H785),"")</f>
        <v/>
      </c>
      <c r="B785" s="189" t="str">
        <f>IFERROR(INDEX(凭证录入!I:I,$H785),"")</f>
        <v/>
      </c>
      <c r="C785" s="190" t="str">
        <f>IFERROR(VLOOKUP($B785,会计科目表!$A:$C,2,),"")</f>
        <v/>
      </c>
      <c r="D785" s="190" t="str">
        <f>IFERROR(VLOOKUP($B785,会计科目表!$A:$C,3,),"")</f>
        <v/>
      </c>
      <c r="E785" s="191">
        <f>IFERROR(INDEX(凭证录入!K:K,$H785),0)</f>
        <v>0</v>
      </c>
      <c r="F785" s="191">
        <f>IFERROR(INDEX(凭证录入!L:L,$H785),0)</f>
        <v>0</v>
      </c>
      <c r="G785" s="212"/>
      <c r="H785" s="192" t="str">
        <f t="shared" si="139"/>
        <v/>
      </c>
    </row>
    <row r="786" spans="1:9" s="45" customFormat="1" ht="19.5" customHeight="1" thickBot="1">
      <c r="A786" s="189" t="str">
        <f>IFERROR(INDEX(凭证录入!H:H,$H786),"")</f>
        <v/>
      </c>
      <c r="B786" s="189" t="str">
        <f>IFERROR(INDEX(凭证录入!I:I,$H786),"")</f>
        <v/>
      </c>
      <c r="C786" s="190" t="str">
        <f>IFERROR(VLOOKUP($B786,会计科目表!$A:$C,2,),"")</f>
        <v/>
      </c>
      <c r="D786" s="190" t="str">
        <f>IFERROR(VLOOKUP($B786,会计科目表!$A:$C,3,),"")</f>
        <v/>
      </c>
      <c r="E786" s="191">
        <f>IFERROR(INDEX(凭证录入!K:K,$H786),0)</f>
        <v>0</v>
      </c>
      <c r="F786" s="191">
        <f>IFERROR(INDEX(凭证录入!L:L,$H786),0)</f>
        <v>0</v>
      </c>
      <c r="G786" s="212" t="s">
        <v>490</v>
      </c>
      <c r="H786" s="192" t="str">
        <f t="shared" si="139"/>
        <v/>
      </c>
      <c r="I786" s="212"/>
    </row>
    <row r="787" spans="1:9" s="45" customFormat="1" ht="19.5" customHeight="1" thickBot="1">
      <c r="A787" s="189" t="str">
        <f>IFERROR(INDEX(凭证录入!H:H,$H787),"")</f>
        <v/>
      </c>
      <c r="B787" s="189" t="str">
        <f>IFERROR(INDEX(凭证录入!I:I,$H787),"")</f>
        <v/>
      </c>
      <c r="C787" s="190" t="str">
        <f>IFERROR(VLOOKUP($B787,会计科目表!$A:$C,2,),"")</f>
        <v/>
      </c>
      <c r="D787" s="190" t="str">
        <f>IFERROR(VLOOKUP($B787,会计科目表!$A:$C,3,),"")</f>
        <v/>
      </c>
      <c r="E787" s="191">
        <f>IFERROR(INDEX(凭证录入!K:K,$H787),0)</f>
        <v>0</v>
      </c>
      <c r="F787" s="191">
        <f>IFERROR(INDEX(凭证录入!L:L,$H787),0)</f>
        <v>0</v>
      </c>
      <c r="G787" s="212" t="s">
        <v>491</v>
      </c>
      <c r="H787" s="192" t="str">
        <f t="shared" si="139"/>
        <v/>
      </c>
      <c r="I787" s="212"/>
    </row>
    <row r="788" spans="1:9" s="45" customFormat="1" ht="19.5" customHeight="1" thickBot="1">
      <c r="A788" s="189" t="str">
        <f>IFERROR(INDEX(凭证录入!H:H,$H788),"")</f>
        <v/>
      </c>
      <c r="B788" s="189" t="str">
        <f>IFERROR(INDEX(凭证录入!I:I,$H788),"")</f>
        <v/>
      </c>
      <c r="C788" s="190" t="str">
        <f>IFERROR(VLOOKUP($B788,会计科目表!$A:$C,2,),"")</f>
        <v/>
      </c>
      <c r="D788" s="190" t="str">
        <f>IFERROR(VLOOKUP($B788,会计科目表!$A:$C,3,),"")</f>
        <v/>
      </c>
      <c r="E788" s="191">
        <f>IFERROR(INDEX(凭证录入!K:K,$H788),0)</f>
        <v>0</v>
      </c>
      <c r="F788" s="191">
        <f>IFERROR(INDEX(凭证录入!L:L,$H788),0)</f>
        <v>0</v>
      </c>
      <c r="G788" s="212" t="e">
        <f>INDEX(凭证录入!$D:$D,$H785)</f>
        <v>#VALUE!</v>
      </c>
      <c r="H788" s="192" t="str">
        <f t="shared" si="139"/>
        <v/>
      </c>
      <c r="I788" s="212"/>
    </row>
    <row r="789" spans="1:9" s="45" customFormat="1" ht="19.5" customHeight="1" thickBot="1">
      <c r="A789" s="189" t="str">
        <f>IFERROR(INDEX(凭证录入!H:H,$H789),"")</f>
        <v/>
      </c>
      <c r="B789" s="189" t="str">
        <f>IFERROR(INDEX(凭证录入!I:I,$H789),"")</f>
        <v/>
      </c>
      <c r="C789" s="190" t="str">
        <f>IFERROR(VLOOKUP($B789,会计科目表!$A:$C,2,),"")</f>
        <v/>
      </c>
      <c r="D789" s="190" t="str">
        <f>IFERROR(VLOOKUP($B789,会计科目表!$A:$C,3,),"")</f>
        <v/>
      </c>
      <c r="E789" s="191">
        <f>IFERROR(INDEX(凭证录入!K:K,$H789),0)</f>
        <v>0</v>
      </c>
      <c r="F789" s="191">
        <f>IFERROR(INDEX(凭证录入!L:L,$H789),0)</f>
        <v>0</v>
      </c>
      <c r="G789" s="212" t="s">
        <v>492</v>
      </c>
      <c r="H789" s="192" t="str">
        <f t="shared" si="139"/>
        <v/>
      </c>
    </row>
    <row r="790" spans="1:9" s="45" customFormat="1" ht="19.5" customHeight="1" thickBot="1">
      <c r="A790" s="189" t="str">
        <f>IFERROR(INDEX(凭证录入!H:H,$H790),"")</f>
        <v/>
      </c>
      <c r="B790" s="189" t="str">
        <f>IFERROR(INDEX(凭证录入!I:I,$H790),"")</f>
        <v/>
      </c>
      <c r="C790" s="190" t="str">
        <f>IFERROR(VLOOKUP($B790,会计科目表!$A:$C,2,),"")</f>
        <v/>
      </c>
      <c r="D790" s="190" t="str">
        <f>IFERROR(VLOOKUP($B790,会计科目表!$A:$C,3,),"")</f>
        <v/>
      </c>
      <c r="E790" s="191">
        <f>IFERROR(INDEX(凭证录入!K:K,$H790),0)</f>
        <v>0</v>
      </c>
      <c r="F790" s="191">
        <f>IFERROR(INDEX(凭证录入!L:L,$H790),0)</f>
        <v>0</v>
      </c>
      <c r="G790" s="212"/>
      <c r="H790" s="192" t="str">
        <f t="shared" si="139"/>
        <v/>
      </c>
    </row>
    <row r="791" spans="1:9" s="45" customFormat="1" ht="19.5" customHeight="1" thickBot="1">
      <c r="A791" s="193"/>
      <c r="B791" s="194" t="s">
        <v>485</v>
      </c>
      <c r="C791" s="195" t="str">
        <f>SUBSTITUTE(SUBSTITUTE(IF(-DOLLAR(E791),IF(E791&gt;0,,"负")&amp;TEXT(INT(ABS(E791)+0.5%),"[dbnum2]G/通用格式元;;")&amp;TEXT(RIGHT(DOLLAR(E791),2),"[dbnum2]0角0分;;整"),),"零角",IF(E791^2&lt;1,,"零")),"零分","整")</f>
        <v/>
      </c>
      <c r="D791" s="196"/>
      <c r="E791" s="197">
        <f>SUM(E785:E790)</f>
        <v>0</v>
      </c>
      <c r="F791" s="197">
        <f>SUM(F785:F790)</f>
        <v>0</v>
      </c>
      <c r="G791" s="212"/>
      <c r="H791" s="192" t="str">
        <f t="shared" si="139"/>
        <v/>
      </c>
    </row>
    <row r="792" spans="1:9" s="199" customFormat="1" ht="19.5" customHeight="1">
      <c r="A792" s="45" t="s">
        <v>486</v>
      </c>
      <c r="B792" s="45" t="s">
        <v>487</v>
      </c>
      <c r="C792" s="45" t="s">
        <v>488</v>
      </c>
      <c r="D792" s="45" t="s">
        <v>504</v>
      </c>
      <c r="E792" s="45" t="s">
        <v>489</v>
      </c>
      <c r="F792" s="212" t="str">
        <f>IF($E791&lt;&gt;$F791,"借贷不平","")</f>
        <v/>
      </c>
      <c r="G792" s="183"/>
      <c r="H792" s="198" t="str">
        <f t="shared" si="139"/>
        <v/>
      </c>
    </row>
    <row r="793" spans="1:9" ht="37.5" customHeight="1">
      <c r="A793" s="177" t="s">
        <v>493</v>
      </c>
      <c r="B793" s="178"/>
      <c r="C793" s="179"/>
      <c r="D793" s="179"/>
      <c r="E793" s="178"/>
      <c r="F793" s="178"/>
      <c r="G793" s="212"/>
      <c r="H793" s="192" t="str">
        <f t="shared" si="139"/>
        <v/>
      </c>
    </row>
    <row r="794" spans="1:9" s="45" customFormat="1" ht="19.5" customHeight="1" thickBot="1">
      <c r="C794" s="180" t="e">
        <f>DATEVALUE("2010-"&amp;$H$1&amp;"-"&amp;INDEX(凭证录入!B:B,H797))</f>
        <v>#VALUE!</v>
      </c>
      <c r="D794" s="181"/>
      <c r="E794" s="182" t="s">
        <v>477</v>
      </c>
      <c r="F794" s="183" t="e">
        <f>N(LEFT((F782),3)+1)</f>
        <v>#VALUE!</v>
      </c>
      <c r="G794" s="212"/>
      <c r="H794" s="192" t="str">
        <f t="shared" si="139"/>
        <v/>
      </c>
      <c r="I794" s="184"/>
    </row>
    <row r="795" spans="1:9" s="45" customFormat="1" ht="19.5" customHeight="1" thickBot="1">
      <c r="A795" s="544" t="s">
        <v>494</v>
      </c>
      <c r="B795" s="545" t="s">
        <v>495</v>
      </c>
      <c r="C795" s="185" t="s">
        <v>496</v>
      </c>
      <c r="D795" s="186"/>
      <c r="E795" s="187"/>
      <c r="F795" s="482"/>
      <c r="G795" s="212"/>
      <c r="H795" s="192" t="str">
        <f t="shared" si="139"/>
        <v/>
      </c>
    </row>
    <row r="796" spans="1:9" s="45" customFormat="1" ht="19.5" customHeight="1" thickBot="1">
      <c r="A796" s="545"/>
      <c r="B796" s="546"/>
      <c r="C796" s="482" t="s">
        <v>497</v>
      </c>
      <c r="D796" s="482" t="s">
        <v>498</v>
      </c>
      <c r="E796" s="482" t="s">
        <v>499</v>
      </c>
      <c r="F796" s="482" t="s">
        <v>500</v>
      </c>
      <c r="G796" s="212"/>
      <c r="H796" s="192" t="str">
        <f t="shared" si="139"/>
        <v/>
      </c>
    </row>
    <row r="797" spans="1:9" s="45" customFormat="1" ht="19.5" customHeight="1" thickBot="1">
      <c r="A797" s="189" t="str">
        <f>IFERROR(INDEX(凭证录入!H:H,$H797),"")</f>
        <v/>
      </c>
      <c r="B797" s="189" t="str">
        <f>IFERROR(INDEX(凭证录入!I:I,$H797),"")</f>
        <v/>
      </c>
      <c r="C797" s="190" t="str">
        <f>IFERROR(VLOOKUP($B797,会计科目表!$A:$C,2,),"")</f>
        <v/>
      </c>
      <c r="D797" s="190" t="str">
        <f>IFERROR(VLOOKUP($B797,会计科目表!$A:$C,3,),"")</f>
        <v/>
      </c>
      <c r="E797" s="191">
        <f>IFERROR(INDEX(凭证录入!K:K,$H797),0)</f>
        <v>0</v>
      </c>
      <c r="F797" s="191">
        <f>IFERROR(INDEX(凭证录入!L:L,$H797),0)</f>
        <v>0</v>
      </c>
      <c r="G797" s="212"/>
      <c r="H797" s="192" t="str">
        <f t="shared" si="139"/>
        <v/>
      </c>
    </row>
    <row r="798" spans="1:9" s="45" customFormat="1" ht="19.5" customHeight="1" thickBot="1">
      <c r="A798" s="189" t="str">
        <f>IFERROR(INDEX(凭证录入!H:H,$H798),"")</f>
        <v/>
      </c>
      <c r="B798" s="189" t="str">
        <f>IFERROR(INDEX(凭证录入!I:I,$H798),"")</f>
        <v/>
      </c>
      <c r="C798" s="190" t="str">
        <f>IFERROR(VLOOKUP($B798,会计科目表!$A:$C,2,),"")</f>
        <v/>
      </c>
      <c r="D798" s="190" t="str">
        <f>IFERROR(VLOOKUP($B798,会计科目表!$A:$C,3,),"")</f>
        <v/>
      </c>
      <c r="E798" s="191">
        <f>IFERROR(INDEX(凭证录入!K:K,$H798),0)</f>
        <v>0</v>
      </c>
      <c r="F798" s="191">
        <f>IFERROR(INDEX(凭证录入!L:L,$H798),0)</f>
        <v>0</v>
      </c>
      <c r="G798" s="212" t="s">
        <v>490</v>
      </c>
      <c r="H798" s="192" t="str">
        <f t="shared" si="139"/>
        <v/>
      </c>
      <c r="I798" s="212"/>
    </row>
    <row r="799" spans="1:9" s="45" customFormat="1" ht="19.5" customHeight="1" thickBot="1">
      <c r="A799" s="189" t="str">
        <f>IFERROR(INDEX(凭证录入!H:H,$H799),"")</f>
        <v/>
      </c>
      <c r="B799" s="189" t="str">
        <f>IFERROR(INDEX(凭证录入!I:I,$H799),"")</f>
        <v/>
      </c>
      <c r="C799" s="190" t="str">
        <f>IFERROR(VLOOKUP($B799,会计科目表!$A:$C,2,),"")</f>
        <v/>
      </c>
      <c r="D799" s="190" t="str">
        <f>IFERROR(VLOOKUP($B799,会计科目表!$A:$C,3,),"")</f>
        <v/>
      </c>
      <c r="E799" s="191">
        <f>IFERROR(INDEX(凭证录入!K:K,$H799),0)</f>
        <v>0</v>
      </c>
      <c r="F799" s="191">
        <f>IFERROR(INDEX(凭证录入!L:L,$H799),0)</f>
        <v>0</v>
      </c>
      <c r="G799" s="212" t="s">
        <v>491</v>
      </c>
      <c r="H799" s="192" t="str">
        <f t="shared" si="139"/>
        <v/>
      </c>
      <c r="I799" s="212"/>
    </row>
    <row r="800" spans="1:9" s="45" customFormat="1" ht="19.5" customHeight="1" thickBot="1">
      <c r="A800" s="189" t="str">
        <f>IFERROR(INDEX(凭证录入!H:H,$H800),"")</f>
        <v/>
      </c>
      <c r="B800" s="189" t="str">
        <f>IFERROR(INDEX(凭证录入!I:I,$H800),"")</f>
        <v/>
      </c>
      <c r="C800" s="190" t="str">
        <f>IFERROR(VLOOKUP($B800,会计科目表!$A:$C,2,),"")</f>
        <v/>
      </c>
      <c r="D800" s="190" t="str">
        <f>IFERROR(VLOOKUP($B800,会计科目表!$A:$C,3,),"")</f>
        <v/>
      </c>
      <c r="E800" s="191">
        <f>IFERROR(INDEX(凭证录入!K:K,$H800),0)</f>
        <v>0</v>
      </c>
      <c r="F800" s="191">
        <f>IFERROR(INDEX(凭证录入!L:L,$H800),0)</f>
        <v>0</v>
      </c>
      <c r="G800" s="212" t="e">
        <f>INDEX(凭证录入!$D:$D,$H797)</f>
        <v>#VALUE!</v>
      </c>
      <c r="H800" s="192" t="str">
        <f t="shared" si="139"/>
        <v/>
      </c>
      <c r="I800" s="212"/>
    </row>
    <row r="801" spans="1:9" s="45" customFormat="1" ht="19.5" customHeight="1" thickBot="1">
      <c r="A801" s="189" t="str">
        <f>IFERROR(INDEX(凭证录入!H:H,$H801),"")</f>
        <v/>
      </c>
      <c r="B801" s="189" t="str">
        <f>IFERROR(INDEX(凭证录入!I:I,$H801),"")</f>
        <v/>
      </c>
      <c r="C801" s="190" t="str">
        <f>IFERROR(VLOOKUP($B801,会计科目表!$A:$C,2,),"")</f>
        <v/>
      </c>
      <c r="D801" s="190" t="str">
        <f>IFERROR(VLOOKUP($B801,会计科目表!$A:$C,3,),"")</f>
        <v/>
      </c>
      <c r="E801" s="191">
        <f>IFERROR(INDEX(凭证录入!K:K,$H801),0)</f>
        <v>0</v>
      </c>
      <c r="F801" s="191">
        <f>IFERROR(INDEX(凭证录入!L:L,$H801),0)</f>
        <v>0</v>
      </c>
      <c r="G801" s="212" t="s">
        <v>492</v>
      </c>
      <c r="H801" s="192" t="str">
        <f t="shared" si="139"/>
        <v/>
      </c>
    </row>
    <row r="802" spans="1:9" s="45" customFormat="1" ht="19.5" customHeight="1" thickBot="1">
      <c r="A802" s="189" t="str">
        <f>IFERROR(INDEX(凭证录入!H:H,$H802),"")</f>
        <v/>
      </c>
      <c r="B802" s="189" t="str">
        <f>IFERROR(INDEX(凭证录入!I:I,$H802),"")</f>
        <v/>
      </c>
      <c r="C802" s="190" t="str">
        <f>IFERROR(VLOOKUP($B802,会计科目表!$A:$C,2,),"")</f>
        <v/>
      </c>
      <c r="D802" s="190" t="str">
        <f>IFERROR(VLOOKUP($B802,会计科目表!$A:$C,3,),"")</f>
        <v/>
      </c>
      <c r="E802" s="191">
        <f>IFERROR(INDEX(凭证录入!K:K,$H802),0)</f>
        <v>0</v>
      </c>
      <c r="F802" s="191">
        <f>IFERROR(INDEX(凭证录入!L:L,$H802),0)</f>
        <v>0</v>
      </c>
      <c r="G802" s="212"/>
      <c r="H802" s="192" t="str">
        <f t="shared" si="139"/>
        <v/>
      </c>
    </row>
    <row r="803" spans="1:9" s="45" customFormat="1" ht="19.5" customHeight="1" thickBot="1">
      <c r="A803" s="193"/>
      <c r="B803" s="194" t="s">
        <v>485</v>
      </c>
      <c r="C803" s="195" t="str">
        <f>SUBSTITUTE(SUBSTITUTE(IF(-DOLLAR(E803),IF(E803&gt;0,,"负")&amp;TEXT(INT(ABS(E803)+0.5%),"[dbnum2]G/通用格式元;;")&amp;TEXT(RIGHT(DOLLAR(E803),2),"[dbnum2]0角0分;;整"),),"零角",IF(E803^2&lt;1,,"零")),"零分","整")</f>
        <v/>
      </c>
      <c r="D803" s="196"/>
      <c r="E803" s="197">
        <f>SUM(E797:E802)</f>
        <v>0</v>
      </c>
      <c r="F803" s="197">
        <f>SUM(F797:F802)</f>
        <v>0</v>
      </c>
      <c r="G803" s="212"/>
      <c r="H803" s="192" t="str">
        <f t="shared" si="139"/>
        <v/>
      </c>
    </row>
    <row r="804" spans="1:9" s="199" customFormat="1" ht="19.5" customHeight="1">
      <c r="A804" s="45" t="s">
        <v>486</v>
      </c>
      <c r="B804" s="45" t="s">
        <v>487</v>
      </c>
      <c r="C804" s="45" t="s">
        <v>488</v>
      </c>
      <c r="D804" s="45" t="s">
        <v>504</v>
      </c>
      <c r="E804" s="45" t="s">
        <v>489</v>
      </c>
      <c r="F804" s="212" t="str">
        <f>IF($E803&lt;&gt;$F803,"借贷不平","")</f>
        <v/>
      </c>
      <c r="G804" s="183"/>
      <c r="H804" s="198" t="str">
        <f t="shared" si="139"/>
        <v/>
      </c>
    </row>
    <row r="805" spans="1:9" ht="37.5" customHeight="1">
      <c r="A805" s="177" t="s">
        <v>493</v>
      </c>
      <c r="B805" s="178"/>
      <c r="C805" s="179"/>
      <c r="D805" s="179"/>
      <c r="E805" s="178"/>
      <c r="F805" s="178"/>
      <c r="G805" s="212"/>
      <c r="H805" s="192" t="str">
        <f t="shared" si="139"/>
        <v/>
      </c>
    </row>
    <row r="806" spans="1:9" s="45" customFormat="1" ht="19.5" customHeight="1" thickBot="1">
      <c r="C806" s="180" t="e">
        <f>DATEVALUE("2010-"&amp;$H$1&amp;"-"&amp;INDEX(凭证录入!B:B,H809))</f>
        <v>#VALUE!</v>
      </c>
      <c r="D806" s="181"/>
      <c r="E806" s="182" t="s">
        <v>477</v>
      </c>
      <c r="F806" s="183" t="e">
        <f>N(LEFT((F794),3)+1)</f>
        <v>#VALUE!</v>
      </c>
      <c r="G806" s="212"/>
      <c r="H806" s="192" t="str">
        <f t="shared" si="139"/>
        <v/>
      </c>
      <c r="I806" s="184"/>
    </row>
    <row r="807" spans="1:9" s="45" customFormat="1" ht="19.5" customHeight="1" thickBot="1">
      <c r="A807" s="544" t="s">
        <v>494</v>
      </c>
      <c r="B807" s="545" t="s">
        <v>495</v>
      </c>
      <c r="C807" s="185" t="s">
        <v>496</v>
      </c>
      <c r="D807" s="186"/>
      <c r="E807" s="187"/>
      <c r="F807" s="482"/>
      <c r="G807" s="212"/>
      <c r="H807" s="192" t="str">
        <f t="shared" si="139"/>
        <v/>
      </c>
    </row>
    <row r="808" spans="1:9" s="45" customFormat="1" ht="19.5" customHeight="1" thickBot="1">
      <c r="A808" s="545"/>
      <c r="B808" s="546"/>
      <c r="C808" s="482" t="s">
        <v>497</v>
      </c>
      <c r="D808" s="482" t="s">
        <v>498</v>
      </c>
      <c r="E808" s="482" t="s">
        <v>499</v>
      </c>
      <c r="F808" s="482" t="s">
        <v>500</v>
      </c>
      <c r="G808" s="212"/>
      <c r="H808" s="192" t="str">
        <f t="shared" si="139"/>
        <v/>
      </c>
    </row>
    <row r="809" spans="1:9" s="45" customFormat="1" ht="19.5" customHeight="1" thickBot="1">
      <c r="A809" s="189" t="str">
        <f>IFERROR(INDEX(凭证录入!H:H,$H809),"")</f>
        <v/>
      </c>
      <c r="B809" s="189" t="str">
        <f>IFERROR(INDEX(凭证录入!I:I,$H809),"")</f>
        <v/>
      </c>
      <c r="C809" s="190" t="str">
        <f>IFERROR(VLOOKUP($B809,会计科目表!$A:$C,2,),"")</f>
        <v/>
      </c>
      <c r="D809" s="190" t="str">
        <f>IFERROR(VLOOKUP($B809,会计科目表!$A:$C,3,),"")</f>
        <v/>
      </c>
      <c r="E809" s="191">
        <f>IFERROR(INDEX(凭证录入!K:K,$H809),0)</f>
        <v>0</v>
      </c>
      <c r="F809" s="191">
        <f>IFERROR(INDEX(凭证录入!L:L,$H809),0)</f>
        <v>0</v>
      </c>
      <c r="G809" s="212"/>
      <c r="H809" s="192" t="str">
        <f t="shared" ref="H809:H872" si="140">IFERROR(INDEX(行号,TEXT(MOD(ROW(),12)-4,"[=]A")),"")</f>
        <v/>
      </c>
    </row>
    <row r="810" spans="1:9" s="45" customFormat="1" ht="19.5" customHeight="1" thickBot="1">
      <c r="A810" s="189" t="str">
        <f>IFERROR(INDEX(凭证录入!H:H,$H810),"")</f>
        <v/>
      </c>
      <c r="B810" s="189" t="str">
        <f>IFERROR(INDEX(凭证录入!I:I,$H810),"")</f>
        <v/>
      </c>
      <c r="C810" s="190" t="str">
        <f>IFERROR(VLOOKUP($B810,会计科目表!$A:$C,2,),"")</f>
        <v/>
      </c>
      <c r="D810" s="190" t="str">
        <f>IFERROR(VLOOKUP($B810,会计科目表!$A:$C,3,),"")</f>
        <v/>
      </c>
      <c r="E810" s="191">
        <f>IFERROR(INDEX(凭证录入!K:K,$H810),0)</f>
        <v>0</v>
      </c>
      <c r="F810" s="191">
        <f>IFERROR(INDEX(凭证录入!L:L,$H810),0)</f>
        <v>0</v>
      </c>
      <c r="G810" s="212" t="s">
        <v>490</v>
      </c>
      <c r="H810" s="192" t="str">
        <f t="shared" si="140"/>
        <v/>
      </c>
      <c r="I810" s="212"/>
    </row>
    <row r="811" spans="1:9" s="45" customFormat="1" ht="19.5" customHeight="1" thickBot="1">
      <c r="A811" s="189" t="str">
        <f>IFERROR(INDEX(凭证录入!H:H,$H811),"")</f>
        <v/>
      </c>
      <c r="B811" s="189" t="str">
        <f>IFERROR(INDEX(凭证录入!I:I,$H811),"")</f>
        <v/>
      </c>
      <c r="C811" s="190" t="str">
        <f>IFERROR(VLOOKUP($B811,会计科目表!$A:$C,2,),"")</f>
        <v/>
      </c>
      <c r="D811" s="190" t="str">
        <f>IFERROR(VLOOKUP($B811,会计科目表!$A:$C,3,),"")</f>
        <v/>
      </c>
      <c r="E811" s="191">
        <f>IFERROR(INDEX(凭证录入!K:K,$H811),0)</f>
        <v>0</v>
      </c>
      <c r="F811" s="191">
        <f>IFERROR(INDEX(凭证录入!L:L,$H811),0)</f>
        <v>0</v>
      </c>
      <c r="G811" s="212" t="s">
        <v>491</v>
      </c>
      <c r="H811" s="192" t="str">
        <f t="shared" si="140"/>
        <v/>
      </c>
      <c r="I811" s="212"/>
    </row>
    <row r="812" spans="1:9" s="45" customFormat="1" ht="19.5" customHeight="1" thickBot="1">
      <c r="A812" s="189" t="str">
        <f>IFERROR(INDEX(凭证录入!H:H,$H812),"")</f>
        <v/>
      </c>
      <c r="B812" s="189" t="str">
        <f>IFERROR(INDEX(凭证录入!I:I,$H812),"")</f>
        <v/>
      </c>
      <c r="C812" s="190" t="str">
        <f>IFERROR(VLOOKUP($B812,会计科目表!$A:$C,2,),"")</f>
        <v/>
      </c>
      <c r="D812" s="190" t="str">
        <f>IFERROR(VLOOKUP($B812,会计科目表!$A:$C,3,),"")</f>
        <v/>
      </c>
      <c r="E812" s="191">
        <f>IFERROR(INDEX(凭证录入!K:K,$H812),0)</f>
        <v>0</v>
      </c>
      <c r="F812" s="191">
        <f>IFERROR(INDEX(凭证录入!L:L,$H812),0)</f>
        <v>0</v>
      </c>
      <c r="G812" s="212" t="e">
        <f>INDEX(凭证录入!$D:$D,$H809)</f>
        <v>#VALUE!</v>
      </c>
      <c r="H812" s="192" t="str">
        <f t="shared" si="140"/>
        <v/>
      </c>
      <c r="I812" s="212"/>
    </row>
    <row r="813" spans="1:9" s="45" customFormat="1" ht="19.5" customHeight="1" thickBot="1">
      <c r="A813" s="189" t="str">
        <f>IFERROR(INDEX(凭证录入!H:H,$H813),"")</f>
        <v/>
      </c>
      <c r="B813" s="189" t="str">
        <f>IFERROR(INDEX(凭证录入!I:I,$H813),"")</f>
        <v/>
      </c>
      <c r="C813" s="190" t="str">
        <f>IFERROR(VLOOKUP($B813,会计科目表!$A:$C,2,),"")</f>
        <v/>
      </c>
      <c r="D813" s="190" t="str">
        <f>IFERROR(VLOOKUP($B813,会计科目表!$A:$C,3,),"")</f>
        <v/>
      </c>
      <c r="E813" s="191">
        <f>IFERROR(INDEX(凭证录入!K:K,$H813),0)</f>
        <v>0</v>
      </c>
      <c r="F813" s="191">
        <f>IFERROR(INDEX(凭证录入!L:L,$H813),0)</f>
        <v>0</v>
      </c>
      <c r="G813" s="212" t="s">
        <v>492</v>
      </c>
      <c r="H813" s="192" t="str">
        <f t="shared" si="140"/>
        <v/>
      </c>
    </row>
    <row r="814" spans="1:9" s="45" customFormat="1" ht="19.5" customHeight="1" thickBot="1">
      <c r="A814" s="189" t="str">
        <f>IFERROR(INDEX(凭证录入!H:H,$H814),"")</f>
        <v/>
      </c>
      <c r="B814" s="189" t="str">
        <f>IFERROR(INDEX(凭证录入!I:I,$H814),"")</f>
        <v/>
      </c>
      <c r="C814" s="190" t="str">
        <f>IFERROR(VLOOKUP($B814,会计科目表!$A:$C,2,),"")</f>
        <v/>
      </c>
      <c r="D814" s="190" t="str">
        <f>IFERROR(VLOOKUP($B814,会计科目表!$A:$C,3,),"")</f>
        <v/>
      </c>
      <c r="E814" s="191">
        <f>IFERROR(INDEX(凭证录入!K:K,$H814),0)</f>
        <v>0</v>
      </c>
      <c r="F814" s="191">
        <f>IFERROR(INDEX(凭证录入!L:L,$H814),0)</f>
        <v>0</v>
      </c>
      <c r="G814" s="212"/>
      <c r="H814" s="192" t="str">
        <f t="shared" si="140"/>
        <v/>
      </c>
    </row>
    <row r="815" spans="1:9" s="45" customFormat="1" ht="19.5" customHeight="1" thickBot="1">
      <c r="A815" s="193"/>
      <c r="B815" s="194" t="s">
        <v>485</v>
      </c>
      <c r="C815" s="195" t="str">
        <f>SUBSTITUTE(SUBSTITUTE(IF(-DOLLAR(E815),IF(E815&gt;0,,"负")&amp;TEXT(INT(ABS(E815)+0.5%),"[dbnum2]G/通用格式元;;")&amp;TEXT(RIGHT(DOLLAR(E815),2),"[dbnum2]0角0分;;整"),),"零角",IF(E815^2&lt;1,,"零")),"零分","整")</f>
        <v/>
      </c>
      <c r="D815" s="196"/>
      <c r="E815" s="197">
        <f>SUM(E809:E814)</f>
        <v>0</v>
      </c>
      <c r="F815" s="197">
        <f>SUM(F809:F814)</f>
        <v>0</v>
      </c>
      <c r="G815" s="212"/>
      <c r="H815" s="192" t="str">
        <f t="shared" si="140"/>
        <v/>
      </c>
    </row>
    <row r="816" spans="1:9" s="199" customFormat="1" ht="19.5" customHeight="1">
      <c r="A816" s="45" t="s">
        <v>486</v>
      </c>
      <c r="B816" s="45" t="s">
        <v>487</v>
      </c>
      <c r="C816" s="45" t="s">
        <v>488</v>
      </c>
      <c r="D816" s="45" t="s">
        <v>504</v>
      </c>
      <c r="E816" s="45" t="s">
        <v>489</v>
      </c>
      <c r="F816" s="212" t="str">
        <f>IF($E815&lt;&gt;$F815,"借贷不平","")</f>
        <v/>
      </c>
      <c r="G816" s="183"/>
      <c r="H816" s="198" t="str">
        <f t="shared" si="140"/>
        <v/>
      </c>
    </row>
    <row r="817" spans="1:9" ht="37.5" customHeight="1">
      <c r="A817" s="177" t="s">
        <v>493</v>
      </c>
      <c r="B817" s="178"/>
      <c r="C817" s="179"/>
      <c r="D817" s="179"/>
      <c r="E817" s="178"/>
      <c r="F817" s="178"/>
      <c r="G817" s="212"/>
      <c r="H817" s="192" t="str">
        <f t="shared" si="140"/>
        <v/>
      </c>
    </row>
    <row r="818" spans="1:9" s="45" customFormat="1" ht="19.5" customHeight="1" thickBot="1">
      <c r="C818" s="180" t="e">
        <f>DATEVALUE("2010-"&amp;$H$1&amp;"-"&amp;INDEX(凭证录入!B:B,H821))</f>
        <v>#VALUE!</v>
      </c>
      <c r="D818" s="181"/>
      <c r="E818" s="182" t="s">
        <v>477</v>
      </c>
      <c r="F818" s="183" t="e">
        <f>N(LEFT((F806),3)+1)</f>
        <v>#VALUE!</v>
      </c>
      <c r="G818" s="212"/>
      <c r="H818" s="192" t="str">
        <f t="shared" si="140"/>
        <v/>
      </c>
      <c r="I818" s="184"/>
    </row>
    <row r="819" spans="1:9" s="45" customFormat="1" ht="19.5" customHeight="1" thickBot="1">
      <c r="A819" s="544" t="s">
        <v>494</v>
      </c>
      <c r="B819" s="545" t="s">
        <v>495</v>
      </c>
      <c r="C819" s="185" t="s">
        <v>496</v>
      </c>
      <c r="D819" s="186"/>
      <c r="E819" s="187"/>
      <c r="F819" s="482"/>
      <c r="G819" s="212"/>
      <c r="H819" s="192" t="str">
        <f t="shared" si="140"/>
        <v/>
      </c>
    </row>
    <row r="820" spans="1:9" s="45" customFormat="1" ht="19.5" customHeight="1" thickBot="1">
      <c r="A820" s="545"/>
      <c r="B820" s="546"/>
      <c r="C820" s="482" t="s">
        <v>497</v>
      </c>
      <c r="D820" s="482" t="s">
        <v>498</v>
      </c>
      <c r="E820" s="482" t="s">
        <v>499</v>
      </c>
      <c r="F820" s="482" t="s">
        <v>500</v>
      </c>
      <c r="G820" s="212"/>
      <c r="H820" s="192" t="str">
        <f t="shared" si="140"/>
        <v/>
      </c>
    </row>
    <row r="821" spans="1:9" s="45" customFormat="1" ht="19.5" customHeight="1" thickBot="1">
      <c r="A821" s="189" t="str">
        <f>IFERROR(INDEX(凭证录入!H:H,$H821),"")</f>
        <v/>
      </c>
      <c r="B821" s="189" t="str">
        <f>IFERROR(INDEX(凭证录入!I:I,$H821),"")</f>
        <v/>
      </c>
      <c r="C821" s="190" t="str">
        <f>IFERROR(VLOOKUP($B821,会计科目表!$A:$C,2,),"")</f>
        <v/>
      </c>
      <c r="D821" s="190" t="str">
        <f>IFERROR(VLOOKUP($B821,会计科目表!$A:$C,3,),"")</f>
        <v/>
      </c>
      <c r="E821" s="191">
        <f>IFERROR(INDEX(凭证录入!K:K,$H821),0)</f>
        <v>0</v>
      </c>
      <c r="F821" s="191">
        <f>IFERROR(INDEX(凭证录入!L:L,$H821),0)</f>
        <v>0</v>
      </c>
      <c r="G821" s="212"/>
      <c r="H821" s="192" t="str">
        <f t="shared" si="140"/>
        <v/>
      </c>
    </row>
    <row r="822" spans="1:9" s="45" customFormat="1" ht="19.5" customHeight="1" thickBot="1">
      <c r="A822" s="189" t="str">
        <f>IFERROR(INDEX(凭证录入!H:H,$H822),"")</f>
        <v/>
      </c>
      <c r="B822" s="189" t="str">
        <f>IFERROR(INDEX(凭证录入!I:I,$H822),"")</f>
        <v/>
      </c>
      <c r="C822" s="190" t="str">
        <f>IFERROR(VLOOKUP($B822,会计科目表!$A:$C,2,),"")</f>
        <v/>
      </c>
      <c r="D822" s="190" t="str">
        <f>IFERROR(VLOOKUP($B822,会计科目表!$A:$C,3,),"")</f>
        <v/>
      </c>
      <c r="E822" s="191">
        <f>IFERROR(INDEX(凭证录入!K:K,$H822),0)</f>
        <v>0</v>
      </c>
      <c r="F822" s="191">
        <f>IFERROR(INDEX(凭证录入!L:L,$H822),0)</f>
        <v>0</v>
      </c>
      <c r="G822" s="212" t="s">
        <v>490</v>
      </c>
      <c r="H822" s="192" t="str">
        <f t="shared" si="140"/>
        <v/>
      </c>
      <c r="I822" s="212"/>
    </row>
    <row r="823" spans="1:9" s="45" customFormat="1" ht="19.5" customHeight="1" thickBot="1">
      <c r="A823" s="189" t="str">
        <f>IFERROR(INDEX(凭证录入!H:H,$H823),"")</f>
        <v/>
      </c>
      <c r="B823" s="189" t="str">
        <f>IFERROR(INDEX(凭证录入!I:I,$H823),"")</f>
        <v/>
      </c>
      <c r="C823" s="190" t="str">
        <f>IFERROR(VLOOKUP($B823,会计科目表!$A:$C,2,),"")</f>
        <v/>
      </c>
      <c r="D823" s="190" t="str">
        <f>IFERROR(VLOOKUP($B823,会计科目表!$A:$C,3,),"")</f>
        <v/>
      </c>
      <c r="E823" s="191">
        <f>IFERROR(INDEX(凭证录入!K:K,$H823),0)</f>
        <v>0</v>
      </c>
      <c r="F823" s="191">
        <f>IFERROR(INDEX(凭证录入!L:L,$H823),0)</f>
        <v>0</v>
      </c>
      <c r="G823" s="212" t="s">
        <v>491</v>
      </c>
      <c r="H823" s="192" t="str">
        <f t="shared" si="140"/>
        <v/>
      </c>
      <c r="I823" s="212"/>
    </row>
    <row r="824" spans="1:9" s="45" customFormat="1" ht="19.5" customHeight="1" thickBot="1">
      <c r="A824" s="189" t="str">
        <f>IFERROR(INDEX(凭证录入!H:H,$H824),"")</f>
        <v/>
      </c>
      <c r="B824" s="189" t="str">
        <f>IFERROR(INDEX(凭证录入!I:I,$H824),"")</f>
        <v/>
      </c>
      <c r="C824" s="190" t="str">
        <f>IFERROR(VLOOKUP($B824,会计科目表!$A:$C,2,),"")</f>
        <v/>
      </c>
      <c r="D824" s="190" t="str">
        <f>IFERROR(VLOOKUP($B824,会计科目表!$A:$C,3,),"")</f>
        <v/>
      </c>
      <c r="E824" s="191">
        <f>IFERROR(INDEX(凭证录入!K:K,$H824),0)</f>
        <v>0</v>
      </c>
      <c r="F824" s="191">
        <f>IFERROR(INDEX(凭证录入!L:L,$H824),0)</f>
        <v>0</v>
      </c>
      <c r="G824" s="212" t="e">
        <f>INDEX(凭证录入!$D:$D,$H821)</f>
        <v>#VALUE!</v>
      </c>
      <c r="H824" s="192" t="str">
        <f t="shared" si="140"/>
        <v/>
      </c>
      <c r="I824" s="212"/>
    </row>
    <row r="825" spans="1:9" s="45" customFormat="1" ht="19.5" customHeight="1" thickBot="1">
      <c r="A825" s="189" t="str">
        <f>IFERROR(INDEX(凭证录入!H:H,$H825),"")</f>
        <v/>
      </c>
      <c r="B825" s="189" t="str">
        <f>IFERROR(INDEX(凭证录入!I:I,$H825),"")</f>
        <v/>
      </c>
      <c r="C825" s="190" t="str">
        <f>IFERROR(VLOOKUP($B825,会计科目表!$A:$C,2,),"")</f>
        <v/>
      </c>
      <c r="D825" s="190" t="str">
        <f>IFERROR(VLOOKUP($B825,会计科目表!$A:$C,3,),"")</f>
        <v/>
      </c>
      <c r="E825" s="191">
        <f>IFERROR(INDEX(凭证录入!K:K,$H825),0)</f>
        <v>0</v>
      </c>
      <c r="F825" s="191">
        <f>IFERROR(INDEX(凭证录入!L:L,$H825),0)</f>
        <v>0</v>
      </c>
      <c r="G825" s="212" t="s">
        <v>492</v>
      </c>
      <c r="H825" s="192" t="str">
        <f t="shared" si="140"/>
        <v/>
      </c>
    </row>
    <row r="826" spans="1:9" s="45" customFormat="1" ht="19.5" customHeight="1" thickBot="1">
      <c r="A826" s="189" t="str">
        <f>IFERROR(INDEX(凭证录入!H:H,$H826),"")</f>
        <v/>
      </c>
      <c r="B826" s="189" t="str">
        <f>IFERROR(INDEX(凭证录入!I:I,$H826),"")</f>
        <v/>
      </c>
      <c r="C826" s="190" t="str">
        <f>IFERROR(VLOOKUP($B826,会计科目表!$A:$C,2,),"")</f>
        <v/>
      </c>
      <c r="D826" s="190" t="str">
        <f>IFERROR(VLOOKUP($B826,会计科目表!$A:$C,3,),"")</f>
        <v/>
      </c>
      <c r="E826" s="191">
        <f>IFERROR(INDEX(凭证录入!K:K,$H826),0)</f>
        <v>0</v>
      </c>
      <c r="F826" s="191">
        <f>IFERROR(INDEX(凭证录入!L:L,$H826),0)</f>
        <v>0</v>
      </c>
      <c r="G826" s="212"/>
      <c r="H826" s="192" t="str">
        <f t="shared" si="140"/>
        <v/>
      </c>
    </row>
    <row r="827" spans="1:9" s="45" customFormat="1" ht="19.5" customHeight="1" thickBot="1">
      <c r="A827" s="193"/>
      <c r="B827" s="194" t="s">
        <v>485</v>
      </c>
      <c r="C827" s="195" t="str">
        <f>SUBSTITUTE(SUBSTITUTE(IF(-DOLLAR(E827),IF(E827&gt;0,,"负")&amp;TEXT(INT(ABS(E827)+0.5%),"[dbnum2]G/通用格式元;;")&amp;TEXT(RIGHT(DOLLAR(E827),2),"[dbnum2]0角0分;;整"),),"零角",IF(E827^2&lt;1,,"零")),"零分","整")</f>
        <v/>
      </c>
      <c r="D827" s="196"/>
      <c r="E827" s="197">
        <f>SUM(E821:E826)</f>
        <v>0</v>
      </c>
      <c r="F827" s="197">
        <f>SUM(F821:F826)</f>
        <v>0</v>
      </c>
      <c r="G827" s="212"/>
      <c r="H827" s="192" t="str">
        <f t="shared" si="140"/>
        <v/>
      </c>
    </row>
    <row r="828" spans="1:9" s="199" customFormat="1" ht="19.5" customHeight="1">
      <c r="A828" s="45" t="s">
        <v>486</v>
      </c>
      <c r="B828" s="45" t="s">
        <v>487</v>
      </c>
      <c r="C828" s="45" t="s">
        <v>488</v>
      </c>
      <c r="D828" s="45" t="s">
        <v>504</v>
      </c>
      <c r="E828" s="45" t="s">
        <v>489</v>
      </c>
      <c r="F828" s="212" t="str">
        <f>IF($E827&lt;&gt;$F827,"借贷不平","")</f>
        <v/>
      </c>
      <c r="G828" s="183"/>
      <c r="H828" s="198" t="str">
        <f t="shared" si="140"/>
        <v/>
      </c>
    </row>
    <row r="829" spans="1:9" ht="37.5" customHeight="1">
      <c r="A829" s="177" t="s">
        <v>493</v>
      </c>
      <c r="B829" s="178"/>
      <c r="C829" s="179"/>
      <c r="D829" s="179"/>
      <c r="E829" s="178"/>
      <c r="F829" s="178"/>
      <c r="G829" s="212"/>
      <c r="H829" s="192" t="str">
        <f t="shared" si="140"/>
        <v/>
      </c>
    </row>
    <row r="830" spans="1:9" s="45" customFormat="1" ht="19.5" customHeight="1" thickBot="1">
      <c r="C830" s="180" t="e">
        <f>DATEVALUE("2010-"&amp;$H$1&amp;"-"&amp;INDEX(凭证录入!B:B,H833))</f>
        <v>#VALUE!</v>
      </c>
      <c r="D830" s="181"/>
      <c r="E830" s="182" t="s">
        <v>477</v>
      </c>
      <c r="F830" s="183" t="e">
        <f>N(LEFT((F818),3)+1)</f>
        <v>#VALUE!</v>
      </c>
      <c r="G830" s="212"/>
      <c r="H830" s="192" t="str">
        <f t="shared" si="140"/>
        <v/>
      </c>
      <c r="I830" s="184"/>
    </row>
    <row r="831" spans="1:9" s="45" customFormat="1" ht="19.5" customHeight="1" thickBot="1">
      <c r="A831" s="544" t="s">
        <v>494</v>
      </c>
      <c r="B831" s="545" t="s">
        <v>495</v>
      </c>
      <c r="C831" s="185" t="s">
        <v>496</v>
      </c>
      <c r="D831" s="186"/>
      <c r="E831" s="187"/>
      <c r="F831" s="482"/>
      <c r="G831" s="212"/>
      <c r="H831" s="192" t="str">
        <f t="shared" si="140"/>
        <v/>
      </c>
    </row>
    <row r="832" spans="1:9" s="45" customFormat="1" ht="19.5" customHeight="1" thickBot="1">
      <c r="A832" s="545"/>
      <c r="B832" s="546"/>
      <c r="C832" s="482" t="s">
        <v>497</v>
      </c>
      <c r="D832" s="482" t="s">
        <v>498</v>
      </c>
      <c r="E832" s="482" t="s">
        <v>499</v>
      </c>
      <c r="F832" s="482" t="s">
        <v>500</v>
      </c>
      <c r="G832" s="212"/>
      <c r="H832" s="192" t="str">
        <f t="shared" si="140"/>
        <v/>
      </c>
    </row>
    <row r="833" spans="1:9" s="45" customFormat="1" ht="19.5" customHeight="1" thickBot="1">
      <c r="A833" s="189" t="str">
        <f>IFERROR(INDEX(凭证录入!H:H,$H833),"")</f>
        <v/>
      </c>
      <c r="B833" s="189" t="str">
        <f>IFERROR(INDEX(凭证录入!I:I,$H833),"")</f>
        <v/>
      </c>
      <c r="C833" s="190" t="str">
        <f>IFERROR(VLOOKUP($B833,会计科目表!$A:$C,2,),"")</f>
        <v/>
      </c>
      <c r="D833" s="190" t="str">
        <f>IFERROR(VLOOKUP($B833,会计科目表!$A:$C,3,),"")</f>
        <v/>
      </c>
      <c r="E833" s="191">
        <f>IFERROR(INDEX(凭证录入!K:K,$H833),0)</f>
        <v>0</v>
      </c>
      <c r="F833" s="191">
        <f>IFERROR(INDEX(凭证录入!L:L,$H833),0)</f>
        <v>0</v>
      </c>
      <c r="G833" s="212"/>
      <c r="H833" s="192" t="str">
        <f t="shared" si="140"/>
        <v/>
      </c>
    </row>
    <row r="834" spans="1:9" s="45" customFormat="1" ht="19.5" customHeight="1" thickBot="1">
      <c r="A834" s="189" t="str">
        <f>IFERROR(INDEX(凭证录入!H:H,$H834),"")</f>
        <v/>
      </c>
      <c r="B834" s="189" t="str">
        <f>IFERROR(INDEX(凭证录入!I:I,$H834),"")</f>
        <v/>
      </c>
      <c r="C834" s="190" t="str">
        <f>IFERROR(VLOOKUP($B834,会计科目表!$A:$C,2,),"")</f>
        <v/>
      </c>
      <c r="D834" s="190" t="str">
        <f>IFERROR(VLOOKUP($B834,会计科目表!$A:$C,3,),"")</f>
        <v/>
      </c>
      <c r="E834" s="191">
        <f>IFERROR(INDEX(凭证录入!K:K,$H834),0)</f>
        <v>0</v>
      </c>
      <c r="F834" s="191">
        <f>IFERROR(INDEX(凭证录入!L:L,$H834),0)</f>
        <v>0</v>
      </c>
      <c r="G834" s="212" t="s">
        <v>490</v>
      </c>
      <c r="H834" s="192" t="str">
        <f t="shared" si="140"/>
        <v/>
      </c>
      <c r="I834" s="212"/>
    </row>
    <row r="835" spans="1:9" s="45" customFormat="1" ht="19.5" customHeight="1" thickBot="1">
      <c r="A835" s="189" t="str">
        <f>IFERROR(INDEX(凭证录入!H:H,$H835),"")</f>
        <v/>
      </c>
      <c r="B835" s="189" t="str">
        <f>IFERROR(INDEX(凭证录入!I:I,$H835),"")</f>
        <v/>
      </c>
      <c r="C835" s="190" t="str">
        <f>IFERROR(VLOOKUP($B835,会计科目表!$A:$C,2,),"")</f>
        <v/>
      </c>
      <c r="D835" s="190" t="str">
        <f>IFERROR(VLOOKUP($B835,会计科目表!$A:$C,3,),"")</f>
        <v/>
      </c>
      <c r="E835" s="191">
        <f>IFERROR(INDEX(凭证录入!K:K,$H835),0)</f>
        <v>0</v>
      </c>
      <c r="F835" s="191">
        <f>IFERROR(INDEX(凭证录入!L:L,$H835),0)</f>
        <v>0</v>
      </c>
      <c r="G835" s="212" t="s">
        <v>491</v>
      </c>
      <c r="H835" s="192" t="str">
        <f t="shared" si="140"/>
        <v/>
      </c>
      <c r="I835" s="212"/>
    </row>
    <row r="836" spans="1:9" s="45" customFormat="1" ht="19.5" customHeight="1" thickBot="1">
      <c r="A836" s="189" t="str">
        <f>IFERROR(INDEX(凭证录入!H:H,$H836),"")</f>
        <v/>
      </c>
      <c r="B836" s="189" t="str">
        <f>IFERROR(INDEX(凭证录入!I:I,$H836),"")</f>
        <v/>
      </c>
      <c r="C836" s="190" t="str">
        <f>IFERROR(VLOOKUP($B836,会计科目表!$A:$C,2,),"")</f>
        <v/>
      </c>
      <c r="D836" s="190" t="str">
        <f>IFERROR(VLOOKUP($B836,会计科目表!$A:$C,3,),"")</f>
        <v/>
      </c>
      <c r="E836" s="191">
        <f>IFERROR(INDEX(凭证录入!K:K,$H836),0)</f>
        <v>0</v>
      </c>
      <c r="F836" s="191">
        <f>IFERROR(INDEX(凭证录入!L:L,$H836),0)</f>
        <v>0</v>
      </c>
      <c r="G836" s="212" t="e">
        <f>INDEX(凭证录入!$D:$D,$H833)</f>
        <v>#VALUE!</v>
      </c>
      <c r="H836" s="192" t="str">
        <f t="shared" si="140"/>
        <v/>
      </c>
      <c r="I836" s="212"/>
    </row>
    <row r="837" spans="1:9" s="45" customFormat="1" ht="19.5" customHeight="1" thickBot="1">
      <c r="A837" s="189" t="str">
        <f>IFERROR(INDEX(凭证录入!H:H,$H837),"")</f>
        <v/>
      </c>
      <c r="B837" s="189" t="str">
        <f>IFERROR(INDEX(凭证录入!I:I,$H837),"")</f>
        <v/>
      </c>
      <c r="C837" s="190" t="str">
        <f>IFERROR(VLOOKUP($B837,会计科目表!$A:$C,2,),"")</f>
        <v/>
      </c>
      <c r="D837" s="190" t="str">
        <f>IFERROR(VLOOKUP($B837,会计科目表!$A:$C,3,),"")</f>
        <v/>
      </c>
      <c r="E837" s="191">
        <f>IFERROR(INDEX(凭证录入!K:K,$H837),0)</f>
        <v>0</v>
      </c>
      <c r="F837" s="191">
        <f>IFERROR(INDEX(凭证录入!L:L,$H837),0)</f>
        <v>0</v>
      </c>
      <c r="G837" s="212" t="s">
        <v>492</v>
      </c>
      <c r="H837" s="192" t="str">
        <f t="shared" si="140"/>
        <v/>
      </c>
    </row>
    <row r="838" spans="1:9" s="45" customFormat="1" ht="19.5" customHeight="1" thickBot="1">
      <c r="A838" s="189" t="str">
        <f>IFERROR(INDEX(凭证录入!H:H,$H838),"")</f>
        <v/>
      </c>
      <c r="B838" s="189" t="str">
        <f>IFERROR(INDEX(凭证录入!I:I,$H838),"")</f>
        <v/>
      </c>
      <c r="C838" s="190" t="str">
        <f>IFERROR(VLOOKUP($B838,会计科目表!$A:$C,2,),"")</f>
        <v/>
      </c>
      <c r="D838" s="190" t="str">
        <f>IFERROR(VLOOKUP($B838,会计科目表!$A:$C,3,),"")</f>
        <v/>
      </c>
      <c r="E838" s="191">
        <f>IFERROR(INDEX(凭证录入!K:K,$H838),0)</f>
        <v>0</v>
      </c>
      <c r="F838" s="191">
        <f>IFERROR(INDEX(凭证录入!L:L,$H838),0)</f>
        <v>0</v>
      </c>
      <c r="G838" s="212"/>
      <c r="H838" s="192" t="str">
        <f t="shared" si="140"/>
        <v/>
      </c>
    </row>
    <row r="839" spans="1:9" s="45" customFormat="1" ht="19.5" customHeight="1" thickBot="1">
      <c r="A839" s="193"/>
      <c r="B839" s="194" t="s">
        <v>485</v>
      </c>
      <c r="C839" s="195" t="str">
        <f>SUBSTITUTE(SUBSTITUTE(IF(-DOLLAR(E839),IF(E839&gt;0,,"负")&amp;TEXT(INT(ABS(E839)+0.5%),"[dbnum2]G/通用格式元;;")&amp;TEXT(RIGHT(DOLLAR(E839),2),"[dbnum2]0角0分;;整"),),"零角",IF(E839^2&lt;1,,"零")),"零分","整")</f>
        <v/>
      </c>
      <c r="D839" s="196"/>
      <c r="E839" s="197">
        <f>SUM(E833:E838)</f>
        <v>0</v>
      </c>
      <c r="F839" s="197">
        <f>SUM(F833:F838)</f>
        <v>0</v>
      </c>
      <c r="G839" s="212"/>
      <c r="H839" s="192" t="str">
        <f t="shared" si="140"/>
        <v/>
      </c>
    </row>
    <row r="840" spans="1:9" s="199" customFormat="1" ht="19.5" customHeight="1">
      <c r="A840" s="45" t="s">
        <v>486</v>
      </c>
      <c r="B840" s="45" t="s">
        <v>487</v>
      </c>
      <c r="C840" s="45" t="s">
        <v>488</v>
      </c>
      <c r="D840" s="45" t="s">
        <v>504</v>
      </c>
      <c r="E840" s="45" t="s">
        <v>489</v>
      </c>
      <c r="F840" s="212" t="str">
        <f>IF($E839&lt;&gt;$F839,"借贷不平","")</f>
        <v/>
      </c>
      <c r="G840" s="183"/>
      <c r="H840" s="198" t="str">
        <f t="shared" si="140"/>
        <v/>
      </c>
    </row>
    <row r="841" spans="1:9" ht="37.5" customHeight="1">
      <c r="A841" s="177" t="s">
        <v>493</v>
      </c>
      <c r="B841" s="178"/>
      <c r="C841" s="179"/>
      <c r="D841" s="179"/>
      <c r="E841" s="178"/>
      <c r="F841" s="178"/>
      <c r="G841" s="212"/>
      <c r="H841" s="192" t="str">
        <f t="shared" si="140"/>
        <v/>
      </c>
    </row>
    <row r="842" spans="1:9" s="45" customFormat="1" ht="19.5" customHeight="1" thickBot="1">
      <c r="C842" s="180" t="e">
        <f>DATEVALUE("2010-"&amp;$H$1&amp;"-"&amp;INDEX(凭证录入!B:B,H845))</f>
        <v>#VALUE!</v>
      </c>
      <c r="D842" s="181"/>
      <c r="E842" s="182" t="s">
        <v>477</v>
      </c>
      <c r="F842" s="183" t="e">
        <f>N(LEFT((F830),3)+1)</f>
        <v>#VALUE!</v>
      </c>
      <c r="G842" s="212"/>
      <c r="H842" s="192" t="str">
        <f t="shared" si="140"/>
        <v/>
      </c>
      <c r="I842" s="184"/>
    </row>
    <row r="843" spans="1:9" s="45" customFormat="1" ht="19.5" customHeight="1" thickBot="1">
      <c r="A843" s="544" t="s">
        <v>494</v>
      </c>
      <c r="B843" s="545" t="s">
        <v>495</v>
      </c>
      <c r="C843" s="185" t="s">
        <v>496</v>
      </c>
      <c r="D843" s="186"/>
      <c r="E843" s="187"/>
      <c r="F843" s="482"/>
      <c r="G843" s="212"/>
      <c r="H843" s="192" t="str">
        <f t="shared" si="140"/>
        <v/>
      </c>
    </row>
    <row r="844" spans="1:9" s="45" customFormat="1" ht="19.5" customHeight="1" thickBot="1">
      <c r="A844" s="545"/>
      <c r="B844" s="546"/>
      <c r="C844" s="482" t="s">
        <v>497</v>
      </c>
      <c r="D844" s="482" t="s">
        <v>498</v>
      </c>
      <c r="E844" s="482" t="s">
        <v>499</v>
      </c>
      <c r="F844" s="482" t="s">
        <v>500</v>
      </c>
      <c r="G844" s="212"/>
      <c r="H844" s="192" t="str">
        <f t="shared" si="140"/>
        <v/>
      </c>
    </row>
    <row r="845" spans="1:9" s="45" customFormat="1" ht="19.5" customHeight="1" thickBot="1">
      <c r="A845" s="189" t="str">
        <f>IFERROR(INDEX(凭证录入!H:H,$H845),"")</f>
        <v/>
      </c>
      <c r="B845" s="189" t="str">
        <f>IFERROR(INDEX(凭证录入!I:I,$H845),"")</f>
        <v/>
      </c>
      <c r="C845" s="190" t="str">
        <f>IFERROR(VLOOKUP($B845,会计科目表!$A:$C,2,),"")</f>
        <v/>
      </c>
      <c r="D845" s="190" t="str">
        <f>IFERROR(VLOOKUP($B845,会计科目表!$A:$C,3,),"")</f>
        <v/>
      </c>
      <c r="E845" s="191">
        <f>IFERROR(INDEX(凭证录入!K:K,$H845),0)</f>
        <v>0</v>
      </c>
      <c r="F845" s="191">
        <f>IFERROR(INDEX(凭证录入!L:L,$H845),0)</f>
        <v>0</v>
      </c>
      <c r="G845" s="212"/>
      <c r="H845" s="192" t="str">
        <f t="shared" si="140"/>
        <v/>
      </c>
    </row>
    <row r="846" spans="1:9" s="45" customFormat="1" ht="19.5" customHeight="1" thickBot="1">
      <c r="A846" s="189" t="str">
        <f>IFERROR(INDEX(凭证录入!H:H,$H846),"")</f>
        <v/>
      </c>
      <c r="B846" s="189" t="str">
        <f>IFERROR(INDEX(凭证录入!I:I,$H846),"")</f>
        <v/>
      </c>
      <c r="C846" s="190" t="str">
        <f>IFERROR(VLOOKUP($B846,会计科目表!$A:$C,2,),"")</f>
        <v/>
      </c>
      <c r="D846" s="190" t="str">
        <f>IFERROR(VLOOKUP($B846,会计科目表!$A:$C,3,),"")</f>
        <v/>
      </c>
      <c r="E846" s="191">
        <f>IFERROR(INDEX(凭证录入!K:K,$H846),0)</f>
        <v>0</v>
      </c>
      <c r="F846" s="191">
        <f>IFERROR(INDEX(凭证录入!L:L,$H846),0)</f>
        <v>0</v>
      </c>
      <c r="G846" s="212" t="s">
        <v>490</v>
      </c>
      <c r="H846" s="192" t="str">
        <f t="shared" si="140"/>
        <v/>
      </c>
      <c r="I846" s="212"/>
    </row>
    <row r="847" spans="1:9" s="45" customFormat="1" ht="19.5" customHeight="1" thickBot="1">
      <c r="A847" s="189" t="str">
        <f>IFERROR(INDEX(凭证录入!H:H,$H847),"")</f>
        <v/>
      </c>
      <c r="B847" s="189" t="str">
        <f>IFERROR(INDEX(凭证录入!I:I,$H847),"")</f>
        <v/>
      </c>
      <c r="C847" s="190" t="str">
        <f>IFERROR(VLOOKUP($B847,会计科目表!$A:$C,2,),"")</f>
        <v/>
      </c>
      <c r="D847" s="190" t="str">
        <f>IFERROR(VLOOKUP($B847,会计科目表!$A:$C,3,),"")</f>
        <v/>
      </c>
      <c r="E847" s="191">
        <f>IFERROR(INDEX(凭证录入!K:K,$H847),0)</f>
        <v>0</v>
      </c>
      <c r="F847" s="191">
        <f>IFERROR(INDEX(凭证录入!L:L,$H847),0)</f>
        <v>0</v>
      </c>
      <c r="G847" s="212" t="s">
        <v>491</v>
      </c>
      <c r="H847" s="192" t="str">
        <f t="shared" si="140"/>
        <v/>
      </c>
      <c r="I847" s="212"/>
    </row>
    <row r="848" spans="1:9" s="45" customFormat="1" ht="19.5" customHeight="1" thickBot="1">
      <c r="A848" s="189" t="str">
        <f>IFERROR(INDEX(凭证录入!H:H,$H848),"")</f>
        <v/>
      </c>
      <c r="B848" s="189" t="str">
        <f>IFERROR(INDEX(凭证录入!I:I,$H848),"")</f>
        <v/>
      </c>
      <c r="C848" s="190" t="str">
        <f>IFERROR(VLOOKUP($B848,会计科目表!$A:$C,2,),"")</f>
        <v/>
      </c>
      <c r="D848" s="190" t="str">
        <f>IFERROR(VLOOKUP($B848,会计科目表!$A:$C,3,),"")</f>
        <v/>
      </c>
      <c r="E848" s="191">
        <f>IFERROR(INDEX(凭证录入!K:K,$H848),0)</f>
        <v>0</v>
      </c>
      <c r="F848" s="191">
        <f>IFERROR(INDEX(凭证录入!L:L,$H848),0)</f>
        <v>0</v>
      </c>
      <c r="G848" s="212" t="e">
        <f>INDEX(凭证录入!$D:$D,$H845)</f>
        <v>#VALUE!</v>
      </c>
      <c r="H848" s="192" t="str">
        <f t="shared" si="140"/>
        <v/>
      </c>
      <c r="I848" s="212"/>
    </row>
    <row r="849" spans="1:9" s="45" customFormat="1" ht="19.5" customHeight="1" thickBot="1">
      <c r="A849" s="189" t="str">
        <f>IFERROR(INDEX(凭证录入!H:H,$H849),"")</f>
        <v/>
      </c>
      <c r="B849" s="189" t="str">
        <f>IFERROR(INDEX(凭证录入!I:I,$H849),"")</f>
        <v/>
      </c>
      <c r="C849" s="190" t="str">
        <f>IFERROR(VLOOKUP($B849,会计科目表!$A:$C,2,),"")</f>
        <v/>
      </c>
      <c r="D849" s="190" t="str">
        <f>IFERROR(VLOOKUP($B849,会计科目表!$A:$C,3,),"")</f>
        <v/>
      </c>
      <c r="E849" s="191">
        <f>IFERROR(INDEX(凭证录入!K:K,$H849),0)</f>
        <v>0</v>
      </c>
      <c r="F849" s="191">
        <f>IFERROR(INDEX(凭证录入!L:L,$H849),0)</f>
        <v>0</v>
      </c>
      <c r="G849" s="212" t="s">
        <v>492</v>
      </c>
      <c r="H849" s="192" t="str">
        <f t="shared" si="140"/>
        <v/>
      </c>
    </row>
    <row r="850" spans="1:9" s="45" customFormat="1" ht="19.5" customHeight="1" thickBot="1">
      <c r="A850" s="189" t="str">
        <f>IFERROR(INDEX(凭证录入!H:H,$H850),"")</f>
        <v/>
      </c>
      <c r="B850" s="189" t="str">
        <f>IFERROR(INDEX(凭证录入!I:I,$H850),"")</f>
        <v/>
      </c>
      <c r="C850" s="190" t="str">
        <f>IFERROR(VLOOKUP($B850,会计科目表!$A:$C,2,),"")</f>
        <v/>
      </c>
      <c r="D850" s="190" t="str">
        <f>IFERROR(VLOOKUP($B850,会计科目表!$A:$C,3,),"")</f>
        <v/>
      </c>
      <c r="E850" s="191">
        <f>IFERROR(INDEX(凭证录入!K:K,$H850),0)</f>
        <v>0</v>
      </c>
      <c r="F850" s="191">
        <f>IFERROR(INDEX(凭证录入!L:L,$H850),0)</f>
        <v>0</v>
      </c>
      <c r="G850" s="212"/>
      <c r="H850" s="192" t="str">
        <f t="shared" si="140"/>
        <v/>
      </c>
    </row>
    <row r="851" spans="1:9" s="45" customFormat="1" ht="19.5" customHeight="1" thickBot="1">
      <c r="A851" s="193"/>
      <c r="B851" s="194" t="s">
        <v>485</v>
      </c>
      <c r="C851" s="195" t="str">
        <f>SUBSTITUTE(SUBSTITUTE(IF(-DOLLAR(E851),IF(E851&gt;0,,"负")&amp;TEXT(INT(ABS(E851)+0.5%),"[dbnum2]G/通用格式元;;")&amp;TEXT(RIGHT(DOLLAR(E851),2),"[dbnum2]0角0分;;整"),),"零角",IF(E851^2&lt;1,,"零")),"零分","整")</f>
        <v/>
      </c>
      <c r="D851" s="196"/>
      <c r="E851" s="197">
        <f>SUM(E845:E850)</f>
        <v>0</v>
      </c>
      <c r="F851" s="197">
        <f>SUM(F845:F850)</f>
        <v>0</v>
      </c>
      <c r="G851" s="212"/>
      <c r="H851" s="192" t="str">
        <f t="shared" si="140"/>
        <v/>
      </c>
    </row>
    <row r="852" spans="1:9" s="199" customFormat="1" ht="19.5" customHeight="1">
      <c r="A852" s="45" t="s">
        <v>486</v>
      </c>
      <c r="B852" s="45" t="s">
        <v>487</v>
      </c>
      <c r="C852" s="45" t="s">
        <v>488</v>
      </c>
      <c r="D852" s="45" t="s">
        <v>504</v>
      </c>
      <c r="E852" s="45" t="s">
        <v>489</v>
      </c>
      <c r="F852" s="212" t="str">
        <f>IF($E851&lt;&gt;$F851,"借贷不平","")</f>
        <v/>
      </c>
      <c r="G852" s="183"/>
      <c r="H852" s="198" t="str">
        <f t="shared" si="140"/>
        <v/>
      </c>
    </row>
    <row r="853" spans="1:9" ht="37.5" customHeight="1">
      <c r="A853" s="177" t="s">
        <v>493</v>
      </c>
      <c r="B853" s="178"/>
      <c r="C853" s="179"/>
      <c r="D853" s="179"/>
      <c r="E853" s="178"/>
      <c r="F853" s="178"/>
      <c r="G853" s="212"/>
      <c r="H853" s="192" t="str">
        <f t="shared" si="140"/>
        <v/>
      </c>
    </row>
    <row r="854" spans="1:9" s="45" customFormat="1" ht="19.5" customHeight="1" thickBot="1">
      <c r="C854" s="180" t="e">
        <f>DATEVALUE("2010-"&amp;$H$1&amp;"-"&amp;INDEX(凭证录入!B:B,H857))</f>
        <v>#VALUE!</v>
      </c>
      <c r="D854" s="181"/>
      <c r="E854" s="182" t="s">
        <v>477</v>
      </c>
      <c r="F854" s="183" t="e">
        <f>N(LEFT((F842),3)+1)</f>
        <v>#VALUE!</v>
      </c>
      <c r="G854" s="212"/>
      <c r="H854" s="192" t="str">
        <f t="shared" si="140"/>
        <v/>
      </c>
      <c r="I854" s="184"/>
    </row>
    <row r="855" spans="1:9" s="45" customFormat="1" ht="19.5" customHeight="1" thickBot="1">
      <c r="A855" s="544" t="s">
        <v>494</v>
      </c>
      <c r="B855" s="545" t="s">
        <v>495</v>
      </c>
      <c r="C855" s="185" t="s">
        <v>496</v>
      </c>
      <c r="D855" s="186"/>
      <c r="E855" s="187"/>
      <c r="F855" s="482"/>
      <c r="G855" s="212"/>
      <c r="H855" s="192" t="str">
        <f t="shared" si="140"/>
        <v/>
      </c>
    </row>
    <row r="856" spans="1:9" s="45" customFormat="1" ht="19.5" customHeight="1" thickBot="1">
      <c r="A856" s="545"/>
      <c r="B856" s="546"/>
      <c r="C856" s="482" t="s">
        <v>497</v>
      </c>
      <c r="D856" s="482" t="s">
        <v>498</v>
      </c>
      <c r="E856" s="482" t="s">
        <v>499</v>
      </c>
      <c r="F856" s="482" t="s">
        <v>500</v>
      </c>
      <c r="G856" s="212"/>
      <c r="H856" s="192" t="str">
        <f t="shared" si="140"/>
        <v/>
      </c>
    </row>
    <row r="857" spans="1:9" s="45" customFormat="1" ht="19.5" customHeight="1" thickBot="1">
      <c r="A857" s="189" t="str">
        <f>IFERROR(INDEX(凭证录入!H:H,$H857),"")</f>
        <v/>
      </c>
      <c r="B857" s="189" t="str">
        <f>IFERROR(INDEX(凭证录入!I:I,$H857),"")</f>
        <v/>
      </c>
      <c r="C857" s="190" t="str">
        <f>IFERROR(VLOOKUP($B857,会计科目表!$A:$C,2,),"")</f>
        <v/>
      </c>
      <c r="D857" s="190" t="str">
        <f>IFERROR(VLOOKUP($B857,会计科目表!$A:$C,3,),"")</f>
        <v/>
      </c>
      <c r="E857" s="191">
        <f>IFERROR(INDEX(凭证录入!K:K,$H857),0)</f>
        <v>0</v>
      </c>
      <c r="F857" s="191">
        <f>IFERROR(INDEX(凭证录入!L:L,$H857),0)</f>
        <v>0</v>
      </c>
      <c r="G857" s="212"/>
      <c r="H857" s="192" t="str">
        <f t="shared" si="140"/>
        <v/>
      </c>
    </row>
    <row r="858" spans="1:9" s="45" customFormat="1" ht="19.5" customHeight="1" thickBot="1">
      <c r="A858" s="189" t="str">
        <f>IFERROR(INDEX(凭证录入!H:H,$H858),"")</f>
        <v/>
      </c>
      <c r="B858" s="189" t="str">
        <f>IFERROR(INDEX(凭证录入!I:I,$H858),"")</f>
        <v/>
      </c>
      <c r="C858" s="190" t="str">
        <f>IFERROR(VLOOKUP($B858,会计科目表!$A:$C,2,),"")</f>
        <v/>
      </c>
      <c r="D858" s="190" t="str">
        <f>IFERROR(VLOOKUP($B858,会计科目表!$A:$C,3,),"")</f>
        <v/>
      </c>
      <c r="E858" s="191">
        <f>IFERROR(INDEX(凭证录入!K:K,$H858),0)</f>
        <v>0</v>
      </c>
      <c r="F858" s="191">
        <f>IFERROR(INDEX(凭证录入!L:L,$H858),0)</f>
        <v>0</v>
      </c>
      <c r="G858" s="212" t="s">
        <v>490</v>
      </c>
      <c r="H858" s="192" t="str">
        <f t="shared" si="140"/>
        <v/>
      </c>
      <c r="I858" s="212"/>
    </row>
    <row r="859" spans="1:9" s="45" customFormat="1" ht="19.5" customHeight="1" thickBot="1">
      <c r="A859" s="189" t="str">
        <f>IFERROR(INDEX(凭证录入!H:H,$H859),"")</f>
        <v/>
      </c>
      <c r="B859" s="189" t="str">
        <f>IFERROR(INDEX(凭证录入!I:I,$H859),"")</f>
        <v/>
      </c>
      <c r="C859" s="190" t="str">
        <f>IFERROR(VLOOKUP($B859,会计科目表!$A:$C,2,),"")</f>
        <v/>
      </c>
      <c r="D859" s="190" t="str">
        <f>IFERROR(VLOOKUP($B859,会计科目表!$A:$C,3,),"")</f>
        <v/>
      </c>
      <c r="E859" s="191">
        <f>IFERROR(INDEX(凭证录入!K:K,$H859),0)</f>
        <v>0</v>
      </c>
      <c r="F859" s="191">
        <f>IFERROR(INDEX(凭证录入!L:L,$H859),0)</f>
        <v>0</v>
      </c>
      <c r="G859" s="212" t="s">
        <v>491</v>
      </c>
      <c r="H859" s="192" t="str">
        <f t="shared" si="140"/>
        <v/>
      </c>
      <c r="I859" s="212"/>
    </row>
    <row r="860" spans="1:9" s="45" customFormat="1" ht="19.5" customHeight="1" thickBot="1">
      <c r="A860" s="189" t="str">
        <f>IFERROR(INDEX(凭证录入!H:H,$H860),"")</f>
        <v/>
      </c>
      <c r="B860" s="189" t="str">
        <f>IFERROR(INDEX(凭证录入!I:I,$H860),"")</f>
        <v/>
      </c>
      <c r="C860" s="190" t="str">
        <f>IFERROR(VLOOKUP($B860,会计科目表!$A:$C,2,),"")</f>
        <v/>
      </c>
      <c r="D860" s="190" t="str">
        <f>IFERROR(VLOOKUP($B860,会计科目表!$A:$C,3,),"")</f>
        <v/>
      </c>
      <c r="E860" s="191">
        <f>IFERROR(INDEX(凭证录入!K:K,$H860),0)</f>
        <v>0</v>
      </c>
      <c r="F860" s="191">
        <f>IFERROR(INDEX(凭证录入!L:L,$H860),0)</f>
        <v>0</v>
      </c>
      <c r="G860" s="212" t="e">
        <f>INDEX(凭证录入!$D:$D,$H857)</f>
        <v>#VALUE!</v>
      </c>
      <c r="H860" s="192" t="str">
        <f t="shared" si="140"/>
        <v/>
      </c>
      <c r="I860" s="212"/>
    </row>
    <row r="861" spans="1:9" s="45" customFormat="1" ht="19.5" customHeight="1" thickBot="1">
      <c r="A861" s="189" t="str">
        <f>IFERROR(INDEX(凭证录入!H:H,$H861),"")</f>
        <v/>
      </c>
      <c r="B861" s="189" t="str">
        <f>IFERROR(INDEX(凭证录入!I:I,$H861),"")</f>
        <v/>
      </c>
      <c r="C861" s="190" t="str">
        <f>IFERROR(VLOOKUP($B861,会计科目表!$A:$C,2,),"")</f>
        <v/>
      </c>
      <c r="D861" s="190" t="str">
        <f>IFERROR(VLOOKUP($B861,会计科目表!$A:$C,3,),"")</f>
        <v/>
      </c>
      <c r="E861" s="191">
        <f>IFERROR(INDEX(凭证录入!K:K,$H861),0)</f>
        <v>0</v>
      </c>
      <c r="F861" s="191">
        <f>IFERROR(INDEX(凭证录入!L:L,$H861),0)</f>
        <v>0</v>
      </c>
      <c r="G861" s="212" t="s">
        <v>492</v>
      </c>
      <c r="H861" s="192" t="str">
        <f t="shared" si="140"/>
        <v/>
      </c>
    </row>
    <row r="862" spans="1:9" s="45" customFormat="1" ht="19.5" customHeight="1" thickBot="1">
      <c r="A862" s="189" t="str">
        <f>IFERROR(INDEX(凭证录入!H:H,$H862),"")</f>
        <v/>
      </c>
      <c r="B862" s="189" t="str">
        <f>IFERROR(INDEX(凭证录入!I:I,$H862),"")</f>
        <v/>
      </c>
      <c r="C862" s="190" t="str">
        <f>IFERROR(VLOOKUP($B862,会计科目表!$A:$C,2,),"")</f>
        <v/>
      </c>
      <c r="D862" s="190" t="str">
        <f>IFERROR(VLOOKUP($B862,会计科目表!$A:$C,3,),"")</f>
        <v/>
      </c>
      <c r="E862" s="191">
        <f>IFERROR(INDEX(凭证录入!K:K,$H862),0)</f>
        <v>0</v>
      </c>
      <c r="F862" s="191">
        <f>IFERROR(INDEX(凭证录入!L:L,$H862),0)</f>
        <v>0</v>
      </c>
      <c r="G862" s="212"/>
      <c r="H862" s="192" t="str">
        <f t="shared" si="140"/>
        <v/>
      </c>
    </row>
    <row r="863" spans="1:9" s="45" customFormat="1" ht="19.5" customHeight="1" thickBot="1">
      <c r="A863" s="193"/>
      <c r="B863" s="194" t="s">
        <v>485</v>
      </c>
      <c r="C863" s="195" t="str">
        <f>SUBSTITUTE(SUBSTITUTE(IF(-DOLLAR(E863),IF(E863&gt;0,,"负")&amp;TEXT(INT(ABS(E863)+0.5%),"[dbnum2]G/通用格式元;;")&amp;TEXT(RIGHT(DOLLAR(E863),2),"[dbnum2]0角0分;;整"),),"零角",IF(E863^2&lt;1,,"零")),"零分","整")</f>
        <v/>
      </c>
      <c r="D863" s="196"/>
      <c r="E863" s="197">
        <f>SUM(E857:E862)</f>
        <v>0</v>
      </c>
      <c r="F863" s="197">
        <f>SUM(F857:F862)</f>
        <v>0</v>
      </c>
      <c r="G863" s="212"/>
      <c r="H863" s="192" t="str">
        <f t="shared" si="140"/>
        <v/>
      </c>
    </row>
    <row r="864" spans="1:9" s="199" customFormat="1" ht="19.5" customHeight="1">
      <c r="A864" s="45" t="s">
        <v>486</v>
      </c>
      <c r="B864" s="45" t="s">
        <v>487</v>
      </c>
      <c r="C864" s="45" t="s">
        <v>488</v>
      </c>
      <c r="D864" s="45" t="s">
        <v>504</v>
      </c>
      <c r="E864" s="45" t="s">
        <v>489</v>
      </c>
      <c r="F864" s="212" t="str">
        <f>IF($E863&lt;&gt;$F863,"借贷不平","")</f>
        <v/>
      </c>
      <c r="G864" s="183"/>
      <c r="H864" s="198" t="str">
        <f t="shared" si="140"/>
        <v/>
      </c>
    </row>
    <row r="865" spans="1:9" ht="37.5" customHeight="1">
      <c r="A865" s="177" t="s">
        <v>493</v>
      </c>
      <c r="B865" s="178"/>
      <c r="C865" s="179"/>
      <c r="D865" s="179"/>
      <c r="E865" s="178"/>
      <c r="F865" s="178"/>
      <c r="G865" s="212"/>
      <c r="H865" s="192" t="str">
        <f t="shared" si="140"/>
        <v/>
      </c>
    </row>
    <row r="866" spans="1:9" s="45" customFormat="1" ht="19.5" customHeight="1" thickBot="1">
      <c r="C866" s="180" t="e">
        <f>DATEVALUE("2010-"&amp;$H$1&amp;"-"&amp;INDEX(凭证录入!B:B,H869))</f>
        <v>#VALUE!</v>
      </c>
      <c r="D866" s="181"/>
      <c r="E866" s="182" t="s">
        <v>477</v>
      </c>
      <c r="F866" s="183" t="e">
        <f>N(LEFT((F854),3)+1)</f>
        <v>#VALUE!</v>
      </c>
      <c r="G866" s="212"/>
      <c r="H866" s="192" t="str">
        <f t="shared" si="140"/>
        <v/>
      </c>
      <c r="I866" s="184"/>
    </row>
    <row r="867" spans="1:9" s="45" customFormat="1" ht="19.5" customHeight="1" thickBot="1">
      <c r="A867" s="544" t="s">
        <v>494</v>
      </c>
      <c r="B867" s="545" t="s">
        <v>495</v>
      </c>
      <c r="C867" s="185" t="s">
        <v>496</v>
      </c>
      <c r="D867" s="186"/>
      <c r="E867" s="187"/>
      <c r="F867" s="482"/>
      <c r="G867" s="212"/>
      <c r="H867" s="192" t="str">
        <f t="shared" si="140"/>
        <v/>
      </c>
    </row>
    <row r="868" spans="1:9" s="45" customFormat="1" ht="19.5" customHeight="1" thickBot="1">
      <c r="A868" s="545"/>
      <c r="B868" s="546"/>
      <c r="C868" s="482" t="s">
        <v>497</v>
      </c>
      <c r="D868" s="482" t="s">
        <v>498</v>
      </c>
      <c r="E868" s="482" t="s">
        <v>499</v>
      </c>
      <c r="F868" s="482" t="s">
        <v>500</v>
      </c>
      <c r="G868" s="212"/>
      <c r="H868" s="192" t="str">
        <f t="shared" si="140"/>
        <v/>
      </c>
    </row>
    <row r="869" spans="1:9" s="45" customFormat="1" ht="19.5" customHeight="1" thickBot="1">
      <c r="A869" s="189" t="str">
        <f>IFERROR(INDEX(凭证录入!H:H,$H869),"")</f>
        <v/>
      </c>
      <c r="B869" s="189" t="str">
        <f>IFERROR(INDEX(凭证录入!I:I,$H869),"")</f>
        <v/>
      </c>
      <c r="C869" s="190" t="str">
        <f>IFERROR(VLOOKUP($B869,会计科目表!$A:$C,2,),"")</f>
        <v/>
      </c>
      <c r="D869" s="190" t="str">
        <f>IFERROR(VLOOKUP($B869,会计科目表!$A:$C,3,),"")</f>
        <v/>
      </c>
      <c r="E869" s="191">
        <f>IFERROR(INDEX(凭证录入!K:K,$H869),0)</f>
        <v>0</v>
      </c>
      <c r="F869" s="191">
        <f>IFERROR(INDEX(凭证录入!L:L,$H869),0)</f>
        <v>0</v>
      </c>
      <c r="G869" s="212"/>
      <c r="H869" s="192" t="str">
        <f t="shared" si="140"/>
        <v/>
      </c>
    </row>
    <row r="870" spans="1:9" s="45" customFormat="1" ht="19.5" customHeight="1" thickBot="1">
      <c r="A870" s="189" t="str">
        <f>IFERROR(INDEX(凭证录入!H:H,$H870),"")</f>
        <v/>
      </c>
      <c r="B870" s="189" t="str">
        <f>IFERROR(INDEX(凭证录入!I:I,$H870),"")</f>
        <v/>
      </c>
      <c r="C870" s="190" t="str">
        <f>IFERROR(VLOOKUP($B870,会计科目表!$A:$C,2,),"")</f>
        <v/>
      </c>
      <c r="D870" s="190" t="str">
        <f>IFERROR(VLOOKUP($B870,会计科目表!$A:$C,3,),"")</f>
        <v/>
      </c>
      <c r="E870" s="191">
        <f>IFERROR(INDEX(凭证录入!K:K,$H870),0)</f>
        <v>0</v>
      </c>
      <c r="F870" s="191">
        <f>IFERROR(INDEX(凭证录入!L:L,$H870),0)</f>
        <v>0</v>
      </c>
      <c r="G870" s="212" t="s">
        <v>490</v>
      </c>
      <c r="H870" s="192" t="str">
        <f t="shared" si="140"/>
        <v/>
      </c>
      <c r="I870" s="212"/>
    </row>
    <row r="871" spans="1:9" s="45" customFormat="1" ht="19.5" customHeight="1" thickBot="1">
      <c r="A871" s="189" t="str">
        <f>IFERROR(INDEX(凭证录入!H:H,$H871),"")</f>
        <v/>
      </c>
      <c r="B871" s="189" t="str">
        <f>IFERROR(INDEX(凭证录入!I:I,$H871),"")</f>
        <v/>
      </c>
      <c r="C871" s="190" t="str">
        <f>IFERROR(VLOOKUP($B871,会计科目表!$A:$C,2,),"")</f>
        <v/>
      </c>
      <c r="D871" s="190" t="str">
        <f>IFERROR(VLOOKUP($B871,会计科目表!$A:$C,3,),"")</f>
        <v/>
      </c>
      <c r="E871" s="191">
        <f>IFERROR(INDEX(凭证录入!K:K,$H871),0)</f>
        <v>0</v>
      </c>
      <c r="F871" s="191">
        <f>IFERROR(INDEX(凭证录入!L:L,$H871),0)</f>
        <v>0</v>
      </c>
      <c r="G871" s="212" t="s">
        <v>491</v>
      </c>
      <c r="H871" s="192" t="str">
        <f t="shared" si="140"/>
        <v/>
      </c>
      <c r="I871" s="212"/>
    </row>
    <row r="872" spans="1:9" s="45" customFormat="1" ht="19.5" customHeight="1" thickBot="1">
      <c r="A872" s="189" t="str">
        <f>IFERROR(INDEX(凭证录入!H:H,$H872),"")</f>
        <v/>
      </c>
      <c r="B872" s="189" t="str">
        <f>IFERROR(INDEX(凭证录入!I:I,$H872),"")</f>
        <v/>
      </c>
      <c r="C872" s="190" t="str">
        <f>IFERROR(VLOOKUP($B872,会计科目表!$A:$C,2,),"")</f>
        <v/>
      </c>
      <c r="D872" s="190" t="str">
        <f>IFERROR(VLOOKUP($B872,会计科目表!$A:$C,3,),"")</f>
        <v/>
      </c>
      <c r="E872" s="191">
        <f>IFERROR(INDEX(凭证录入!K:K,$H872),0)</f>
        <v>0</v>
      </c>
      <c r="F872" s="191">
        <f>IFERROR(INDEX(凭证录入!L:L,$H872),0)</f>
        <v>0</v>
      </c>
      <c r="G872" s="212" t="e">
        <f>INDEX(凭证录入!$D:$D,$H869)</f>
        <v>#VALUE!</v>
      </c>
      <c r="H872" s="192" t="str">
        <f t="shared" si="140"/>
        <v/>
      </c>
      <c r="I872" s="212"/>
    </row>
    <row r="873" spans="1:9" s="45" customFormat="1" ht="19.5" customHeight="1" thickBot="1">
      <c r="A873" s="189" t="str">
        <f>IFERROR(INDEX(凭证录入!H:H,$H873),"")</f>
        <v/>
      </c>
      <c r="B873" s="189" t="str">
        <f>IFERROR(INDEX(凭证录入!I:I,$H873),"")</f>
        <v/>
      </c>
      <c r="C873" s="190" t="str">
        <f>IFERROR(VLOOKUP($B873,会计科目表!$A:$C,2,),"")</f>
        <v/>
      </c>
      <c r="D873" s="190" t="str">
        <f>IFERROR(VLOOKUP($B873,会计科目表!$A:$C,3,),"")</f>
        <v/>
      </c>
      <c r="E873" s="191">
        <f>IFERROR(INDEX(凭证录入!K:K,$H873),0)</f>
        <v>0</v>
      </c>
      <c r="F873" s="191">
        <f>IFERROR(INDEX(凭证录入!L:L,$H873),0)</f>
        <v>0</v>
      </c>
      <c r="G873" s="212" t="s">
        <v>492</v>
      </c>
      <c r="H873" s="192" t="str">
        <f t="shared" ref="H873:H936" si="141">IFERROR(INDEX(行号,TEXT(MOD(ROW(),12)-4,"[=]A")),"")</f>
        <v/>
      </c>
    </row>
    <row r="874" spans="1:9" s="45" customFormat="1" ht="19.5" customHeight="1" thickBot="1">
      <c r="A874" s="189" t="str">
        <f>IFERROR(INDEX(凭证录入!H:H,$H874),"")</f>
        <v/>
      </c>
      <c r="B874" s="189" t="str">
        <f>IFERROR(INDEX(凭证录入!I:I,$H874),"")</f>
        <v/>
      </c>
      <c r="C874" s="190" t="str">
        <f>IFERROR(VLOOKUP($B874,会计科目表!$A:$C,2,),"")</f>
        <v/>
      </c>
      <c r="D874" s="190" t="str">
        <f>IFERROR(VLOOKUP($B874,会计科目表!$A:$C,3,),"")</f>
        <v/>
      </c>
      <c r="E874" s="191">
        <f>IFERROR(INDEX(凭证录入!K:K,$H874),0)</f>
        <v>0</v>
      </c>
      <c r="F874" s="191">
        <f>IFERROR(INDEX(凭证录入!L:L,$H874),0)</f>
        <v>0</v>
      </c>
      <c r="G874" s="212"/>
      <c r="H874" s="192" t="str">
        <f t="shared" si="141"/>
        <v/>
      </c>
    </row>
    <row r="875" spans="1:9" s="45" customFormat="1" ht="19.5" customHeight="1" thickBot="1">
      <c r="A875" s="193"/>
      <c r="B875" s="194" t="s">
        <v>485</v>
      </c>
      <c r="C875" s="195" t="str">
        <f>SUBSTITUTE(SUBSTITUTE(IF(-DOLLAR(E875),IF(E875&gt;0,,"负")&amp;TEXT(INT(ABS(E875)+0.5%),"[dbnum2]G/通用格式元;;")&amp;TEXT(RIGHT(DOLLAR(E875),2),"[dbnum2]0角0分;;整"),),"零角",IF(E875^2&lt;1,,"零")),"零分","整")</f>
        <v/>
      </c>
      <c r="D875" s="196"/>
      <c r="E875" s="197">
        <f>SUM(E869:E874)</f>
        <v>0</v>
      </c>
      <c r="F875" s="197">
        <f>SUM(F869:F874)</f>
        <v>0</v>
      </c>
      <c r="G875" s="212"/>
      <c r="H875" s="192" t="str">
        <f t="shared" si="141"/>
        <v/>
      </c>
    </row>
    <row r="876" spans="1:9" s="199" customFormat="1" ht="19.5" customHeight="1">
      <c r="A876" s="45" t="s">
        <v>486</v>
      </c>
      <c r="B876" s="45" t="s">
        <v>487</v>
      </c>
      <c r="C876" s="45" t="s">
        <v>488</v>
      </c>
      <c r="D876" s="45" t="s">
        <v>504</v>
      </c>
      <c r="E876" s="45" t="s">
        <v>489</v>
      </c>
      <c r="F876" s="212" t="str">
        <f>IF($E875&lt;&gt;$F875,"借贷不平","")</f>
        <v/>
      </c>
      <c r="G876" s="183"/>
      <c r="H876" s="198" t="str">
        <f t="shared" si="141"/>
        <v/>
      </c>
    </row>
    <row r="877" spans="1:9" ht="37.5" customHeight="1">
      <c r="A877" s="177" t="s">
        <v>493</v>
      </c>
      <c r="B877" s="178"/>
      <c r="C877" s="179"/>
      <c r="D877" s="179"/>
      <c r="E877" s="178"/>
      <c r="F877" s="178"/>
      <c r="G877" s="212"/>
      <c r="H877" s="192" t="str">
        <f t="shared" si="141"/>
        <v/>
      </c>
    </row>
    <row r="878" spans="1:9" s="45" customFormat="1" ht="19.5" customHeight="1" thickBot="1">
      <c r="C878" s="180" t="e">
        <f>DATEVALUE("2010-"&amp;$H$1&amp;"-"&amp;INDEX(凭证录入!B:B,H881))</f>
        <v>#VALUE!</v>
      </c>
      <c r="D878" s="181"/>
      <c r="E878" s="182" t="s">
        <v>477</v>
      </c>
      <c r="F878" s="183" t="e">
        <f>N(LEFT((F866),3)+1)</f>
        <v>#VALUE!</v>
      </c>
      <c r="G878" s="212"/>
      <c r="H878" s="192" t="str">
        <f t="shared" si="141"/>
        <v/>
      </c>
      <c r="I878" s="184"/>
    </row>
    <row r="879" spans="1:9" s="45" customFormat="1" ht="19.5" customHeight="1" thickBot="1">
      <c r="A879" s="544" t="s">
        <v>494</v>
      </c>
      <c r="B879" s="545" t="s">
        <v>495</v>
      </c>
      <c r="C879" s="185" t="s">
        <v>496</v>
      </c>
      <c r="D879" s="186"/>
      <c r="E879" s="187"/>
      <c r="F879" s="482"/>
      <c r="G879" s="212"/>
      <c r="H879" s="192" t="str">
        <f t="shared" si="141"/>
        <v/>
      </c>
    </row>
    <row r="880" spans="1:9" s="45" customFormat="1" ht="19.5" customHeight="1" thickBot="1">
      <c r="A880" s="545"/>
      <c r="B880" s="546"/>
      <c r="C880" s="482" t="s">
        <v>497</v>
      </c>
      <c r="D880" s="482" t="s">
        <v>498</v>
      </c>
      <c r="E880" s="482" t="s">
        <v>499</v>
      </c>
      <c r="F880" s="482" t="s">
        <v>500</v>
      </c>
      <c r="G880" s="212"/>
      <c r="H880" s="192" t="str">
        <f t="shared" si="141"/>
        <v/>
      </c>
    </row>
    <row r="881" spans="1:9" s="45" customFormat="1" ht="19.5" customHeight="1" thickBot="1">
      <c r="A881" s="189" t="str">
        <f>IFERROR(INDEX(凭证录入!H:H,$H881),"")</f>
        <v/>
      </c>
      <c r="B881" s="189" t="str">
        <f>IFERROR(INDEX(凭证录入!I:I,$H881),"")</f>
        <v/>
      </c>
      <c r="C881" s="190" t="str">
        <f>IFERROR(VLOOKUP($B881,会计科目表!$A:$C,2,),"")</f>
        <v/>
      </c>
      <c r="D881" s="190" t="str">
        <f>IFERROR(VLOOKUP($B881,会计科目表!$A:$C,3,),"")</f>
        <v/>
      </c>
      <c r="E881" s="191">
        <f>IFERROR(INDEX(凭证录入!K:K,$H881),0)</f>
        <v>0</v>
      </c>
      <c r="F881" s="191">
        <f>IFERROR(INDEX(凭证录入!L:L,$H881),0)</f>
        <v>0</v>
      </c>
      <c r="G881" s="212"/>
      <c r="H881" s="192" t="str">
        <f t="shared" si="141"/>
        <v/>
      </c>
    </row>
    <row r="882" spans="1:9" s="45" customFormat="1" ht="19.5" customHeight="1" thickBot="1">
      <c r="A882" s="189" t="str">
        <f>IFERROR(INDEX(凭证录入!H:H,$H882),"")</f>
        <v/>
      </c>
      <c r="B882" s="189" t="str">
        <f>IFERROR(INDEX(凭证录入!I:I,$H882),"")</f>
        <v/>
      </c>
      <c r="C882" s="190" t="str">
        <f>IFERROR(VLOOKUP($B882,会计科目表!$A:$C,2,),"")</f>
        <v/>
      </c>
      <c r="D882" s="190" t="str">
        <f>IFERROR(VLOOKUP($B882,会计科目表!$A:$C,3,),"")</f>
        <v/>
      </c>
      <c r="E882" s="191">
        <f>IFERROR(INDEX(凭证录入!K:K,$H882),0)</f>
        <v>0</v>
      </c>
      <c r="F882" s="191">
        <f>IFERROR(INDEX(凭证录入!L:L,$H882),0)</f>
        <v>0</v>
      </c>
      <c r="G882" s="212" t="s">
        <v>490</v>
      </c>
      <c r="H882" s="192" t="str">
        <f t="shared" si="141"/>
        <v/>
      </c>
      <c r="I882" s="212"/>
    </row>
    <row r="883" spans="1:9" s="45" customFormat="1" ht="19.5" customHeight="1" thickBot="1">
      <c r="A883" s="189" t="str">
        <f>IFERROR(INDEX(凭证录入!H:H,$H883),"")</f>
        <v/>
      </c>
      <c r="B883" s="189" t="str">
        <f>IFERROR(INDEX(凭证录入!I:I,$H883),"")</f>
        <v/>
      </c>
      <c r="C883" s="190" t="str">
        <f>IFERROR(VLOOKUP($B883,会计科目表!$A:$C,2,),"")</f>
        <v/>
      </c>
      <c r="D883" s="190" t="str">
        <f>IFERROR(VLOOKUP($B883,会计科目表!$A:$C,3,),"")</f>
        <v/>
      </c>
      <c r="E883" s="191">
        <f>IFERROR(INDEX(凭证录入!K:K,$H883),0)</f>
        <v>0</v>
      </c>
      <c r="F883" s="191">
        <f>IFERROR(INDEX(凭证录入!L:L,$H883),0)</f>
        <v>0</v>
      </c>
      <c r="G883" s="212" t="s">
        <v>491</v>
      </c>
      <c r="H883" s="192" t="str">
        <f t="shared" si="141"/>
        <v/>
      </c>
      <c r="I883" s="212"/>
    </row>
    <row r="884" spans="1:9" s="45" customFormat="1" ht="19.5" customHeight="1" thickBot="1">
      <c r="A884" s="189" t="str">
        <f>IFERROR(INDEX(凭证录入!H:H,$H884),"")</f>
        <v/>
      </c>
      <c r="B884" s="189" t="str">
        <f>IFERROR(INDEX(凭证录入!I:I,$H884),"")</f>
        <v/>
      </c>
      <c r="C884" s="190" t="str">
        <f>IFERROR(VLOOKUP($B884,会计科目表!$A:$C,2,),"")</f>
        <v/>
      </c>
      <c r="D884" s="190" t="str">
        <f>IFERROR(VLOOKUP($B884,会计科目表!$A:$C,3,),"")</f>
        <v/>
      </c>
      <c r="E884" s="191">
        <f>IFERROR(INDEX(凭证录入!K:K,$H884),0)</f>
        <v>0</v>
      </c>
      <c r="F884" s="191">
        <f>IFERROR(INDEX(凭证录入!L:L,$H884),0)</f>
        <v>0</v>
      </c>
      <c r="G884" s="212" t="e">
        <f>INDEX(凭证录入!$D:$D,$H881)</f>
        <v>#VALUE!</v>
      </c>
      <c r="H884" s="192" t="str">
        <f t="shared" si="141"/>
        <v/>
      </c>
      <c r="I884" s="212"/>
    </row>
    <row r="885" spans="1:9" s="45" customFormat="1" ht="19.5" customHeight="1" thickBot="1">
      <c r="A885" s="189" t="str">
        <f>IFERROR(INDEX(凭证录入!H:H,$H885),"")</f>
        <v/>
      </c>
      <c r="B885" s="189" t="str">
        <f>IFERROR(INDEX(凭证录入!I:I,$H885),"")</f>
        <v/>
      </c>
      <c r="C885" s="190" t="str">
        <f>IFERROR(VLOOKUP($B885,会计科目表!$A:$C,2,),"")</f>
        <v/>
      </c>
      <c r="D885" s="190" t="str">
        <f>IFERROR(VLOOKUP($B885,会计科目表!$A:$C,3,),"")</f>
        <v/>
      </c>
      <c r="E885" s="191">
        <f>IFERROR(INDEX(凭证录入!K:K,$H885),0)</f>
        <v>0</v>
      </c>
      <c r="F885" s="191">
        <f>IFERROR(INDEX(凭证录入!L:L,$H885),0)</f>
        <v>0</v>
      </c>
      <c r="G885" s="212" t="s">
        <v>492</v>
      </c>
      <c r="H885" s="192" t="str">
        <f t="shared" si="141"/>
        <v/>
      </c>
    </row>
    <row r="886" spans="1:9" s="45" customFormat="1" ht="19.5" customHeight="1" thickBot="1">
      <c r="A886" s="189" t="str">
        <f>IFERROR(INDEX(凭证录入!H:H,$H886),"")</f>
        <v/>
      </c>
      <c r="B886" s="189" t="str">
        <f>IFERROR(INDEX(凭证录入!I:I,$H886),"")</f>
        <v/>
      </c>
      <c r="C886" s="190" t="str">
        <f>IFERROR(VLOOKUP($B886,会计科目表!$A:$C,2,),"")</f>
        <v/>
      </c>
      <c r="D886" s="190" t="str">
        <f>IFERROR(VLOOKUP($B886,会计科目表!$A:$C,3,),"")</f>
        <v/>
      </c>
      <c r="E886" s="191">
        <f>IFERROR(INDEX(凭证录入!K:K,$H886),0)</f>
        <v>0</v>
      </c>
      <c r="F886" s="191">
        <f>IFERROR(INDEX(凭证录入!L:L,$H886),0)</f>
        <v>0</v>
      </c>
      <c r="G886" s="212"/>
      <c r="H886" s="192" t="str">
        <f t="shared" si="141"/>
        <v/>
      </c>
    </row>
    <row r="887" spans="1:9" s="45" customFormat="1" ht="19.5" customHeight="1" thickBot="1">
      <c r="A887" s="193"/>
      <c r="B887" s="194" t="s">
        <v>485</v>
      </c>
      <c r="C887" s="195" t="str">
        <f>SUBSTITUTE(SUBSTITUTE(IF(-DOLLAR(E887),IF(E887&gt;0,,"负")&amp;TEXT(INT(ABS(E887)+0.5%),"[dbnum2]G/通用格式元;;")&amp;TEXT(RIGHT(DOLLAR(E887),2),"[dbnum2]0角0分;;整"),),"零角",IF(E887^2&lt;1,,"零")),"零分","整")</f>
        <v/>
      </c>
      <c r="D887" s="196"/>
      <c r="E887" s="197">
        <f>SUM(E881:E886)</f>
        <v>0</v>
      </c>
      <c r="F887" s="197">
        <f>SUM(F881:F886)</f>
        <v>0</v>
      </c>
      <c r="G887" s="212"/>
      <c r="H887" s="192" t="str">
        <f t="shared" si="141"/>
        <v/>
      </c>
    </row>
    <row r="888" spans="1:9" s="199" customFormat="1" ht="19.5" customHeight="1">
      <c r="A888" s="45" t="s">
        <v>486</v>
      </c>
      <c r="B888" s="45" t="s">
        <v>487</v>
      </c>
      <c r="C888" s="45" t="s">
        <v>488</v>
      </c>
      <c r="D888" s="45" t="s">
        <v>504</v>
      </c>
      <c r="E888" s="45" t="s">
        <v>489</v>
      </c>
      <c r="F888" s="212" t="str">
        <f>IF($E887&lt;&gt;$F887,"借贷不平","")</f>
        <v/>
      </c>
      <c r="G888" s="183"/>
      <c r="H888" s="198" t="str">
        <f t="shared" si="141"/>
        <v/>
      </c>
    </row>
    <row r="889" spans="1:9" ht="37.5" customHeight="1">
      <c r="A889" s="177" t="s">
        <v>493</v>
      </c>
      <c r="B889" s="178"/>
      <c r="C889" s="179"/>
      <c r="D889" s="179"/>
      <c r="E889" s="178"/>
      <c r="F889" s="178"/>
      <c r="G889" s="212"/>
      <c r="H889" s="192" t="str">
        <f t="shared" si="141"/>
        <v/>
      </c>
    </row>
    <row r="890" spans="1:9" s="45" customFormat="1" ht="19.5" customHeight="1" thickBot="1">
      <c r="C890" s="180" t="e">
        <f>DATEVALUE("2010-"&amp;$H$1&amp;"-"&amp;INDEX(凭证录入!B:B,H893))</f>
        <v>#VALUE!</v>
      </c>
      <c r="D890" s="181"/>
      <c r="E890" s="182" t="s">
        <v>477</v>
      </c>
      <c r="F890" s="183" t="e">
        <f>N(LEFT((F878),3)+1)</f>
        <v>#VALUE!</v>
      </c>
      <c r="G890" s="212"/>
      <c r="H890" s="192" t="str">
        <f t="shared" si="141"/>
        <v/>
      </c>
      <c r="I890" s="184"/>
    </row>
    <row r="891" spans="1:9" s="45" customFormat="1" ht="19.5" customHeight="1" thickBot="1">
      <c r="A891" s="544" t="s">
        <v>494</v>
      </c>
      <c r="B891" s="545" t="s">
        <v>495</v>
      </c>
      <c r="C891" s="185" t="s">
        <v>496</v>
      </c>
      <c r="D891" s="186"/>
      <c r="E891" s="187"/>
      <c r="F891" s="482"/>
      <c r="G891" s="212"/>
      <c r="H891" s="192" t="str">
        <f t="shared" si="141"/>
        <v/>
      </c>
    </row>
    <row r="892" spans="1:9" s="45" customFormat="1" ht="19.5" customHeight="1" thickBot="1">
      <c r="A892" s="545"/>
      <c r="B892" s="546"/>
      <c r="C892" s="482" t="s">
        <v>497</v>
      </c>
      <c r="D892" s="482" t="s">
        <v>498</v>
      </c>
      <c r="E892" s="482" t="s">
        <v>499</v>
      </c>
      <c r="F892" s="482" t="s">
        <v>500</v>
      </c>
      <c r="G892" s="212"/>
      <c r="H892" s="192" t="str">
        <f t="shared" si="141"/>
        <v/>
      </c>
    </row>
    <row r="893" spans="1:9" s="45" customFormat="1" ht="19.5" customHeight="1" thickBot="1">
      <c r="A893" s="189" t="str">
        <f>IFERROR(INDEX(凭证录入!H:H,$H893),"")</f>
        <v/>
      </c>
      <c r="B893" s="189" t="str">
        <f>IFERROR(INDEX(凭证录入!I:I,$H893),"")</f>
        <v/>
      </c>
      <c r="C893" s="190" t="str">
        <f>IFERROR(VLOOKUP($B893,会计科目表!$A:$C,2,),"")</f>
        <v/>
      </c>
      <c r="D893" s="190" t="str">
        <f>IFERROR(VLOOKUP($B893,会计科目表!$A:$C,3,),"")</f>
        <v/>
      </c>
      <c r="E893" s="191">
        <f>IFERROR(INDEX(凭证录入!K:K,$H893),0)</f>
        <v>0</v>
      </c>
      <c r="F893" s="191">
        <f>IFERROR(INDEX(凭证录入!L:L,$H893),0)</f>
        <v>0</v>
      </c>
      <c r="G893" s="212"/>
      <c r="H893" s="192" t="str">
        <f t="shared" si="141"/>
        <v/>
      </c>
    </row>
    <row r="894" spans="1:9" s="45" customFormat="1" ht="19.5" customHeight="1" thickBot="1">
      <c r="A894" s="189" t="str">
        <f>IFERROR(INDEX(凭证录入!H:H,$H894),"")</f>
        <v/>
      </c>
      <c r="B894" s="189" t="str">
        <f>IFERROR(INDEX(凭证录入!I:I,$H894),"")</f>
        <v/>
      </c>
      <c r="C894" s="190" t="str">
        <f>IFERROR(VLOOKUP($B894,会计科目表!$A:$C,2,),"")</f>
        <v/>
      </c>
      <c r="D894" s="190" t="str">
        <f>IFERROR(VLOOKUP($B894,会计科目表!$A:$C,3,),"")</f>
        <v/>
      </c>
      <c r="E894" s="191">
        <f>IFERROR(INDEX(凭证录入!K:K,$H894),0)</f>
        <v>0</v>
      </c>
      <c r="F894" s="191">
        <f>IFERROR(INDEX(凭证录入!L:L,$H894),0)</f>
        <v>0</v>
      </c>
      <c r="G894" s="212" t="s">
        <v>490</v>
      </c>
      <c r="H894" s="192" t="str">
        <f t="shared" si="141"/>
        <v/>
      </c>
      <c r="I894" s="212"/>
    </row>
    <row r="895" spans="1:9" s="45" customFormat="1" ht="19.5" customHeight="1" thickBot="1">
      <c r="A895" s="189" t="str">
        <f>IFERROR(INDEX(凭证录入!H:H,$H895),"")</f>
        <v/>
      </c>
      <c r="B895" s="189" t="str">
        <f>IFERROR(INDEX(凭证录入!I:I,$H895),"")</f>
        <v/>
      </c>
      <c r="C895" s="190" t="str">
        <f>IFERROR(VLOOKUP($B895,会计科目表!$A:$C,2,),"")</f>
        <v/>
      </c>
      <c r="D895" s="190" t="str">
        <f>IFERROR(VLOOKUP($B895,会计科目表!$A:$C,3,),"")</f>
        <v/>
      </c>
      <c r="E895" s="191">
        <f>IFERROR(INDEX(凭证录入!K:K,$H895),0)</f>
        <v>0</v>
      </c>
      <c r="F895" s="191">
        <f>IFERROR(INDEX(凭证录入!L:L,$H895),0)</f>
        <v>0</v>
      </c>
      <c r="G895" s="212" t="s">
        <v>491</v>
      </c>
      <c r="H895" s="192" t="str">
        <f t="shared" si="141"/>
        <v/>
      </c>
      <c r="I895" s="212"/>
    </row>
    <row r="896" spans="1:9" s="45" customFormat="1" ht="19.5" customHeight="1" thickBot="1">
      <c r="A896" s="189" t="str">
        <f>IFERROR(INDEX(凭证录入!H:H,$H896),"")</f>
        <v/>
      </c>
      <c r="B896" s="189" t="str">
        <f>IFERROR(INDEX(凭证录入!I:I,$H896),"")</f>
        <v/>
      </c>
      <c r="C896" s="190" t="str">
        <f>IFERROR(VLOOKUP($B896,会计科目表!$A:$C,2,),"")</f>
        <v/>
      </c>
      <c r="D896" s="190" t="str">
        <f>IFERROR(VLOOKUP($B896,会计科目表!$A:$C,3,),"")</f>
        <v/>
      </c>
      <c r="E896" s="191">
        <f>IFERROR(INDEX(凭证录入!K:K,$H896),0)</f>
        <v>0</v>
      </c>
      <c r="F896" s="191">
        <f>IFERROR(INDEX(凭证录入!L:L,$H896),0)</f>
        <v>0</v>
      </c>
      <c r="G896" s="212" t="e">
        <f>INDEX(凭证录入!$D:$D,$H893)</f>
        <v>#VALUE!</v>
      </c>
      <c r="H896" s="192" t="str">
        <f t="shared" si="141"/>
        <v/>
      </c>
      <c r="I896" s="212"/>
    </row>
    <row r="897" spans="1:9" s="45" customFormat="1" ht="19.5" customHeight="1" thickBot="1">
      <c r="A897" s="189" t="str">
        <f>IFERROR(INDEX(凭证录入!H:H,$H897),"")</f>
        <v/>
      </c>
      <c r="B897" s="189" t="str">
        <f>IFERROR(INDEX(凭证录入!I:I,$H897),"")</f>
        <v/>
      </c>
      <c r="C897" s="190" t="str">
        <f>IFERROR(VLOOKUP($B897,会计科目表!$A:$C,2,),"")</f>
        <v/>
      </c>
      <c r="D897" s="190" t="str">
        <f>IFERROR(VLOOKUP($B897,会计科目表!$A:$C,3,),"")</f>
        <v/>
      </c>
      <c r="E897" s="191">
        <f>IFERROR(INDEX(凭证录入!K:K,$H897),0)</f>
        <v>0</v>
      </c>
      <c r="F897" s="191">
        <f>IFERROR(INDEX(凭证录入!L:L,$H897),0)</f>
        <v>0</v>
      </c>
      <c r="G897" s="212" t="s">
        <v>492</v>
      </c>
      <c r="H897" s="192" t="str">
        <f t="shared" si="141"/>
        <v/>
      </c>
    </row>
    <row r="898" spans="1:9" s="45" customFormat="1" ht="19.5" customHeight="1" thickBot="1">
      <c r="A898" s="189" t="str">
        <f>IFERROR(INDEX(凭证录入!H:H,$H898),"")</f>
        <v/>
      </c>
      <c r="B898" s="189" t="str">
        <f>IFERROR(INDEX(凭证录入!I:I,$H898),"")</f>
        <v/>
      </c>
      <c r="C898" s="190" t="str">
        <f>IFERROR(VLOOKUP($B898,会计科目表!$A:$C,2,),"")</f>
        <v/>
      </c>
      <c r="D898" s="190" t="str">
        <f>IFERROR(VLOOKUP($B898,会计科目表!$A:$C,3,),"")</f>
        <v/>
      </c>
      <c r="E898" s="191">
        <f>IFERROR(INDEX(凭证录入!K:K,$H898),0)</f>
        <v>0</v>
      </c>
      <c r="F898" s="191">
        <f>IFERROR(INDEX(凭证录入!L:L,$H898),0)</f>
        <v>0</v>
      </c>
      <c r="G898" s="212"/>
      <c r="H898" s="192" t="str">
        <f t="shared" si="141"/>
        <v/>
      </c>
    </row>
    <row r="899" spans="1:9" s="45" customFormat="1" ht="19.5" customHeight="1" thickBot="1">
      <c r="A899" s="193"/>
      <c r="B899" s="194" t="s">
        <v>485</v>
      </c>
      <c r="C899" s="195" t="str">
        <f>SUBSTITUTE(SUBSTITUTE(IF(-DOLLAR(E899),IF(E899&gt;0,,"负")&amp;TEXT(INT(ABS(E899)+0.5%),"[dbnum2]G/通用格式元;;")&amp;TEXT(RIGHT(DOLLAR(E899),2),"[dbnum2]0角0分;;整"),),"零角",IF(E899^2&lt;1,,"零")),"零分","整")</f>
        <v/>
      </c>
      <c r="D899" s="196"/>
      <c r="E899" s="197">
        <f>SUM(E893:E898)</f>
        <v>0</v>
      </c>
      <c r="F899" s="197">
        <f>SUM(F893:F898)</f>
        <v>0</v>
      </c>
      <c r="G899" s="212"/>
      <c r="H899" s="192" t="str">
        <f t="shared" si="141"/>
        <v/>
      </c>
    </row>
    <row r="900" spans="1:9" s="199" customFormat="1" ht="19.5" customHeight="1">
      <c r="A900" s="45" t="s">
        <v>486</v>
      </c>
      <c r="B900" s="45" t="s">
        <v>487</v>
      </c>
      <c r="C900" s="45" t="s">
        <v>488</v>
      </c>
      <c r="D900" s="45" t="s">
        <v>504</v>
      </c>
      <c r="E900" s="45" t="s">
        <v>489</v>
      </c>
      <c r="F900" s="212" t="str">
        <f>IF($E899&lt;&gt;$F899,"借贷不平","")</f>
        <v/>
      </c>
      <c r="G900" s="183"/>
      <c r="H900" s="198" t="str">
        <f t="shared" si="141"/>
        <v/>
      </c>
    </row>
    <row r="901" spans="1:9" ht="37.5" customHeight="1">
      <c r="A901" s="177" t="s">
        <v>493</v>
      </c>
      <c r="B901" s="178"/>
      <c r="C901" s="179"/>
      <c r="D901" s="179"/>
      <c r="E901" s="178"/>
      <c r="F901" s="178"/>
      <c r="G901" s="212"/>
      <c r="H901" s="192" t="str">
        <f t="shared" si="141"/>
        <v/>
      </c>
    </row>
    <row r="902" spans="1:9" s="45" customFormat="1" ht="19.5" customHeight="1" thickBot="1">
      <c r="C902" s="180" t="e">
        <f>DATEVALUE("2010-"&amp;$H$1&amp;"-"&amp;INDEX(凭证录入!B:B,H905))</f>
        <v>#VALUE!</v>
      </c>
      <c r="D902" s="181"/>
      <c r="E902" s="182" t="s">
        <v>477</v>
      </c>
      <c r="F902" s="183" t="e">
        <f>N(LEFT((F890),3)+1)</f>
        <v>#VALUE!</v>
      </c>
      <c r="G902" s="212"/>
      <c r="H902" s="192" t="str">
        <f t="shared" si="141"/>
        <v/>
      </c>
      <c r="I902" s="184"/>
    </row>
    <row r="903" spans="1:9" s="45" customFormat="1" ht="19.5" customHeight="1" thickBot="1">
      <c r="A903" s="544" t="s">
        <v>494</v>
      </c>
      <c r="B903" s="545" t="s">
        <v>495</v>
      </c>
      <c r="C903" s="185" t="s">
        <v>496</v>
      </c>
      <c r="D903" s="186"/>
      <c r="E903" s="187"/>
      <c r="F903" s="482"/>
      <c r="G903" s="212"/>
      <c r="H903" s="192" t="str">
        <f t="shared" si="141"/>
        <v/>
      </c>
    </row>
    <row r="904" spans="1:9" s="45" customFormat="1" ht="19.5" customHeight="1" thickBot="1">
      <c r="A904" s="545"/>
      <c r="B904" s="546"/>
      <c r="C904" s="482" t="s">
        <v>497</v>
      </c>
      <c r="D904" s="482" t="s">
        <v>498</v>
      </c>
      <c r="E904" s="482" t="s">
        <v>499</v>
      </c>
      <c r="F904" s="482" t="s">
        <v>500</v>
      </c>
      <c r="G904" s="212"/>
      <c r="H904" s="192" t="str">
        <f t="shared" si="141"/>
        <v/>
      </c>
    </row>
    <row r="905" spans="1:9" s="45" customFormat="1" ht="19.5" customHeight="1" thickBot="1">
      <c r="A905" s="189" t="str">
        <f>IFERROR(INDEX(凭证录入!H:H,$H905),"")</f>
        <v/>
      </c>
      <c r="B905" s="189" t="str">
        <f>IFERROR(INDEX(凭证录入!I:I,$H905),"")</f>
        <v/>
      </c>
      <c r="C905" s="190" t="str">
        <f>IFERROR(VLOOKUP($B905,会计科目表!$A:$C,2,),"")</f>
        <v/>
      </c>
      <c r="D905" s="190" t="str">
        <f>IFERROR(VLOOKUP($B905,会计科目表!$A:$C,3,),"")</f>
        <v/>
      </c>
      <c r="E905" s="191">
        <f>IFERROR(INDEX(凭证录入!K:K,$H905),0)</f>
        <v>0</v>
      </c>
      <c r="F905" s="191">
        <f>IFERROR(INDEX(凭证录入!L:L,$H905),0)</f>
        <v>0</v>
      </c>
      <c r="G905" s="212"/>
      <c r="H905" s="192" t="str">
        <f t="shared" si="141"/>
        <v/>
      </c>
    </row>
    <row r="906" spans="1:9" s="45" customFormat="1" ht="19.5" customHeight="1" thickBot="1">
      <c r="A906" s="189" t="str">
        <f>IFERROR(INDEX(凭证录入!H:H,$H906),"")</f>
        <v/>
      </c>
      <c r="B906" s="189" t="str">
        <f>IFERROR(INDEX(凭证录入!I:I,$H906),"")</f>
        <v/>
      </c>
      <c r="C906" s="190" t="str">
        <f>IFERROR(VLOOKUP($B906,会计科目表!$A:$C,2,),"")</f>
        <v/>
      </c>
      <c r="D906" s="190" t="str">
        <f>IFERROR(VLOOKUP($B906,会计科目表!$A:$C,3,),"")</f>
        <v/>
      </c>
      <c r="E906" s="191">
        <f>IFERROR(INDEX(凭证录入!K:K,$H906),0)</f>
        <v>0</v>
      </c>
      <c r="F906" s="191">
        <f>IFERROR(INDEX(凭证录入!L:L,$H906),0)</f>
        <v>0</v>
      </c>
      <c r="G906" s="212" t="s">
        <v>490</v>
      </c>
      <c r="H906" s="192" t="str">
        <f t="shared" si="141"/>
        <v/>
      </c>
      <c r="I906" s="212"/>
    </row>
    <row r="907" spans="1:9" s="45" customFormat="1" ht="19.5" customHeight="1" thickBot="1">
      <c r="A907" s="189" t="str">
        <f>IFERROR(INDEX(凭证录入!H:H,$H907),"")</f>
        <v/>
      </c>
      <c r="B907" s="189" t="str">
        <f>IFERROR(INDEX(凭证录入!I:I,$H907),"")</f>
        <v/>
      </c>
      <c r="C907" s="190" t="str">
        <f>IFERROR(VLOOKUP($B907,会计科目表!$A:$C,2,),"")</f>
        <v/>
      </c>
      <c r="D907" s="190" t="str">
        <f>IFERROR(VLOOKUP($B907,会计科目表!$A:$C,3,),"")</f>
        <v/>
      </c>
      <c r="E907" s="191">
        <f>IFERROR(INDEX(凭证录入!K:K,$H907),0)</f>
        <v>0</v>
      </c>
      <c r="F907" s="191">
        <f>IFERROR(INDEX(凭证录入!L:L,$H907),0)</f>
        <v>0</v>
      </c>
      <c r="G907" s="212" t="s">
        <v>491</v>
      </c>
      <c r="H907" s="192" t="str">
        <f t="shared" si="141"/>
        <v/>
      </c>
      <c r="I907" s="212"/>
    </row>
    <row r="908" spans="1:9" s="45" customFormat="1" ht="19.5" customHeight="1" thickBot="1">
      <c r="A908" s="189" t="str">
        <f>IFERROR(INDEX(凭证录入!H:H,$H908),"")</f>
        <v/>
      </c>
      <c r="B908" s="189" t="str">
        <f>IFERROR(INDEX(凭证录入!I:I,$H908),"")</f>
        <v/>
      </c>
      <c r="C908" s="190" t="str">
        <f>IFERROR(VLOOKUP($B908,会计科目表!$A:$C,2,),"")</f>
        <v/>
      </c>
      <c r="D908" s="190" t="str">
        <f>IFERROR(VLOOKUP($B908,会计科目表!$A:$C,3,),"")</f>
        <v/>
      </c>
      <c r="E908" s="191">
        <f>IFERROR(INDEX(凭证录入!K:K,$H908),0)</f>
        <v>0</v>
      </c>
      <c r="F908" s="191">
        <f>IFERROR(INDEX(凭证录入!L:L,$H908),0)</f>
        <v>0</v>
      </c>
      <c r="G908" s="212" t="e">
        <f>INDEX(凭证录入!$D:$D,$H905)</f>
        <v>#VALUE!</v>
      </c>
      <c r="H908" s="192" t="str">
        <f t="shared" si="141"/>
        <v/>
      </c>
      <c r="I908" s="212"/>
    </row>
    <row r="909" spans="1:9" s="45" customFormat="1" ht="19.5" customHeight="1" thickBot="1">
      <c r="A909" s="189" t="str">
        <f>IFERROR(INDEX(凭证录入!H:H,$H909),"")</f>
        <v/>
      </c>
      <c r="B909" s="189" t="str">
        <f>IFERROR(INDEX(凭证录入!I:I,$H909),"")</f>
        <v/>
      </c>
      <c r="C909" s="190" t="str">
        <f>IFERROR(VLOOKUP($B909,会计科目表!$A:$C,2,),"")</f>
        <v/>
      </c>
      <c r="D909" s="190" t="str">
        <f>IFERROR(VLOOKUP($B909,会计科目表!$A:$C,3,),"")</f>
        <v/>
      </c>
      <c r="E909" s="191">
        <f>IFERROR(INDEX(凭证录入!K:K,$H909),0)</f>
        <v>0</v>
      </c>
      <c r="F909" s="191">
        <f>IFERROR(INDEX(凭证录入!L:L,$H909),0)</f>
        <v>0</v>
      </c>
      <c r="G909" s="212" t="s">
        <v>492</v>
      </c>
      <c r="H909" s="192" t="str">
        <f t="shared" si="141"/>
        <v/>
      </c>
    </row>
    <row r="910" spans="1:9" s="45" customFormat="1" ht="19.5" customHeight="1" thickBot="1">
      <c r="A910" s="189" t="str">
        <f>IFERROR(INDEX(凭证录入!H:H,$H910),"")</f>
        <v/>
      </c>
      <c r="B910" s="189" t="str">
        <f>IFERROR(INDEX(凭证录入!I:I,$H910),"")</f>
        <v/>
      </c>
      <c r="C910" s="190" t="str">
        <f>IFERROR(VLOOKUP($B910,会计科目表!$A:$C,2,),"")</f>
        <v/>
      </c>
      <c r="D910" s="190" t="str">
        <f>IFERROR(VLOOKUP($B910,会计科目表!$A:$C,3,),"")</f>
        <v/>
      </c>
      <c r="E910" s="191">
        <f>IFERROR(INDEX(凭证录入!K:K,$H910),0)</f>
        <v>0</v>
      </c>
      <c r="F910" s="191">
        <f>IFERROR(INDEX(凭证录入!L:L,$H910),0)</f>
        <v>0</v>
      </c>
      <c r="G910" s="212"/>
      <c r="H910" s="192" t="str">
        <f t="shared" si="141"/>
        <v/>
      </c>
    </row>
    <row r="911" spans="1:9" s="45" customFormat="1" ht="19.5" customHeight="1" thickBot="1">
      <c r="A911" s="193"/>
      <c r="B911" s="194" t="s">
        <v>485</v>
      </c>
      <c r="C911" s="195" t="str">
        <f>SUBSTITUTE(SUBSTITUTE(IF(-DOLLAR(E911),IF(E911&gt;0,,"负")&amp;TEXT(INT(ABS(E911)+0.5%),"[dbnum2]G/通用格式元;;")&amp;TEXT(RIGHT(DOLLAR(E911),2),"[dbnum2]0角0分;;整"),),"零角",IF(E911^2&lt;1,,"零")),"零分","整")</f>
        <v/>
      </c>
      <c r="D911" s="196"/>
      <c r="E911" s="197">
        <f>SUM(E905:E910)</f>
        <v>0</v>
      </c>
      <c r="F911" s="197">
        <f>SUM(F905:F910)</f>
        <v>0</v>
      </c>
      <c r="G911" s="212"/>
      <c r="H911" s="192" t="str">
        <f t="shared" si="141"/>
        <v/>
      </c>
    </row>
    <row r="912" spans="1:9" s="199" customFormat="1" ht="19.5" customHeight="1">
      <c r="A912" s="45" t="s">
        <v>486</v>
      </c>
      <c r="B912" s="45" t="s">
        <v>487</v>
      </c>
      <c r="C912" s="45" t="s">
        <v>488</v>
      </c>
      <c r="D912" s="45" t="s">
        <v>504</v>
      </c>
      <c r="E912" s="45" t="s">
        <v>489</v>
      </c>
      <c r="F912" s="212" t="str">
        <f>IF($E911&lt;&gt;$F911,"借贷不平","")</f>
        <v/>
      </c>
      <c r="G912" s="183"/>
      <c r="H912" s="198" t="str">
        <f t="shared" si="141"/>
        <v/>
      </c>
    </row>
    <row r="913" spans="1:9" ht="37.5" customHeight="1">
      <c r="A913" s="177" t="s">
        <v>493</v>
      </c>
      <c r="B913" s="178"/>
      <c r="C913" s="179"/>
      <c r="D913" s="179"/>
      <c r="E913" s="178"/>
      <c r="F913" s="178"/>
      <c r="G913" s="212"/>
      <c r="H913" s="192" t="str">
        <f t="shared" si="141"/>
        <v/>
      </c>
    </row>
    <row r="914" spans="1:9" s="45" customFormat="1" ht="19.5" customHeight="1" thickBot="1">
      <c r="C914" s="180" t="e">
        <f>DATEVALUE("2010-"&amp;$H$1&amp;"-"&amp;INDEX(凭证录入!B:B,H917))</f>
        <v>#VALUE!</v>
      </c>
      <c r="D914" s="181"/>
      <c r="E914" s="182" t="s">
        <v>477</v>
      </c>
      <c r="F914" s="183" t="e">
        <f>N(LEFT((F902),3)+1)</f>
        <v>#VALUE!</v>
      </c>
      <c r="G914" s="212"/>
      <c r="H914" s="192" t="str">
        <f t="shared" si="141"/>
        <v/>
      </c>
      <c r="I914" s="184"/>
    </row>
    <row r="915" spans="1:9" s="45" customFormat="1" ht="19.5" customHeight="1" thickBot="1">
      <c r="A915" s="544" t="s">
        <v>494</v>
      </c>
      <c r="B915" s="545" t="s">
        <v>495</v>
      </c>
      <c r="C915" s="185" t="s">
        <v>496</v>
      </c>
      <c r="D915" s="186"/>
      <c r="E915" s="187"/>
      <c r="F915" s="482"/>
      <c r="G915" s="212"/>
      <c r="H915" s="192" t="str">
        <f t="shared" si="141"/>
        <v/>
      </c>
    </row>
    <row r="916" spans="1:9" s="45" customFormat="1" ht="19.5" customHeight="1" thickBot="1">
      <c r="A916" s="545"/>
      <c r="B916" s="546"/>
      <c r="C916" s="482" t="s">
        <v>497</v>
      </c>
      <c r="D916" s="482" t="s">
        <v>498</v>
      </c>
      <c r="E916" s="482" t="s">
        <v>499</v>
      </c>
      <c r="F916" s="482" t="s">
        <v>500</v>
      </c>
      <c r="G916" s="212"/>
      <c r="H916" s="192" t="str">
        <f t="shared" si="141"/>
        <v/>
      </c>
    </row>
    <row r="917" spans="1:9" s="45" customFormat="1" ht="19.5" customHeight="1" thickBot="1">
      <c r="A917" s="189" t="str">
        <f>IFERROR(INDEX(凭证录入!H:H,$H917),"")</f>
        <v/>
      </c>
      <c r="B917" s="189" t="str">
        <f>IFERROR(INDEX(凭证录入!I:I,$H917),"")</f>
        <v/>
      </c>
      <c r="C917" s="190" t="str">
        <f>IFERROR(VLOOKUP($B917,会计科目表!$A:$C,2,),"")</f>
        <v/>
      </c>
      <c r="D917" s="190" t="str">
        <f>IFERROR(VLOOKUP($B917,会计科目表!$A:$C,3,),"")</f>
        <v/>
      </c>
      <c r="E917" s="191">
        <f>IFERROR(INDEX(凭证录入!K:K,$H917),0)</f>
        <v>0</v>
      </c>
      <c r="F917" s="191">
        <f>IFERROR(INDEX(凭证录入!L:L,$H917),0)</f>
        <v>0</v>
      </c>
      <c r="G917" s="212"/>
      <c r="H917" s="192" t="str">
        <f t="shared" si="141"/>
        <v/>
      </c>
    </row>
    <row r="918" spans="1:9" s="45" customFormat="1" ht="19.5" customHeight="1" thickBot="1">
      <c r="A918" s="189" t="str">
        <f>IFERROR(INDEX(凭证录入!H:H,$H918),"")</f>
        <v/>
      </c>
      <c r="B918" s="189" t="str">
        <f>IFERROR(INDEX(凭证录入!I:I,$H918),"")</f>
        <v/>
      </c>
      <c r="C918" s="190" t="str">
        <f>IFERROR(VLOOKUP($B918,会计科目表!$A:$C,2,),"")</f>
        <v/>
      </c>
      <c r="D918" s="190" t="str">
        <f>IFERROR(VLOOKUP($B918,会计科目表!$A:$C,3,),"")</f>
        <v/>
      </c>
      <c r="E918" s="191">
        <f>IFERROR(INDEX(凭证录入!K:K,$H918),0)</f>
        <v>0</v>
      </c>
      <c r="F918" s="191">
        <f>IFERROR(INDEX(凭证录入!L:L,$H918),0)</f>
        <v>0</v>
      </c>
      <c r="G918" s="212" t="s">
        <v>490</v>
      </c>
      <c r="H918" s="192" t="str">
        <f t="shared" si="141"/>
        <v/>
      </c>
      <c r="I918" s="212"/>
    </row>
    <row r="919" spans="1:9" s="45" customFormat="1" ht="19.5" customHeight="1" thickBot="1">
      <c r="A919" s="189" t="str">
        <f>IFERROR(INDEX(凭证录入!H:H,$H919),"")</f>
        <v/>
      </c>
      <c r="B919" s="189" t="str">
        <f>IFERROR(INDEX(凭证录入!I:I,$H919),"")</f>
        <v/>
      </c>
      <c r="C919" s="190" t="str">
        <f>IFERROR(VLOOKUP($B919,会计科目表!$A:$C,2,),"")</f>
        <v/>
      </c>
      <c r="D919" s="190" t="str">
        <f>IFERROR(VLOOKUP($B919,会计科目表!$A:$C,3,),"")</f>
        <v/>
      </c>
      <c r="E919" s="191">
        <f>IFERROR(INDEX(凭证录入!K:K,$H919),0)</f>
        <v>0</v>
      </c>
      <c r="F919" s="191">
        <f>IFERROR(INDEX(凭证录入!L:L,$H919),0)</f>
        <v>0</v>
      </c>
      <c r="G919" s="212" t="s">
        <v>491</v>
      </c>
      <c r="H919" s="192" t="str">
        <f t="shared" si="141"/>
        <v/>
      </c>
      <c r="I919" s="212"/>
    </row>
    <row r="920" spans="1:9" s="45" customFormat="1" ht="19.5" customHeight="1" thickBot="1">
      <c r="A920" s="189" t="str">
        <f>IFERROR(INDEX(凭证录入!H:H,$H920),"")</f>
        <v/>
      </c>
      <c r="B920" s="189" t="str">
        <f>IFERROR(INDEX(凭证录入!I:I,$H920),"")</f>
        <v/>
      </c>
      <c r="C920" s="190" t="str">
        <f>IFERROR(VLOOKUP($B920,会计科目表!$A:$C,2,),"")</f>
        <v/>
      </c>
      <c r="D920" s="190" t="str">
        <f>IFERROR(VLOOKUP($B920,会计科目表!$A:$C,3,),"")</f>
        <v/>
      </c>
      <c r="E920" s="191">
        <f>IFERROR(INDEX(凭证录入!K:K,$H920),0)</f>
        <v>0</v>
      </c>
      <c r="F920" s="191">
        <f>IFERROR(INDEX(凭证录入!L:L,$H920),0)</f>
        <v>0</v>
      </c>
      <c r="G920" s="212" t="e">
        <f>INDEX(凭证录入!$D:$D,$H917)</f>
        <v>#VALUE!</v>
      </c>
      <c r="H920" s="192" t="str">
        <f t="shared" si="141"/>
        <v/>
      </c>
      <c r="I920" s="212"/>
    </row>
    <row r="921" spans="1:9" s="45" customFormat="1" ht="19.5" customHeight="1" thickBot="1">
      <c r="A921" s="189" t="str">
        <f>IFERROR(INDEX(凭证录入!H:H,$H921),"")</f>
        <v/>
      </c>
      <c r="B921" s="189" t="str">
        <f>IFERROR(INDEX(凭证录入!I:I,$H921),"")</f>
        <v/>
      </c>
      <c r="C921" s="190" t="str">
        <f>IFERROR(VLOOKUP($B921,会计科目表!$A:$C,2,),"")</f>
        <v/>
      </c>
      <c r="D921" s="190" t="str">
        <f>IFERROR(VLOOKUP($B921,会计科目表!$A:$C,3,),"")</f>
        <v/>
      </c>
      <c r="E921" s="191">
        <f>IFERROR(INDEX(凭证录入!K:K,$H921),0)</f>
        <v>0</v>
      </c>
      <c r="F921" s="191">
        <f>IFERROR(INDEX(凭证录入!L:L,$H921),0)</f>
        <v>0</v>
      </c>
      <c r="G921" s="212" t="s">
        <v>492</v>
      </c>
      <c r="H921" s="192" t="str">
        <f t="shared" si="141"/>
        <v/>
      </c>
    </row>
    <row r="922" spans="1:9" s="45" customFormat="1" ht="19.5" customHeight="1" thickBot="1">
      <c r="A922" s="189" t="str">
        <f>IFERROR(INDEX(凭证录入!H:H,$H922),"")</f>
        <v/>
      </c>
      <c r="B922" s="189" t="str">
        <f>IFERROR(INDEX(凭证录入!I:I,$H922),"")</f>
        <v/>
      </c>
      <c r="C922" s="190" t="str">
        <f>IFERROR(VLOOKUP($B922,会计科目表!$A:$C,2,),"")</f>
        <v/>
      </c>
      <c r="D922" s="190" t="str">
        <f>IFERROR(VLOOKUP($B922,会计科目表!$A:$C,3,),"")</f>
        <v/>
      </c>
      <c r="E922" s="191">
        <f>IFERROR(INDEX(凭证录入!K:K,$H922),0)</f>
        <v>0</v>
      </c>
      <c r="F922" s="191">
        <f>IFERROR(INDEX(凭证录入!L:L,$H922),0)</f>
        <v>0</v>
      </c>
      <c r="G922" s="212"/>
      <c r="H922" s="192" t="str">
        <f t="shared" si="141"/>
        <v/>
      </c>
    </row>
    <row r="923" spans="1:9" s="45" customFormat="1" ht="19.5" customHeight="1" thickBot="1">
      <c r="A923" s="193"/>
      <c r="B923" s="194" t="s">
        <v>485</v>
      </c>
      <c r="C923" s="195" t="str">
        <f>SUBSTITUTE(SUBSTITUTE(IF(-DOLLAR(E923),IF(E923&gt;0,,"负")&amp;TEXT(INT(ABS(E923)+0.5%),"[dbnum2]G/通用格式元;;")&amp;TEXT(RIGHT(DOLLAR(E923),2),"[dbnum2]0角0分;;整"),),"零角",IF(E923^2&lt;1,,"零")),"零分","整")</f>
        <v/>
      </c>
      <c r="D923" s="196"/>
      <c r="E923" s="197">
        <f>SUM(E917:E922)</f>
        <v>0</v>
      </c>
      <c r="F923" s="197">
        <f>SUM(F917:F922)</f>
        <v>0</v>
      </c>
      <c r="G923" s="212"/>
      <c r="H923" s="192" t="str">
        <f t="shared" si="141"/>
        <v/>
      </c>
    </row>
    <row r="924" spans="1:9" s="199" customFormat="1" ht="19.5" customHeight="1">
      <c r="A924" s="45" t="s">
        <v>486</v>
      </c>
      <c r="B924" s="45" t="s">
        <v>487</v>
      </c>
      <c r="C924" s="45" t="s">
        <v>488</v>
      </c>
      <c r="D924" s="45" t="s">
        <v>504</v>
      </c>
      <c r="E924" s="45" t="s">
        <v>489</v>
      </c>
      <c r="F924" s="212" t="str">
        <f>IF($E923&lt;&gt;$F923,"借贷不平","")</f>
        <v/>
      </c>
      <c r="G924" s="183"/>
      <c r="H924" s="198" t="str">
        <f t="shared" si="141"/>
        <v/>
      </c>
    </row>
    <row r="925" spans="1:9" ht="37.5" customHeight="1">
      <c r="A925" s="177" t="s">
        <v>493</v>
      </c>
      <c r="B925" s="178"/>
      <c r="C925" s="179"/>
      <c r="D925" s="179"/>
      <c r="E925" s="178"/>
      <c r="F925" s="178"/>
      <c r="G925" s="212"/>
      <c r="H925" s="192" t="str">
        <f t="shared" si="141"/>
        <v/>
      </c>
    </row>
    <row r="926" spans="1:9" s="45" customFormat="1" ht="19.5" customHeight="1" thickBot="1">
      <c r="C926" s="180" t="e">
        <f>DATEVALUE("2010-"&amp;$H$1&amp;"-"&amp;INDEX(凭证录入!B:B,H929))</f>
        <v>#VALUE!</v>
      </c>
      <c r="D926" s="181"/>
      <c r="E926" s="182" t="s">
        <v>477</v>
      </c>
      <c r="F926" s="183" t="e">
        <f>N(LEFT((F914),3)+1)</f>
        <v>#VALUE!</v>
      </c>
      <c r="G926" s="212"/>
      <c r="H926" s="192" t="str">
        <f t="shared" si="141"/>
        <v/>
      </c>
      <c r="I926" s="184"/>
    </row>
    <row r="927" spans="1:9" s="45" customFormat="1" ht="19.5" customHeight="1" thickBot="1">
      <c r="A927" s="544" t="s">
        <v>494</v>
      </c>
      <c r="B927" s="545" t="s">
        <v>495</v>
      </c>
      <c r="C927" s="185" t="s">
        <v>496</v>
      </c>
      <c r="D927" s="186"/>
      <c r="E927" s="187"/>
      <c r="F927" s="482"/>
      <c r="G927" s="212"/>
      <c r="H927" s="192" t="str">
        <f t="shared" si="141"/>
        <v/>
      </c>
    </row>
    <row r="928" spans="1:9" s="45" customFormat="1" ht="19.5" customHeight="1" thickBot="1">
      <c r="A928" s="545"/>
      <c r="B928" s="546"/>
      <c r="C928" s="482" t="s">
        <v>497</v>
      </c>
      <c r="D928" s="482" t="s">
        <v>498</v>
      </c>
      <c r="E928" s="482" t="s">
        <v>499</v>
      </c>
      <c r="F928" s="482" t="s">
        <v>500</v>
      </c>
      <c r="G928" s="212"/>
      <c r="H928" s="192" t="str">
        <f t="shared" si="141"/>
        <v/>
      </c>
    </row>
    <row r="929" spans="1:9" s="45" customFormat="1" ht="19.5" customHeight="1" thickBot="1">
      <c r="A929" s="189" t="str">
        <f>IFERROR(INDEX(凭证录入!H:H,$H929),"")</f>
        <v/>
      </c>
      <c r="B929" s="189" t="str">
        <f>IFERROR(INDEX(凭证录入!I:I,$H929),"")</f>
        <v/>
      </c>
      <c r="C929" s="190" t="str">
        <f>IFERROR(VLOOKUP($B929,会计科目表!$A:$C,2,),"")</f>
        <v/>
      </c>
      <c r="D929" s="190" t="str">
        <f>IFERROR(VLOOKUP($B929,会计科目表!$A:$C,3,),"")</f>
        <v/>
      </c>
      <c r="E929" s="191">
        <f>IFERROR(INDEX(凭证录入!K:K,$H929),0)</f>
        <v>0</v>
      </c>
      <c r="F929" s="191">
        <f>IFERROR(INDEX(凭证录入!L:L,$H929),0)</f>
        <v>0</v>
      </c>
      <c r="G929" s="212"/>
      <c r="H929" s="192" t="str">
        <f t="shared" si="141"/>
        <v/>
      </c>
    </row>
    <row r="930" spans="1:9" s="45" customFormat="1" ht="19.5" customHeight="1" thickBot="1">
      <c r="A930" s="189" t="str">
        <f>IFERROR(INDEX(凭证录入!H:H,$H930),"")</f>
        <v/>
      </c>
      <c r="B930" s="189" t="str">
        <f>IFERROR(INDEX(凭证录入!I:I,$H930),"")</f>
        <v/>
      </c>
      <c r="C930" s="190" t="str">
        <f>IFERROR(VLOOKUP($B930,会计科目表!$A:$C,2,),"")</f>
        <v/>
      </c>
      <c r="D930" s="190" t="str">
        <f>IFERROR(VLOOKUP($B930,会计科目表!$A:$C,3,),"")</f>
        <v/>
      </c>
      <c r="E930" s="191">
        <f>IFERROR(INDEX(凭证录入!K:K,$H930),0)</f>
        <v>0</v>
      </c>
      <c r="F930" s="191">
        <f>IFERROR(INDEX(凭证录入!L:L,$H930),0)</f>
        <v>0</v>
      </c>
      <c r="G930" s="212" t="s">
        <v>490</v>
      </c>
      <c r="H930" s="192" t="str">
        <f t="shared" si="141"/>
        <v/>
      </c>
      <c r="I930" s="212"/>
    </row>
    <row r="931" spans="1:9" s="45" customFormat="1" ht="19.5" customHeight="1" thickBot="1">
      <c r="A931" s="189" t="str">
        <f>IFERROR(INDEX(凭证录入!H:H,$H931),"")</f>
        <v/>
      </c>
      <c r="B931" s="189" t="str">
        <f>IFERROR(INDEX(凭证录入!I:I,$H931),"")</f>
        <v/>
      </c>
      <c r="C931" s="190" t="str">
        <f>IFERROR(VLOOKUP($B931,会计科目表!$A:$C,2,),"")</f>
        <v/>
      </c>
      <c r="D931" s="190" t="str">
        <f>IFERROR(VLOOKUP($B931,会计科目表!$A:$C,3,),"")</f>
        <v/>
      </c>
      <c r="E931" s="191">
        <f>IFERROR(INDEX(凭证录入!K:K,$H931),0)</f>
        <v>0</v>
      </c>
      <c r="F931" s="191">
        <f>IFERROR(INDEX(凭证录入!L:L,$H931),0)</f>
        <v>0</v>
      </c>
      <c r="G931" s="212" t="s">
        <v>491</v>
      </c>
      <c r="H931" s="192" t="str">
        <f t="shared" si="141"/>
        <v/>
      </c>
      <c r="I931" s="212"/>
    </row>
    <row r="932" spans="1:9" s="45" customFormat="1" ht="19.5" customHeight="1" thickBot="1">
      <c r="A932" s="189" t="str">
        <f>IFERROR(INDEX(凭证录入!H:H,$H932),"")</f>
        <v/>
      </c>
      <c r="B932" s="189" t="str">
        <f>IFERROR(INDEX(凭证录入!I:I,$H932),"")</f>
        <v/>
      </c>
      <c r="C932" s="190" t="str">
        <f>IFERROR(VLOOKUP($B932,会计科目表!$A:$C,2,),"")</f>
        <v/>
      </c>
      <c r="D932" s="190" t="str">
        <f>IFERROR(VLOOKUP($B932,会计科目表!$A:$C,3,),"")</f>
        <v/>
      </c>
      <c r="E932" s="191">
        <f>IFERROR(INDEX(凭证录入!K:K,$H932),0)</f>
        <v>0</v>
      </c>
      <c r="F932" s="191">
        <f>IFERROR(INDEX(凭证录入!L:L,$H932),0)</f>
        <v>0</v>
      </c>
      <c r="G932" s="212" t="e">
        <f>INDEX(凭证录入!$D:$D,$H929)</f>
        <v>#VALUE!</v>
      </c>
      <c r="H932" s="192" t="str">
        <f t="shared" si="141"/>
        <v/>
      </c>
      <c r="I932" s="212"/>
    </row>
    <row r="933" spans="1:9" s="45" customFormat="1" ht="19.5" customHeight="1" thickBot="1">
      <c r="A933" s="189" t="str">
        <f>IFERROR(INDEX(凭证录入!H:H,$H933),"")</f>
        <v/>
      </c>
      <c r="B933" s="189" t="str">
        <f>IFERROR(INDEX(凭证录入!I:I,$H933),"")</f>
        <v/>
      </c>
      <c r="C933" s="190" t="str">
        <f>IFERROR(VLOOKUP($B933,会计科目表!$A:$C,2,),"")</f>
        <v/>
      </c>
      <c r="D933" s="190" t="str">
        <f>IFERROR(VLOOKUP($B933,会计科目表!$A:$C,3,),"")</f>
        <v/>
      </c>
      <c r="E933" s="191">
        <f>IFERROR(INDEX(凭证录入!K:K,$H933),0)</f>
        <v>0</v>
      </c>
      <c r="F933" s="191">
        <f>IFERROR(INDEX(凭证录入!L:L,$H933),0)</f>
        <v>0</v>
      </c>
      <c r="G933" s="212" t="s">
        <v>492</v>
      </c>
      <c r="H933" s="192" t="str">
        <f t="shared" si="141"/>
        <v/>
      </c>
    </row>
    <row r="934" spans="1:9" s="45" customFormat="1" ht="19.5" customHeight="1" thickBot="1">
      <c r="A934" s="189" t="str">
        <f>IFERROR(INDEX(凭证录入!H:H,$H934),"")</f>
        <v/>
      </c>
      <c r="B934" s="189" t="str">
        <f>IFERROR(INDEX(凭证录入!I:I,$H934),"")</f>
        <v/>
      </c>
      <c r="C934" s="190" t="str">
        <f>IFERROR(VLOOKUP($B934,会计科目表!$A:$C,2,),"")</f>
        <v/>
      </c>
      <c r="D934" s="190" t="str">
        <f>IFERROR(VLOOKUP($B934,会计科目表!$A:$C,3,),"")</f>
        <v/>
      </c>
      <c r="E934" s="191">
        <f>IFERROR(INDEX(凭证录入!K:K,$H934),0)</f>
        <v>0</v>
      </c>
      <c r="F934" s="191">
        <f>IFERROR(INDEX(凭证录入!L:L,$H934),0)</f>
        <v>0</v>
      </c>
      <c r="G934" s="212"/>
      <c r="H934" s="192" t="str">
        <f t="shared" si="141"/>
        <v/>
      </c>
    </row>
    <row r="935" spans="1:9" s="45" customFormat="1" ht="19.5" customHeight="1" thickBot="1">
      <c r="A935" s="193"/>
      <c r="B935" s="194" t="s">
        <v>485</v>
      </c>
      <c r="C935" s="195" t="str">
        <f>SUBSTITUTE(SUBSTITUTE(IF(-DOLLAR(E935),IF(E935&gt;0,,"负")&amp;TEXT(INT(ABS(E935)+0.5%),"[dbnum2]G/通用格式元;;")&amp;TEXT(RIGHT(DOLLAR(E935),2),"[dbnum2]0角0分;;整"),),"零角",IF(E935^2&lt;1,,"零")),"零分","整")</f>
        <v/>
      </c>
      <c r="D935" s="196"/>
      <c r="E935" s="197">
        <f>SUM(E929:E934)</f>
        <v>0</v>
      </c>
      <c r="F935" s="197">
        <f>SUM(F929:F934)</f>
        <v>0</v>
      </c>
      <c r="G935" s="212"/>
      <c r="H935" s="192" t="str">
        <f t="shared" si="141"/>
        <v/>
      </c>
    </row>
    <row r="936" spans="1:9" s="199" customFormat="1" ht="19.5" customHeight="1">
      <c r="A936" s="45" t="s">
        <v>486</v>
      </c>
      <c r="B936" s="45" t="s">
        <v>487</v>
      </c>
      <c r="C936" s="45" t="s">
        <v>488</v>
      </c>
      <c r="D936" s="45" t="s">
        <v>504</v>
      </c>
      <c r="E936" s="45" t="s">
        <v>489</v>
      </c>
      <c r="F936" s="212" t="str">
        <f>IF($E935&lt;&gt;$F935,"借贷不平","")</f>
        <v/>
      </c>
      <c r="G936" s="183"/>
      <c r="H936" s="198" t="str">
        <f t="shared" si="141"/>
        <v/>
      </c>
    </row>
    <row r="937" spans="1:9" ht="37.5" customHeight="1">
      <c r="A937" s="177" t="s">
        <v>493</v>
      </c>
      <c r="B937" s="178"/>
      <c r="C937" s="179"/>
      <c r="D937" s="179"/>
      <c r="E937" s="178"/>
      <c r="F937" s="178"/>
      <c r="G937" s="212"/>
      <c r="H937" s="192" t="str">
        <f t="shared" ref="H937:H1000" si="142">IFERROR(INDEX(行号,TEXT(MOD(ROW(),12)-4,"[=]A")),"")</f>
        <v/>
      </c>
    </row>
    <row r="938" spans="1:9" s="45" customFormat="1" ht="19.5" customHeight="1" thickBot="1">
      <c r="C938" s="180" t="e">
        <f>DATEVALUE("2010-"&amp;$H$1&amp;"-"&amp;INDEX(凭证录入!B:B,H941))</f>
        <v>#VALUE!</v>
      </c>
      <c r="D938" s="181"/>
      <c r="E938" s="182" t="s">
        <v>477</v>
      </c>
      <c r="F938" s="183" t="e">
        <f>N(LEFT((F926),3)+1)</f>
        <v>#VALUE!</v>
      </c>
      <c r="G938" s="212"/>
      <c r="H938" s="192" t="str">
        <f t="shared" si="142"/>
        <v/>
      </c>
      <c r="I938" s="184"/>
    </row>
    <row r="939" spans="1:9" s="45" customFormat="1" ht="19.5" customHeight="1" thickBot="1">
      <c r="A939" s="544" t="s">
        <v>494</v>
      </c>
      <c r="B939" s="545" t="s">
        <v>495</v>
      </c>
      <c r="C939" s="185" t="s">
        <v>496</v>
      </c>
      <c r="D939" s="186"/>
      <c r="E939" s="187"/>
      <c r="F939" s="482"/>
      <c r="G939" s="212"/>
      <c r="H939" s="192" t="str">
        <f t="shared" si="142"/>
        <v/>
      </c>
    </row>
    <row r="940" spans="1:9" s="45" customFormat="1" ht="19.5" customHeight="1" thickBot="1">
      <c r="A940" s="545"/>
      <c r="B940" s="546"/>
      <c r="C940" s="482" t="s">
        <v>497</v>
      </c>
      <c r="D940" s="482" t="s">
        <v>498</v>
      </c>
      <c r="E940" s="482" t="s">
        <v>499</v>
      </c>
      <c r="F940" s="482" t="s">
        <v>500</v>
      </c>
      <c r="G940" s="212"/>
      <c r="H940" s="192" t="str">
        <f t="shared" si="142"/>
        <v/>
      </c>
    </row>
    <row r="941" spans="1:9" s="45" customFormat="1" ht="19.5" customHeight="1" thickBot="1">
      <c r="A941" s="189" t="str">
        <f>IFERROR(INDEX(凭证录入!H:H,$H941),"")</f>
        <v/>
      </c>
      <c r="B941" s="189" t="str">
        <f>IFERROR(INDEX(凭证录入!I:I,$H941),"")</f>
        <v/>
      </c>
      <c r="C941" s="190" t="str">
        <f>IFERROR(VLOOKUP($B941,会计科目表!$A:$C,2,),"")</f>
        <v/>
      </c>
      <c r="D941" s="190" t="str">
        <f>IFERROR(VLOOKUP($B941,会计科目表!$A:$C,3,),"")</f>
        <v/>
      </c>
      <c r="E941" s="191">
        <f>IFERROR(INDEX(凭证录入!K:K,$H941),0)</f>
        <v>0</v>
      </c>
      <c r="F941" s="191">
        <f>IFERROR(INDEX(凭证录入!L:L,$H941),0)</f>
        <v>0</v>
      </c>
      <c r="G941" s="212"/>
      <c r="H941" s="192" t="str">
        <f t="shared" si="142"/>
        <v/>
      </c>
    </row>
    <row r="942" spans="1:9" s="45" customFormat="1" ht="19.5" customHeight="1" thickBot="1">
      <c r="A942" s="189" t="str">
        <f>IFERROR(INDEX(凭证录入!H:H,$H942),"")</f>
        <v/>
      </c>
      <c r="B942" s="189" t="str">
        <f>IFERROR(INDEX(凭证录入!I:I,$H942),"")</f>
        <v/>
      </c>
      <c r="C942" s="190" t="str">
        <f>IFERROR(VLOOKUP($B942,会计科目表!$A:$C,2,),"")</f>
        <v/>
      </c>
      <c r="D942" s="190" t="str">
        <f>IFERROR(VLOOKUP($B942,会计科目表!$A:$C,3,),"")</f>
        <v/>
      </c>
      <c r="E942" s="191">
        <f>IFERROR(INDEX(凭证录入!K:K,$H942),0)</f>
        <v>0</v>
      </c>
      <c r="F942" s="191">
        <f>IFERROR(INDEX(凭证录入!L:L,$H942),0)</f>
        <v>0</v>
      </c>
      <c r="G942" s="212" t="s">
        <v>490</v>
      </c>
      <c r="H942" s="192" t="str">
        <f t="shared" si="142"/>
        <v/>
      </c>
      <c r="I942" s="212"/>
    </row>
    <row r="943" spans="1:9" s="45" customFormat="1" ht="19.5" customHeight="1" thickBot="1">
      <c r="A943" s="189" t="str">
        <f>IFERROR(INDEX(凭证录入!H:H,$H943),"")</f>
        <v/>
      </c>
      <c r="B943" s="189" t="str">
        <f>IFERROR(INDEX(凭证录入!I:I,$H943),"")</f>
        <v/>
      </c>
      <c r="C943" s="190" t="str">
        <f>IFERROR(VLOOKUP($B943,会计科目表!$A:$C,2,),"")</f>
        <v/>
      </c>
      <c r="D943" s="190" t="str">
        <f>IFERROR(VLOOKUP($B943,会计科目表!$A:$C,3,),"")</f>
        <v/>
      </c>
      <c r="E943" s="191">
        <f>IFERROR(INDEX(凭证录入!K:K,$H943),0)</f>
        <v>0</v>
      </c>
      <c r="F943" s="191">
        <f>IFERROR(INDEX(凭证录入!L:L,$H943),0)</f>
        <v>0</v>
      </c>
      <c r="G943" s="212" t="s">
        <v>491</v>
      </c>
      <c r="H943" s="192" t="str">
        <f t="shared" si="142"/>
        <v/>
      </c>
      <c r="I943" s="212"/>
    </row>
    <row r="944" spans="1:9" s="45" customFormat="1" ht="19.5" customHeight="1" thickBot="1">
      <c r="A944" s="189" t="str">
        <f>IFERROR(INDEX(凭证录入!H:H,$H944),"")</f>
        <v/>
      </c>
      <c r="B944" s="189" t="str">
        <f>IFERROR(INDEX(凭证录入!I:I,$H944),"")</f>
        <v/>
      </c>
      <c r="C944" s="190" t="str">
        <f>IFERROR(VLOOKUP($B944,会计科目表!$A:$C,2,),"")</f>
        <v/>
      </c>
      <c r="D944" s="190" t="str">
        <f>IFERROR(VLOOKUP($B944,会计科目表!$A:$C,3,),"")</f>
        <v/>
      </c>
      <c r="E944" s="191">
        <f>IFERROR(INDEX(凭证录入!K:K,$H944),0)</f>
        <v>0</v>
      </c>
      <c r="F944" s="191">
        <f>IFERROR(INDEX(凭证录入!L:L,$H944),0)</f>
        <v>0</v>
      </c>
      <c r="G944" s="212" t="e">
        <f>INDEX(凭证录入!$D:$D,$H941)</f>
        <v>#VALUE!</v>
      </c>
      <c r="H944" s="192" t="str">
        <f t="shared" si="142"/>
        <v/>
      </c>
      <c r="I944" s="212"/>
    </row>
    <row r="945" spans="1:9" s="45" customFormat="1" ht="19.5" customHeight="1" thickBot="1">
      <c r="A945" s="189" t="str">
        <f>IFERROR(INDEX(凭证录入!H:H,$H945),"")</f>
        <v/>
      </c>
      <c r="B945" s="189" t="str">
        <f>IFERROR(INDEX(凭证录入!I:I,$H945),"")</f>
        <v/>
      </c>
      <c r="C945" s="190" t="str">
        <f>IFERROR(VLOOKUP($B945,会计科目表!$A:$C,2,),"")</f>
        <v/>
      </c>
      <c r="D945" s="190" t="str">
        <f>IFERROR(VLOOKUP($B945,会计科目表!$A:$C,3,),"")</f>
        <v/>
      </c>
      <c r="E945" s="191">
        <f>IFERROR(INDEX(凭证录入!K:K,$H945),0)</f>
        <v>0</v>
      </c>
      <c r="F945" s="191">
        <f>IFERROR(INDEX(凭证录入!L:L,$H945),0)</f>
        <v>0</v>
      </c>
      <c r="G945" s="212" t="s">
        <v>492</v>
      </c>
      <c r="H945" s="192" t="str">
        <f t="shared" si="142"/>
        <v/>
      </c>
    </row>
    <row r="946" spans="1:9" s="45" customFormat="1" ht="19.5" customHeight="1" thickBot="1">
      <c r="A946" s="189" t="str">
        <f>IFERROR(INDEX(凭证录入!H:H,$H946),"")</f>
        <v/>
      </c>
      <c r="B946" s="189" t="str">
        <f>IFERROR(INDEX(凭证录入!I:I,$H946),"")</f>
        <v/>
      </c>
      <c r="C946" s="190" t="str">
        <f>IFERROR(VLOOKUP($B946,会计科目表!$A:$C,2,),"")</f>
        <v/>
      </c>
      <c r="D946" s="190" t="str">
        <f>IFERROR(VLOOKUP($B946,会计科目表!$A:$C,3,),"")</f>
        <v/>
      </c>
      <c r="E946" s="191">
        <f>IFERROR(INDEX(凭证录入!K:K,$H946),0)</f>
        <v>0</v>
      </c>
      <c r="F946" s="191">
        <f>IFERROR(INDEX(凭证录入!L:L,$H946),0)</f>
        <v>0</v>
      </c>
      <c r="G946" s="212"/>
      <c r="H946" s="192" t="str">
        <f t="shared" si="142"/>
        <v/>
      </c>
    </row>
    <row r="947" spans="1:9" s="45" customFormat="1" ht="19.5" customHeight="1" thickBot="1">
      <c r="A947" s="193"/>
      <c r="B947" s="194" t="s">
        <v>485</v>
      </c>
      <c r="C947" s="195" t="str">
        <f>SUBSTITUTE(SUBSTITUTE(IF(-DOLLAR(E947),IF(E947&gt;0,,"负")&amp;TEXT(INT(ABS(E947)+0.5%),"[dbnum2]G/通用格式元;;")&amp;TEXT(RIGHT(DOLLAR(E947),2),"[dbnum2]0角0分;;整"),),"零角",IF(E947^2&lt;1,,"零")),"零分","整")</f>
        <v/>
      </c>
      <c r="D947" s="196"/>
      <c r="E947" s="197">
        <f>SUM(E941:E946)</f>
        <v>0</v>
      </c>
      <c r="F947" s="197">
        <f>SUM(F941:F946)</f>
        <v>0</v>
      </c>
      <c r="G947" s="212"/>
      <c r="H947" s="192" t="str">
        <f t="shared" si="142"/>
        <v/>
      </c>
    </row>
    <row r="948" spans="1:9" s="199" customFormat="1" ht="19.5" customHeight="1">
      <c r="A948" s="45" t="s">
        <v>486</v>
      </c>
      <c r="B948" s="45" t="s">
        <v>487</v>
      </c>
      <c r="C948" s="45" t="s">
        <v>488</v>
      </c>
      <c r="D948" s="45" t="s">
        <v>504</v>
      </c>
      <c r="E948" s="45" t="s">
        <v>489</v>
      </c>
      <c r="F948" s="212" t="str">
        <f>IF($E947&lt;&gt;$F947,"借贷不平","")</f>
        <v/>
      </c>
      <c r="G948" s="183"/>
      <c r="H948" s="198" t="str">
        <f t="shared" si="142"/>
        <v/>
      </c>
    </row>
    <row r="949" spans="1:9" ht="37.5" customHeight="1">
      <c r="A949" s="177" t="s">
        <v>493</v>
      </c>
      <c r="B949" s="178"/>
      <c r="C949" s="179"/>
      <c r="D949" s="179"/>
      <c r="E949" s="178"/>
      <c r="F949" s="178"/>
      <c r="G949" s="212"/>
      <c r="H949" s="192" t="str">
        <f t="shared" si="142"/>
        <v/>
      </c>
    </row>
    <row r="950" spans="1:9" s="45" customFormat="1" ht="19.5" customHeight="1" thickBot="1">
      <c r="C950" s="180" t="e">
        <f>DATEVALUE("2010-"&amp;$H$1&amp;"-"&amp;INDEX(凭证录入!B:B,H953))</f>
        <v>#VALUE!</v>
      </c>
      <c r="D950" s="181"/>
      <c r="E950" s="182" t="s">
        <v>477</v>
      </c>
      <c r="F950" s="183" t="e">
        <f>N(LEFT((F938),3)+1)</f>
        <v>#VALUE!</v>
      </c>
      <c r="G950" s="212"/>
      <c r="H950" s="192" t="str">
        <f t="shared" si="142"/>
        <v/>
      </c>
      <c r="I950" s="184"/>
    </row>
    <row r="951" spans="1:9" s="45" customFormat="1" ht="19.5" customHeight="1" thickBot="1">
      <c r="A951" s="544" t="s">
        <v>494</v>
      </c>
      <c r="B951" s="545" t="s">
        <v>495</v>
      </c>
      <c r="C951" s="185" t="s">
        <v>496</v>
      </c>
      <c r="D951" s="186"/>
      <c r="E951" s="187"/>
      <c r="F951" s="482"/>
      <c r="G951" s="212"/>
      <c r="H951" s="192" t="str">
        <f t="shared" si="142"/>
        <v/>
      </c>
    </row>
    <row r="952" spans="1:9" s="45" customFormat="1" ht="19.5" customHeight="1" thickBot="1">
      <c r="A952" s="545"/>
      <c r="B952" s="546"/>
      <c r="C952" s="482" t="s">
        <v>497</v>
      </c>
      <c r="D952" s="482" t="s">
        <v>498</v>
      </c>
      <c r="E952" s="482" t="s">
        <v>499</v>
      </c>
      <c r="F952" s="482" t="s">
        <v>500</v>
      </c>
      <c r="G952" s="212"/>
      <c r="H952" s="192" t="str">
        <f t="shared" si="142"/>
        <v/>
      </c>
    </row>
    <row r="953" spans="1:9" s="45" customFormat="1" ht="19.5" customHeight="1" thickBot="1">
      <c r="A953" s="189" t="str">
        <f>IFERROR(INDEX(凭证录入!H:H,$H953),"")</f>
        <v/>
      </c>
      <c r="B953" s="189" t="str">
        <f>IFERROR(INDEX(凭证录入!I:I,$H953),"")</f>
        <v/>
      </c>
      <c r="C953" s="190" t="str">
        <f>IFERROR(VLOOKUP($B953,会计科目表!$A:$C,2,),"")</f>
        <v/>
      </c>
      <c r="D953" s="190" t="str">
        <f>IFERROR(VLOOKUP($B953,会计科目表!$A:$C,3,),"")</f>
        <v/>
      </c>
      <c r="E953" s="191">
        <f>IFERROR(INDEX(凭证录入!K:K,$H953),0)</f>
        <v>0</v>
      </c>
      <c r="F953" s="191">
        <f>IFERROR(INDEX(凭证录入!L:L,$H953),0)</f>
        <v>0</v>
      </c>
      <c r="G953" s="212"/>
      <c r="H953" s="192" t="str">
        <f t="shared" si="142"/>
        <v/>
      </c>
    </row>
    <row r="954" spans="1:9" s="45" customFormat="1" ht="19.5" customHeight="1" thickBot="1">
      <c r="A954" s="189" t="str">
        <f>IFERROR(INDEX(凭证录入!H:H,$H954),"")</f>
        <v/>
      </c>
      <c r="B954" s="189" t="str">
        <f>IFERROR(INDEX(凭证录入!I:I,$H954),"")</f>
        <v/>
      </c>
      <c r="C954" s="190" t="str">
        <f>IFERROR(VLOOKUP($B954,会计科目表!$A:$C,2,),"")</f>
        <v/>
      </c>
      <c r="D954" s="190" t="str">
        <f>IFERROR(VLOOKUP($B954,会计科目表!$A:$C,3,),"")</f>
        <v/>
      </c>
      <c r="E954" s="191">
        <f>IFERROR(INDEX(凭证录入!K:K,$H954),0)</f>
        <v>0</v>
      </c>
      <c r="F954" s="191">
        <f>IFERROR(INDEX(凭证录入!L:L,$H954),0)</f>
        <v>0</v>
      </c>
      <c r="G954" s="212" t="s">
        <v>490</v>
      </c>
      <c r="H954" s="192" t="str">
        <f t="shared" si="142"/>
        <v/>
      </c>
      <c r="I954" s="212"/>
    </row>
    <row r="955" spans="1:9" s="45" customFormat="1" ht="19.5" customHeight="1" thickBot="1">
      <c r="A955" s="189" t="str">
        <f>IFERROR(INDEX(凭证录入!H:H,$H955),"")</f>
        <v/>
      </c>
      <c r="B955" s="189" t="str">
        <f>IFERROR(INDEX(凭证录入!I:I,$H955),"")</f>
        <v/>
      </c>
      <c r="C955" s="190" t="str">
        <f>IFERROR(VLOOKUP($B955,会计科目表!$A:$C,2,),"")</f>
        <v/>
      </c>
      <c r="D955" s="190" t="str">
        <f>IFERROR(VLOOKUP($B955,会计科目表!$A:$C,3,),"")</f>
        <v/>
      </c>
      <c r="E955" s="191">
        <f>IFERROR(INDEX(凭证录入!K:K,$H955),0)</f>
        <v>0</v>
      </c>
      <c r="F955" s="191">
        <f>IFERROR(INDEX(凭证录入!L:L,$H955),0)</f>
        <v>0</v>
      </c>
      <c r="G955" s="212" t="s">
        <v>491</v>
      </c>
      <c r="H955" s="192" t="str">
        <f t="shared" si="142"/>
        <v/>
      </c>
      <c r="I955" s="212"/>
    </row>
    <row r="956" spans="1:9" s="45" customFormat="1" ht="19.5" customHeight="1" thickBot="1">
      <c r="A956" s="189" t="str">
        <f>IFERROR(INDEX(凭证录入!H:H,$H956),"")</f>
        <v/>
      </c>
      <c r="B956" s="189" t="str">
        <f>IFERROR(INDEX(凭证录入!I:I,$H956),"")</f>
        <v/>
      </c>
      <c r="C956" s="190" t="str">
        <f>IFERROR(VLOOKUP($B956,会计科目表!$A:$C,2,),"")</f>
        <v/>
      </c>
      <c r="D956" s="190" t="str">
        <f>IFERROR(VLOOKUP($B956,会计科目表!$A:$C,3,),"")</f>
        <v/>
      </c>
      <c r="E956" s="191">
        <f>IFERROR(INDEX(凭证录入!K:K,$H956),0)</f>
        <v>0</v>
      </c>
      <c r="F956" s="191">
        <f>IFERROR(INDEX(凭证录入!L:L,$H956),0)</f>
        <v>0</v>
      </c>
      <c r="G956" s="212" t="e">
        <f>INDEX(凭证录入!$D:$D,$H953)</f>
        <v>#VALUE!</v>
      </c>
      <c r="H956" s="192" t="str">
        <f t="shared" si="142"/>
        <v/>
      </c>
      <c r="I956" s="212"/>
    </row>
    <row r="957" spans="1:9" s="45" customFormat="1" ht="19.5" customHeight="1" thickBot="1">
      <c r="A957" s="189" t="str">
        <f>IFERROR(INDEX(凭证录入!H:H,$H957),"")</f>
        <v/>
      </c>
      <c r="B957" s="189" t="str">
        <f>IFERROR(INDEX(凭证录入!I:I,$H957),"")</f>
        <v/>
      </c>
      <c r="C957" s="190" t="str">
        <f>IFERROR(VLOOKUP($B957,会计科目表!$A:$C,2,),"")</f>
        <v/>
      </c>
      <c r="D957" s="190" t="str">
        <f>IFERROR(VLOOKUP($B957,会计科目表!$A:$C,3,),"")</f>
        <v/>
      </c>
      <c r="E957" s="191">
        <f>IFERROR(INDEX(凭证录入!K:K,$H957),0)</f>
        <v>0</v>
      </c>
      <c r="F957" s="191">
        <f>IFERROR(INDEX(凭证录入!L:L,$H957),0)</f>
        <v>0</v>
      </c>
      <c r="G957" s="212" t="s">
        <v>492</v>
      </c>
      <c r="H957" s="192" t="str">
        <f t="shared" si="142"/>
        <v/>
      </c>
    </row>
    <row r="958" spans="1:9" s="45" customFormat="1" ht="19.5" customHeight="1" thickBot="1">
      <c r="A958" s="189" t="str">
        <f>IFERROR(INDEX(凭证录入!H:H,$H958),"")</f>
        <v/>
      </c>
      <c r="B958" s="189" t="str">
        <f>IFERROR(INDEX(凭证录入!I:I,$H958),"")</f>
        <v/>
      </c>
      <c r="C958" s="190" t="str">
        <f>IFERROR(VLOOKUP($B958,会计科目表!$A:$C,2,),"")</f>
        <v/>
      </c>
      <c r="D958" s="190" t="str">
        <f>IFERROR(VLOOKUP($B958,会计科目表!$A:$C,3,),"")</f>
        <v/>
      </c>
      <c r="E958" s="191">
        <f>IFERROR(INDEX(凭证录入!K:K,$H958),0)</f>
        <v>0</v>
      </c>
      <c r="F958" s="191">
        <f>IFERROR(INDEX(凭证录入!L:L,$H958),0)</f>
        <v>0</v>
      </c>
      <c r="G958" s="212"/>
      <c r="H958" s="192" t="str">
        <f t="shared" si="142"/>
        <v/>
      </c>
    </row>
    <row r="959" spans="1:9" s="45" customFormat="1" ht="19.5" customHeight="1" thickBot="1">
      <c r="A959" s="193"/>
      <c r="B959" s="194" t="s">
        <v>485</v>
      </c>
      <c r="C959" s="195" t="str">
        <f>SUBSTITUTE(SUBSTITUTE(IF(-DOLLAR(E959),IF(E959&gt;0,,"负")&amp;TEXT(INT(ABS(E959)+0.5%),"[dbnum2]G/通用格式元;;")&amp;TEXT(RIGHT(DOLLAR(E959),2),"[dbnum2]0角0分;;整"),),"零角",IF(E959^2&lt;1,,"零")),"零分","整")</f>
        <v/>
      </c>
      <c r="D959" s="196"/>
      <c r="E959" s="197">
        <f>SUM(E953:E958)</f>
        <v>0</v>
      </c>
      <c r="F959" s="197">
        <f>SUM(F953:F958)</f>
        <v>0</v>
      </c>
      <c r="G959" s="212"/>
      <c r="H959" s="192" t="str">
        <f t="shared" si="142"/>
        <v/>
      </c>
    </row>
    <row r="960" spans="1:9" s="199" customFormat="1" ht="19.5" customHeight="1">
      <c r="A960" s="45" t="s">
        <v>486</v>
      </c>
      <c r="B960" s="45" t="s">
        <v>487</v>
      </c>
      <c r="C960" s="45" t="s">
        <v>488</v>
      </c>
      <c r="D960" s="45" t="s">
        <v>504</v>
      </c>
      <c r="E960" s="45" t="s">
        <v>489</v>
      </c>
      <c r="F960" s="212" t="str">
        <f>IF($E959&lt;&gt;$F959,"借贷不平","")</f>
        <v/>
      </c>
      <c r="G960" s="183"/>
      <c r="H960" s="198" t="str">
        <f t="shared" si="142"/>
        <v/>
      </c>
    </row>
    <row r="961" spans="1:9" ht="37.5" customHeight="1">
      <c r="A961" s="177" t="s">
        <v>493</v>
      </c>
      <c r="B961" s="178"/>
      <c r="C961" s="179"/>
      <c r="D961" s="179"/>
      <c r="E961" s="178"/>
      <c r="F961" s="178"/>
      <c r="G961" s="212"/>
      <c r="H961" s="192" t="str">
        <f t="shared" si="142"/>
        <v/>
      </c>
    </row>
    <row r="962" spans="1:9" s="45" customFormat="1" ht="19.5" customHeight="1" thickBot="1">
      <c r="C962" s="180" t="e">
        <f>DATEVALUE("2010-"&amp;$H$1&amp;"-"&amp;INDEX(凭证录入!B:B,H965))</f>
        <v>#VALUE!</v>
      </c>
      <c r="D962" s="181"/>
      <c r="E962" s="182" t="s">
        <v>477</v>
      </c>
      <c r="F962" s="183" t="e">
        <f>N(LEFT((F950),3)+1)</f>
        <v>#VALUE!</v>
      </c>
      <c r="G962" s="212"/>
      <c r="H962" s="192" t="str">
        <f t="shared" si="142"/>
        <v/>
      </c>
      <c r="I962" s="184"/>
    </row>
    <row r="963" spans="1:9" s="45" customFormat="1" ht="19.5" customHeight="1" thickBot="1">
      <c r="A963" s="544" t="s">
        <v>494</v>
      </c>
      <c r="B963" s="545" t="s">
        <v>495</v>
      </c>
      <c r="C963" s="185" t="s">
        <v>496</v>
      </c>
      <c r="D963" s="186"/>
      <c r="E963" s="187"/>
      <c r="F963" s="482"/>
      <c r="G963" s="212"/>
      <c r="H963" s="192" t="str">
        <f t="shared" si="142"/>
        <v/>
      </c>
    </row>
    <row r="964" spans="1:9" s="45" customFormat="1" ht="19.5" customHeight="1" thickBot="1">
      <c r="A964" s="545"/>
      <c r="B964" s="546"/>
      <c r="C964" s="482" t="s">
        <v>497</v>
      </c>
      <c r="D964" s="482" t="s">
        <v>498</v>
      </c>
      <c r="E964" s="482" t="s">
        <v>499</v>
      </c>
      <c r="F964" s="482" t="s">
        <v>500</v>
      </c>
      <c r="G964" s="212"/>
      <c r="H964" s="192" t="str">
        <f t="shared" si="142"/>
        <v/>
      </c>
    </row>
    <row r="965" spans="1:9" s="45" customFormat="1" ht="19.5" customHeight="1" thickBot="1">
      <c r="A965" s="189" t="str">
        <f>IFERROR(INDEX(凭证录入!H:H,$H965),"")</f>
        <v/>
      </c>
      <c r="B965" s="189" t="str">
        <f>IFERROR(INDEX(凭证录入!I:I,$H965),"")</f>
        <v/>
      </c>
      <c r="C965" s="190" t="str">
        <f>IFERROR(VLOOKUP($B965,会计科目表!$A:$C,2,),"")</f>
        <v/>
      </c>
      <c r="D965" s="190" t="str">
        <f>IFERROR(VLOOKUP($B965,会计科目表!$A:$C,3,),"")</f>
        <v/>
      </c>
      <c r="E965" s="191">
        <f>IFERROR(INDEX(凭证录入!K:K,$H965),0)</f>
        <v>0</v>
      </c>
      <c r="F965" s="191">
        <f>IFERROR(INDEX(凭证录入!L:L,$H965),0)</f>
        <v>0</v>
      </c>
      <c r="G965" s="212"/>
      <c r="H965" s="192" t="str">
        <f t="shared" si="142"/>
        <v/>
      </c>
    </row>
    <row r="966" spans="1:9" s="45" customFormat="1" ht="19.5" customHeight="1" thickBot="1">
      <c r="A966" s="189" t="str">
        <f>IFERROR(INDEX(凭证录入!H:H,$H966),"")</f>
        <v/>
      </c>
      <c r="B966" s="189" t="str">
        <f>IFERROR(INDEX(凭证录入!I:I,$H966),"")</f>
        <v/>
      </c>
      <c r="C966" s="190" t="str">
        <f>IFERROR(VLOOKUP($B966,会计科目表!$A:$C,2,),"")</f>
        <v/>
      </c>
      <c r="D966" s="190" t="str">
        <f>IFERROR(VLOOKUP($B966,会计科目表!$A:$C,3,),"")</f>
        <v/>
      </c>
      <c r="E966" s="191">
        <f>IFERROR(INDEX(凭证录入!K:K,$H966),0)</f>
        <v>0</v>
      </c>
      <c r="F966" s="191">
        <f>IFERROR(INDEX(凭证录入!L:L,$H966),0)</f>
        <v>0</v>
      </c>
      <c r="G966" s="212" t="s">
        <v>490</v>
      </c>
      <c r="H966" s="192" t="str">
        <f t="shared" si="142"/>
        <v/>
      </c>
      <c r="I966" s="212"/>
    </row>
    <row r="967" spans="1:9" s="45" customFormat="1" ht="19.5" customHeight="1" thickBot="1">
      <c r="A967" s="189" t="str">
        <f>IFERROR(INDEX(凭证录入!H:H,$H967),"")</f>
        <v/>
      </c>
      <c r="B967" s="189" t="str">
        <f>IFERROR(INDEX(凭证录入!I:I,$H967),"")</f>
        <v/>
      </c>
      <c r="C967" s="190" t="str">
        <f>IFERROR(VLOOKUP($B967,会计科目表!$A:$C,2,),"")</f>
        <v/>
      </c>
      <c r="D967" s="190" t="str">
        <f>IFERROR(VLOOKUP($B967,会计科目表!$A:$C,3,),"")</f>
        <v/>
      </c>
      <c r="E967" s="191">
        <f>IFERROR(INDEX(凭证录入!K:K,$H967),0)</f>
        <v>0</v>
      </c>
      <c r="F967" s="191">
        <f>IFERROR(INDEX(凭证录入!L:L,$H967),0)</f>
        <v>0</v>
      </c>
      <c r="G967" s="212" t="s">
        <v>491</v>
      </c>
      <c r="H967" s="192" t="str">
        <f t="shared" si="142"/>
        <v/>
      </c>
      <c r="I967" s="212"/>
    </row>
    <row r="968" spans="1:9" s="45" customFormat="1" ht="19.5" customHeight="1" thickBot="1">
      <c r="A968" s="189" t="str">
        <f>IFERROR(INDEX(凭证录入!H:H,$H968),"")</f>
        <v/>
      </c>
      <c r="B968" s="189" t="str">
        <f>IFERROR(INDEX(凭证录入!I:I,$H968),"")</f>
        <v/>
      </c>
      <c r="C968" s="190" t="str">
        <f>IFERROR(VLOOKUP($B968,会计科目表!$A:$C,2,),"")</f>
        <v/>
      </c>
      <c r="D968" s="190" t="str">
        <f>IFERROR(VLOOKUP($B968,会计科目表!$A:$C,3,),"")</f>
        <v/>
      </c>
      <c r="E968" s="191">
        <f>IFERROR(INDEX(凭证录入!K:K,$H968),0)</f>
        <v>0</v>
      </c>
      <c r="F968" s="191">
        <f>IFERROR(INDEX(凭证录入!L:L,$H968),0)</f>
        <v>0</v>
      </c>
      <c r="G968" s="212" t="e">
        <f>INDEX(凭证录入!$D:$D,$H965)</f>
        <v>#VALUE!</v>
      </c>
      <c r="H968" s="192" t="str">
        <f t="shared" si="142"/>
        <v/>
      </c>
      <c r="I968" s="212"/>
    </row>
    <row r="969" spans="1:9" s="45" customFormat="1" ht="19.5" customHeight="1" thickBot="1">
      <c r="A969" s="189" t="str">
        <f>IFERROR(INDEX(凭证录入!H:H,$H969),"")</f>
        <v/>
      </c>
      <c r="B969" s="189" t="str">
        <f>IFERROR(INDEX(凭证录入!I:I,$H969),"")</f>
        <v/>
      </c>
      <c r="C969" s="190" t="str">
        <f>IFERROR(VLOOKUP($B969,会计科目表!$A:$C,2,),"")</f>
        <v/>
      </c>
      <c r="D969" s="190" t="str">
        <f>IFERROR(VLOOKUP($B969,会计科目表!$A:$C,3,),"")</f>
        <v/>
      </c>
      <c r="E969" s="191">
        <f>IFERROR(INDEX(凭证录入!K:K,$H969),0)</f>
        <v>0</v>
      </c>
      <c r="F969" s="191">
        <f>IFERROR(INDEX(凭证录入!L:L,$H969),0)</f>
        <v>0</v>
      </c>
      <c r="G969" s="212" t="s">
        <v>492</v>
      </c>
      <c r="H969" s="192" t="str">
        <f t="shared" si="142"/>
        <v/>
      </c>
    </row>
    <row r="970" spans="1:9" s="45" customFormat="1" ht="19.5" customHeight="1" thickBot="1">
      <c r="A970" s="189" t="str">
        <f>IFERROR(INDEX(凭证录入!H:H,$H970),"")</f>
        <v/>
      </c>
      <c r="B970" s="189" t="str">
        <f>IFERROR(INDEX(凭证录入!I:I,$H970),"")</f>
        <v/>
      </c>
      <c r="C970" s="190" t="str">
        <f>IFERROR(VLOOKUP($B970,会计科目表!$A:$C,2,),"")</f>
        <v/>
      </c>
      <c r="D970" s="190" t="str">
        <f>IFERROR(VLOOKUP($B970,会计科目表!$A:$C,3,),"")</f>
        <v/>
      </c>
      <c r="E970" s="191">
        <f>IFERROR(INDEX(凭证录入!K:K,$H970),0)</f>
        <v>0</v>
      </c>
      <c r="F970" s="191">
        <f>IFERROR(INDEX(凭证录入!L:L,$H970),0)</f>
        <v>0</v>
      </c>
      <c r="G970" s="212"/>
      <c r="H970" s="192" t="str">
        <f t="shared" si="142"/>
        <v/>
      </c>
    </row>
    <row r="971" spans="1:9" s="45" customFormat="1" ht="19.5" customHeight="1" thickBot="1">
      <c r="A971" s="193"/>
      <c r="B971" s="194" t="s">
        <v>485</v>
      </c>
      <c r="C971" s="195" t="str">
        <f>SUBSTITUTE(SUBSTITUTE(IF(-DOLLAR(E971),IF(E971&gt;0,,"负")&amp;TEXT(INT(ABS(E971)+0.5%),"[dbnum2]G/通用格式元;;")&amp;TEXT(RIGHT(DOLLAR(E971),2),"[dbnum2]0角0分;;整"),),"零角",IF(E971^2&lt;1,,"零")),"零分","整")</f>
        <v/>
      </c>
      <c r="D971" s="196"/>
      <c r="E971" s="197">
        <f>SUM(E965:E970)</f>
        <v>0</v>
      </c>
      <c r="F971" s="197">
        <f>SUM(F965:F970)</f>
        <v>0</v>
      </c>
      <c r="G971" s="212"/>
      <c r="H971" s="192" t="str">
        <f t="shared" si="142"/>
        <v/>
      </c>
    </row>
    <row r="972" spans="1:9" s="199" customFormat="1" ht="19.5" customHeight="1">
      <c r="A972" s="45" t="s">
        <v>486</v>
      </c>
      <c r="B972" s="45" t="s">
        <v>487</v>
      </c>
      <c r="C972" s="45" t="s">
        <v>488</v>
      </c>
      <c r="D972" s="45" t="s">
        <v>504</v>
      </c>
      <c r="E972" s="45" t="s">
        <v>489</v>
      </c>
      <c r="F972" s="212" t="str">
        <f>IF($E971&lt;&gt;$F971,"借贷不平","")</f>
        <v/>
      </c>
      <c r="G972" s="183"/>
      <c r="H972" s="198" t="str">
        <f t="shared" si="142"/>
        <v/>
      </c>
    </row>
    <row r="973" spans="1:9" ht="37.5" customHeight="1">
      <c r="A973" s="177" t="s">
        <v>493</v>
      </c>
      <c r="B973" s="178"/>
      <c r="C973" s="179"/>
      <c r="D973" s="179"/>
      <c r="E973" s="178"/>
      <c r="F973" s="178"/>
      <c r="G973" s="212"/>
      <c r="H973" s="192" t="str">
        <f t="shared" si="142"/>
        <v/>
      </c>
    </row>
    <row r="974" spans="1:9" s="45" customFormat="1" ht="19.5" customHeight="1" thickBot="1">
      <c r="C974" s="180" t="e">
        <f>DATEVALUE("2010-"&amp;$H$1&amp;"-"&amp;INDEX(凭证录入!B:B,H977))</f>
        <v>#VALUE!</v>
      </c>
      <c r="D974" s="181"/>
      <c r="E974" s="182" t="s">
        <v>477</v>
      </c>
      <c r="F974" s="183" t="e">
        <f>N(LEFT((F962),3)+1)</f>
        <v>#VALUE!</v>
      </c>
      <c r="G974" s="212"/>
      <c r="H974" s="192" t="str">
        <f t="shared" si="142"/>
        <v/>
      </c>
      <c r="I974" s="184"/>
    </row>
    <row r="975" spans="1:9" s="45" customFormat="1" ht="19.5" customHeight="1" thickBot="1">
      <c r="A975" s="544" t="s">
        <v>494</v>
      </c>
      <c r="B975" s="545" t="s">
        <v>495</v>
      </c>
      <c r="C975" s="185" t="s">
        <v>496</v>
      </c>
      <c r="D975" s="186"/>
      <c r="E975" s="187"/>
      <c r="F975" s="482"/>
      <c r="G975" s="212"/>
      <c r="H975" s="192" t="str">
        <f t="shared" si="142"/>
        <v/>
      </c>
    </row>
    <row r="976" spans="1:9" s="45" customFormat="1" ht="19.5" customHeight="1" thickBot="1">
      <c r="A976" s="545"/>
      <c r="B976" s="546"/>
      <c r="C976" s="482" t="s">
        <v>497</v>
      </c>
      <c r="D976" s="482" t="s">
        <v>498</v>
      </c>
      <c r="E976" s="482" t="s">
        <v>499</v>
      </c>
      <c r="F976" s="482" t="s">
        <v>500</v>
      </c>
      <c r="G976" s="212"/>
      <c r="H976" s="192" t="str">
        <f t="shared" si="142"/>
        <v/>
      </c>
    </row>
    <row r="977" spans="1:9" s="45" customFormat="1" ht="19.5" customHeight="1" thickBot="1">
      <c r="A977" s="189" t="str">
        <f>IFERROR(INDEX(凭证录入!H:H,$H977),"")</f>
        <v/>
      </c>
      <c r="B977" s="189" t="str">
        <f>IFERROR(INDEX(凭证录入!I:I,$H977),"")</f>
        <v/>
      </c>
      <c r="C977" s="190" t="str">
        <f>IFERROR(VLOOKUP($B977,会计科目表!$A:$C,2,),"")</f>
        <v/>
      </c>
      <c r="D977" s="190" t="str">
        <f>IFERROR(VLOOKUP($B977,会计科目表!$A:$C,3,),"")</f>
        <v/>
      </c>
      <c r="E977" s="191">
        <f>IFERROR(INDEX(凭证录入!K:K,$H977),0)</f>
        <v>0</v>
      </c>
      <c r="F977" s="191">
        <f>IFERROR(INDEX(凭证录入!L:L,$H977),0)</f>
        <v>0</v>
      </c>
      <c r="G977" s="212"/>
      <c r="H977" s="192" t="str">
        <f t="shared" si="142"/>
        <v/>
      </c>
    </row>
    <row r="978" spans="1:9" s="45" customFormat="1" ht="19.5" customHeight="1" thickBot="1">
      <c r="A978" s="189" t="str">
        <f>IFERROR(INDEX(凭证录入!H:H,$H978),"")</f>
        <v/>
      </c>
      <c r="B978" s="189" t="str">
        <f>IFERROR(INDEX(凭证录入!I:I,$H978),"")</f>
        <v/>
      </c>
      <c r="C978" s="190" t="str">
        <f>IFERROR(VLOOKUP($B978,会计科目表!$A:$C,2,),"")</f>
        <v/>
      </c>
      <c r="D978" s="190" t="str">
        <f>IFERROR(VLOOKUP($B978,会计科目表!$A:$C,3,),"")</f>
        <v/>
      </c>
      <c r="E978" s="191">
        <f>IFERROR(INDEX(凭证录入!K:K,$H978),0)</f>
        <v>0</v>
      </c>
      <c r="F978" s="191">
        <f>IFERROR(INDEX(凭证录入!L:L,$H978),0)</f>
        <v>0</v>
      </c>
      <c r="G978" s="212" t="s">
        <v>490</v>
      </c>
      <c r="H978" s="192" t="str">
        <f t="shared" si="142"/>
        <v/>
      </c>
      <c r="I978" s="212"/>
    </row>
    <row r="979" spans="1:9" s="45" customFormat="1" ht="19.5" customHeight="1" thickBot="1">
      <c r="A979" s="189" t="str">
        <f>IFERROR(INDEX(凭证录入!H:H,$H979),"")</f>
        <v/>
      </c>
      <c r="B979" s="189" t="str">
        <f>IFERROR(INDEX(凭证录入!I:I,$H979),"")</f>
        <v/>
      </c>
      <c r="C979" s="190" t="str">
        <f>IFERROR(VLOOKUP($B979,会计科目表!$A:$C,2,),"")</f>
        <v/>
      </c>
      <c r="D979" s="190" t="str">
        <f>IFERROR(VLOOKUP($B979,会计科目表!$A:$C,3,),"")</f>
        <v/>
      </c>
      <c r="E979" s="191">
        <f>IFERROR(INDEX(凭证录入!K:K,$H979),0)</f>
        <v>0</v>
      </c>
      <c r="F979" s="191">
        <f>IFERROR(INDEX(凭证录入!L:L,$H979),0)</f>
        <v>0</v>
      </c>
      <c r="G979" s="212" t="s">
        <v>491</v>
      </c>
      <c r="H979" s="192" t="str">
        <f t="shared" si="142"/>
        <v/>
      </c>
      <c r="I979" s="212"/>
    </row>
    <row r="980" spans="1:9" s="45" customFormat="1" ht="19.5" customHeight="1" thickBot="1">
      <c r="A980" s="189" t="str">
        <f>IFERROR(INDEX(凭证录入!H:H,$H980),"")</f>
        <v/>
      </c>
      <c r="B980" s="189" t="str">
        <f>IFERROR(INDEX(凭证录入!I:I,$H980),"")</f>
        <v/>
      </c>
      <c r="C980" s="190" t="str">
        <f>IFERROR(VLOOKUP($B980,会计科目表!$A:$C,2,),"")</f>
        <v/>
      </c>
      <c r="D980" s="190" t="str">
        <f>IFERROR(VLOOKUP($B980,会计科目表!$A:$C,3,),"")</f>
        <v/>
      </c>
      <c r="E980" s="191">
        <f>IFERROR(INDEX(凭证录入!K:K,$H980),0)</f>
        <v>0</v>
      </c>
      <c r="F980" s="191">
        <f>IFERROR(INDEX(凭证录入!L:L,$H980),0)</f>
        <v>0</v>
      </c>
      <c r="G980" s="212" t="e">
        <f>INDEX(凭证录入!$D:$D,$H977)</f>
        <v>#VALUE!</v>
      </c>
      <c r="H980" s="192" t="str">
        <f t="shared" si="142"/>
        <v/>
      </c>
      <c r="I980" s="212"/>
    </row>
    <row r="981" spans="1:9" s="45" customFormat="1" ht="19.5" customHeight="1" thickBot="1">
      <c r="A981" s="189" t="str">
        <f>IFERROR(INDEX(凭证录入!H:H,$H981),"")</f>
        <v/>
      </c>
      <c r="B981" s="189" t="str">
        <f>IFERROR(INDEX(凭证录入!I:I,$H981),"")</f>
        <v/>
      </c>
      <c r="C981" s="190" t="str">
        <f>IFERROR(VLOOKUP($B981,会计科目表!$A:$C,2,),"")</f>
        <v/>
      </c>
      <c r="D981" s="190" t="str">
        <f>IFERROR(VLOOKUP($B981,会计科目表!$A:$C,3,),"")</f>
        <v/>
      </c>
      <c r="E981" s="191">
        <f>IFERROR(INDEX(凭证录入!K:K,$H981),0)</f>
        <v>0</v>
      </c>
      <c r="F981" s="191">
        <f>IFERROR(INDEX(凭证录入!L:L,$H981),0)</f>
        <v>0</v>
      </c>
      <c r="G981" s="212" t="s">
        <v>492</v>
      </c>
      <c r="H981" s="192" t="str">
        <f t="shared" si="142"/>
        <v/>
      </c>
    </row>
    <row r="982" spans="1:9" s="45" customFormat="1" ht="19.5" customHeight="1" thickBot="1">
      <c r="A982" s="189" t="str">
        <f>IFERROR(INDEX(凭证录入!H:H,$H982),"")</f>
        <v/>
      </c>
      <c r="B982" s="189" t="str">
        <f>IFERROR(INDEX(凭证录入!I:I,$H982),"")</f>
        <v/>
      </c>
      <c r="C982" s="190" t="str">
        <f>IFERROR(VLOOKUP($B982,会计科目表!$A:$C,2,),"")</f>
        <v/>
      </c>
      <c r="D982" s="190" t="str">
        <f>IFERROR(VLOOKUP($B982,会计科目表!$A:$C,3,),"")</f>
        <v/>
      </c>
      <c r="E982" s="191">
        <f>IFERROR(INDEX(凭证录入!K:K,$H982),0)</f>
        <v>0</v>
      </c>
      <c r="F982" s="191">
        <f>IFERROR(INDEX(凭证录入!L:L,$H982),0)</f>
        <v>0</v>
      </c>
      <c r="G982" s="212"/>
      <c r="H982" s="192" t="str">
        <f t="shared" si="142"/>
        <v/>
      </c>
    </row>
    <row r="983" spans="1:9" s="45" customFormat="1" ht="19.5" customHeight="1" thickBot="1">
      <c r="A983" s="193"/>
      <c r="B983" s="194" t="s">
        <v>485</v>
      </c>
      <c r="C983" s="195" t="str">
        <f>SUBSTITUTE(SUBSTITUTE(IF(-DOLLAR(E983),IF(E983&gt;0,,"负")&amp;TEXT(INT(ABS(E983)+0.5%),"[dbnum2]G/通用格式元;;")&amp;TEXT(RIGHT(DOLLAR(E983),2),"[dbnum2]0角0分;;整"),),"零角",IF(E983^2&lt;1,,"零")),"零分","整")</f>
        <v/>
      </c>
      <c r="D983" s="196"/>
      <c r="E983" s="197">
        <f>SUM(E977:E982)</f>
        <v>0</v>
      </c>
      <c r="F983" s="197">
        <f>SUM(F977:F982)</f>
        <v>0</v>
      </c>
      <c r="G983" s="212"/>
      <c r="H983" s="192" t="str">
        <f t="shared" si="142"/>
        <v/>
      </c>
    </row>
    <row r="984" spans="1:9" s="199" customFormat="1" ht="19.5" customHeight="1">
      <c r="A984" s="45" t="s">
        <v>486</v>
      </c>
      <c r="B984" s="45" t="s">
        <v>487</v>
      </c>
      <c r="C984" s="45" t="s">
        <v>488</v>
      </c>
      <c r="D984" s="45" t="s">
        <v>504</v>
      </c>
      <c r="E984" s="45" t="s">
        <v>489</v>
      </c>
      <c r="F984" s="212" t="str">
        <f>IF($E983&lt;&gt;$F983,"借贷不平","")</f>
        <v/>
      </c>
      <c r="G984" s="183"/>
      <c r="H984" s="198" t="str">
        <f t="shared" si="142"/>
        <v/>
      </c>
    </row>
    <row r="985" spans="1:9" ht="37.5" customHeight="1">
      <c r="A985" s="177" t="s">
        <v>493</v>
      </c>
      <c r="B985" s="178"/>
      <c r="C985" s="179"/>
      <c r="D985" s="179"/>
      <c r="E985" s="178"/>
      <c r="F985" s="178"/>
      <c r="G985" s="212"/>
      <c r="H985" s="192" t="str">
        <f t="shared" si="142"/>
        <v/>
      </c>
    </row>
    <row r="986" spans="1:9" s="45" customFormat="1" ht="19.5" customHeight="1" thickBot="1">
      <c r="C986" s="180" t="e">
        <f>DATEVALUE("2010-"&amp;$H$1&amp;"-"&amp;INDEX(凭证录入!B:B,H989))</f>
        <v>#VALUE!</v>
      </c>
      <c r="D986" s="181"/>
      <c r="E986" s="182" t="s">
        <v>477</v>
      </c>
      <c r="F986" s="183" t="e">
        <f>N(LEFT((F974),3)+1)</f>
        <v>#VALUE!</v>
      </c>
      <c r="G986" s="212"/>
      <c r="H986" s="192" t="str">
        <f t="shared" si="142"/>
        <v/>
      </c>
      <c r="I986" s="184"/>
    </row>
    <row r="987" spans="1:9" s="45" customFormat="1" ht="19.5" customHeight="1" thickBot="1">
      <c r="A987" s="544" t="s">
        <v>494</v>
      </c>
      <c r="B987" s="545" t="s">
        <v>495</v>
      </c>
      <c r="C987" s="185" t="s">
        <v>496</v>
      </c>
      <c r="D987" s="186"/>
      <c r="E987" s="187"/>
      <c r="F987" s="482"/>
      <c r="G987" s="212"/>
      <c r="H987" s="192" t="str">
        <f t="shared" si="142"/>
        <v/>
      </c>
    </row>
    <row r="988" spans="1:9" s="45" customFormat="1" ht="19.5" customHeight="1" thickBot="1">
      <c r="A988" s="545"/>
      <c r="B988" s="546"/>
      <c r="C988" s="482" t="s">
        <v>497</v>
      </c>
      <c r="D988" s="482" t="s">
        <v>498</v>
      </c>
      <c r="E988" s="482" t="s">
        <v>499</v>
      </c>
      <c r="F988" s="482" t="s">
        <v>500</v>
      </c>
      <c r="G988" s="212"/>
      <c r="H988" s="192" t="str">
        <f t="shared" si="142"/>
        <v/>
      </c>
    </row>
    <row r="989" spans="1:9" s="45" customFormat="1" ht="19.5" customHeight="1" thickBot="1">
      <c r="A989" s="189" t="str">
        <f>IFERROR(INDEX(凭证录入!H:H,$H989),"")</f>
        <v/>
      </c>
      <c r="B989" s="189" t="str">
        <f>IFERROR(INDEX(凭证录入!I:I,$H989),"")</f>
        <v/>
      </c>
      <c r="C989" s="190" t="str">
        <f>IFERROR(VLOOKUP($B989,会计科目表!$A:$C,2,),"")</f>
        <v/>
      </c>
      <c r="D989" s="190" t="str">
        <f>IFERROR(VLOOKUP($B989,会计科目表!$A:$C,3,),"")</f>
        <v/>
      </c>
      <c r="E989" s="191">
        <f>IFERROR(INDEX(凭证录入!K:K,$H989),0)</f>
        <v>0</v>
      </c>
      <c r="F989" s="191">
        <f>IFERROR(INDEX(凭证录入!L:L,$H989),0)</f>
        <v>0</v>
      </c>
      <c r="G989" s="212"/>
      <c r="H989" s="192" t="str">
        <f t="shared" si="142"/>
        <v/>
      </c>
    </row>
    <row r="990" spans="1:9" s="45" customFormat="1" ht="19.5" customHeight="1" thickBot="1">
      <c r="A990" s="189" t="str">
        <f>IFERROR(INDEX(凭证录入!H:H,$H990),"")</f>
        <v/>
      </c>
      <c r="B990" s="189" t="str">
        <f>IFERROR(INDEX(凭证录入!I:I,$H990),"")</f>
        <v/>
      </c>
      <c r="C990" s="190" t="str">
        <f>IFERROR(VLOOKUP($B990,会计科目表!$A:$C,2,),"")</f>
        <v/>
      </c>
      <c r="D990" s="190" t="str">
        <f>IFERROR(VLOOKUP($B990,会计科目表!$A:$C,3,),"")</f>
        <v/>
      </c>
      <c r="E990" s="191">
        <f>IFERROR(INDEX(凭证录入!K:K,$H990),0)</f>
        <v>0</v>
      </c>
      <c r="F990" s="191">
        <f>IFERROR(INDEX(凭证录入!L:L,$H990),0)</f>
        <v>0</v>
      </c>
      <c r="G990" s="212" t="s">
        <v>490</v>
      </c>
      <c r="H990" s="192" t="str">
        <f t="shared" si="142"/>
        <v/>
      </c>
      <c r="I990" s="212"/>
    </row>
    <row r="991" spans="1:9" s="45" customFormat="1" ht="19.5" customHeight="1" thickBot="1">
      <c r="A991" s="189" t="str">
        <f>IFERROR(INDEX(凭证录入!H:H,$H991),"")</f>
        <v/>
      </c>
      <c r="B991" s="189" t="str">
        <f>IFERROR(INDEX(凭证录入!I:I,$H991),"")</f>
        <v/>
      </c>
      <c r="C991" s="190" t="str">
        <f>IFERROR(VLOOKUP($B991,会计科目表!$A:$C,2,),"")</f>
        <v/>
      </c>
      <c r="D991" s="190" t="str">
        <f>IFERROR(VLOOKUP($B991,会计科目表!$A:$C,3,),"")</f>
        <v/>
      </c>
      <c r="E991" s="191">
        <f>IFERROR(INDEX(凭证录入!K:K,$H991),0)</f>
        <v>0</v>
      </c>
      <c r="F991" s="191">
        <f>IFERROR(INDEX(凭证录入!L:L,$H991),0)</f>
        <v>0</v>
      </c>
      <c r="G991" s="212" t="s">
        <v>491</v>
      </c>
      <c r="H991" s="192" t="str">
        <f t="shared" si="142"/>
        <v/>
      </c>
      <c r="I991" s="212"/>
    </row>
    <row r="992" spans="1:9" s="45" customFormat="1" ht="19.5" customHeight="1" thickBot="1">
      <c r="A992" s="189" t="str">
        <f>IFERROR(INDEX(凭证录入!H:H,$H992),"")</f>
        <v/>
      </c>
      <c r="B992" s="189" t="str">
        <f>IFERROR(INDEX(凭证录入!I:I,$H992),"")</f>
        <v/>
      </c>
      <c r="C992" s="190" t="str">
        <f>IFERROR(VLOOKUP($B992,会计科目表!$A:$C,2,),"")</f>
        <v/>
      </c>
      <c r="D992" s="190" t="str">
        <f>IFERROR(VLOOKUP($B992,会计科目表!$A:$C,3,),"")</f>
        <v/>
      </c>
      <c r="E992" s="191">
        <f>IFERROR(INDEX(凭证录入!K:K,$H992),0)</f>
        <v>0</v>
      </c>
      <c r="F992" s="191">
        <f>IFERROR(INDEX(凭证录入!L:L,$H992),0)</f>
        <v>0</v>
      </c>
      <c r="G992" s="212" t="e">
        <f>INDEX(凭证录入!$D:$D,$H989)</f>
        <v>#VALUE!</v>
      </c>
      <c r="H992" s="192" t="str">
        <f t="shared" si="142"/>
        <v/>
      </c>
      <c r="I992" s="212"/>
    </row>
    <row r="993" spans="1:9" s="45" customFormat="1" ht="19.5" customHeight="1" thickBot="1">
      <c r="A993" s="189" t="str">
        <f>IFERROR(INDEX(凭证录入!H:H,$H993),"")</f>
        <v/>
      </c>
      <c r="B993" s="189" t="str">
        <f>IFERROR(INDEX(凭证录入!I:I,$H993),"")</f>
        <v/>
      </c>
      <c r="C993" s="190" t="str">
        <f>IFERROR(VLOOKUP($B993,会计科目表!$A:$C,2,),"")</f>
        <v/>
      </c>
      <c r="D993" s="190" t="str">
        <f>IFERROR(VLOOKUP($B993,会计科目表!$A:$C,3,),"")</f>
        <v/>
      </c>
      <c r="E993" s="191">
        <f>IFERROR(INDEX(凭证录入!K:K,$H993),0)</f>
        <v>0</v>
      </c>
      <c r="F993" s="191">
        <f>IFERROR(INDEX(凭证录入!L:L,$H993),0)</f>
        <v>0</v>
      </c>
      <c r="G993" s="212" t="s">
        <v>492</v>
      </c>
      <c r="H993" s="192" t="str">
        <f t="shared" si="142"/>
        <v/>
      </c>
    </row>
    <row r="994" spans="1:9" s="45" customFormat="1" ht="19.5" customHeight="1" thickBot="1">
      <c r="A994" s="189" t="str">
        <f>IFERROR(INDEX(凭证录入!H:H,$H994),"")</f>
        <v/>
      </c>
      <c r="B994" s="189" t="str">
        <f>IFERROR(INDEX(凭证录入!I:I,$H994),"")</f>
        <v/>
      </c>
      <c r="C994" s="190" t="str">
        <f>IFERROR(VLOOKUP($B994,会计科目表!$A:$C,2,),"")</f>
        <v/>
      </c>
      <c r="D994" s="190" t="str">
        <f>IFERROR(VLOOKUP($B994,会计科目表!$A:$C,3,),"")</f>
        <v/>
      </c>
      <c r="E994" s="191">
        <f>IFERROR(INDEX(凭证录入!K:K,$H994),0)</f>
        <v>0</v>
      </c>
      <c r="F994" s="191">
        <f>IFERROR(INDEX(凭证录入!L:L,$H994),0)</f>
        <v>0</v>
      </c>
      <c r="G994" s="212"/>
      <c r="H994" s="192" t="str">
        <f t="shared" si="142"/>
        <v/>
      </c>
    </row>
    <row r="995" spans="1:9" s="45" customFormat="1" ht="19.5" customHeight="1" thickBot="1">
      <c r="A995" s="193"/>
      <c r="B995" s="194" t="s">
        <v>485</v>
      </c>
      <c r="C995" s="195" t="str">
        <f>SUBSTITUTE(SUBSTITUTE(IF(-DOLLAR(E995),IF(E995&gt;0,,"负")&amp;TEXT(INT(ABS(E995)+0.5%),"[dbnum2]G/通用格式元;;")&amp;TEXT(RIGHT(DOLLAR(E995),2),"[dbnum2]0角0分;;整"),),"零角",IF(E995^2&lt;1,,"零")),"零分","整")</f>
        <v/>
      </c>
      <c r="D995" s="196"/>
      <c r="E995" s="197">
        <f>SUM(E989:E994)</f>
        <v>0</v>
      </c>
      <c r="F995" s="197">
        <f>SUM(F989:F994)</f>
        <v>0</v>
      </c>
      <c r="G995" s="212"/>
      <c r="H995" s="192" t="str">
        <f t="shared" si="142"/>
        <v/>
      </c>
    </row>
    <row r="996" spans="1:9" s="199" customFormat="1" ht="19.5" customHeight="1">
      <c r="A996" s="45" t="s">
        <v>486</v>
      </c>
      <c r="B996" s="45" t="s">
        <v>487</v>
      </c>
      <c r="C996" s="45" t="s">
        <v>488</v>
      </c>
      <c r="D996" s="45" t="s">
        <v>504</v>
      </c>
      <c r="E996" s="45" t="s">
        <v>489</v>
      </c>
      <c r="F996" s="212" t="str">
        <f>IF($E995&lt;&gt;$F995,"借贷不平","")</f>
        <v/>
      </c>
      <c r="G996" s="183"/>
      <c r="H996" s="198" t="str">
        <f t="shared" si="142"/>
        <v/>
      </c>
    </row>
    <row r="997" spans="1:9" ht="37.5" customHeight="1">
      <c r="A997" s="177" t="s">
        <v>493</v>
      </c>
      <c r="B997" s="178"/>
      <c r="C997" s="179"/>
      <c r="D997" s="179"/>
      <c r="E997" s="178"/>
      <c r="F997" s="178"/>
      <c r="G997" s="212"/>
      <c r="H997" s="192" t="str">
        <f t="shared" si="142"/>
        <v/>
      </c>
    </row>
    <row r="998" spans="1:9" s="45" customFormat="1" ht="19.5" customHeight="1" thickBot="1">
      <c r="C998" s="180" t="e">
        <f>DATEVALUE("2010-"&amp;$H$1&amp;"-"&amp;INDEX(凭证录入!B:B,H1001))</f>
        <v>#VALUE!</v>
      </c>
      <c r="D998" s="181"/>
      <c r="E998" s="182" t="s">
        <v>477</v>
      </c>
      <c r="F998" s="183" t="e">
        <f>N(LEFT((F986),3)+1)</f>
        <v>#VALUE!</v>
      </c>
      <c r="G998" s="212"/>
      <c r="H998" s="192" t="str">
        <f t="shared" si="142"/>
        <v/>
      </c>
      <c r="I998" s="184"/>
    </row>
    <row r="999" spans="1:9" s="45" customFormat="1" ht="19.5" customHeight="1" thickBot="1">
      <c r="A999" s="544" t="s">
        <v>494</v>
      </c>
      <c r="B999" s="545" t="s">
        <v>495</v>
      </c>
      <c r="C999" s="185" t="s">
        <v>496</v>
      </c>
      <c r="D999" s="186"/>
      <c r="E999" s="187"/>
      <c r="F999" s="482"/>
      <c r="G999" s="212"/>
      <c r="H999" s="192" t="str">
        <f t="shared" si="142"/>
        <v/>
      </c>
    </row>
    <row r="1000" spans="1:9" s="45" customFormat="1" ht="19.5" customHeight="1" thickBot="1">
      <c r="A1000" s="545"/>
      <c r="B1000" s="546"/>
      <c r="C1000" s="482" t="s">
        <v>497</v>
      </c>
      <c r="D1000" s="482" t="s">
        <v>498</v>
      </c>
      <c r="E1000" s="482" t="s">
        <v>499</v>
      </c>
      <c r="F1000" s="482" t="s">
        <v>500</v>
      </c>
      <c r="G1000" s="212"/>
      <c r="H1000" s="192" t="str">
        <f t="shared" si="142"/>
        <v/>
      </c>
    </row>
    <row r="1001" spans="1:9" s="45" customFormat="1" ht="19.5" customHeight="1" thickBot="1">
      <c r="A1001" s="189" t="str">
        <f>IFERROR(INDEX(凭证录入!H:H,$H1001),"")</f>
        <v/>
      </c>
      <c r="B1001" s="189" t="str">
        <f>IFERROR(INDEX(凭证录入!I:I,$H1001),"")</f>
        <v/>
      </c>
      <c r="C1001" s="190" t="str">
        <f>IFERROR(VLOOKUP($B1001,会计科目表!$A:$C,2,),"")</f>
        <v/>
      </c>
      <c r="D1001" s="190" t="str">
        <f>IFERROR(VLOOKUP($B1001,会计科目表!$A:$C,3,),"")</f>
        <v/>
      </c>
      <c r="E1001" s="191">
        <f>IFERROR(INDEX(凭证录入!K:K,$H1001),0)</f>
        <v>0</v>
      </c>
      <c r="F1001" s="191">
        <f>IFERROR(INDEX(凭证录入!L:L,$H1001),0)</f>
        <v>0</v>
      </c>
      <c r="G1001" s="212"/>
      <c r="H1001" s="192" t="str">
        <f t="shared" ref="H1001:H1064" si="143">IFERROR(INDEX(行号,TEXT(MOD(ROW(),12)-4,"[=]A")),"")</f>
        <v/>
      </c>
    </row>
    <row r="1002" spans="1:9" s="45" customFormat="1" ht="19.5" customHeight="1" thickBot="1">
      <c r="A1002" s="189" t="str">
        <f>IFERROR(INDEX(凭证录入!H:H,$H1002),"")</f>
        <v/>
      </c>
      <c r="B1002" s="189" t="str">
        <f>IFERROR(INDEX(凭证录入!I:I,$H1002),"")</f>
        <v/>
      </c>
      <c r="C1002" s="190" t="str">
        <f>IFERROR(VLOOKUP($B1002,会计科目表!$A:$C,2,),"")</f>
        <v/>
      </c>
      <c r="D1002" s="190" t="str">
        <f>IFERROR(VLOOKUP($B1002,会计科目表!$A:$C,3,),"")</f>
        <v/>
      </c>
      <c r="E1002" s="191">
        <f>IFERROR(INDEX(凭证录入!K:K,$H1002),0)</f>
        <v>0</v>
      </c>
      <c r="F1002" s="191">
        <f>IFERROR(INDEX(凭证录入!L:L,$H1002),0)</f>
        <v>0</v>
      </c>
      <c r="G1002" s="212" t="s">
        <v>490</v>
      </c>
      <c r="H1002" s="192" t="str">
        <f t="shared" si="143"/>
        <v/>
      </c>
      <c r="I1002" s="212"/>
    </row>
    <row r="1003" spans="1:9" s="45" customFormat="1" ht="19.5" customHeight="1" thickBot="1">
      <c r="A1003" s="189" t="str">
        <f>IFERROR(INDEX(凭证录入!H:H,$H1003),"")</f>
        <v/>
      </c>
      <c r="B1003" s="189" t="str">
        <f>IFERROR(INDEX(凭证录入!I:I,$H1003),"")</f>
        <v/>
      </c>
      <c r="C1003" s="190" t="str">
        <f>IFERROR(VLOOKUP($B1003,会计科目表!$A:$C,2,),"")</f>
        <v/>
      </c>
      <c r="D1003" s="190" t="str">
        <f>IFERROR(VLOOKUP($B1003,会计科目表!$A:$C,3,),"")</f>
        <v/>
      </c>
      <c r="E1003" s="191">
        <f>IFERROR(INDEX(凭证录入!K:K,$H1003),0)</f>
        <v>0</v>
      </c>
      <c r="F1003" s="191">
        <f>IFERROR(INDEX(凭证录入!L:L,$H1003),0)</f>
        <v>0</v>
      </c>
      <c r="G1003" s="212" t="s">
        <v>491</v>
      </c>
      <c r="H1003" s="192" t="str">
        <f t="shared" si="143"/>
        <v/>
      </c>
      <c r="I1003" s="212"/>
    </row>
    <row r="1004" spans="1:9" s="45" customFormat="1" ht="19.5" customHeight="1" thickBot="1">
      <c r="A1004" s="189" t="str">
        <f>IFERROR(INDEX(凭证录入!H:H,$H1004),"")</f>
        <v/>
      </c>
      <c r="B1004" s="189" t="str">
        <f>IFERROR(INDEX(凭证录入!I:I,$H1004),"")</f>
        <v/>
      </c>
      <c r="C1004" s="190" t="str">
        <f>IFERROR(VLOOKUP($B1004,会计科目表!$A:$C,2,),"")</f>
        <v/>
      </c>
      <c r="D1004" s="190" t="str">
        <f>IFERROR(VLOOKUP($B1004,会计科目表!$A:$C,3,),"")</f>
        <v/>
      </c>
      <c r="E1004" s="191">
        <f>IFERROR(INDEX(凭证录入!K:K,$H1004),0)</f>
        <v>0</v>
      </c>
      <c r="F1004" s="191">
        <f>IFERROR(INDEX(凭证录入!L:L,$H1004),0)</f>
        <v>0</v>
      </c>
      <c r="G1004" s="212" t="e">
        <f>INDEX(凭证录入!$D:$D,$H1001)</f>
        <v>#VALUE!</v>
      </c>
      <c r="H1004" s="192" t="str">
        <f t="shared" si="143"/>
        <v/>
      </c>
      <c r="I1004" s="212"/>
    </row>
    <row r="1005" spans="1:9" s="45" customFormat="1" ht="19.5" customHeight="1" thickBot="1">
      <c r="A1005" s="189" t="str">
        <f>IFERROR(INDEX(凭证录入!H:H,$H1005),"")</f>
        <v/>
      </c>
      <c r="B1005" s="189" t="str">
        <f>IFERROR(INDEX(凭证录入!I:I,$H1005),"")</f>
        <v/>
      </c>
      <c r="C1005" s="190" t="str">
        <f>IFERROR(VLOOKUP($B1005,会计科目表!$A:$C,2,),"")</f>
        <v/>
      </c>
      <c r="D1005" s="190" t="str">
        <f>IFERROR(VLOOKUP($B1005,会计科目表!$A:$C,3,),"")</f>
        <v/>
      </c>
      <c r="E1005" s="191">
        <f>IFERROR(INDEX(凭证录入!K:K,$H1005),0)</f>
        <v>0</v>
      </c>
      <c r="F1005" s="191">
        <f>IFERROR(INDEX(凭证录入!L:L,$H1005),0)</f>
        <v>0</v>
      </c>
      <c r="G1005" s="212" t="s">
        <v>492</v>
      </c>
      <c r="H1005" s="192" t="str">
        <f t="shared" si="143"/>
        <v/>
      </c>
    </row>
    <row r="1006" spans="1:9" s="45" customFormat="1" ht="19.5" customHeight="1" thickBot="1">
      <c r="A1006" s="189" t="str">
        <f>IFERROR(INDEX(凭证录入!H:H,$H1006),"")</f>
        <v/>
      </c>
      <c r="B1006" s="189" t="str">
        <f>IFERROR(INDEX(凭证录入!I:I,$H1006),"")</f>
        <v/>
      </c>
      <c r="C1006" s="190" t="str">
        <f>IFERROR(VLOOKUP($B1006,会计科目表!$A:$C,2,),"")</f>
        <v/>
      </c>
      <c r="D1006" s="190" t="str">
        <f>IFERROR(VLOOKUP($B1006,会计科目表!$A:$C,3,),"")</f>
        <v/>
      </c>
      <c r="E1006" s="191">
        <f>IFERROR(INDEX(凭证录入!K:K,$H1006),0)</f>
        <v>0</v>
      </c>
      <c r="F1006" s="191">
        <f>IFERROR(INDEX(凭证录入!L:L,$H1006),0)</f>
        <v>0</v>
      </c>
      <c r="G1006" s="212"/>
      <c r="H1006" s="192" t="str">
        <f t="shared" si="143"/>
        <v/>
      </c>
    </row>
    <row r="1007" spans="1:9" s="45" customFormat="1" ht="19.5" customHeight="1" thickBot="1">
      <c r="A1007" s="193"/>
      <c r="B1007" s="194" t="s">
        <v>485</v>
      </c>
      <c r="C1007" s="195" t="str">
        <f>SUBSTITUTE(SUBSTITUTE(IF(-DOLLAR(E1007),IF(E1007&gt;0,,"负")&amp;TEXT(INT(ABS(E1007)+0.5%),"[dbnum2]G/通用格式元;;")&amp;TEXT(RIGHT(DOLLAR(E1007),2),"[dbnum2]0角0分;;整"),),"零角",IF(E1007^2&lt;1,,"零")),"零分","整")</f>
        <v/>
      </c>
      <c r="D1007" s="196"/>
      <c r="E1007" s="197">
        <f>SUM(E1001:E1006)</f>
        <v>0</v>
      </c>
      <c r="F1007" s="197">
        <f>SUM(F1001:F1006)</f>
        <v>0</v>
      </c>
      <c r="G1007" s="212"/>
      <c r="H1007" s="192" t="str">
        <f t="shared" si="143"/>
        <v/>
      </c>
    </row>
    <row r="1008" spans="1:9" s="199" customFormat="1" ht="19.5" customHeight="1">
      <c r="A1008" s="45" t="s">
        <v>486</v>
      </c>
      <c r="B1008" s="45" t="s">
        <v>487</v>
      </c>
      <c r="C1008" s="45" t="s">
        <v>488</v>
      </c>
      <c r="D1008" s="45" t="s">
        <v>504</v>
      </c>
      <c r="E1008" s="45" t="s">
        <v>489</v>
      </c>
      <c r="F1008" s="212" t="str">
        <f>IF($E1007&lt;&gt;$F1007,"借贷不平","")</f>
        <v/>
      </c>
      <c r="G1008" s="183"/>
      <c r="H1008" s="198" t="str">
        <f t="shared" si="143"/>
        <v/>
      </c>
    </row>
    <row r="1009" spans="1:9" ht="37.5" customHeight="1">
      <c r="A1009" s="177" t="s">
        <v>493</v>
      </c>
      <c r="B1009" s="178"/>
      <c r="C1009" s="179"/>
      <c r="D1009" s="179"/>
      <c r="E1009" s="178"/>
      <c r="F1009" s="178"/>
      <c r="G1009" s="212"/>
      <c r="H1009" s="192" t="str">
        <f t="shared" si="143"/>
        <v/>
      </c>
    </row>
    <row r="1010" spans="1:9" s="45" customFormat="1" ht="19.5" customHeight="1" thickBot="1">
      <c r="C1010" s="180" t="e">
        <f>DATEVALUE("2010-"&amp;$H$1&amp;"-"&amp;INDEX(凭证录入!B:B,H1013))</f>
        <v>#VALUE!</v>
      </c>
      <c r="D1010" s="181"/>
      <c r="E1010" s="182" t="s">
        <v>477</v>
      </c>
      <c r="F1010" s="183" t="e">
        <f>N(LEFT((F998),3)+1)</f>
        <v>#VALUE!</v>
      </c>
      <c r="G1010" s="212"/>
      <c r="H1010" s="192" t="str">
        <f t="shared" si="143"/>
        <v/>
      </c>
      <c r="I1010" s="184"/>
    </row>
    <row r="1011" spans="1:9" s="45" customFormat="1" ht="19.5" customHeight="1" thickBot="1">
      <c r="A1011" s="544" t="s">
        <v>494</v>
      </c>
      <c r="B1011" s="545" t="s">
        <v>495</v>
      </c>
      <c r="C1011" s="185" t="s">
        <v>496</v>
      </c>
      <c r="D1011" s="186"/>
      <c r="E1011" s="187"/>
      <c r="F1011" s="482"/>
      <c r="G1011" s="212"/>
      <c r="H1011" s="192" t="str">
        <f t="shared" si="143"/>
        <v/>
      </c>
    </row>
    <row r="1012" spans="1:9" s="45" customFormat="1" ht="19.5" customHeight="1" thickBot="1">
      <c r="A1012" s="545"/>
      <c r="B1012" s="546"/>
      <c r="C1012" s="482" t="s">
        <v>497</v>
      </c>
      <c r="D1012" s="482" t="s">
        <v>498</v>
      </c>
      <c r="E1012" s="482" t="s">
        <v>499</v>
      </c>
      <c r="F1012" s="482" t="s">
        <v>500</v>
      </c>
      <c r="G1012" s="212"/>
      <c r="H1012" s="192" t="str">
        <f t="shared" si="143"/>
        <v/>
      </c>
    </row>
    <row r="1013" spans="1:9" s="45" customFormat="1" ht="19.5" customHeight="1" thickBot="1">
      <c r="A1013" s="189" t="str">
        <f>IFERROR(INDEX(凭证录入!H:H,$H1013),"")</f>
        <v/>
      </c>
      <c r="B1013" s="189" t="str">
        <f>IFERROR(INDEX(凭证录入!I:I,$H1013),"")</f>
        <v/>
      </c>
      <c r="C1013" s="190" t="str">
        <f>IFERROR(VLOOKUP($B1013,会计科目表!$A:$C,2,),"")</f>
        <v/>
      </c>
      <c r="D1013" s="190" t="str">
        <f>IFERROR(VLOOKUP($B1013,会计科目表!$A:$C,3,),"")</f>
        <v/>
      </c>
      <c r="E1013" s="191">
        <f>IFERROR(INDEX(凭证录入!K:K,$H1013),0)</f>
        <v>0</v>
      </c>
      <c r="F1013" s="191">
        <f>IFERROR(INDEX(凭证录入!L:L,$H1013),0)</f>
        <v>0</v>
      </c>
      <c r="G1013" s="212"/>
      <c r="H1013" s="192" t="str">
        <f t="shared" si="143"/>
        <v/>
      </c>
    </row>
    <row r="1014" spans="1:9" s="45" customFormat="1" ht="19.5" customHeight="1" thickBot="1">
      <c r="A1014" s="189" t="str">
        <f>IFERROR(INDEX(凭证录入!H:H,$H1014),"")</f>
        <v/>
      </c>
      <c r="B1014" s="189" t="str">
        <f>IFERROR(INDEX(凭证录入!I:I,$H1014),"")</f>
        <v/>
      </c>
      <c r="C1014" s="190" t="str">
        <f>IFERROR(VLOOKUP($B1014,会计科目表!$A:$C,2,),"")</f>
        <v/>
      </c>
      <c r="D1014" s="190" t="str">
        <f>IFERROR(VLOOKUP($B1014,会计科目表!$A:$C,3,),"")</f>
        <v/>
      </c>
      <c r="E1014" s="191">
        <f>IFERROR(INDEX(凭证录入!K:K,$H1014),0)</f>
        <v>0</v>
      </c>
      <c r="F1014" s="191">
        <f>IFERROR(INDEX(凭证录入!L:L,$H1014),0)</f>
        <v>0</v>
      </c>
      <c r="G1014" s="212" t="s">
        <v>490</v>
      </c>
      <c r="H1014" s="192" t="str">
        <f t="shared" si="143"/>
        <v/>
      </c>
      <c r="I1014" s="212"/>
    </row>
    <row r="1015" spans="1:9" s="45" customFormat="1" ht="19.5" customHeight="1" thickBot="1">
      <c r="A1015" s="189" t="str">
        <f>IFERROR(INDEX(凭证录入!H:H,$H1015),"")</f>
        <v/>
      </c>
      <c r="B1015" s="189" t="str">
        <f>IFERROR(INDEX(凭证录入!I:I,$H1015),"")</f>
        <v/>
      </c>
      <c r="C1015" s="190" t="str">
        <f>IFERROR(VLOOKUP($B1015,会计科目表!$A:$C,2,),"")</f>
        <v/>
      </c>
      <c r="D1015" s="190" t="str">
        <f>IFERROR(VLOOKUP($B1015,会计科目表!$A:$C,3,),"")</f>
        <v/>
      </c>
      <c r="E1015" s="191">
        <f>IFERROR(INDEX(凭证录入!K:K,$H1015),0)</f>
        <v>0</v>
      </c>
      <c r="F1015" s="191">
        <f>IFERROR(INDEX(凭证录入!L:L,$H1015),0)</f>
        <v>0</v>
      </c>
      <c r="G1015" s="212" t="s">
        <v>491</v>
      </c>
      <c r="H1015" s="192" t="str">
        <f t="shared" si="143"/>
        <v/>
      </c>
      <c r="I1015" s="212"/>
    </row>
    <row r="1016" spans="1:9" s="45" customFormat="1" ht="19.5" customHeight="1" thickBot="1">
      <c r="A1016" s="189" t="str">
        <f>IFERROR(INDEX(凭证录入!H:H,$H1016),"")</f>
        <v/>
      </c>
      <c r="B1016" s="189" t="str">
        <f>IFERROR(INDEX(凭证录入!I:I,$H1016),"")</f>
        <v/>
      </c>
      <c r="C1016" s="190" t="str">
        <f>IFERROR(VLOOKUP($B1016,会计科目表!$A:$C,2,),"")</f>
        <v/>
      </c>
      <c r="D1016" s="190" t="str">
        <f>IFERROR(VLOOKUP($B1016,会计科目表!$A:$C,3,),"")</f>
        <v/>
      </c>
      <c r="E1016" s="191">
        <f>IFERROR(INDEX(凭证录入!K:K,$H1016),0)</f>
        <v>0</v>
      </c>
      <c r="F1016" s="191">
        <f>IFERROR(INDEX(凭证录入!L:L,$H1016),0)</f>
        <v>0</v>
      </c>
      <c r="G1016" s="212" t="e">
        <f>INDEX(凭证录入!$D:$D,$H1013)</f>
        <v>#VALUE!</v>
      </c>
      <c r="H1016" s="192" t="str">
        <f t="shared" si="143"/>
        <v/>
      </c>
      <c r="I1016" s="212"/>
    </row>
    <row r="1017" spans="1:9" s="45" customFormat="1" ht="19.5" customHeight="1" thickBot="1">
      <c r="A1017" s="189" t="str">
        <f>IFERROR(INDEX(凭证录入!H:H,$H1017),"")</f>
        <v/>
      </c>
      <c r="B1017" s="189" t="str">
        <f>IFERROR(INDEX(凭证录入!I:I,$H1017),"")</f>
        <v/>
      </c>
      <c r="C1017" s="190" t="str">
        <f>IFERROR(VLOOKUP($B1017,会计科目表!$A:$C,2,),"")</f>
        <v/>
      </c>
      <c r="D1017" s="190" t="str">
        <f>IFERROR(VLOOKUP($B1017,会计科目表!$A:$C,3,),"")</f>
        <v/>
      </c>
      <c r="E1017" s="191">
        <f>IFERROR(INDEX(凭证录入!K:K,$H1017),0)</f>
        <v>0</v>
      </c>
      <c r="F1017" s="191">
        <f>IFERROR(INDEX(凭证录入!L:L,$H1017),0)</f>
        <v>0</v>
      </c>
      <c r="G1017" s="212" t="s">
        <v>492</v>
      </c>
      <c r="H1017" s="192" t="str">
        <f t="shared" si="143"/>
        <v/>
      </c>
    </row>
    <row r="1018" spans="1:9" s="45" customFormat="1" ht="19.5" customHeight="1" thickBot="1">
      <c r="A1018" s="189" t="str">
        <f>IFERROR(INDEX(凭证录入!H:H,$H1018),"")</f>
        <v/>
      </c>
      <c r="B1018" s="189" t="str">
        <f>IFERROR(INDEX(凭证录入!I:I,$H1018),"")</f>
        <v/>
      </c>
      <c r="C1018" s="190" t="str">
        <f>IFERROR(VLOOKUP($B1018,会计科目表!$A:$C,2,),"")</f>
        <v/>
      </c>
      <c r="D1018" s="190" t="str">
        <f>IFERROR(VLOOKUP($B1018,会计科目表!$A:$C,3,),"")</f>
        <v/>
      </c>
      <c r="E1018" s="191">
        <f>IFERROR(INDEX(凭证录入!K:K,$H1018),0)</f>
        <v>0</v>
      </c>
      <c r="F1018" s="191">
        <f>IFERROR(INDEX(凭证录入!L:L,$H1018),0)</f>
        <v>0</v>
      </c>
      <c r="G1018" s="212"/>
      <c r="H1018" s="192" t="str">
        <f t="shared" si="143"/>
        <v/>
      </c>
    </row>
    <row r="1019" spans="1:9" s="45" customFormat="1" ht="19.5" customHeight="1" thickBot="1">
      <c r="A1019" s="193"/>
      <c r="B1019" s="194" t="s">
        <v>485</v>
      </c>
      <c r="C1019" s="195" t="str">
        <f>SUBSTITUTE(SUBSTITUTE(IF(-DOLLAR(E1019),IF(E1019&gt;0,,"负")&amp;TEXT(INT(ABS(E1019)+0.5%),"[dbnum2]G/通用格式元;;")&amp;TEXT(RIGHT(DOLLAR(E1019),2),"[dbnum2]0角0分;;整"),),"零角",IF(E1019^2&lt;1,,"零")),"零分","整")</f>
        <v/>
      </c>
      <c r="D1019" s="196"/>
      <c r="E1019" s="197">
        <f>SUM(E1013:E1018)</f>
        <v>0</v>
      </c>
      <c r="F1019" s="197">
        <f>SUM(F1013:F1018)</f>
        <v>0</v>
      </c>
      <c r="G1019" s="212"/>
      <c r="H1019" s="192" t="str">
        <f t="shared" si="143"/>
        <v/>
      </c>
    </row>
    <row r="1020" spans="1:9" s="199" customFormat="1" ht="19.5" customHeight="1">
      <c r="A1020" s="45" t="s">
        <v>486</v>
      </c>
      <c r="B1020" s="45" t="s">
        <v>487</v>
      </c>
      <c r="C1020" s="45" t="s">
        <v>488</v>
      </c>
      <c r="D1020" s="45" t="s">
        <v>504</v>
      </c>
      <c r="E1020" s="45" t="s">
        <v>489</v>
      </c>
      <c r="F1020" s="212" t="str">
        <f>IF($E1019&lt;&gt;$F1019,"借贷不平","")</f>
        <v/>
      </c>
      <c r="G1020" s="183"/>
      <c r="H1020" s="198" t="str">
        <f t="shared" si="143"/>
        <v/>
      </c>
    </row>
    <row r="1021" spans="1:9" ht="37.5" customHeight="1">
      <c r="A1021" s="177" t="s">
        <v>493</v>
      </c>
      <c r="B1021" s="178"/>
      <c r="C1021" s="179"/>
      <c r="D1021" s="179"/>
      <c r="E1021" s="178"/>
      <c r="F1021" s="178"/>
      <c r="G1021" s="212"/>
      <c r="H1021" s="192" t="str">
        <f t="shared" si="143"/>
        <v/>
      </c>
    </row>
    <row r="1022" spans="1:9" s="45" customFormat="1" ht="19.5" customHeight="1" thickBot="1">
      <c r="C1022" s="180" t="e">
        <f>DATEVALUE("2010-"&amp;$H$1&amp;"-"&amp;INDEX(凭证录入!B:B,H1025))</f>
        <v>#VALUE!</v>
      </c>
      <c r="D1022" s="181"/>
      <c r="E1022" s="182" t="s">
        <v>477</v>
      </c>
      <c r="F1022" s="183" t="e">
        <f>N(LEFT((F1010),3)+1)</f>
        <v>#VALUE!</v>
      </c>
      <c r="G1022" s="212"/>
      <c r="H1022" s="192" t="str">
        <f t="shared" si="143"/>
        <v/>
      </c>
      <c r="I1022" s="184"/>
    </row>
    <row r="1023" spans="1:9" s="45" customFormat="1" ht="19.5" customHeight="1" thickBot="1">
      <c r="A1023" s="544" t="s">
        <v>494</v>
      </c>
      <c r="B1023" s="545" t="s">
        <v>495</v>
      </c>
      <c r="C1023" s="185" t="s">
        <v>496</v>
      </c>
      <c r="D1023" s="186"/>
      <c r="E1023" s="187"/>
      <c r="F1023" s="482"/>
      <c r="G1023" s="212"/>
      <c r="H1023" s="192" t="str">
        <f t="shared" si="143"/>
        <v/>
      </c>
    </row>
    <row r="1024" spans="1:9" s="45" customFormat="1" ht="19.5" customHeight="1" thickBot="1">
      <c r="A1024" s="545"/>
      <c r="B1024" s="546"/>
      <c r="C1024" s="482" t="s">
        <v>497</v>
      </c>
      <c r="D1024" s="482" t="s">
        <v>498</v>
      </c>
      <c r="E1024" s="482" t="s">
        <v>499</v>
      </c>
      <c r="F1024" s="482" t="s">
        <v>500</v>
      </c>
      <c r="G1024" s="212"/>
      <c r="H1024" s="192" t="str">
        <f t="shared" si="143"/>
        <v/>
      </c>
    </row>
    <row r="1025" spans="1:9" s="45" customFormat="1" ht="19.5" customHeight="1" thickBot="1">
      <c r="A1025" s="189" t="str">
        <f>IFERROR(INDEX(凭证录入!H:H,$H1025),"")</f>
        <v/>
      </c>
      <c r="B1025" s="189" t="str">
        <f>IFERROR(INDEX(凭证录入!I:I,$H1025),"")</f>
        <v/>
      </c>
      <c r="C1025" s="190" t="str">
        <f>IFERROR(VLOOKUP($B1025,会计科目表!$A:$C,2,),"")</f>
        <v/>
      </c>
      <c r="D1025" s="190" t="str">
        <f>IFERROR(VLOOKUP($B1025,会计科目表!$A:$C,3,),"")</f>
        <v/>
      </c>
      <c r="E1025" s="191">
        <f>IFERROR(INDEX(凭证录入!K:K,$H1025),0)</f>
        <v>0</v>
      </c>
      <c r="F1025" s="191">
        <f>IFERROR(INDEX(凭证录入!L:L,$H1025),0)</f>
        <v>0</v>
      </c>
      <c r="G1025" s="212"/>
      <c r="H1025" s="192" t="str">
        <f t="shared" si="143"/>
        <v/>
      </c>
    </row>
    <row r="1026" spans="1:9" s="45" customFormat="1" ht="19.5" customHeight="1" thickBot="1">
      <c r="A1026" s="189" t="str">
        <f>IFERROR(INDEX(凭证录入!H:H,$H1026),"")</f>
        <v/>
      </c>
      <c r="B1026" s="189" t="str">
        <f>IFERROR(INDEX(凭证录入!I:I,$H1026),"")</f>
        <v/>
      </c>
      <c r="C1026" s="190" t="str">
        <f>IFERROR(VLOOKUP($B1026,会计科目表!$A:$C,2,),"")</f>
        <v/>
      </c>
      <c r="D1026" s="190" t="str">
        <f>IFERROR(VLOOKUP($B1026,会计科目表!$A:$C,3,),"")</f>
        <v/>
      </c>
      <c r="E1026" s="191">
        <f>IFERROR(INDEX(凭证录入!K:K,$H1026),0)</f>
        <v>0</v>
      </c>
      <c r="F1026" s="191">
        <f>IFERROR(INDEX(凭证录入!L:L,$H1026),0)</f>
        <v>0</v>
      </c>
      <c r="G1026" s="212" t="s">
        <v>490</v>
      </c>
      <c r="H1026" s="192" t="str">
        <f t="shared" si="143"/>
        <v/>
      </c>
      <c r="I1026" s="212"/>
    </row>
    <row r="1027" spans="1:9" s="45" customFormat="1" ht="19.5" customHeight="1" thickBot="1">
      <c r="A1027" s="189" t="str">
        <f>IFERROR(INDEX(凭证录入!H:H,$H1027),"")</f>
        <v/>
      </c>
      <c r="B1027" s="189" t="str">
        <f>IFERROR(INDEX(凭证录入!I:I,$H1027),"")</f>
        <v/>
      </c>
      <c r="C1027" s="190" t="str">
        <f>IFERROR(VLOOKUP($B1027,会计科目表!$A:$C,2,),"")</f>
        <v/>
      </c>
      <c r="D1027" s="190" t="str">
        <f>IFERROR(VLOOKUP($B1027,会计科目表!$A:$C,3,),"")</f>
        <v/>
      </c>
      <c r="E1027" s="191">
        <f>IFERROR(INDEX(凭证录入!K:K,$H1027),0)</f>
        <v>0</v>
      </c>
      <c r="F1027" s="191">
        <f>IFERROR(INDEX(凭证录入!L:L,$H1027),0)</f>
        <v>0</v>
      </c>
      <c r="G1027" s="212" t="s">
        <v>491</v>
      </c>
      <c r="H1027" s="192" t="str">
        <f t="shared" si="143"/>
        <v/>
      </c>
      <c r="I1027" s="212"/>
    </row>
    <row r="1028" spans="1:9" s="45" customFormat="1" ht="19.5" customHeight="1" thickBot="1">
      <c r="A1028" s="189" t="str">
        <f>IFERROR(INDEX(凭证录入!H:H,$H1028),"")</f>
        <v/>
      </c>
      <c r="B1028" s="189" t="str">
        <f>IFERROR(INDEX(凭证录入!I:I,$H1028),"")</f>
        <v/>
      </c>
      <c r="C1028" s="190" t="str">
        <f>IFERROR(VLOOKUP($B1028,会计科目表!$A:$C,2,),"")</f>
        <v/>
      </c>
      <c r="D1028" s="190" t="str">
        <f>IFERROR(VLOOKUP($B1028,会计科目表!$A:$C,3,),"")</f>
        <v/>
      </c>
      <c r="E1028" s="191">
        <f>IFERROR(INDEX(凭证录入!K:K,$H1028),0)</f>
        <v>0</v>
      </c>
      <c r="F1028" s="191">
        <f>IFERROR(INDEX(凭证录入!L:L,$H1028),0)</f>
        <v>0</v>
      </c>
      <c r="G1028" s="212" t="e">
        <f>INDEX(凭证录入!$D:$D,$H1025)</f>
        <v>#VALUE!</v>
      </c>
      <c r="H1028" s="192" t="str">
        <f t="shared" si="143"/>
        <v/>
      </c>
      <c r="I1028" s="212"/>
    </row>
    <row r="1029" spans="1:9" s="45" customFormat="1" ht="19.5" customHeight="1" thickBot="1">
      <c r="A1029" s="189" t="str">
        <f>IFERROR(INDEX(凭证录入!H:H,$H1029),"")</f>
        <v/>
      </c>
      <c r="B1029" s="189" t="str">
        <f>IFERROR(INDEX(凭证录入!I:I,$H1029),"")</f>
        <v/>
      </c>
      <c r="C1029" s="190" t="str">
        <f>IFERROR(VLOOKUP($B1029,会计科目表!$A:$C,2,),"")</f>
        <v/>
      </c>
      <c r="D1029" s="190" t="str">
        <f>IFERROR(VLOOKUP($B1029,会计科目表!$A:$C,3,),"")</f>
        <v/>
      </c>
      <c r="E1029" s="191">
        <f>IFERROR(INDEX(凭证录入!K:K,$H1029),0)</f>
        <v>0</v>
      </c>
      <c r="F1029" s="191">
        <f>IFERROR(INDEX(凭证录入!L:L,$H1029),0)</f>
        <v>0</v>
      </c>
      <c r="G1029" s="212" t="s">
        <v>492</v>
      </c>
      <c r="H1029" s="192" t="str">
        <f t="shared" si="143"/>
        <v/>
      </c>
    </row>
    <row r="1030" spans="1:9" s="45" customFormat="1" ht="19.5" customHeight="1" thickBot="1">
      <c r="A1030" s="189" t="str">
        <f>IFERROR(INDEX(凭证录入!H:H,$H1030),"")</f>
        <v/>
      </c>
      <c r="B1030" s="189" t="str">
        <f>IFERROR(INDEX(凭证录入!I:I,$H1030),"")</f>
        <v/>
      </c>
      <c r="C1030" s="190" t="str">
        <f>IFERROR(VLOOKUP($B1030,会计科目表!$A:$C,2,),"")</f>
        <v/>
      </c>
      <c r="D1030" s="190" t="str">
        <f>IFERROR(VLOOKUP($B1030,会计科目表!$A:$C,3,),"")</f>
        <v/>
      </c>
      <c r="E1030" s="191">
        <f>IFERROR(INDEX(凭证录入!K:K,$H1030),0)</f>
        <v>0</v>
      </c>
      <c r="F1030" s="191">
        <f>IFERROR(INDEX(凭证录入!L:L,$H1030),0)</f>
        <v>0</v>
      </c>
      <c r="G1030" s="212"/>
      <c r="H1030" s="192" t="str">
        <f t="shared" si="143"/>
        <v/>
      </c>
    </row>
    <row r="1031" spans="1:9" s="45" customFormat="1" ht="19.5" customHeight="1" thickBot="1">
      <c r="A1031" s="193"/>
      <c r="B1031" s="194" t="s">
        <v>485</v>
      </c>
      <c r="C1031" s="195" t="str">
        <f>SUBSTITUTE(SUBSTITUTE(IF(-DOLLAR(E1031),IF(E1031&gt;0,,"负")&amp;TEXT(INT(ABS(E1031)+0.5%),"[dbnum2]G/通用格式元;;")&amp;TEXT(RIGHT(DOLLAR(E1031),2),"[dbnum2]0角0分;;整"),),"零角",IF(E1031^2&lt;1,,"零")),"零分","整")</f>
        <v/>
      </c>
      <c r="D1031" s="196"/>
      <c r="E1031" s="197">
        <f>SUM(E1025:E1030)</f>
        <v>0</v>
      </c>
      <c r="F1031" s="197">
        <f>SUM(F1025:F1030)</f>
        <v>0</v>
      </c>
      <c r="G1031" s="212"/>
      <c r="H1031" s="192" t="str">
        <f t="shared" si="143"/>
        <v/>
      </c>
    </row>
    <row r="1032" spans="1:9" s="199" customFormat="1" ht="19.5" customHeight="1">
      <c r="A1032" s="45" t="s">
        <v>486</v>
      </c>
      <c r="B1032" s="45" t="s">
        <v>487</v>
      </c>
      <c r="C1032" s="45" t="s">
        <v>488</v>
      </c>
      <c r="D1032" s="45" t="s">
        <v>504</v>
      </c>
      <c r="E1032" s="45" t="s">
        <v>489</v>
      </c>
      <c r="F1032" s="212" t="str">
        <f>IF($E1031&lt;&gt;$F1031,"借贷不平","")</f>
        <v/>
      </c>
      <c r="G1032" s="183"/>
      <c r="H1032" s="198" t="str">
        <f t="shared" si="143"/>
        <v/>
      </c>
    </row>
    <row r="1033" spans="1:9" ht="37.5" customHeight="1">
      <c r="A1033" s="177" t="s">
        <v>493</v>
      </c>
      <c r="B1033" s="178"/>
      <c r="C1033" s="179"/>
      <c r="D1033" s="179"/>
      <c r="E1033" s="178"/>
      <c r="F1033" s="178"/>
      <c r="G1033" s="212"/>
      <c r="H1033" s="192" t="str">
        <f t="shared" si="143"/>
        <v/>
      </c>
    </row>
    <row r="1034" spans="1:9" s="45" customFormat="1" ht="19.5" customHeight="1" thickBot="1">
      <c r="C1034" s="180" t="e">
        <f>DATEVALUE("2010-"&amp;$H$1&amp;"-"&amp;INDEX(凭证录入!B:B,H1037))</f>
        <v>#VALUE!</v>
      </c>
      <c r="D1034" s="181"/>
      <c r="E1034" s="182" t="s">
        <v>477</v>
      </c>
      <c r="F1034" s="183" t="e">
        <f>N(LEFT((F1022),3)+1)</f>
        <v>#VALUE!</v>
      </c>
      <c r="G1034" s="212"/>
      <c r="H1034" s="192" t="str">
        <f t="shared" si="143"/>
        <v/>
      </c>
      <c r="I1034" s="184"/>
    </row>
    <row r="1035" spans="1:9" s="45" customFormat="1" ht="19.5" customHeight="1" thickBot="1">
      <c r="A1035" s="544" t="s">
        <v>494</v>
      </c>
      <c r="B1035" s="545" t="s">
        <v>495</v>
      </c>
      <c r="C1035" s="185" t="s">
        <v>496</v>
      </c>
      <c r="D1035" s="186"/>
      <c r="E1035" s="187"/>
      <c r="F1035" s="482"/>
      <c r="G1035" s="212"/>
      <c r="H1035" s="192" t="str">
        <f t="shared" si="143"/>
        <v/>
      </c>
    </row>
    <row r="1036" spans="1:9" s="45" customFormat="1" ht="19.5" customHeight="1" thickBot="1">
      <c r="A1036" s="545"/>
      <c r="B1036" s="546"/>
      <c r="C1036" s="482" t="s">
        <v>497</v>
      </c>
      <c r="D1036" s="482" t="s">
        <v>498</v>
      </c>
      <c r="E1036" s="482" t="s">
        <v>499</v>
      </c>
      <c r="F1036" s="482" t="s">
        <v>500</v>
      </c>
      <c r="G1036" s="212"/>
      <c r="H1036" s="192" t="str">
        <f t="shared" si="143"/>
        <v/>
      </c>
    </row>
    <row r="1037" spans="1:9" s="45" customFormat="1" ht="19.5" customHeight="1" thickBot="1">
      <c r="A1037" s="189" t="str">
        <f>IFERROR(INDEX(凭证录入!H:H,$H1037),"")</f>
        <v/>
      </c>
      <c r="B1037" s="189" t="str">
        <f>IFERROR(INDEX(凭证录入!I:I,$H1037),"")</f>
        <v/>
      </c>
      <c r="C1037" s="190" t="str">
        <f>IFERROR(VLOOKUP($B1037,会计科目表!$A:$C,2,),"")</f>
        <v/>
      </c>
      <c r="D1037" s="190" t="str">
        <f>IFERROR(VLOOKUP($B1037,会计科目表!$A:$C,3,),"")</f>
        <v/>
      </c>
      <c r="E1037" s="191">
        <f>IFERROR(INDEX(凭证录入!K:K,$H1037),0)</f>
        <v>0</v>
      </c>
      <c r="F1037" s="191">
        <f>IFERROR(INDEX(凭证录入!L:L,$H1037),0)</f>
        <v>0</v>
      </c>
      <c r="G1037" s="212"/>
      <c r="H1037" s="192" t="str">
        <f t="shared" si="143"/>
        <v/>
      </c>
    </row>
    <row r="1038" spans="1:9" s="45" customFormat="1" ht="19.5" customHeight="1" thickBot="1">
      <c r="A1038" s="189" t="str">
        <f>IFERROR(INDEX(凭证录入!H:H,$H1038),"")</f>
        <v/>
      </c>
      <c r="B1038" s="189" t="str">
        <f>IFERROR(INDEX(凭证录入!I:I,$H1038),"")</f>
        <v/>
      </c>
      <c r="C1038" s="190" t="str">
        <f>IFERROR(VLOOKUP($B1038,会计科目表!$A:$C,2,),"")</f>
        <v/>
      </c>
      <c r="D1038" s="190" t="str">
        <f>IFERROR(VLOOKUP($B1038,会计科目表!$A:$C,3,),"")</f>
        <v/>
      </c>
      <c r="E1038" s="191">
        <f>IFERROR(INDEX(凭证录入!K:K,$H1038),0)</f>
        <v>0</v>
      </c>
      <c r="F1038" s="191">
        <f>IFERROR(INDEX(凭证录入!L:L,$H1038),0)</f>
        <v>0</v>
      </c>
      <c r="G1038" s="212" t="s">
        <v>490</v>
      </c>
      <c r="H1038" s="192" t="str">
        <f t="shared" si="143"/>
        <v/>
      </c>
      <c r="I1038" s="212"/>
    </row>
    <row r="1039" spans="1:9" s="45" customFormat="1" ht="19.5" customHeight="1" thickBot="1">
      <c r="A1039" s="189" t="str">
        <f>IFERROR(INDEX(凭证录入!H:H,$H1039),"")</f>
        <v/>
      </c>
      <c r="B1039" s="189" t="str">
        <f>IFERROR(INDEX(凭证录入!I:I,$H1039),"")</f>
        <v/>
      </c>
      <c r="C1039" s="190" t="str">
        <f>IFERROR(VLOOKUP($B1039,会计科目表!$A:$C,2,),"")</f>
        <v/>
      </c>
      <c r="D1039" s="190" t="str">
        <f>IFERROR(VLOOKUP($B1039,会计科目表!$A:$C,3,),"")</f>
        <v/>
      </c>
      <c r="E1039" s="191">
        <f>IFERROR(INDEX(凭证录入!K:K,$H1039),0)</f>
        <v>0</v>
      </c>
      <c r="F1039" s="191">
        <f>IFERROR(INDEX(凭证录入!L:L,$H1039),0)</f>
        <v>0</v>
      </c>
      <c r="G1039" s="212" t="s">
        <v>491</v>
      </c>
      <c r="H1039" s="192" t="str">
        <f t="shared" si="143"/>
        <v/>
      </c>
      <c r="I1039" s="212"/>
    </row>
    <row r="1040" spans="1:9" s="45" customFormat="1" ht="19.5" customHeight="1" thickBot="1">
      <c r="A1040" s="189" t="str">
        <f>IFERROR(INDEX(凭证录入!H:H,$H1040),"")</f>
        <v/>
      </c>
      <c r="B1040" s="189" t="str">
        <f>IFERROR(INDEX(凭证录入!I:I,$H1040),"")</f>
        <v/>
      </c>
      <c r="C1040" s="190" t="str">
        <f>IFERROR(VLOOKUP($B1040,会计科目表!$A:$C,2,),"")</f>
        <v/>
      </c>
      <c r="D1040" s="190" t="str">
        <f>IFERROR(VLOOKUP($B1040,会计科目表!$A:$C,3,),"")</f>
        <v/>
      </c>
      <c r="E1040" s="191">
        <f>IFERROR(INDEX(凭证录入!K:K,$H1040),0)</f>
        <v>0</v>
      </c>
      <c r="F1040" s="191">
        <f>IFERROR(INDEX(凭证录入!L:L,$H1040),0)</f>
        <v>0</v>
      </c>
      <c r="G1040" s="212" t="e">
        <f>INDEX(凭证录入!$D:$D,$H1037)</f>
        <v>#VALUE!</v>
      </c>
      <c r="H1040" s="192" t="str">
        <f t="shared" si="143"/>
        <v/>
      </c>
      <c r="I1040" s="212"/>
    </row>
    <row r="1041" spans="1:9" s="45" customFormat="1" ht="19.5" customHeight="1" thickBot="1">
      <c r="A1041" s="189" t="str">
        <f>IFERROR(INDEX(凭证录入!H:H,$H1041),"")</f>
        <v/>
      </c>
      <c r="B1041" s="189" t="str">
        <f>IFERROR(INDEX(凭证录入!I:I,$H1041),"")</f>
        <v/>
      </c>
      <c r="C1041" s="190" t="str">
        <f>IFERROR(VLOOKUP($B1041,会计科目表!$A:$C,2,),"")</f>
        <v/>
      </c>
      <c r="D1041" s="190" t="str">
        <f>IFERROR(VLOOKUP($B1041,会计科目表!$A:$C,3,),"")</f>
        <v/>
      </c>
      <c r="E1041" s="191">
        <f>IFERROR(INDEX(凭证录入!K:K,$H1041),0)</f>
        <v>0</v>
      </c>
      <c r="F1041" s="191">
        <f>IFERROR(INDEX(凭证录入!L:L,$H1041),0)</f>
        <v>0</v>
      </c>
      <c r="G1041" s="212" t="s">
        <v>492</v>
      </c>
      <c r="H1041" s="192" t="str">
        <f t="shared" si="143"/>
        <v/>
      </c>
    </row>
    <row r="1042" spans="1:9" s="45" customFormat="1" ht="19.5" customHeight="1" thickBot="1">
      <c r="A1042" s="189" t="str">
        <f>IFERROR(INDEX(凭证录入!H:H,$H1042),"")</f>
        <v/>
      </c>
      <c r="B1042" s="189" t="str">
        <f>IFERROR(INDEX(凭证录入!I:I,$H1042),"")</f>
        <v/>
      </c>
      <c r="C1042" s="190" t="str">
        <f>IFERROR(VLOOKUP($B1042,会计科目表!$A:$C,2,),"")</f>
        <v/>
      </c>
      <c r="D1042" s="190" t="str">
        <f>IFERROR(VLOOKUP($B1042,会计科目表!$A:$C,3,),"")</f>
        <v/>
      </c>
      <c r="E1042" s="191">
        <f>IFERROR(INDEX(凭证录入!K:K,$H1042),0)</f>
        <v>0</v>
      </c>
      <c r="F1042" s="191">
        <f>IFERROR(INDEX(凭证录入!L:L,$H1042),0)</f>
        <v>0</v>
      </c>
      <c r="G1042" s="212"/>
      <c r="H1042" s="192" t="str">
        <f t="shared" si="143"/>
        <v/>
      </c>
    </row>
    <row r="1043" spans="1:9" s="45" customFormat="1" ht="19.5" customHeight="1" thickBot="1">
      <c r="A1043" s="193"/>
      <c r="B1043" s="194" t="s">
        <v>485</v>
      </c>
      <c r="C1043" s="195" t="str">
        <f>SUBSTITUTE(SUBSTITUTE(IF(-DOLLAR(E1043),IF(E1043&gt;0,,"负")&amp;TEXT(INT(ABS(E1043)+0.5%),"[dbnum2]G/通用格式元;;")&amp;TEXT(RIGHT(DOLLAR(E1043),2),"[dbnum2]0角0分;;整"),),"零角",IF(E1043^2&lt;1,,"零")),"零分","整")</f>
        <v/>
      </c>
      <c r="D1043" s="196"/>
      <c r="E1043" s="197">
        <f>SUM(E1037:E1042)</f>
        <v>0</v>
      </c>
      <c r="F1043" s="197">
        <f>SUM(F1037:F1042)</f>
        <v>0</v>
      </c>
      <c r="G1043" s="212"/>
      <c r="H1043" s="192" t="str">
        <f t="shared" si="143"/>
        <v/>
      </c>
    </row>
    <row r="1044" spans="1:9" s="199" customFormat="1" ht="19.5" customHeight="1">
      <c r="A1044" s="45" t="s">
        <v>486</v>
      </c>
      <c r="B1044" s="45" t="s">
        <v>487</v>
      </c>
      <c r="C1044" s="45" t="s">
        <v>488</v>
      </c>
      <c r="D1044" s="45" t="s">
        <v>504</v>
      </c>
      <c r="E1044" s="45" t="s">
        <v>489</v>
      </c>
      <c r="F1044" s="212" t="str">
        <f>IF($E1043&lt;&gt;$F1043,"借贷不平","")</f>
        <v/>
      </c>
      <c r="G1044" s="183"/>
      <c r="H1044" s="198" t="str">
        <f t="shared" si="143"/>
        <v/>
      </c>
    </row>
    <row r="1045" spans="1:9" ht="37.5" customHeight="1">
      <c r="A1045" s="177" t="s">
        <v>493</v>
      </c>
      <c r="B1045" s="178"/>
      <c r="C1045" s="179"/>
      <c r="D1045" s="179"/>
      <c r="E1045" s="178"/>
      <c r="F1045" s="178"/>
      <c r="G1045" s="212"/>
      <c r="H1045" s="192" t="str">
        <f t="shared" si="143"/>
        <v/>
      </c>
    </row>
    <row r="1046" spans="1:9" s="45" customFormat="1" ht="19.5" customHeight="1" thickBot="1">
      <c r="C1046" s="180" t="e">
        <f>DATEVALUE("2010-"&amp;$H$1&amp;"-"&amp;INDEX(凭证录入!B:B,H1049))</f>
        <v>#VALUE!</v>
      </c>
      <c r="D1046" s="181"/>
      <c r="E1046" s="182" t="s">
        <v>477</v>
      </c>
      <c r="F1046" s="183" t="e">
        <f>N(LEFT((F1034),3)+1)</f>
        <v>#VALUE!</v>
      </c>
      <c r="G1046" s="212"/>
      <c r="H1046" s="192" t="str">
        <f t="shared" si="143"/>
        <v/>
      </c>
      <c r="I1046" s="184"/>
    </row>
    <row r="1047" spans="1:9" s="45" customFormat="1" ht="19.5" customHeight="1" thickBot="1">
      <c r="A1047" s="544" t="s">
        <v>494</v>
      </c>
      <c r="B1047" s="545" t="s">
        <v>495</v>
      </c>
      <c r="C1047" s="185" t="s">
        <v>496</v>
      </c>
      <c r="D1047" s="186"/>
      <c r="E1047" s="187"/>
      <c r="F1047" s="482"/>
      <c r="G1047" s="212"/>
      <c r="H1047" s="192" t="str">
        <f t="shared" si="143"/>
        <v/>
      </c>
    </row>
    <row r="1048" spans="1:9" s="45" customFormat="1" ht="19.5" customHeight="1" thickBot="1">
      <c r="A1048" s="545"/>
      <c r="B1048" s="546"/>
      <c r="C1048" s="482" t="s">
        <v>497</v>
      </c>
      <c r="D1048" s="482" t="s">
        <v>498</v>
      </c>
      <c r="E1048" s="482" t="s">
        <v>499</v>
      </c>
      <c r="F1048" s="482" t="s">
        <v>500</v>
      </c>
      <c r="G1048" s="212"/>
      <c r="H1048" s="192" t="str">
        <f t="shared" si="143"/>
        <v/>
      </c>
    </row>
    <row r="1049" spans="1:9" s="45" customFormat="1" ht="19.5" customHeight="1" thickBot="1">
      <c r="A1049" s="189" t="str">
        <f>IFERROR(INDEX(凭证录入!H:H,$H1049),"")</f>
        <v/>
      </c>
      <c r="B1049" s="189" t="str">
        <f>IFERROR(INDEX(凭证录入!I:I,$H1049),"")</f>
        <v/>
      </c>
      <c r="C1049" s="190" t="str">
        <f>IFERROR(VLOOKUP($B1049,会计科目表!$A:$C,2,),"")</f>
        <v/>
      </c>
      <c r="D1049" s="190" t="str">
        <f>IFERROR(VLOOKUP($B1049,会计科目表!$A:$C,3,),"")</f>
        <v/>
      </c>
      <c r="E1049" s="191">
        <f>IFERROR(INDEX(凭证录入!K:K,$H1049),0)</f>
        <v>0</v>
      </c>
      <c r="F1049" s="191">
        <f>IFERROR(INDEX(凭证录入!L:L,$H1049),0)</f>
        <v>0</v>
      </c>
      <c r="G1049" s="212"/>
      <c r="H1049" s="192" t="str">
        <f t="shared" si="143"/>
        <v/>
      </c>
    </row>
    <row r="1050" spans="1:9" s="45" customFormat="1" ht="19.5" customHeight="1" thickBot="1">
      <c r="A1050" s="189" t="str">
        <f>IFERROR(INDEX(凭证录入!H:H,$H1050),"")</f>
        <v/>
      </c>
      <c r="B1050" s="189" t="str">
        <f>IFERROR(INDEX(凭证录入!I:I,$H1050),"")</f>
        <v/>
      </c>
      <c r="C1050" s="190" t="str">
        <f>IFERROR(VLOOKUP($B1050,会计科目表!$A:$C,2,),"")</f>
        <v/>
      </c>
      <c r="D1050" s="190" t="str">
        <f>IFERROR(VLOOKUP($B1050,会计科目表!$A:$C,3,),"")</f>
        <v/>
      </c>
      <c r="E1050" s="191">
        <f>IFERROR(INDEX(凭证录入!K:K,$H1050),0)</f>
        <v>0</v>
      </c>
      <c r="F1050" s="191">
        <f>IFERROR(INDEX(凭证录入!L:L,$H1050),0)</f>
        <v>0</v>
      </c>
      <c r="G1050" s="212" t="s">
        <v>490</v>
      </c>
      <c r="H1050" s="192" t="str">
        <f t="shared" si="143"/>
        <v/>
      </c>
      <c r="I1050" s="212"/>
    </row>
    <row r="1051" spans="1:9" s="45" customFormat="1" ht="19.5" customHeight="1" thickBot="1">
      <c r="A1051" s="189" t="str">
        <f>IFERROR(INDEX(凭证录入!H:H,$H1051),"")</f>
        <v/>
      </c>
      <c r="B1051" s="189" t="str">
        <f>IFERROR(INDEX(凭证录入!I:I,$H1051),"")</f>
        <v/>
      </c>
      <c r="C1051" s="190" t="str">
        <f>IFERROR(VLOOKUP($B1051,会计科目表!$A:$C,2,),"")</f>
        <v/>
      </c>
      <c r="D1051" s="190" t="str">
        <f>IFERROR(VLOOKUP($B1051,会计科目表!$A:$C,3,),"")</f>
        <v/>
      </c>
      <c r="E1051" s="191">
        <f>IFERROR(INDEX(凭证录入!K:K,$H1051),0)</f>
        <v>0</v>
      </c>
      <c r="F1051" s="191">
        <f>IFERROR(INDEX(凭证录入!L:L,$H1051),0)</f>
        <v>0</v>
      </c>
      <c r="G1051" s="212" t="s">
        <v>491</v>
      </c>
      <c r="H1051" s="192" t="str">
        <f t="shared" si="143"/>
        <v/>
      </c>
      <c r="I1051" s="212"/>
    </row>
    <row r="1052" spans="1:9" s="45" customFormat="1" ht="19.5" customHeight="1" thickBot="1">
      <c r="A1052" s="189" t="str">
        <f>IFERROR(INDEX(凭证录入!H:H,$H1052),"")</f>
        <v/>
      </c>
      <c r="B1052" s="189" t="str">
        <f>IFERROR(INDEX(凭证录入!I:I,$H1052),"")</f>
        <v/>
      </c>
      <c r="C1052" s="190" t="str">
        <f>IFERROR(VLOOKUP($B1052,会计科目表!$A:$C,2,),"")</f>
        <v/>
      </c>
      <c r="D1052" s="190" t="str">
        <f>IFERROR(VLOOKUP($B1052,会计科目表!$A:$C,3,),"")</f>
        <v/>
      </c>
      <c r="E1052" s="191">
        <f>IFERROR(INDEX(凭证录入!K:K,$H1052),0)</f>
        <v>0</v>
      </c>
      <c r="F1052" s="191">
        <f>IFERROR(INDEX(凭证录入!L:L,$H1052),0)</f>
        <v>0</v>
      </c>
      <c r="G1052" s="212" t="e">
        <f>INDEX(凭证录入!$D:$D,$H1049)</f>
        <v>#VALUE!</v>
      </c>
      <c r="H1052" s="192" t="str">
        <f t="shared" si="143"/>
        <v/>
      </c>
      <c r="I1052" s="212"/>
    </row>
    <row r="1053" spans="1:9" s="45" customFormat="1" ht="19.5" customHeight="1" thickBot="1">
      <c r="A1053" s="189" t="str">
        <f>IFERROR(INDEX(凭证录入!H:H,$H1053),"")</f>
        <v/>
      </c>
      <c r="B1053" s="189" t="str">
        <f>IFERROR(INDEX(凭证录入!I:I,$H1053),"")</f>
        <v/>
      </c>
      <c r="C1053" s="190" t="str">
        <f>IFERROR(VLOOKUP($B1053,会计科目表!$A:$C,2,),"")</f>
        <v/>
      </c>
      <c r="D1053" s="190" t="str">
        <f>IFERROR(VLOOKUP($B1053,会计科目表!$A:$C,3,),"")</f>
        <v/>
      </c>
      <c r="E1053" s="191">
        <f>IFERROR(INDEX(凭证录入!K:K,$H1053),0)</f>
        <v>0</v>
      </c>
      <c r="F1053" s="191">
        <f>IFERROR(INDEX(凭证录入!L:L,$H1053),0)</f>
        <v>0</v>
      </c>
      <c r="G1053" s="212" t="s">
        <v>492</v>
      </c>
      <c r="H1053" s="192" t="str">
        <f t="shared" si="143"/>
        <v/>
      </c>
    </row>
    <row r="1054" spans="1:9" s="45" customFormat="1" ht="19.5" customHeight="1" thickBot="1">
      <c r="A1054" s="189" t="str">
        <f>IFERROR(INDEX(凭证录入!H:H,$H1054),"")</f>
        <v/>
      </c>
      <c r="B1054" s="189" t="str">
        <f>IFERROR(INDEX(凭证录入!I:I,$H1054),"")</f>
        <v/>
      </c>
      <c r="C1054" s="190" t="str">
        <f>IFERROR(VLOOKUP($B1054,会计科目表!$A:$C,2,),"")</f>
        <v/>
      </c>
      <c r="D1054" s="190" t="str">
        <f>IFERROR(VLOOKUP($B1054,会计科目表!$A:$C,3,),"")</f>
        <v/>
      </c>
      <c r="E1054" s="191">
        <f>IFERROR(INDEX(凭证录入!K:K,$H1054),0)</f>
        <v>0</v>
      </c>
      <c r="F1054" s="191">
        <f>IFERROR(INDEX(凭证录入!L:L,$H1054),0)</f>
        <v>0</v>
      </c>
      <c r="G1054" s="212"/>
      <c r="H1054" s="192" t="str">
        <f t="shared" si="143"/>
        <v/>
      </c>
    </row>
    <row r="1055" spans="1:9" s="45" customFormat="1" ht="19.5" customHeight="1" thickBot="1">
      <c r="A1055" s="193"/>
      <c r="B1055" s="194" t="s">
        <v>485</v>
      </c>
      <c r="C1055" s="195" t="str">
        <f>SUBSTITUTE(SUBSTITUTE(IF(-DOLLAR(E1055),IF(E1055&gt;0,,"负")&amp;TEXT(INT(ABS(E1055)+0.5%),"[dbnum2]G/通用格式元;;")&amp;TEXT(RIGHT(DOLLAR(E1055),2),"[dbnum2]0角0分;;整"),),"零角",IF(E1055^2&lt;1,,"零")),"零分","整")</f>
        <v/>
      </c>
      <c r="D1055" s="196"/>
      <c r="E1055" s="197">
        <f>SUM(E1049:E1054)</f>
        <v>0</v>
      </c>
      <c r="F1055" s="197">
        <f>SUM(F1049:F1054)</f>
        <v>0</v>
      </c>
      <c r="G1055" s="212"/>
      <c r="H1055" s="192" t="str">
        <f t="shared" si="143"/>
        <v/>
      </c>
    </row>
    <row r="1056" spans="1:9" s="199" customFormat="1" ht="19.5" customHeight="1">
      <c r="A1056" s="45" t="s">
        <v>486</v>
      </c>
      <c r="B1056" s="45" t="s">
        <v>487</v>
      </c>
      <c r="C1056" s="45" t="s">
        <v>488</v>
      </c>
      <c r="D1056" s="45" t="s">
        <v>504</v>
      </c>
      <c r="E1056" s="45" t="s">
        <v>489</v>
      </c>
      <c r="F1056" s="212" t="str">
        <f>IF($E1055&lt;&gt;$F1055,"借贷不平","")</f>
        <v/>
      </c>
      <c r="G1056" s="183"/>
      <c r="H1056" s="198" t="str">
        <f t="shared" si="143"/>
        <v/>
      </c>
    </row>
    <row r="1057" spans="1:9" ht="37.5" customHeight="1">
      <c r="A1057" s="177" t="s">
        <v>493</v>
      </c>
      <c r="B1057" s="178"/>
      <c r="C1057" s="179"/>
      <c r="D1057" s="179"/>
      <c r="E1057" s="178"/>
      <c r="F1057" s="178"/>
      <c r="G1057" s="212"/>
      <c r="H1057" s="192" t="str">
        <f t="shared" si="143"/>
        <v/>
      </c>
    </row>
    <row r="1058" spans="1:9" s="45" customFormat="1" ht="19.5" customHeight="1" thickBot="1">
      <c r="C1058" s="180" t="e">
        <f>DATEVALUE("2010-"&amp;$H$1&amp;"-"&amp;INDEX(凭证录入!B:B,H1061))</f>
        <v>#VALUE!</v>
      </c>
      <c r="D1058" s="181"/>
      <c r="E1058" s="182" t="s">
        <v>477</v>
      </c>
      <c r="F1058" s="183" t="e">
        <f>N(LEFT((F1046),3)+1)</f>
        <v>#VALUE!</v>
      </c>
      <c r="G1058" s="212"/>
      <c r="H1058" s="192" t="str">
        <f t="shared" si="143"/>
        <v/>
      </c>
      <c r="I1058" s="184"/>
    </row>
    <row r="1059" spans="1:9" s="45" customFormat="1" ht="19.5" customHeight="1" thickBot="1">
      <c r="A1059" s="544" t="s">
        <v>494</v>
      </c>
      <c r="B1059" s="545" t="s">
        <v>495</v>
      </c>
      <c r="C1059" s="185" t="s">
        <v>496</v>
      </c>
      <c r="D1059" s="186"/>
      <c r="E1059" s="187"/>
      <c r="F1059" s="482"/>
      <c r="G1059" s="212"/>
      <c r="H1059" s="192" t="str">
        <f t="shared" si="143"/>
        <v/>
      </c>
    </row>
    <row r="1060" spans="1:9" s="45" customFormat="1" ht="19.5" customHeight="1" thickBot="1">
      <c r="A1060" s="545"/>
      <c r="B1060" s="546"/>
      <c r="C1060" s="482" t="s">
        <v>497</v>
      </c>
      <c r="D1060" s="482" t="s">
        <v>498</v>
      </c>
      <c r="E1060" s="482" t="s">
        <v>499</v>
      </c>
      <c r="F1060" s="482" t="s">
        <v>500</v>
      </c>
      <c r="G1060" s="212"/>
      <c r="H1060" s="192" t="str">
        <f t="shared" si="143"/>
        <v/>
      </c>
    </row>
    <row r="1061" spans="1:9" s="45" customFormat="1" ht="19.5" customHeight="1" thickBot="1">
      <c r="A1061" s="189" t="str">
        <f>IFERROR(INDEX(凭证录入!H:H,$H1061),"")</f>
        <v/>
      </c>
      <c r="B1061" s="189" t="str">
        <f>IFERROR(INDEX(凭证录入!I:I,$H1061),"")</f>
        <v/>
      </c>
      <c r="C1061" s="190" t="str">
        <f>IFERROR(VLOOKUP($B1061,会计科目表!$A:$C,2,),"")</f>
        <v/>
      </c>
      <c r="D1061" s="190" t="str">
        <f>IFERROR(VLOOKUP($B1061,会计科目表!$A:$C,3,),"")</f>
        <v/>
      </c>
      <c r="E1061" s="191">
        <f>IFERROR(INDEX(凭证录入!K:K,$H1061),0)</f>
        <v>0</v>
      </c>
      <c r="F1061" s="191">
        <f>IFERROR(INDEX(凭证录入!L:L,$H1061),0)</f>
        <v>0</v>
      </c>
      <c r="G1061" s="212"/>
      <c r="H1061" s="192" t="str">
        <f t="shared" si="143"/>
        <v/>
      </c>
    </row>
    <row r="1062" spans="1:9" s="45" customFormat="1" ht="19.5" customHeight="1" thickBot="1">
      <c r="A1062" s="189" t="str">
        <f>IFERROR(INDEX(凭证录入!H:H,$H1062),"")</f>
        <v/>
      </c>
      <c r="B1062" s="189" t="str">
        <f>IFERROR(INDEX(凭证录入!I:I,$H1062),"")</f>
        <v/>
      </c>
      <c r="C1062" s="190" t="str">
        <f>IFERROR(VLOOKUP($B1062,会计科目表!$A:$C,2,),"")</f>
        <v/>
      </c>
      <c r="D1062" s="190" t="str">
        <f>IFERROR(VLOOKUP($B1062,会计科目表!$A:$C,3,),"")</f>
        <v/>
      </c>
      <c r="E1062" s="191">
        <f>IFERROR(INDEX(凭证录入!K:K,$H1062),0)</f>
        <v>0</v>
      </c>
      <c r="F1062" s="191">
        <f>IFERROR(INDEX(凭证录入!L:L,$H1062),0)</f>
        <v>0</v>
      </c>
      <c r="G1062" s="212" t="s">
        <v>490</v>
      </c>
      <c r="H1062" s="192" t="str">
        <f t="shared" si="143"/>
        <v/>
      </c>
      <c r="I1062" s="212"/>
    </row>
    <row r="1063" spans="1:9" s="45" customFormat="1" ht="19.5" customHeight="1" thickBot="1">
      <c r="A1063" s="189" t="str">
        <f>IFERROR(INDEX(凭证录入!H:H,$H1063),"")</f>
        <v/>
      </c>
      <c r="B1063" s="189" t="str">
        <f>IFERROR(INDEX(凭证录入!I:I,$H1063),"")</f>
        <v/>
      </c>
      <c r="C1063" s="190" t="str">
        <f>IFERROR(VLOOKUP($B1063,会计科目表!$A:$C,2,),"")</f>
        <v/>
      </c>
      <c r="D1063" s="190" t="str">
        <f>IFERROR(VLOOKUP($B1063,会计科目表!$A:$C,3,),"")</f>
        <v/>
      </c>
      <c r="E1063" s="191">
        <f>IFERROR(INDEX(凭证录入!K:K,$H1063),0)</f>
        <v>0</v>
      </c>
      <c r="F1063" s="191">
        <f>IFERROR(INDEX(凭证录入!L:L,$H1063),0)</f>
        <v>0</v>
      </c>
      <c r="G1063" s="212" t="s">
        <v>491</v>
      </c>
      <c r="H1063" s="192" t="str">
        <f t="shared" si="143"/>
        <v/>
      </c>
      <c r="I1063" s="212"/>
    </row>
    <row r="1064" spans="1:9" s="45" customFormat="1" ht="19.5" customHeight="1" thickBot="1">
      <c r="A1064" s="189" t="str">
        <f>IFERROR(INDEX(凭证录入!H:H,$H1064),"")</f>
        <v/>
      </c>
      <c r="B1064" s="189" t="str">
        <f>IFERROR(INDEX(凭证录入!I:I,$H1064),"")</f>
        <v/>
      </c>
      <c r="C1064" s="190" t="str">
        <f>IFERROR(VLOOKUP($B1064,会计科目表!$A:$C,2,),"")</f>
        <v/>
      </c>
      <c r="D1064" s="190" t="str">
        <f>IFERROR(VLOOKUP($B1064,会计科目表!$A:$C,3,),"")</f>
        <v/>
      </c>
      <c r="E1064" s="191">
        <f>IFERROR(INDEX(凭证录入!K:K,$H1064),0)</f>
        <v>0</v>
      </c>
      <c r="F1064" s="191">
        <f>IFERROR(INDEX(凭证录入!L:L,$H1064),0)</f>
        <v>0</v>
      </c>
      <c r="G1064" s="212" t="e">
        <f>INDEX(凭证录入!$D:$D,$H1061)</f>
        <v>#VALUE!</v>
      </c>
      <c r="H1064" s="192" t="str">
        <f t="shared" si="143"/>
        <v/>
      </c>
      <c r="I1064" s="212"/>
    </row>
    <row r="1065" spans="1:9" s="45" customFormat="1" ht="19.5" customHeight="1" thickBot="1">
      <c r="A1065" s="189" t="str">
        <f>IFERROR(INDEX(凭证录入!H:H,$H1065),"")</f>
        <v/>
      </c>
      <c r="B1065" s="189" t="str">
        <f>IFERROR(INDEX(凭证录入!I:I,$H1065),"")</f>
        <v/>
      </c>
      <c r="C1065" s="190" t="str">
        <f>IFERROR(VLOOKUP($B1065,会计科目表!$A:$C,2,),"")</f>
        <v/>
      </c>
      <c r="D1065" s="190" t="str">
        <f>IFERROR(VLOOKUP($B1065,会计科目表!$A:$C,3,),"")</f>
        <v/>
      </c>
      <c r="E1065" s="191">
        <f>IFERROR(INDEX(凭证录入!K:K,$H1065),0)</f>
        <v>0</v>
      </c>
      <c r="F1065" s="191">
        <f>IFERROR(INDEX(凭证录入!L:L,$H1065),0)</f>
        <v>0</v>
      </c>
      <c r="G1065" s="212" t="s">
        <v>492</v>
      </c>
      <c r="H1065" s="192" t="str">
        <f t="shared" ref="H1065:H1128" si="144">IFERROR(INDEX(行号,TEXT(MOD(ROW(),12)-4,"[=]A")),"")</f>
        <v/>
      </c>
    </row>
    <row r="1066" spans="1:9" s="45" customFormat="1" ht="19.5" customHeight="1" thickBot="1">
      <c r="A1066" s="189" t="str">
        <f>IFERROR(INDEX(凭证录入!H:H,$H1066),"")</f>
        <v/>
      </c>
      <c r="B1066" s="189" t="str">
        <f>IFERROR(INDEX(凭证录入!I:I,$H1066),"")</f>
        <v/>
      </c>
      <c r="C1066" s="190" t="str">
        <f>IFERROR(VLOOKUP($B1066,会计科目表!$A:$C,2,),"")</f>
        <v/>
      </c>
      <c r="D1066" s="190" t="str">
        <f>IFERROR(VLOOKUP($B1066,会计科目表!$A:$C,3,),"")</f>
        <v/>
      </c>
      <c r="E1066" s="191">
        <f>IFERROR(INDEX(凭证录入!K:K,$H1066),0)</f>
        <v>0</v>
      </c>
      <c r="F1066" s="191">
        <f>IFERROR(INDEX(凭证录入!L:L,$H1066),0)</f>
        <v>0</v>
      </c>
      <c r="G1066" s="212"/>
      <c r="H1066" s="192" t="str">
        <f t="shared" si="144"/>
        <v/>
      </c>
    </row>
    <row r="1067" spans="1:9" s="45" customFormat="1" ht="19.5" customHeight="1" thickBot="1">
      <c r="A1067" s="193"/>
      <c r="B1067" s="194" t="s">
        <v>485</v>
      </c>
      <c r="C1067" s="195" t="str">
        <f>SUBSTITUTE(SUBSTITUTE(IF(-DOLLAR(E1067),IF(E1067&gt;0,,"负")&amp;TEXT(INT(ABS(E1067)+0.5%),"[dbnum2]G/通用格式元;;")&amp;TEXT(RIGHT(DOLLAR(E1067),2),"[dbnum2]0角0分;;整"),),"零角",IF(E1067^2&lt;1,,"零")),"零分","整")</f>
        <v/>
      </c>
      <c r="D1067" s="196"/>
      <c r="E1067" s="197">
        <f>SUM(E1061:E1066)</f>
        <v>0</v>
      </c>
      <c r="F1067" s="197">
        <f>SUM(F1061:F1066)</f>
        <v>0</v>
      </c>
      <c r="G1067" s="212"/>
      <c r="H1067" s="192" t="str">
        <f t="shared" si="144"/>
        <v/>
      </c>
    </row>
    <row r="1068" spans="1:9" s="199" customFormat="1" ht="19.5" customHeight="1">
      <c r="A1068" s="45" t="s">
        <v>486</v>
      </c>
      <c r="B1068" s="45" t="s">
        <v>487</v>
      </c>
      <c r="C1068" s="45" t="s">
        <v>488</v>
      </c>
      <c r="D1068" s="45" t="s">
        <v>504</v>
      </c>
      <c r="E1068" s="45" t="s">
        <v>489</v>
      </c>
      <c r="F1068" s="212" t="str">
        <f>IF($E1067&lt;&gt;$F1067,"借贷不平","")</f>
        <v/>
      </c>
      <c r="G1068" s="183"/>
      <c r="H1068" s="198" t="str">
        <f t="shared" si="144"/>
        <v/>
      </c>
    </row>
    <row r="1069" spans="1:9" ht="37.5" customHeight="1">
      <c r="A1069" s="177" t="s">
        <v>493</v>
      </c>
      <c r="B1069" s="178"/>
      <c r="C1069" s="179"/>
      <c r="D1069" s="179"/>
      <c r="E1069" s="178"/>
      <c r="F1069" s="178"/>
      <c r="G1069" s="212"/>
      <c r="H1069" s="192" t="str">
        <f t="shared" si="144"/>
        <v/>
      </c>
    </row>
    <row r="1070" spans="1:9" s="45" customFormat="1" ht="19.5" customHeight="1" thickBot="1">
      <c r="C1070" s="180" t="e">
        <f>DATEVALUE("2010-"&amp;$H$1&amp;"-"&amp;INDEX(凭证录入!B:B,H1073))</f>
        <v>#VALUE!</v>
      </c>
      <c r="D1070" s="181"/>
      <c r="E1070" s="182" t="s">
        <v>477</v>
      </c>
      <c r="F1070" s="183" t="e">
        <f>N(LEFT((F1058),3)+1)</f>
        <v>#VALUE!</v>
      </c>
      <c r="G1070" s="212"/>
      <c r="H1070" s="192" t="str">
        <f t="shared" si="144"/>
        <v/>
      </c>
      <c r="I1070" s="184"/>
    </row>
    <row r="1071" spans="1:9" s="45" customFormat="1" ht="19.5" customHeight="1" thickBot="1">
      <c r="A1071" s="544" t="s">
        <v>494</v>
      </c>
      <c r="B1071" s="545" t="s">
        <v>495</v>
      </c>
      <c r="C1071" s="185" t="s">
        <v>496</v>
      </c>
      <c r="D1071" s="186"/>
      <c r="E1071" s="187"/>
      <c r="F1071" s="482"/>
      <c r="G1071" s="212"/>
      <c r="H1071" s="192" t="str">
        <f t="shared" si="144"/>
        <v/>
      </c>
    </row>
    <row r="1072" spans="1:9" s="45" customFormat="1" ht="19.5" customHeight="1" thickBot="1">
      <c r="A1072" s="545"/>
      <c r="B1072" s="546"/>
      <c r="C1072" s="482" t="s">
        <v>497</v>
      </c>
      <c r="D1072" s="482" t="s">
        <v>498</v>
      </c>
      <c r="E1072" s="482" t="s">
        <v>499</v>
      </c>
      <c r="F1072" s="482" t="s">
        <v>500</v>
      </c>
      <c r="G1072" s="212"/>
      <c r="H1072" s="192" t="str">
        <f t="shared" si="144"/>
        <v/>
      </c>
    </row>
    <row r="1073" spans="1:9" s="45" customFormat="1" ht="19.5" customHeight="1" thickBot="1">
      <c r="A1073" s="189" t="str">
        <f>IFERROR(INDEX(凭证录入!H:H,$H1073),"")</f>
        <v/>
      </c>
      <c r="B1073" s="189" t="str">
        <f>IFERROR(INDEX(凭证录入!I:I,$H1073),"")</f>
        <v/>
      </c>
      <c r="C1073" s="190" t="str">
        <f>IFERROR(VLOOKUP($B1073,会计科目表!$A:$C,2,),"")</f>
        <v/>
      </c>
      <c r="D1073" s="190" t="str">
        <f>IFERROR(VLOOKUP($B1073,会计科目表!$A:$C,3,),"")</f>
        <v/>
      </c>
      <c r="E1073" s="191">
        <f>IFERROR(INDEX(凭证录入!K:K,$H1073),0)</f>
        <v>0</v>
      </c>
      <c r="F1073" s="191">
        <f>IFERROR(INDEX(凭证录入!L:L,$H1073),0)</f>
        <v>0</v>
      </c>
      <c r="G1073" s="212"/>
      <c r="H1073" s="192" t="str">
        <f t="shared" si="144"/>
        <v/>
      </c>
    </row>
    <row r="1074" spans="1:9" s="45" customFormat="1" ht="19.5" customHeight="1" thickBot="1">
      <c r="A1074" s="189" t="str">
        <f>IFERROR(INDEX(凭证录入!H:H,$H1074),"")</f>
        <v/>
      </c>
      <c r="B1074" s="189" t="str">
        <f>IFERROR(INDEX(凭证录入!I:I,$H1074),"")</f>
        <v/>
      </c>
      <c r="C1074" s="190" t="str">
        <f>IFERROR(VLOOKUP($B1074,会计科目表!$A:$C,2,),"")</f>
        <v/>
      </c>
      <c r="D1074" s="190" t="str">
        <f>IFERROR(VLOOKUP($B1074,会计科目表!$A:$C,3,),"")</f>
        <v/>
      </c>
      <c r="E1074" s="191">
        <f>IFERROR(INDEX(凭证录入!K:K,$H1074),0)</f>
        <v>0</v>
      </c>
      <c r="F1074" s="191">
        <f>IFERROR(INDEX(凭证录入!L:L,$H1074),0)</f>
        <v>0</v>
      </c>
      <c r="G1074" s="212" t="s">
        <v>490</v>
      </c>
      <c r="H1074" s="192" t="str">
        <f t="shared" si="144"/>
        <v/>
      </c>
      <c r="I1074" s="212"/>
    </row>
    <row r="1075" spans="1:9" s="45" customFormat="1" ht="19.5" customHeight="1" thickBot="1">
      <c r="A1075" s="189" t="str">
        <f>IFERROR(INDEX(凭证录入!H:H,$H1075),"")</f>
        <v/>
      </c>
      <c r="B1075" s="189" t="str">
        <f>IFERROR(INDEX(凭证录入!I:I,$H1075),"")</f>
        <v/>
      </c>
      <c r="C1075" s="190" t="str">
        <f>IFERROR(VLOOKUP($B1075,会计科目表!$A:$C,2,),"")</f>
        <v/>
      </c>
      <c r="D1075" s="190" t="str">
        <f>IFERROR(VLOOKUP($B1075,会计科目表!$A:$C,3,),"")</f>
        <v/>
      </c>
      <c r="E1075" s="191">
        <f>IFERROR(INDEX(凭证录入!K:K,$H1075),0)</f>
        <v>0</v>
      </c>
      <c r="F1075" s="191">
        <f>IFERROR(INDEX(凭证录入!L:L,$H1075),0)</f>
        <v>0</v>
      </c>
      <c r="G1075" s="212" t="s">
        <v>491</v>
      </c>
      <c r="H1075" s="192" t="str">
        <f t="shared" si="144"/>
        <v/>
      </c>
      <c r="I1075" s="212"/>
    </row>
    <row r="1076" spans="1:9" s="45" customFormat="1" ht="19.5" customHeight="1" thickBot="1">
      <c r="A1076" s="189" t="str">
        <f>IFERROR(INDEX(凭证录入!H:H,$H1076),"")</f>
        <v/>
      </c>
      <c r="B1076" s="189" t="str">
        <f>IFERROR(INDEX(凭证录入!I:I,$H1076),"")</f>
        <v/>
      </c>
      <c r="C1076" s="190" t="str">
        <f>IFERROR(VLOOKUP($B1076,会计科目表!$A:$C,2,),"")</f>
        <v/>
      </c>
      <c r="D1076" s="190" t="str">
        <f>IFERROR(VLOOKUP($B1076,会计科目表!$A:$C,3,),"")</f>
        <v/>
      </c>
      <c r="E1076" s="191">
        <f>IFERROR(INDEX(凭证录入!K:K,$H1076),0)</f>
        <v>0</v>
      </c>
      <c r="F1076" s="191">
        <f>IFERROR(INDEX(凭证录入!L:L,$H1076),0)</f>
        <v>0</v>
      </c>
      <c r="G1076" s="212" t="e">
        <f>INDEX(凭证录入!$D:$D,$H1073)</f>
        <v>#VALUE!</v>
      </c>
      <c r="H1076" s="192" t="str">
        <f t="shared" si="144"/>
        <v/>
      </c>
      <c r="I1076" s="212"/>
    </row>
    <row r="1077" spans="1:9" s="45" customFormat="1" ht="19.5" customHeight="1" thickBot="1">
      <c r="A1077" s="189" t="str">
        <f>IFERROR(INDEX(凭证录入!H:H,$H1077),"")</f>
        <v/>
      </c>
      <c r="B1077" s="189" t="str">
        <f>IFERROR(INDEX(凭证录入!I:I,$H1077),"")</f>
        <v/>
      </c>
      <c r="C1077" s="190" t="str">
        <f>IFERROR(VLOOKUP($B1077,会计科目表!$A:$C,2,),"")</f>
        <v/>
      </c>
      <c r="D1077" s="190" t="str">
        <f>IFERROR(VLOOKUP($B1077,会计科目表!$A:$C,3,),"")</f>
        <v/>
      </c>
      <c r="E1077" s="191">
        <f>IFERROR(INDEX(凭证录入!K:K,$H1077),0)</f>
        <v>0</v>
      </c>
      <c r="F1077" s="191">
        <f>IFERROR(INDEX(凭证录入!L:L,$H1077),0)</f>
        <v>0</v>
      </c>
      <c r="G1077" s="212" t="s">
        <v>492</v>
      </c>
      <c r="H1077" s="192" t="str">
        <f t="shared" si="144"/>
        <v/>
      </c>
    </row>
    <row r="1078" spans="1:9" s="45" customFormat="1" ht="19.5" customHeight="1" thickBot="1">
      <c r="A1078" s="189" t="str">
        <f>IFERROR(INDEX(凭证录入!H:H,$H1078),"")</f>
        <v/>
      </c>
      <c r="B1078" s="189" t="str">
        <f>IFERROR(INDEX(凭证录入!I:I,$H1078),"")</f>
        <v/>
      </c>
      <c r="C1078" s="190" t="str">
        <f>IFERROR(VLOOKUP($B1078,会计科目表!$A:$C,2,),"")</f>
        <v/>
      </c>
      <c r="D1078" s="190" t="str">
        <f>IFERROR(VLOOKUP($B1078,会计科目表!$A:$C,3,),"")</f>
        <v/>
      </c>
      <c r="E1078" s="191">
        <f>IFERROR(INDEX(凭证录入!K:K,$H1078),0)</f>
        <v>0</v>
      </c>
      <c r="F1078" s="191">
        <f>IFERROR(INDEX(凭证录入!L:L,$H1078),0)</f>
        <v>0</v>
      </c>
      <c r="G1078" s="212"/>
      <c r="H1078" s="192" t="str">
        <f t="shared" si="144"/>
        <v/>
      </c>
    </row>
    <row r="1079" spans="1:9" s="45" customFormat="1" ht="19.5" customHeight="1" thickBot="1">
      <c r="A1079" s="193"/>
      <c r="B1079" s="194" t="s">
        <v>485</v>
      </c>
      <c r="C1079" s="195" t="str">
        <f>SUBSTITUTE(SUBSTITUTE(IF(-DOLLAR(E1079),IF(E1079&gt;0,,"负")&amp;TEXT(INT(ABS(E1079)+0.5%),"[dbnum2]G/通用格式元;;")&amp;TEXT(RIGHT(DOLLAR(E1079),2),"[dbnum2]0角0分;;整"),),"零角",IF(E1079^2&lt;1,,"零")),"零分","整")</f>
        <v/>
      </c>
      <c r="D1079" s="196"/>
      <c r="E1079" s="197">
        <f>SUM(E1073:E1078)</f>
        <v>0</v>
      </c>
      <c r="F1079" s="197">
        <f>SUM(F1073:F1078)</f>
        <v>0</v>
      </c>
      <c r="G1079" s="212"/>
      <c r="H1079" s="192" t="str">
        <f t="shared" si="144"/>
        <v/>
      </c>
    </row>
    <row r="1080" spans="1:9" s="199" customFormat="1" ht="19.5" customHeight="1">
      <c r="A1080" s="45" t="s">
        <v>486</v>
      </c>
      <c r="B1080" s="45" t="s">
        <v>487</v>
      </c>
      <c r="C1080" s="45" t="s">
        <v>488</v>
      </c>
      <c r="D1080" s="45" t="s">
        <v>504</v>
      </c>
      <c r="E1080" s="45" t="s">
        <v>489</v>
      </c>
      <c r="F1080" s="212" t="str">
        <f>IF($E1079&lt;&gt;$F1079,"借贷不平","")</f>
        <v/>
      </c>
      <c r="G1080" s="183"/>
      <c r="H1080" s="198" t="str">
        <f t="shared" si="144"/>
        <v/>
      </c>
    </row>
    <row r="1081" spans="1:9" ht="37.5" customHeight="1">
      <c r="A1081" s="177" t="s">
        <v>493</v>
      </c>
      <c r="B1081" s="178"/>
      <c r="C1081" s="179"/>
      <c r="D1081" s="179"/>
      <c r="E1081" s="178"/>
      <c r="F1081" s="178"/>
      <c r="G1081" s="212"/>
      <c r="H1081" s="192" t="str">
        <f t="shared" si="144"/>
        <v/>
      </c>
    </row>
    <row r="1082" spans="1:9" s="45" customFormat="1" ht="19.5" customHeight="1" thickBot="1">
      <c r="C1082" s="180" t="e">
        <f>DATEVALUE("2010-"&amp;$H$1&amp;"-"&amp;INDEX(凭证录入!B:B,H1085))</f>
        <v>#VALUE!</v>
      </c>
      <c r="D1082" s="181"/>
      <c r="E1082" s="182" t="s">
        <v>477</v>
      </c>
      <c r="F1082" s="183" t="e">
        <f>N(LEFT((F1070),3)+1)</f>
        <v>#VALUE!</v>
      </c>
      <c r="G1082" s="212"/>
      <c r="H1082" s="192" t="str">
        <f t="shared" si="144"/>
        <v/>
      </c>
      <c r="I1082" s="184"/>
    </row>
    <row r="1083" spans="1:9" s="45" customFormat="1" ht="19.5" customHeight="1" thickBot="1">
      <c r="A1083" s="544" t="s">
        <v>494</v>
      </c>
      <c r="B1083" s="545" t="s">
        <v>495</v>
      </c>
      <c r="C1083" s="185" t="s">
        <v>496</v>
      </c>
      <c r="D1083" s="186"/>
      <c r="E1083" s="187"/>
      <c r="F1083" s="482"/>
      <c r="G1083" s="212"/>
      <c r="H1083" s="192" t="str">
        <f t="shared" si="144"/>
        <v/>
      </c>
    </row>
    <row r="1084" spans="1:9" s="45" customFormat="1" ht="19.5" customHeight="1" thickBot="1">
      <c r="A1084" s="545"/>
      <c r="B1084" s="546"/>
      <c r="C1084" s="482" t="s">
        <v>497</v>
      </c>
      <c r="D1084" s="482" t="s">
        <v>498</v>
      </c>
      <c r="E1084" s="482" t="s">
        <v>499</v>
      </c>
      <c r="F1084" s="482" t="s">
        <v>500</v>
      </c>
      <c r="G1084" s="212"/>
      <c r="H1084" s="192" t="str">
        <f t="shared" si="144"/>
        <v/>
      </c>
    </row>
    <row r="1085" spans="1:9" s="45" customFormat="1" ht="19.5" customHeight="1" thickBot="1">
      <c r="A1085" s="189" t="str">
        <f>IFERROR(INDEX(凭证录入!H:H,$H1085),"")</f>
        <v/>
      </c>
      <c r="B1085" s="189" t="str">
        <f>IFERROR(INDEX(凭证录入!I:I,$H1085),"")</f>
        <v/>
      </c>
      <c r="C1085" s="190" t="str">
        <f>IFERROR(VLOOKUP($B1085,会计科目表!$A:$C,2,),"")</f>
        <v/>
      </c>
      <c r="D1085" s="190" t="str">
        <f>IFERROR(VLOOKUP($B1085,会计科目表!$A:$C,3,),"")</f>
        <v/>
      </c>
      <c r="E1085" s="191">
        <f>IFERROR(INDEX(凭证录入!K:K,$H1085),0)</f>
        <v>0</v>
      </c>
      <c r="F1085" s="191">
        <f>IFERROR(INDEX(凭证录入!L:L,$H1085),0)</f>
        <v>0</v>
      </c>
      <c r="G1085" s="212"/>
      <c r="H1085" s="192" t="str">
        <f t="shared" si="144"/>
        <v/>
      </c>
    </row>
    <row r="1086" spans="1:9" s="45" customFormat="1" ht="19.5" customHeight="1" thickBot="1">
      <c r="A1086" s="189" t="str">
        <f>IFERROR(INDEX(凭证录入!H:H,$H1086),"")</f>
        <v/>
      </c>
      <c r="B1086" s="189" t="str">
        <f>IFERROR(INDEX(凭证录入!I:I,$H1086),"")</f>
        <v/>
      </c>
      <c r="C1086" s="190" t="str">
        <f>IFERROR(VLOOKUP($B1086,会计科目表!$A:$C,2,),"")</f>
        <v/>
      </c>
      <c r="D1086" s="190" t="str">
        <f>IFERROR(VLOOKUP($B1086,会计科目表!$A:$C,3,),"")</f>
        <v/>
      </c>
      <c r="E1086" s="191">
        <f>IFERROR(INDEX(凭证录入!K:K,$H1086),0)</f>
        <v>0</v>
      </c>
      <c r="F1086" s="191">
        <f>IFERROR(INDEX(凭证录入!L:L,$H1086),0)</f>
        <v>0</v>
      </c>
      <c r="G1086" s="212" t="s">
        <v>490</v>
      </c>
      <c r="H1086" s="192" t="str">
        <f t="shared" si="144"/>
        <v/>
      </c>
      <c r="I1086" s="212"/>
    </row>
    <row r="1087" spans="1:9" s="45" customFormat="1" ht="19.5" customHeight="1" thickBot="1">
      <c r="A1087" s="189" t="str">
        <f>IFERROR(INDEX(凭证录入!H:H,$H1087),"")</f>
        <v/>
      </c>
      <c r="B1087" s="189" t="str">
        <f>IFERROR(INDEX(凭证录入!I:I,$H1087),"")</f>
        <v/>
      </c>
      <c r="C1087" s="190" t="str">
        <f>IFERROR(VLOOKUP($B1087,会计科目表!$A:$C,2,),"")</f>
        <v/>
      </c>
      <c r="D1087" s="190" t="str">
        <f>IFERROR(VLOOKUP($B1087,会计科目表!$A:$C,3,),"")</f>
        <v/>
      </c>
      <c r="E1087" s="191">
        <f>IFERROR(INDEX(凭证录入!K:K,$H1087),0)</f>
        <v>0</v>
      </c>
      <c r="F1087" s="191">
        <f>IFERROR(INDEX(凭证录入!L:L,$H1087),0)</f>
        <v>0</v>
      </c>
      <c r="G1087" s="212" t="s">
        <v>491</v>
      </c>
      <c r="H1087" s="192" t="str">
        <f t="shared" si="144"/>
        <v/>
      </c>
      <c r="I1087" s="212"/>
    </row>
    <row r="1088" spans="1:9" s="45" customFormat="1" ht="19.5" customHeight="1" thickBot="1">
      <c r="A1088" s="189" t="str">
        <f>IFERROR(INDEX(凭证录入!H:H,$H1088),"")</f>
        <v/>
      </c>
      <c r="B1088" s="189" t="str">
        <f>IFERROR(INDEX(凭证录入!I:I,$H1088),"")</f>
        <v/>
      </c>
      <c r="C1088" s="190" t="str">
        <f>IFERROR(VLOOKUP($B1088,会计科目表!$A:$C,2,),"")</f>
        <v/>
      </c>
      <c r="D1088" s="190" t="str">
        <f>IFERROR(VLOOKUP($B1088,会计科目表!$A:$C,3,),"")</f>
        <v/>
      </c>
      <c r="E1088" s="191">
        <f>IFERROR(INDEX(凭证录入!K:K,$H1088),0)</f>
        <v>0</v>
      </c>
      <c r="F1088" s="191">
        <f>IFERROR(INDEX(凭证录入!L:L,$H1088),0)</f>
        <v>0</v>
      </c>
      <c r="G1088" s="212" t="e">
        <f>INDEX(凭证录入!$D:$D,$H1085)</f>
        <v>#VALUE!</v>
      </c>
      <c r="H1088" s="192" t="str">
        <f t="shared" si="144"/>
        <v/>
      </c>
      <c r="I1088" s="212"/>
    </row>
    <row r="1089" spans="1:9" s="45" customFormat="1" ht="19.5" customHeight="1" thickBot="1">
      <c r="A1089" s="189" t="str">
        <f>IFERROR(INDEX(凭证录入!H:H,$H1089),"")</f>
        <v/>
      </c>
      <c r="B1089" s="189" t="str">
        <f>IFERROR(INDEX(凭证录入!I:I,$H1089),"")</f>
        <v/>
      </c>
      <c r="C1089" s="190" t="str">
        <f>IFERROR(VLOOKUP($B1089,会计科目表!$A:$C,2,),"")</f>
        <v/>
      </c>
      <c r="D1089" s="190" t="str">
        <f>IFERROR(VLOOKUP($B1089,会计科目表!$A:$C,3,),"")</f>
        <v/>
      </c>
      <c r="E1089" s="191">
        <f>IFERROR(INDEX(凭证录入!K:K,$H1089),0)</f>
        <v>0</v>
      </c>
      <c r="F1089" s="191">
        <f>IFERROR(INDEX(凭证录入!L:L,$H1089),0)</f>
        <v>0</v>
      </c>
      <c r="G1089" s="212" t="s">
        <v>492</v>
      </c>
      <c r="H1089" s="192" t="str">
        <f t="shared" si="144"/>
        <v/>
      </c>
    </row>
    <row r="1090" spans="1:9" s="45" customFormat="1" ht="19.5" customHeight="1" thickBot="1">
      <c r="A1090" s="189" t="str">
        <f>IFERROR(INDEX(凭证录入!H:H,$H1090),"")</f>
        <v/>
      </c>
      <c r="B1090" s="189" t="str">
        <f>IFERROR(INDEX(凭证录入!I:I,$H1090),"")</f>
        <v/>
      </c>
      <c r="C1090" s="190" t="str">
        <f>IFERROR(VLOOKUP($B1090,会计科目表!$A:$C,2,),"")</f>
        <v/>
      </c>
      <c r="D1090" s="190" t="str">
        <f>IFERROR(VLOOKUP($B1090,会计科目表!$A:$C,3,),"")</f>
        <v/>
      </c>
      <c r="E1090" s="191">
        <f>IFERROR(INDEX(凭证录入!K:K,$H1090),0)</f>
        <v>0</v>
      </c>
      <c r="F1090" s="191">
        <f>IFERROR(INDEX(凭证录入!L:L,$H1090),0)</f>
        <v>0</v>
      </c>
      <c r="G1090" s="212"/>
      <c r="H1090" s="192" t="str">
        <f t="shared" si="144"/>
        <v/>
      </c>
    </row>
    <row r="1091" spans="1:9" s="45" customFormat="1" ht="19.5" customHeight="1" thickBot="1">
      <c r="A1091" s="193"/>
      <c r="B1091" s="194" t="s">
        <v>485</v>
      </c>
      <c r="C1091" s="195" t="str">
        <f>SUBSTITUTE(SUBSTITUTE(IF(-DOLLAR(E1091),IF(E1091&gt;0,,"负")&amp;TEXT(INT(ABS(E1091)+0.5%),"[dbnum2]G/通用格式元;;")&amp;TEXT(RIGHT(DOLLAR(E1091),2),"[dbnum2]0角0分;;整"),),"零角",IF(E1091^2&lt;1,,"零")),"零分","整")</f>
        <v/>
      </c>
      <c r="D1091" s="196"/>
      <c r="E1091" s="197">
        <f>SUM(E1085:E1090)</f>
        <v>0</v>
      </c>
      <c r="F1091" s="197">
        <f>SUM(F1085:F1090)</f>
        <v>0</v>
      </c>
      <c r="G1091" s="212"/>
      <c r="H1091" s="192" t="str">
        <f t="shared" si="144"/>
        <v/>
      </c>
    </row>
    <row r="1092" spans="1:9" s="199" customFormat="1" ht="19.5" customHeight="1">
      <c r="A1092" s="45" t="s">
        <v>486</v>
      </c>
      <c r="B1092" s="45" t="s">
        <v>487</v>
      </c>
      <c r="C1092" s="45" t="s">
        <v>488</v>
      </c>
      <c r="D1092" s="45" t="s">
        <v>504</v>
      </c>
      <c r="E1092" s="45" t="s">
        <v>489</v>
      </c>
      <c r="F1092" s="212" t="str">
        <f>IF($E1091&lt;&gt;$F1091,"借贷不平","")</f>
        <v/>
      </c>
      <c r="G1092" s="183"/>
      <c r="H1092" s="198" t="str">
        <f t="shared" si="144"/>
        <v/>
      </c>
    </row>
    <row r="1093" spans="1:9" ht="37.5" customHeight="1">
      <c r="A1093" s="177" t="s">
        <v>493</v>
      </c>
      <c r="B1093" s="178"/>
      <c r="C1093" s="179"/>
      <c r="D1093" s="179"/>
      <c r="E1093" s="178"/>
      <c r="F1093" s="178"/>
      <c r="G1093" s="212"/>
      <c r="H1093" s="192" t="str">
        <f t="shared" si="144"/>
        <v/>
      </c>
    </row>
    <row r="1094" spans="1:9" s="45" customFormat="1" ht="19.5" customHeight="1" thickBot="1">
      <c r="C1094" s="180" t="e">
        <f>DATEVALUE("2010-"&amp;$H$1&amp;"-"&amp;INDEX(凭证录入!B:B,H1097))</f>
        <v>#VALUE!</v>
      </c>
      <c r="D1094" s="181"/>
      <c r="E1094" s="182" t="s">
        <v>477</v>
      </c>
      <c r="F1094" s="183" t="e">
        <f>N(LEFT((F1082),3)+1)</f>
        <v>#VALUE!</v>
      </c>
      <c r="G1094" s="212"/>
      <c r="H1094" s="192" t="str">
        <f t="shared" si="144"/>
        <v/>
      </c>
      <c r="I1094" s="184"/>
    </row>
    <row r="1095" spans="1:9" s="45" customFormat="1" ht="19.5" customHeight="1" thickBot="1">
      <c r="A1095" s="544" t="s">
        <v>494</v>
      </c>
      <c r="B1095" s="545" t="s">
        <v>495</v>
      </c>
      <c r="C1095" s="185" t="s">
        <v>496</v>
      </c>
      <c r="D1095" s="186"/>
      <c r="E1095" s="187"/>
      <c r="F1095" s="482"/>
      <c r="G1095" s="212"/>
      <c r="H1095" s="192" t="str">
        <f t="shared" si="144"/>
        <v/>
      </c>
    </row>
    <row r="1096" spans="1:9" s="45" customFormat="1" ht="19.5" customHeight="1" thickBot="1">
      <c r="A1096" s="545"/>
      <c r="B1096" s="546"/>
      <c r="C1096" s="482" t="s">
        <v>497</v>
      </c>
      <c r="D1096" s="482" t="s">
        <v>498</v>
      </c>
      <c r="E1096" s="482" t="s">
        <v>499</v>
      </c>
      <c r="F1096" s="482" t="s">
        <v>500</v>
      </c>
      <c r="G1096" s="212"/>
      <c r="H1096" s="192" t="str">
        <f t="shared" si="144"/>
        <v/>
      </c>
    </row>
    <row r="1097" spans="1:9" s="45" customFormat="1" ht="19.5" customHeight="1" thickBot="1">
      <c r="A1097" s="189" t="str">
        <f>IFERROR(INDEX(凭证录入!H:H,$H1097),"")</f>
        <v/>
      </c>
      <c r="B1097" s="189" t="str">
        <f>IFERROR(INDEX(凭证录入!I:I,$H1097),"")</f>
        <v/>
      </c>
      <c r="C1097" s="190" t="str">
        <f>IFERROR(VLOOKUP($B1097,会计科目表!$A:$C,2,),"")</f>
        <v/>
      </c>
      <c r="D1097" s="190" t="str">
        <f>IFERROR(VLOOKUP($B1097,会计科目表!$A:$C,3,),"")</f>
        <v/>
      </c>
      <c r="E1097" s="191">
        <f>IFERROR(INDEX(凭证录入!K:K,$H1097),0)</f>
        <v>0</v>
      </c>
      <c r="F1097" s="191">
        <f>IFERROR(INDEX(凭证录入!L:L,$H1097),0)</f>
        <v>0</v>
      </c>
      <c r="G1097" s="212"/>
      <c r="H1097" s="192" t="str">
        <f t="shared" si="144"/>
        <v/>
      </c>
    </row>
    <row r="1098" spans="1:9" s="45" customFormat="1" ht="19.5" customHeight="1" thickBot="1">
      <c r="A1098" s="189" t="str">
        <f>IFERROR(INDEX(凭证录入!H:H,$H1098),"")</f>
        <v/>
      </c>
      <c r="B1098" s="189" t="str">
        <f>IFERROR(INDEX(凭证录入!I:I,$H1098),"")</f>
        <v/>
      </c>
      <c r="C1098" s="190" t="str">
        <f>IFERROR(VLOOKUP($B1098,会计科目表!$A:$C,2,),"")</f>
        <v/>
      </c>
      <c r="D1098" s="190" t="str">
        <f>IFERROR(VLOOKUP($B1098,会计科目表!$A:$C,3,),"")</f>
        <v/>
      </c>
      <c r="E1098" s="191">
        <f>IFERROR(INDEX(凭证录入!K:K,$H1098),0)</f>
        <v>0</v>
      </c>
      <c r="F1098" s="191">
        <f>IFERROR(INDEX(凭证录入!L:L,$H1098),0)</f>
        <v>0</v>
      </c>
      <c r="G1098" s="212" t="s">
        <v>490</v>
      </c>
      <c r="H1098" s="192" t="str">
        <f t="shared" si="144"/>
        <v/>
      </c>
      <c r="I1098" s="212"/>
    </row>
    <row r="1099" spans="1:9" s="45" customFormat="1" ht="19.5" customHeight="1" thickBot="1">
      <c r="A1099" s="189" t="str">
        <f>IFERROR(INDEX(凭证录入!H:H,$H1099),"")</f>
        <v/>
      </c>
      <c r="B1099" s="189" t="str">
        <f>IFERROR(INDEX(凭证录入!I:I,$H1099),"")</f>
        <v/>
      </c>
      <c r="C1099" s="190" t="str">
        <f>IFERROR(VLOOKUP($B1099,会计科目表!$A:$C,2,),"")</f>
        <v/>
      </c>
      <c r="D1099" s="190" t="str">
        <f>IFERROR(VLOOKUP($B1099,会计科目表!$A:$C,3,),"")</f>
        <v/>
      </c>
      <c r="E1099" s="191">
        <f>IFERROR(INDEX(凭证录入!K:K,$H1099),0)</f>
        <v>0</v>
      </c>
      <c r="F1099" s="191">
        <f>IFERROR(INDEX(凭证录入!L:L,$H1099),0)</f>
        <v>0</v>
      </c>
      <c r="G1099" s="212" t="s">
        <v>491</v>
      </c>
      <c r="H1099" s="192" t="str">
        <f t="shared" si="144"/>
        <v/>
      </c>
      <c r="I1099" s="212"/>
    </row>
    <row r="1100" spans="1:9" s="45" customFormat="1" ht="19.5" customHeight="1" thickBot="1">
      <c r="A1100" s="189" t="str">
        <f>IFERROR(INDEX(凭证录入!H:H,$H1100),"")</f>
        <v/>
      </c>
      <c r="B1100" s="189" t="str">
        <f>IFERROR(INDEX(凭证录入!I:I,$H1100),"")</f>
        <v/>
      </c>
      <c r="C1100" s="190" t="str">
        <f>IFERROR(VLOOKUP($B1100,会计科目表!$A:$C,2,),"")</f>
        <v/>
      </c>
      <c r="D1100" s="190" t="str">
        <f>IFERROR(VLOOKUP($B1100,会计科目表!$A:$C,3,),"")</f>
        <v/>
      </c>
      <c r="E1100" s="191">
        <f>IFERROR(INDEX(凭证录入!K:K,$H1100),0)</f>
        <v>0</v>
      </c>
      <c r="F1100" s="191">
        <f>IFERROR(INDEX(凭证录入!L:L,$H1100),0)</f>
        <v>0</v>
      </c>
      <c r="G1100" s="212" t="e">
        <f>INDEX(凭证录入!$D:$D,$H1097)</f>
        <v>#VALUE!</v>
      </c>
      <c r="H1100" s="192" t="str">
        <f t="shared" si="144"/>
        <v/>
      </c>
      <c r="I1100" s="212"/>
    </row>
    <row r="1101" spans="1:9" s="45" customFormat="1" ht="19.5" customHeight="1" thickBot="1">
      <c r="A1101" s="189" t="str">
        <f>IFERROR(INDEX(凭证录入!H:H,$H1101),"")</f>
        <v/>
      </c>
      <c r="B1101" s="189" t="str">
        <f>IFERROR(INDEX(凭证录入!I:I,$H1101),"")</f>
        <v/>
      </c>
      <c r="C1101" s="190" t="str">
        <f>IFERROR(VLOOKUP($B1101,会计科目表!$A:$C,2,),"")</f>
        <v/>
      </c>
      <c r="D1101" s="190" t="str">
        <f>IFERROR(VLOOKUP($B1101,会计科目表!$A:$C,3,),"")</f>
        <v/>
      </c>
      <c r="E1101" s="191">
        <f>IFERROR(INDEX(凭证录入!K:K,$H1101),0)</f>
        <v>0</v>
      </c>
      <c r="F1101" s="191">
        <f>IFERROR(INDEX(凭证录入!L:L,$H1101),0)</f>
        <v>0</v>
      </c>
      <c r="G1101" s="212" t="s">
        <v>492</v>
      </c>
      <c r="H1101" s="192" t="str">
        <f t="shared" si="144"/>
        <v/>
      </c>
    </row>
    <row r="1102" spans="1:9" s="45" customFormat="1" ht="19.5" customHeight="1" thickBot="1">
      <c r="A1102" s="189" t="str">
        <f>IFERROR(INDEX(凭证录入!H:H,$H1102),"")</f>
        <v/>
      </c>
      <c r="B1102" s="189" t="str">
        <f>IFERROR(INDEX(凭证录入!I:I,$H1102),"")</f>
        <v/>
      </c>
      <c r="C1102" s="190" t="str">
        <f>IFERROR(VLOOKUP($B1102,会计科目表!$A:$C,2,),"")</f>
        <v/>
      </c>
      <c r="D1102" s="190" t="str">
        <f>IFERROR(VLOOKUP($B1102,会计科目表!$A:$C,3,),"")</f>
        <v/>
      </c>
      <c r="E1102" s="191">
        <f>IFERROR(INDEX(凭证录入!K:K,$H1102),0)</f>
        <v>0</v>
      </c>
      <c r="F1102" s="191">
        <f>IFERROR(INDEX(凭证录入!L:L,$H1102),0)</f>
        <v>0</v>
      </c>
      <c r="G1102" s="212"/>
      <c r="H1102" s="192" t="str">
        <f t="shared" si="144"/>
        <v/>
      </c>
    </row>
    <row r="1103" spans="1:9" s="45" customFormat="1" ht="19.5" customHeight="1" thickBot="1">
      <c r="A1103" s="193"/>
      <c r="B1103" s="194" t="s">
        <v>485</v>
      </c>
      <c r="C1103" s="195" t="str">
        <f>SUBSTITUTE(SUBSTITUTE(IF(-DOLLAR(E1103),IF(E1103&gt;0,,"负")&amp;TEXT(INT(ABS(E1103)+0.5%),"[dbnum2]G/通用格式元;;")&amp;TEXT(RIGHT(DOLLAR(E1103),2),"[dbnum2]0角0分;;整"),),"零角",IF(E1103^2&lt;1,,"零")),"零分","整")</f>
        <v/>
      </c>
      <c r="D1103" s="196"/>
      <c r="E1103" s="197">
        <f>SUM(E1097:E1102)</f>
        <v>0</v>
      </c>
      <c r="F1103" s="197">
        <f>SUM(F1097:F1102)</f>
        <v>0</v>
      </c>
      <c r="G1103" s="212"/>
      <c r="H1103" s="192" t="str">
        <f t="shared" si="144"/>
        <v/>
      </c>
    </row>
    <row r="1104" spans="1:9" s="199" customFormat="1" ht="19.5" customHeight="1">
      <c r="A1104" s="45" t="s">
        <v>486</v>
      </c>
      <c r="B1104" s="45" t="s">
        <v>487</v>
      </c>
      <c r="C1104" s="45" t="s">
        <v>488</v>
      </c>
      <c r="D1104" s="45" t="s">
        <v>504</v>
      </c>
      <c r="E1104" s="45" t="s">
        <v>489</v>
      </c>
      <c r="F1104" s="212" t="str">
        <f>IF($E1103&lt;&gt;$F1103,"借贷不平","")</f>
        <v/>
      </c>
      <c r="G1104" s="183"/>
      <c r="H1104" s="198" t="str">
        <f t="shared" si="144"/>
        <v/>
      </c>
    </row>
    <row r="1105" spans="1:9" ht="37.5" customHeight="1">
      <c r="A1105" s="204" t="s">
        <v>493</v>
      </c>
      <c r="B1105" s="205"/>
      <c r="C1105" s="206"/>
      <c r="D1105" s="206"/>
      <c r="E1105" s="205"/>
      <c r="F1105" s="205"/>
      <c r="G1105" s="212"/>
      <c r="H1105" s="192" t="str">
        <f t="shared" si="144"/>
        <v/>
      </c>
    </row>
    <row r="1106" spans="1:9" s="45" customFormat="1" ht="19.5" customHeight="1" thickBot="1">
      <c r="C1106" s="207" t="e">
        <f>DATEVALUE("2010-"&amp;$H$1&amp;"-"&amp;INDEX(凭证录入!B:B,H1109))</f>
        <v>#VALUE!</v>
      </c>
      <c r="D1106" s="208"/>
      <c r="E1106" s="182" t="s">
        <v>477</v>
      </c>
      <c r="F1106" s="183" t="e">
        <f>N(LEFT((F1094),3)+1)</f>
        <v>#VALUE!</v>
      </c>
      <c r="G1106" s="212"/>
      <c r="H1106" s="192" t="str">
        <f t="shared" si="144"/>
        <v/>
      </c>
      <c r="I1106" s="184"/>
    </row>
    <row r="1107" spans="1:9" s="45" customFormat="1" ht="19.5" customHeight="1" thickBot="1">
      <c r="A1107" s="547" t="s">
        <v>494</v>
      </c>
      <c r="B1107" s="549" t="s">
        <v>495</v>
      </c>
      <c r="C1107" s="209" t="s">
        <v>496</v>
      </c>
      <c r="D1107" s="210"/>
      <c r="E1107" s="187"/>
      <c r="F1107" s="482"/>
      <c r="G1107" s="212"/>
      <c r="H1107" s="192" t="str">
        <f t="shared" si="144"/>
        <v/>
      </c>
    </row>
    <row r="1108" spans="1:9" s="45" customFormat="1" ht="19.5" customHeight="1" thickBot="1">
      <c r="A1108" s="548"/>
      <c r="B1108" s="550"/>
      <c r="C1108" s="482" t="s">
        <v>497</v>
      </c>
      <c r="D1108" s="482" t="s">
        <v>498</v>
      </c>
      <c r="E1108" s="482" t="s">
        <v>499</v>
      </c>
      <c r="F1108" s="482" t="s">
        <v>500</v>
      </c>
      <c r="G1108" s="212"/>
      <c r="H1108" s="192" t="str">
        <f t="shared" si="144"/>
        <v/>
      </c>
    </row>
    <row r="1109" spans="1:9" s="45" customFormat="1" ht="19.5" customHeight="1" thickBot="1">
      <c r="A1109" s="189" t="str">
        <f>IFERROR(INDEX(凭证录入!H:H,$H1109),"")</f>
        <v/>
      </c>
      <c r="B1109" s="189" t="str">
        <f>IFERROR(INDEX(凭证录入!I:I,$H1109),"")</f>
        <v/>
      </c>
      <c r="C1109" s="190" t="str">
        <f>IFERROR(VLOOKUP($B1109,会计科目表!$A:$C,2,),"")</f>
        <v/>
      </c>
      <c r="D1109" s="190" t="str">
        <f>IFERROR(VLOOKUP($B1109,会计科目表!$A:$C,3,),"")</f>
        <v/>
      </c>
      <c r="E1109" s="191">
        <f>IFERROR(INDEX(凭证录入!K:K,$H1109),0)</f>
        <v>0</v>
      </c>
      <c r="F1109" s="191">
        <f>IFERROR(INDEX(凭证录入!L:L,$H1109),0)</f>
        <v>0</v>
      </c>
      <c r="G1109" s="212"/>
      <c r="H1109" s="192" t="str">
        <f t="shared" si="144"/>
        <v/>
      </c>
    </row>
    <row r="1110" spans="1:9" s="45" customFormat="1" ht="19.5" customHeight="1" thickBot="1">
      <c r="A1110" s="189" t="str">
        <f>IFERROR(INDEX(凭证录入!H:H,$H1110),"")</f>
        <v/>
      </c>
      <c r="B1110" s="189" t="str">
        <f>IFERROR(INDEX(凭证录入!I:I,$H1110),"")</f>
        <v/>
      </c>
      <c r="C1110" s="190" t="str">
        <f>IFERROR(VLOOKUP($B1110,会计科目表!$A:$C,2,),"")</f>
        <v/>
      </c>
      <c r="D1110" s="190" t="str">
        <f>IFERROR(VLOOKUP($B1110,会计科目表!$A:$C,3,),"")</f>
        <v/>
      </c>
      <c r="E1110" s="191">
        <f>IFERROR(INDEX(凭证录入!K:K,$H1110),0)</f>
        <v>0</v>
      </c>
      <c r="F1110" s="191">
        <f>IFERROR(INDEX(凭证录入!L:L,$H1110),0)</f>
        <v>0</v>
      </c>
      <c r="G1110" s="212" t="s">
        <v>490</v>
      </c>
      <c r="H1110" s="192" t="str">
        <f t="shared" si="144"/>
        <v/>
      </c>
      <c r="I1110" s="212"/>
    </row>
    <row r="1111" spans="1:9" s="45" customFormat="1" ht="19.5" customHeight="1" thickBot="1">
      <c r="A1111" s="189" t="str">
        <f>IFERROR(INDEX(凭证录入!H:H,$H1111),"")</f>
        <v/>
      </c>
      <c r="B1111" s="189" t="str">
        <f>IFERROR(INDEX(凭证录入!I:I,$H1111),"")</f>
        <v/>
      </c>
      <c r="C1111" s="190" t="str">
        <f>IFERROR(VLOOKUP($B1111,会计科目表!$A:$C,2,),"")</f>
        <v/>
      </c>
      <c r="D1111" s="190" t="str">
        <f>IFERROR(VLOOKUP($B1111,会计科目表!$A:$C,3,),"")</f>
        <v/>
      </c>
      <c r="E1111" s="191">
        <f>IFERROR(INDEX(凭证录入!K:K,$H1111),0)</f>
        <v>0</v>
      </c>
      <c r="F1111" s="191">
        <f>IFERROR(INDEX(凭证录入!L:L,$H1111),0)</f>
        <v>0</v>
      </c>
      <c r="G1111" s="212" t="s">
        <v>491</v>
      </c>
      <c r="H1111" s="192" t="str">
        <f t="shared" si="144"/>
        <v/>
      </c>
      <c r="I1111" s="212"/>
    </row>
    <row r="1112" spans="1:9" s="45" customFormat="1" ht="19.5" customHeight="1" thickBot="1">
      <c r="A1112" s="189" t="str">
        <f>IFERROR(INDEX(凭证录入!H:H,$H1112),"")</f>
        <v/>
      </c>
      <c r="B1112" s="189" t="str">
        <f>IFERROR(INDEX(凭证录入!I:I,$H1112),"")</f>
        <v/>
      </c>
      <c r="C1112" s="190" t="str">
        <f>IFERROR(VLOOKUP($B1112,会计科目表!$A:$C,2,),"")</f>
        <v/>
      </c>
      <c r="D1112" s="190" t="str">
        <f>IFERROR(VLOOKUP($B1112,会计科目表!$A:$C,3,),"")</f>
        <v/>
      </c>
      <c r="E1112" s="191">
        <f>IFERROR(INDEX(凭证录入!K:K,$H1112),0)</f>
        <v>0</v>
      </c>
      <c r="F1112" s="191">
        <f>IFERROR(INDEX(凭证录入!L:L,$H1112),0)</f>
        <v>0</v>
      </c>
      <c r="G1112" s="212" t="e">
        <f>INDEX(凭证录入!$D:$D,$H1109)</f>
        <v>#VALUE!</v>
      </c>
      <c r="H1112" s="192" t="str">
        <f t="shared" si="144"/>
        <v/>
      </c>
      <c r="I1112" s="212"/>
    </row>
    <row r="1113" spans="1:9" s="45" customFormat="1" ht="19.5" customHeight="1" thickBot="1">
      <c r="A1113" s="189" t="str">
        <f>IFERROR(INDEX(凭证录入!H:H,$H1113),"")</f>
        <v/>
      </c>
      <c r="B1113" s="189" t="str">
        <f>IFERROR(INDEX(凭证录入!I:I,$H1113),"")</f>
        <v/>
      </c>
      <c r="C1113" s="190" t="str">
        <f>IFERROR(VLOOKUP($B1113,会计科目表!$A:$C,2,),"")</f>
        <v/>
      </c>
      <c r="D1113" s="190" t="str">
        <f>IFERROR(VLOOKUP($B1113,会计科目表!$A:$C,3,),"")</f>
        <v/>
      </c>
      <c r="E1113" s="191">
        <f>IFERROR(INDEX(凭证录入!K:K,$H1113),0)</f>
        <v>0</v>
      </c>
      <c r="F1113" s="191">
        <f>IFERROR(INDEX(凭证录入!L:L,$H1113),0)</f>
        <v>0</v>
      </c>
      <c r="G1113" s="212" t="s">
        <v>492</v>
      </c>
      <c r="H1113" s="192" t="str">
        <f t="shared" si="144"/>
        <v/>
      </c>
    </row>
    <row r="1114" spans="1:9" s="45" customFormat="1" ht="19.5" customHeight="1" thickBot="1">
      <c r="A1114" s="189" t="str">
        <f>IFERROR(INDEX(凭证录入!H:H,$H1114),"")</f>
        <v/>
      </c>
      <c r="B1114" s="189" t="str">
        <f>IFERROR(INDEX(凭证录入!I:I,$H1114),"")</f>
        <v/>
      </c>
      <c r="C1114" s="190" t="str">
        <f>IFERROR(VLOOKUP($B1114,会计科目表!$A:$C,2,),"")</f>
        <v/>
      </c>
      <c r="D1114" s="190" t="str">
        <f>IFERROR(VLOOKUP($B1114,会计科目表!$A:$C,3,),"")</f>
        <v/>
      </c>
      <c r="E1114" s="191">
        <f>IFERROR(INDEX(凭证录入!K:K,$H1114),0)</f>
        <v>0</v>
      </c>
      <c r="F1114" s="191">
        <f>IFERROR(INDEX(凭证录入!L:L,$H1114),0)</f>
        <v>0</v>
      </c>
      <c r="G1114" s="212"/>
      <c r="H1114" s="192" t="str">
        <f t="shared" si="144"/>
        <v/>
      </c>
    </row>
    <row r="1115" spans="1:9" s="45" customFormat="1" ht="19.5" customHeight="1" thickBot="1">
      <c r="A1115" s="193"/>
      <c r="B1115" s="194" t="s">
        <v>485</v>
      </c>
      <c r="C1115" s="195" t="str">
        <f>SUBSTITUTE(SUBSTITUTE(IF(-DOLLAR(E1115),IF(E1115&gt;0,,"负")&amp;TEXT(INT(ABS(E1115)+0.5%),"[dbnum2]G/通用格式元;;")&amp;TEXT(RIGHT(DOLLAR(E1115),2),"[dbnum2]0角0分;;整"),),"零角",IF(E1115^2&lt;1,,"零")),"零分","整")</f>
        <v/>
      </c>
      <c r="D1115" s="196"/>
      <c r="E1115" s="197">
        <f>SUM(E1109:E1114)</f>
        <v>0</v>
      </c>
      <c r="F1115" s="197">
        <f>SUM(F1109:F1114)</f>
        <v>0</v>
      </c>
      <c r="G1115" s="212"/>
      <c r="H1115" s="192" t="str">
        <f t="shared" si="144"/>
        <v/>
      </c>
    </row>
    <row r="1116" spans="1:9" s="199" customFormat="1" ht="19.5" customHeight="1">
      <c r="A1116" s="45" t="s">
        <v>486</v>
      </c>
      <c r="B1116" s="45" t="s">
        <v>487</v>
      </c>
      <c r="C1116" s="45" t="s">
        <v>488</v>
      </c>
      <c r="D1116" s="45" t="s">
        <v>504</v>
      </c>
      <c r="E1116" s="45" t="s">
        <v>489</v>
      </c>
      <c r="F1116" s="212" t="str">
        <f>IF($E1115&lt;&gt;$F1115,"借贷不平","")</f>
        <v/>
      </c>
      <c r="G1116" s="183"/>
      <c r="H1116" s="198" t="str">
        <f t="shared" si="144"/>
        <v/>
      </c>
    </row>
    <row r="1117" spans="1:9" ht="37.5" customHeight="1">
      <c r="A1117" s="177" t="s">
        <v>493</v>
      </c>
      <c r="B1117" s="178"/>
      <c r="C1117" s="179"/>
      <c r="D1117" s="179"/>
      <c r="E1117" s="178"/>
      <c r="F1117" s="178"/>
      <c r="G1117" s="212"/>
      <c r="H1117" s="192" t="str">
        <f t="shared" si="144"/>
        <v/>
      </c>
    </row>
    <row r="1118" spans="1:9" s="45" customFormat="1" ht="19.5" customHeight="1" thickBot="1">
      <c r="C1118" s="180" t="e">
        <f>DATEVALUE("2010-"&amp;$H$1&amp;"-"&amp;INDEX(凭证录入!B:B,H1121))</f>
        <v>#VALUE!</v>
      </c>
      <c r="D1118" s="181"/>
      <c r="E1118" s="182" t="s">
        <v>477</v>
      </c>
      <c r="F1118" s="183" t="e">
        <f>N(LEFT((F1106),3)+1)</f>
        <v>#VALUE!</v>
      </c>
      <c r="G1118" s="212"/>
      <c r="H1118" s="192" t="str">
        <f t="shared" si="144"/>
        <v/>
      </c>
      <c r="I1118" s="184"/>
    </row>
    <row r="1119" spans="1:9" s="45" customFormat="1" ht="19.5" customHeight="1" thickBot="1">
      <c r="A1119" s="544" t="s">
        <v>494</v>
      </c>
      <c r="B1119" s="545" t="s">
        <v>495</v>
      </c>
      <c r="C1119" s="185" t="s">
        <v>496</v>
      </c>
      <c r="D1119" s="186"/>
      <c r="E1119" s="187"/>
      <c r="F1119" s="482"/>
      <c r="G1119" s="212"/>
      <c r="H1119" s="192" t="str">
        <f t="shared" si="144"/>
        <v/>
      </c>
    </row>
    <row r="1120" spans="1:9" s="45" customFormat="1" ht="19.5" customHeight="1" thickBot="1">
      <c r="A1120" s="545"/>
      <c r="B1120" s="546"/>
      <c r="C1120" s="482" t="s">
        <v>497</v>
      </c>
      <c r="D1120" s="482" t="s">
        <v>498</v>
      </c>
      <c r="E1120" s="482" t="s">
        <v>499</v>
      </c>
      <c r="F1120" s="482" t="s">
        <v>500</v>
      </c>
      <c r="G1120" s="212"/>
      <c r="H1120" s="192" t="str">
        <f t="shared" si="144"/>
        <v/>
      </c>
    </row>
    <row r="1121" spans="1:9" s="45" customFormat="1" ht="19.5" customHeight="1" thickBot="1">
      <c r="A1121" s="189" t="str">
        <f>IFERROR(INDEX(凭证录入!H:H,$H1121),"")</f>
        <v/>
      </c>
      <c r="B1121" s="189" t="str">
        <f>IFERROR(INDEX(凭证录入!I:I,$H1121),"")</f>
        <v/>
      </c>
      <c r="C1121" s="190" t="str">
        <f>IFERROR(VLOOKUP($B1121,会计科目表!$A:$C,2,),"")</f>
        <v/>
      </c>
      <c r="D1121" s="190" t="str">
        <f>IFERROR(VLOOKUP($B1121,会计科目表!$A:$C,3,),"")</f>
        <v/>
      </c>
      <c r="E1121" s="191">
        <f>IFERROR(INDEX(凭证录入!K:K,$H1121),0)</f>
        <v>0</v>
      </c>
      <c r="F1121" s="191">
        <f>IFERROR(INDEX(凭证录入!L:L,$H1121),0)</f>
        <v>0</v>
      </c>
      <c r="G1121" s="212"/>
      <c r="H1121" s="192" t="str">
        <f t="shared" si="144"/>
        <v/>
      </c>
    </row>
    <row r="1122" spans="1:9" s="45" customFormat="1" ht="19.5" customHeight="1" thickBot="1">
      <c r="A1122" s="189" t="str">
        <f>IFERROR(INDEX(凭证录入!H:H,$H1122),"")</f>
        <v/>
      </c>
      <c r="B1122" s="189" t="str">
        <f>IFERROR(INDEX(凭证录入!I:I,$H1122),"")</f>
        <v/>
      </c>
      <c r="C1122" s="190" t="str">
        <f>IFERROR(VLOOKUP($B1122,会计科目表!$A:$C,2,),"")</f>
        <v/>
      </c>
      <c r="D1122" s="190" t="str">
        <f>IFERROR(VLOOKUP($B1122,会计科目表!$A:$C,3,),"")</f>
        <v/>
      </c>
      <c r="E1122" s="191">
        <f>IFERROR(INDEX(凭证录入!K:K,$H1122),0)</f>
        <v>0</v>
      </c>
      <c r="F1122" s="191">
        <f>IFERROR(INDEX(凭证录入!L:L,$H1122),0)</f>
        <v>0</v>
      </c>
      <c r="G1122" s="212" t="s">
        <v>490</v>
      </c>
      <c r="H1122" s="192" t="str">
        <f t="shared" si="144"/>
        <v/>
      </c>
      <c r="I1122" s="212"/>
    </row>
    <row r="1123" spans="1:9" s="45" customFormat="1" ht="19.5" customHeight="1" thickBot="1">
      <c r="A1123" s="189" t="str">
        <f>IFERROR(INDEX(凭证录入!H:H,$H1123),"")</f>
        <v/>
      </c>
      <c r="B1123" s="189" t="str">
        <f>IFERROR(INDEX(凭证录入!I:I,$H1123),"")</f>
        <v/>
      </c>
      <c r="C1123" s="190" t="str">
        <f>IFERROR(VLOOKUP($B1123,会计科目表!$A:$C,2,),"")</f>
        <v/>
      </c>
      <c r="D1123" s="190" t="str">
        <f>IFERROR(VLOOKUP($B1123,会计科目表!$A:$C,3,),"")</f>
        <v/>
      </c>
      <c r="E1123" s="191">
        <f>IFERROR(INDEX(凭证录入!K:K,$H1123),0)</f>
        <v>0</v>
      </c>
      <c r="F1123" s="191">
        <f>IFERROR(INDEX(凭证录入!L:L,$H1123),0)</f>
        <v>0</v>
      </c>
      <c r="G1123" s="212" t="s">
        <v>491</v>
      </c>
      <c r="H1123" s="192" t="str">
        <f t="shared" si="144"/>
        <v/>
      </c>
      <c r="I1123" s="212"/>
    </row>
    <row r="1124" spans="1:9" s="45" customFormat="1" ht="19.5" customHeight="1" thickBot="1">
      <c r="A1124" s="189" t="str">
        <f>IFERROR(INDEX(凭证录入!H:H,$H1124),"")</f>
        <v/>
      </c>
      <c r="B1124" s="189" t="str">
        <f>IFERROR(INDEX(凭证录入!I:I,$H1124),"")</f>
        <v/>
      </c>
      <c r="C1124" s="190" t="str">
        <f>IFERROR(VLOOKUP($B1124,会计科目表!$A:$C,2,),"")</f>
        <v/>
      </c>
      <c r="D1124" s="190" t="str">
        <f>IFERROR(VLOOKUP($B1124,会计科目表!$A:$C,3,),"")</f>
        <v/>
      </c>
      <c r="E1124" s="191">
        <f>IFERROR(INDEX(凭证录入!K:K,$H1124),0)</f>
        <v>0</v>
      </c>
      <c r="F1124" s="191">
        <f>IFERROR(INDEX(凭证录入!L:L,$H1124),0)</f>
        <v>0</v>
      </c>
      <c r="G1124" s="212" t="e">
        <f>INDEX(凭证录入!$D:$D,$H1121)</f>
        <v>#VALUE!</v>
      </c>
      <c r="H1124" s="192" t="str">
        <f t="shared" si="144"/>
        <v/>
      </c>
      <c r="I1124" s="212"/>
    </row>
    <row r="1125" spans="1:9" s="45" customFormat="1" ht="19.5" customHeight="1" thickBot="1">
      <c r="A1125" s="189" t="str">
        <f>IFERROR(INDEX(凭证录入!H:H,$H1125),"")</f>
        <v/>
      </c>
      <c r="B1125" s="189" t="str">
        <f>IFERROR(INDEX(凭证录入!I:I,$H1125),"")</f>
        <v/>
      </c>
      <c r="C1125" s="190" t="str">
        <f>IFERROR(VLOOKUP($B1125,会计科目表!$A:$C,2,),"")</f>
        <v/>
      </c>
      <c r="D1125" s="190" t="str">
        <f>IFERROR(VLOOKUP($B1125,会计科目表!$A:$C,3,),"")</f>
        <v/>
      </c>
      <c r="E1125" s="191">
        <f>IFERROR(INDEX(凭证录入!K:K,$H1125),0)</f>
        <v>0</v>
      </c>
      <c r="F1125" s="191">
        <f>IFERROR(INDEX(凭证录入!L:L,$H1125),0)</f>
        <v>0</v>
      </c>
      <c r="G1125" s="212" t="s">
        <v>492</v>
      </c>
      <c r="H1125" s="192" t="str">
        <f t="shared" si="144"/>
        <v/>
      </c>
    </row>
    <row r="1126" spans="1:9" s="45" customFormat="1" ht="19.5" customHeight="1" thickBot="1">
      <c r="A1126" s="189" t="str">
        <f>IFERROR(INDEX(凭证录入!H:H,$H1126),"")</f>
        <v/>
      </c>
      <c r="B1126" s="189" t="str">
        <f>IFERROR(INDEX(凭证录入!I:I,$H1126),"")</f>
        <v/>
      </c>
      <c r="C1126" s="190" t="str">
        <f>IFERROR(VLOOKUP($B1126,会计科目表!$A:$C,2,),"")</f>
        <v/>
      </c>
      <c r="D1126" s="190" t="str">
        <f>IFERROR(VLOOKUP($B1126,会计科目表!$A:$C,3,),"")</f>
        <v/>
      </c>
      <c r="E1126" s="191">
        <f>IFERROR(INDEX(凭证录入!K:K,$H1126),0)</f>
        <v>0</v>
      </c>
      <c r="F1126" s="191">
        <f>IFERROR(INDEX(凭证录入!L:L,$H1126),0)</f>
        <v>0</v>
      </c>
      <c r="G1126" s="212"/>
      <c r="H1126" s="192" t="str">
        <f t="shared" si="144"/>
        <v/>
      </c>
    </row>
    <row r="1127" spans="1:9" s="45" customFormat="1" ht="19.5" customHeight="1" thickBot="1">
      <c r="A1127" s="193"/>
      <c r="B1127" s="194" t="s">
        <v>485</v>
      </c>
      <c r="C1127" s="195" t="str">
        <f>SUBSTITUTE(SUBSTITUTE(IF(-DOLLAR(E1127),IF(E1127&gt;0,,"负")&amp;TEXT(INT(ABS(E1127)+0.5%),"[dbnum2]G/通用格式元;;")&amp;TEXT(RIGHT(DOLLAR(E1127),2),"[dbnum2]0角0分;;整"),),"零角",IF(E1127^2&lt;1,,"零")),"零分","整")</f>
        <v/>
      </c>
      <c r="D1127" s="196"/>
      <c r="E1127" s="197">
        <f>SUM(E1121:E1126)</f>
        <v>0</v>
      </c>
      <c r="F1127" s="197">
        <f>SUM(F1121:F1126)</f>
        <v>0</v>
      </c>
      <c r="G1127" s="212"/>
      <c r="H1127" s="192" t="str">
        <f t="shared" si="144"/>
        <v/>
      </c>
    </row>
    <row r="1128" spans="1:9" s="199" customFormat="1" ht="19.5" customHeight="1">
      <c r="A1128" s="45" t="s">
        <v>486</v>
      </c>
      <c r="B1128" s="45" t="s">
        <v>487</v>
      </c>
      <c r="C1128" s="45" t="s">
        <v>488</v>
      </c>
      <c r="D1128" s="45" t="s">
        <v>504</v>
      </c>
      <c r="E1128" s="45" t="s">
        <v>489</v>
      </c>
      <c r="F1128" s="212" t="str">
        <f>IF($E1127&lt;&gt;$F1127,"借贷不平","")</f>
        <v/>
      </c>
      <c r="G1128" s="183"/>
      <c r="H1128" s="198" t="str">
        <f t="shared" si="144"/>
        <v/>
      </c>
    </row>
    <row r="1129" spans="1:9" ht="37.5" customHeight="1">
      <c r="A1129" s="177" t="s">
        <v>493</v>
      </c>
      <c r="B1129" s="178"/>
      <c r="C1129" s="179"/>
      <c r="D1129" s="179"/>
      <c r="E1129" s="178"/>
      <c r="F1129" s="178"/>
      <c r="G1129" s="212"/>
      <c r="H1129" s="192" t="str">
        <f t="shared" ref="H1129:H1192" si="145">IFERROR(INDEX(行号,TEXT(MOD(ROW(),12)-4,"[=]A")),"")</f>
        <v/>
      </c>
    </row>
    <row r="1130" spans="1:9" s="45" customFormat="1" ht="19.5" customHeight="1" thickBot="1">
      <c r="C1130" s="180" t="e">
        <f>DATEVALUE("2010-"&amp;$H$1&amp;"-"&amp;INDEX(凭证录入!B:B,H1133))</f>
        <v>#VALUE!</v>
      </c>
      <c r="D1130" s="181"/>
      <c r="E1130" s="182" t="s">
        <v>477</v>
      </c>
      <c r="F1130" s="183" t="e">
        <f>N(LEFT((F1118),3)+1)</f>
        <v>#VALUE!</v>
      </c>
      <c r="G1130" s="212"/>
      <c r="H1130" s="192" t="str">
        <f t="shared" si="145"/>
        <v/>
      </c>
      <c r="I1130" s="184"/>
    </row>
    <row r="1131" spans="1:9" s="45" customFormat="1" ht="19.5" customHeight="1" thickBot="1">
      <c r="A1131" s="544" t="s">
        <v>494</v>
      </c>
      <c r="B1131" s="545" t="s">
        <v>495</v>
      </c>
      <c r="C1131" s="185" t="s">
        <v>496</v>
      </c>
      <c r="D1131" s="186"/>
      <c r="E1131" s="187"/>
      <c r="F1131" s="482"/>
      <c r="G1131" s="212"/>
      <c r="H1131" s="192" t="str">
        <f t="shared" si="145"/>
        <v/>
      </c>
    </row>
    <row r="1132" spans="1:9" s="45" customFormat="1" ht="19.5" customHeight="1" thickBot="1">
      <c r="A1132" s="545"/>
      <c r="B1132" s="546"/>
      <c r="C1132" s="482" t="s">
        <v>497</v>
      </c>
      <c r="D1132" s="482" t="s">
        <v>498</v>
      </c>
      <c r="E1132" s="482" t="s">
        <v>499</v>
      </c>
      <c r="F1132" s="482" t="s">
        <v>500</v>
      </c>
      <c r="G1132" s="212"/>
      <c r="H1132" s="192" t="str">
        <f t="shared" si="145"/>
        <v/>
      </c>
    </row>
    <row r="1133" spans="1:9" s="45" customFormat="1" ht="19.5" customHeight="1" thickBot="1">
      <c r="A1133" s="189" t="str">
        <f>IFERROR(INDEX(凭证录入!H:H,$H1133),"")</f>
        <v/>
      </c>
      <c r="B1133" s="189" t="str">
        <f>IFERROR(INDEX(凭证录入!I:I,$H1133),"")</f>
        <v/>
      </c>
      <c r="C1133" s="190" t="str">
        <f>IFERROR(VLOOKUP($B1133,会计科目表!$A:$C,2,),"")</f>
        <v/>
      </c>
      <c r="D1133" s="190" t="str">
        <f>IFERROR(VLOOKUP($B1133,会计科目表!$A:$C,3,),"")</f>
        <v/>
      </c>
      <c r="E1133" s="191">
        <f>IFERROR(INDEX(凭证录入!K:K,$H1133),0)</f>
        <v>0</v>
      </c>
      <c r="F1133" s="191">
        <f>IFERROR(INDEX(凭证录入!L:L,$H1133),0)</f>
        <v>0</v>
      </c>
      <c r="G1133" s="212"/>
      <c r="H1133" s="192" t="str">
        <f t="shared" si="145"/>
        <v/>
      </c>
    </row>
    <row r="1134" spans="1:9" s="45" customFormat="1" ht="19.5" customHeight="1" thickBot="1">
      <c r="A1134" s="189" t="str">
        <f>IFERROR(INDEX(凭证录入!H:H,$H1134),"")</f>
        <v/>
      </c>
      <c r="B1134" s="189" t="str">
        <f>IFERROR(INDEX(凭证录入!I:I,$H1134),"")</f>
        <v/>
      </c>
      <c r="C1134" s="190" t="str">
        <f>IFERROR(VLOOKUP($B1134,会计科目表!$A:$C,2,),"")</f>
        <v/>
      </c>
      <c r="D1134" s="190" t="str">
        <f>IFERROR(VLOOKUP($B1134,会计科目表!$A:$C,3,),"")</f>
        <v/>
      </c>
      <c r="E1134" s="191">
        <f>IFERROR(INDEX(凭证录入!K:K,$H1134),0)</f>
        <v>0</v>
      </c>
      <c r="F1134" s="191">
        <f>IFERROR(INDEX(凭证录入!L:L,$H1134),0)</f>
        <v>0</v>
      </c>
      <c r="G1134" s="212" t="s">
        <v>490</v>
      </c>
      <c r="H1134" s="192" t="str">
        <f t="shared" si="145"/>
        <v/>
      </c>
      <c r="I1134" s="212"/>
    </row>
    <row r="1135" spans="1:9" s="45" customFormat="1" ht="19.5" customHeight="1" thickBot="1">
      <c r="A1135" s="189" t="str">
        <f>IFERROR(INDEX(凭证录入!H:H,$H1135),"")</f>
        <v/>
      </c>
      <c r="B1135" s="189" t="str">
        <f>IFERROR(INDEX(凭证录入!I:I,$H1135),"")</f>
        <v/>
      </c>
      <c r="C1135" s="190" t="str">
        <f>IFERROR(VLOOKUP($B1135,会计科目表!$A:$C,2,),"")</f>
        <v/>
      </c>
      <c r="D1135" s="190" t="str">
        <f>IFERROR(VLOOKUP($B1135,会计科目表!$A:$C,3,),"")</f>
        <v/>
      </c>
      <c r="E1135" s="191">
        <f>IFERROR(INDEX(凭证录入!K:K,$H1135),0)</f>
        <v>0</v>
      </c>
      <c r="F1135" s="191">
        <f>IFERROR(INDEX(凭证录入!L:L,$H1135),0)</f>
        <v>0</v>
      </c>
      <c r="G1135" s="212" t="s">
        <v>491</v>
      </c>
      <c r="H1135" s="192" t="str">
        <f t="shared" si="145"/>
        <v/>
      </c>
      <c r="I1135" s="212"/>
    </row>
    <row r="1136" spans="1:9" s="45" customFormat="1" ht="19.5" customHeight="1" thickBot="1">
      <c r="A1136" s="189" t="str">
        <f>IFERROR(INDEX(凭证录入!H:H,$H1136),"")</f>
        <v/>
      </c>
      <c r="B1136" s="189" t="str">
        <f>IFERROR(INDEX(凭证录入!I:I,$H1136),"")</f>
        <v/>
      </c>
      <c r="C1136" s="190" t="str">
        <f>IFERROR(VLOOKUP($B1136,会计科目表!$A:$C,2,),"")</f>
        <v/>
      </c>
      <c r="D1136" s="190" t="str">
        <f>IFERROR(VLOOKUP($B1136,会计科目表!$A:$C,3,),"")</f>
        <v/>
      </c>
      <c r="E1136" s="191">
        <f>IFERROR(INDEX(凭证录入!K:K,$H1136),0)</f>
        <v>0</v>
      </c>
      <c r="F1136" s="191">
        <f>IFERROR(INDEX(凭证录入!L:L,$H1136),0)</f>
        <v>0</v>
      </c>
      <c r="G1136" s="212" t="e">
        <f>INDEX(凭证录入!$D:$D,$H1133)</f>
        <v>#VALUE!</v>
      </c>
      <c r="H1136" s="192" t="str">
        <f t="shared" si="145"/>
        <v/>
      </c>
      <c r="I1136" s="212"/>
    </row>
    <row r="1137" spans="1:9" s="45" customFormat="1" ht="19.5" customHeight="1" thickBot="1">
      <c r="A1137" s="189" t="str">
        <f>IFERROR(INDEX(凭证录入!H:H,$H1137),"")</f>
        <v/>
      </c>
      <c r="B1137" s="189" t="str">
        <f>IFERROR(INDEX(凭证录入!I:I,$H1137),"")</f>
        <v/>
      </c>
      <c r="C1137" s="190" t="str">
        <f>IFERROR(VLOOKUP($B1137,会计科目表!$A:$C,2,),"")</f>
        <v/>
      </c>
      <c r="D1137" s="190" t="str">
        <f>IFERROR(VLOOKUP($B1137,会计科目表!$A:$C,3,),"")</f>
        <v/>
      </c>
      <c r="E1137" s="191">
        <f>IFERROR(INDEX(凭证录入!K:K,$H1137),0)</f>
        <v>0</v>
      </c>
      <c r="F1137" s="191">
        <f>IFERROR(INDEX(凭证录入!L:L,$H1137),0)</f>
        <v>0</v>
      </c>
      <c r="G1137" s="212" t="s">
        <v>492</v>
      </c>
      <c r="H1137" s="192" t="str">
        <f t="shared" si="145"/>
        <v/>
      </c>
    </row>
    <row r="1138" spans="1:9" s="45" customFormat="1" ht="19.5" customHeight="1" thickBot="1">
      <c r="A1138" s="189" t="str">
        <f>IFERROR(INDEX(凭证录入!H:H,$H1138),"")</f>
        <v/>
      </c>
      <c r="B1138" s="189" t="str">
        <f>IFERROR(INDEX(凭证录入!I:I,$H1138),"")</f>
        <v/>
      </c>
      <c r="C1138" s="190" t="str">
        <f>IFERROR(VLOOKUP($B1138,会计科目表!$A:$C,2,),"")</f>
        <v/>
      </c>
      <c r="D1138" s="190" t="str">
        <f>IFERROR(VLOOKUP($B1138,会计科目表!$A:$C,3,),"")</f>
        <v/>
      </c>
      <c r="E1138" s="191">
        <f>IFERROR(INDEX(凭证录入!K:K,$H1138),0)</f>
        <v>0</v>
      </c>
      <c r="F1138" s="191">
        <f>IFERROR(INDEX(凭证录入!L:L,$H1138),0)</f>
        <v>0</v>
      </c>
      <c r="G1138" s="212"/>
      <c r="H1138" s="192" t="str">
        <f t="shared" si="145"/>
        <v/>
      </c>
    </row>
    <row r="1139" spans="1:9" s="45" customFormat="1" ht="19.5" customHeight="1" thickBot="1">
      <c r="A1139" s="193"/>
      <c r="B1139" s="194" t="s">
        <v>485</v>
      </c>
      <c r="C1139" s="195" t="str">
        <f>SUBSTITUTE(SUBSTITUTE(IF(-DOLLAR(E1139),IF(E1139&gt;0,,"负")&amp;TEXT(INT(ABS(E1139)+0.5%),"[dbnum2]G/通用格式元;;")&amp;TEXT(RIGHT(DOLLAR(E1139),2),"[dbnum2]0角0分;;整"),),"零角",IF(E1139^2&lt;1,,"零")),"零分","整")</f>
        <v/>
      </c>
      <c r="D1139" s="196"/>
      <c r="E1139" s="197">
        <f>SUM(E1133:E1138)</f>
        <v>0</v>
      </c>
      <c r="F1139" s="197">
        <f>SUM(F1133:F1138)</f>
        <v>0</v>
      </c>
      <c r="G1139" s="212"/>
      <c r="H1139" s="192" t="str">
        <f t="shared" si="145"/>
        <v/>
      </c>
    </row>
    <row r="1140" spans="1:9" s="199" customFormat="1" ht="19.5" customHeight="1">
      <c r="A1140" s="45" t="s">
        <v>486</v>
      </c>
      <c r="B1140" s="45" t="s">
        <v>487</v>
      </c>
      <c r="C1140" s="45" t="s">
        <v>488</v>
      </c>
      <c r="D1140" s="45" t="s">
        <v>504</v>
      </c>
      <c r="E1140" s="45" t="s">
        <v>489</v>
      </c>
      <c r="F1140" s="212" t="str">
        <f>IF($E1139&lt;&gt;$F1139,"借贷不平","")</f>
        <v/>
      </c>
      <c r="G1140" s="183"/>
      <c r="H1140" s="198" t="str">
        <f t="shared" si="145"/>
        <v/>
      </c>
    </row>
    <row r="1141" spans="1:9" ht="37.5" customHeight="1">
      <c r="A1141" s="177" t="s">
        <v>493</v>
      </c>
      <c r="B1141" s="178"/>
      <c r="C1141" s="179"/>
      <c r="D1141" s="179"/>
      <c r="E1141" s="178"/>
      <c r="F1141" s="178"/>
      <c r="G1141" s="212"/>
      <c r="H1141" s="192" t="str">
        <f t="shared" si="145"/>
        <v/>
      </c>
    </row>
    <row r="1142" spans="1:9" s="45" customFormat="1" ht="19.5" customHeight="1" thickBot="1">
      <c r="C1142" s="180" t="e">
        <f>DATEVALUE("2010-"&amp;$H$1&amp;"-"&amp;INDEX(凭证录入!B:B,H1145))</f>
        <v>#VALUE!</v>
      </c>
      <c r="D1142" s="181"/>
      <c r="E1142" s="182" t="s">
        <v>477</v>
      </c>
      <c r="F1142" s="183" t="e">
        <f>N(LEFT((F1130),3)+1)</f>
        <v>#VALUE!</v>
      </c>
      <c r="G1142" s="212"/>
      <c r="H1142" s="192" t="str">
        <f t="shared" si="145"/>
        <v/>
      </c>
      <c r="I1142" s="184"/>
    </row>
    <row r="1143" spans="1:9" s="45" customFormat="1" ht="19.5" customHeight="1" thickBot="1">
      <c r="A1143" s="544" t="s">
        <v>494</v>
      </c>
      <c r="B1143" s="545" t="s">
        <v>495</v>
      </c>
      <c r="C1143" s="185" t="s">
        <v>496</v>
      </c>
      <c r="D1143" s="186"/>
      <c r="E1143" s="187"/>
      <c r="F1143" s="482"/>
      <c r="G1143" s="212"/>
      <c r="H1143" s="192" t="str">
        <f t="shared" si="145"/>
        <v/>
      </c>
    </row>
    <row r="1144" spans="1:9" s="45" customFormat="1" ht="19.5" customHeight="1" thickBot="1">
      <c r="A1144" s="545"/>
      <c r="B1144" s="546"/>
      <c r="C1144" s="482" t="s">
        <v>497</v>
      </c>
      <c r="D1144" s="482" t="s">
        <v>498</v>
      </c>
      <c r="E1144" s="482" t="s">
        <v>499</v>
      </c>
      <c r="F1144" s="482" t="s">
        <v>500</v>
      </c>
      <c r="G1144" s="212"/>
      <c r="H1144" s="192" t="str">
        <f t="shared" si="145"/>
        <v/>
      </c>
    </row>
    <row r="1145" spans="1:9" s="45" customFormat="1" ht="19.5" customHeight="1" thickBot="1">
      <c r="A1145" s="189" t="str">
        <f>IFERROR(INDEX(凭证录入!H:H,$H1145),"")</f>
        <v/>
      </c>
      <c r="B1145" s="189" t="str">
        <f>IFERROR(INDEX(凭证录入!I:I,$H1145),"")</f>
        <v/>
      </c>
      <c r="C1145" s="190" t="str">
        <f>IFERROR(VLOOKUP($B1145,会计科目表!$A:$C,2,),"")</f>
        <v/>
      </c>
      <c r="D1145" s="190" t="str">
        <f>IFERROR(VLOOKUP($B1145,会计科目表!$A:$C,3,),"")</f>
        <v/>
      </c>
      <c r="E1145" s="191">
        <f>IFERROR(INDEX(凭证录入!K:K,$H1145),0)</f>
        <v>0</v>
      </c>
      <c r="F1145" s="191">
        <f>IFERROR(INDEX(凭证录入!L:L,$H1145),0)</f>
        <v>0</v>
      </c>
      <c r="G1145" s="212"/>
      <c r="H1145" s="192" t="str">
        <f t="shared" si="145"/>
        <v/>
      </c>
    </row>
    <row r="1146" spans="1:9" s="45" customFormat="1" ht="19.5" customHeight="1" thickBot="1">
      <c r="A1146" s="189" t="str">
        <f>IFERROR(INDEX(凭证录入!H:H,$H1146),"")</f>
        <v/>
      </c>
      <c r="B1146" s="189" t="str">
        <f>IFERROR(INDEX(凭证录入!I:I,$H1146),"")</f>
        <v/>
      </c>
      <c r="C1146" s="190" t="str">
        <f>IFERROR(VLOOKUP($B1146,会计科目表!$A:$C,2,),"")</f>
        <v/>
      </c>
      <c r="D1146" s="190" t="str">
        <f>IFERROR(VLOOKUP($B1146,会计科目表!$A:$C,3,),"")</f>
        <v/>
      </c>
      <c r="E1146" s="191">
        <f>IFERROR(INDEX(凭证录入!K:K,$H1146),0)</f>
        <v>0</v>
      </c>
      <c r="F1146" s="191">
        <f>IFERROR(INDEX(凭证录入!L:L,$H1146),0)</f>
        <v>0</v>
      </c>
      <c r="G1146" s="212" t="s">
        <v>490</v>
      </c>
      <c r="H1146" s="192" t="str">
        <f t="shared" si="145"/>
        <v/>
      </c>
      <c r="I1146" s="212"/>
    </row>
    <row r="1147" spans="1:9" s="45" customFormat="1" ht="19.5" customHeight="1" thickBot="1">
      <c r="A1147" s="189" t="str">
        <f>IFERROR(INDEX(凭证录入!H:H,$H1147),"")</f>
        <v/>
      </c>
      <c r="B1147" s="189" t="str">
        <f>IFERROR(INDEX(凭证录入!I:I,$H1147),"")</f>
        <v/>
      </c>
      <c r="C1147" s="190" t="str">
        <f>IFERROR(VLOOKUP($B1147,会计科目表!$A:$C,2,),"")</f>
        <v/>
      </c>
      <c r="D1147" s="190" t="str">
        <f>IFERROR(VLOOKUP($B1147,会计科目表!$A:$C,3,),"")</f>
        <v/>
      </c>
      <c r="E1147" s="191">
        <f>IFERROR(INDEX(凭证录入!K:K,$H1147),0)</f>
        <v>0</v>
      </c>
      <c r="F1147" s="191">
        <f>IFERROR(INDEX(凭证录入!L:L,$H1147),0)</f>
        <v>0</v>
      </c>
      <c r="G1147" s="212" t="s">
        <v>491</v>
      </c>
      <c r="H1147" s="192" t="str">
        <f t="shared" si="145"/>
        <v/>
      </c>
      <c r="I1147" s="212"/>
    </row>
    <row r="1148" spans="1:9" s="45" customFormat="1" ht="19.5" customHeight="1" thickBot="1">
      <c r="A1148" s="189" t="str">
        <f>IFERROR(INDEX(凭证录入!H:H,$H1148),"")</f>
        <v/>
      </c>
      <c r="B1148" s="189" t="str">
        <f>IFERROR(INDEX(凭证录入!I:I,$H1148),"")</f>
        <v/>
      </c>
      <c r="C1148" s="190" t="str">
        <f>IFERROR(VLOOKUP($B1148,会计科目表!$A:$C,2,),"")</f>
        <v/>
      </c>
      <c r="D1148" s="190" t="str">
        <f>IFERROR(VLOOKUP($B1148,会计科目表!$A:$C,3,),"")</f>
        <v/>
      </c>
      <c r="E1148" s="191">
        <f>IFERROR(INDEX(凭证录入!K:K,$H1148),0)</f>
        <v>0</v>
      </c>
      <c r="F1148" s="191">
        <f>IFERROR(INDEX(凭证录入!L:L,$H1148),0)</f>
        <v>0</v>
      </c>
      <c r="G1148" s="212" t="e">
        <f>INDEX(凭证录入!$D:$D,$H1145)</f>
        <v>#VALUE!</v>
      </c>
      <c r="H1148" s="192" t="str">
        <f t="shared" si="145"/>
        <v/>
      </c>
      <c r="I1148" s="212"/>
    </row>
    <row r="1149" spans="1:9" s="45" customFormat="1" ht="19.5" customHeight="1" thickBot="1">
      <c r="A1149" s="189" t="str">
        <f>IFERROR(INDEX(凭证录入!H:H,$H1149),"")</f>
        <v/>
      </c>
      <c r="B1149" s="189" t="str">
        <f>IFERROR(INDEX(凭证录入!I:I,$H1149),"")</f>
        <v/>
      </c>
      <c r="C1149" s="190" t="str">
        <f>IFERROR(VLOOKUP($B1149,会计科目表!$A:$C,2,),"")</f>
        <v/>
      </c>
      <c r="D1149" s="190" t="str">
        <f>IFERROR(VLOOKUP($B1149,会计科目表!$A:$C,3,),"")</f>
        <v/>
      </c>
      <c r="E1149" s="191">
        <f>IFERROR(INDEX(凭证录入!K:K,$H1149),0)</f>
        <v>0</v>
      </c>
      <c r="F1149" s="191">
        <f>IFERROR(INDEX(凭证录入!L:L,$H1149),0)</f>
        <v>0</v>
      </c>
      <c r="G1149" s="212" t="s">
        <v>492</v>
      </c>
      <c r="H1149" s="192" t="str">
        <f t="shared" si="145"/>
        <v/>
      </c>
    </row>
    <row r="1150" spans="1:9" s="45" customFormat="1" ht="19.5" customHeight="1" thickBot="1">
      <c r="A1150" s="189" t="str">
        <f>IFERROR(INDEX(凭证录入!H:H,$H1150),"")</f>
        <v/>
      </c>
      <c r="B1150" s="189" t="str">
        <f>IFERROR(INDEX(凭证录入!I:I,$H1150),"")</f>
        <v/>
      </c>
      <c r="C1150" s="190" t="str">
        <f>IFERROR(VLOOKUP($B1150,会计科目表!$A:$C,2,),"")</f>
        <v/>
      </c>
      <c r="D1150" s="190" t="str">
        <f>IFERROR(VLOOKUP($B1150,会计科目表!$A:$C,3,),"")</f>
        <v/>
      </c>
      <c r="E1150" s="191">
        <f>IFERROR(INDEX(凭证录入!K:K,$H1150),0)</f>
        <v>0</v>
      </c>
      <c r="F1150" s="191">
        <f>IFERROR(INDEX(凭证录入!L:L,$H1150),0)</f>
        <v>0</v>
      </c>
      <c r="G1150" s="212"/>
      <c r="H1150" s="192" t="str">
        <f t="shared" si="145"/>
        <v/>
      </c>
    </row>
    <row r="1151" spans="1:9" s="45" customFormat="1" ht="19.5" customHeight="1" thickBot="1">
      <c r="A1151" s="193"/>
      <c r="B1151" s="194" t="s">
        <v>485</v>
      </c>
      <c r="C1151" s="195" t="str">
        <f>SUBSTITUTE(SUBSTITUTE(IF(-DOLLAR(E1151),IF(E1151&gt;0,,"负")&amp;TEXT(INT(ABS(E1151)+0.5%),"[dbnum2]G/通用格式元;;")&amp;TEXT(RIGHT(DOLLAR(E1151),2),"[dbnum2]0角0分;;整"),),"零角",IF(E1151^2&lt;1,,"零")),"零分","整")</f>
        <v/>
      </c>
      <c r="D1151" s="196"/>
      <c r="E1151" s="197">
        <f>SUM(E1145:E1150)</f>
        <v>0</v>
      </c>
      <c r="F1151" s="197">
        <f>SUM(F1145:F1150)</f>
        <v>0</v>
      </c>
      <c r="G1151" s="212"/>
      <c r="H1151" s="192" t="str">
        <f t="shared" si="145"/>
        <v/>
      </c>
    </row>
    <row r="1152" spans="1:9" s="199" customFormat="1" ht="19.5" customHeight="1">
      <c r="A1152" s="45" t="s">
        <v>486</v>
      </c>
      <c r="B1152" s="45" t="s">
        <v>487</v>
      </c>
      <c r="C1152" s="45" t="s">
        <v>488</v>
      </c>
      <c r="D1152" s="45" t="s">
        <v>504</v>
      </c>
      <c r="E1152" s="45" t="s">
        <v>489</v>
      </c>
      <c r="F1152" s="212" t="str">
        <f>IF($E1151&lt;&gt;$F1151,"借贷不平","")</f>
        <v/>
      </c>
      <c r="G1152" s="183"/>
      <c r="H1152" s="198" t="str">
        <f t="shared" si="145"/>
        <v/>
      </c>
    </row>
    <row r="1153" spans="1:9" ht="37.5" customHeight="1">
      <c r="A1153" s="177" t="s">
        <v>493</v>
      </c>
      <c r="B1153" s="178"/>
      <c r="C1153" s="179"/>
      <c r="D1153" s="179"/>
      <c r="E1153" s="178"/>
      <c r="F1153" s="178"/>
      <c r="G1153" s="212"/>
      <c r="H1153" s="192" t="str">
        <f t="shared" si="145"/>
        <v/>
      </c>
    </row>
    <row r="1154" spans="1:9" s="45" customFormat="1" ht="19.5" customHeight="1" thickBot="1">
      <c r="C1154" s="180" t="e">
        <f>DATEVALUE("2010-"&amp;$H$1&amp;"-"&amp;INDEX(凭证录入!B:B,H1157))</f>
        <v>#VALUE!</v>
      </c>
      <c r="D1154" s="181"/>
      <c r="E1154" s="182" t="s">
        <v>477</v>
      </c>
      <c r="F1154" s="183" t="e">
        <f>N(LEFT((F1142),3)+1)</f>
        <v>#VALUE!</v>
      </c>
      <c r="G1154" s="212"/>
      <c r="H1154" s="192" t="str">
        <f t="shared" si="145"/>
        <v/>
      </c>
      <c r="I1154" s="184"/>
    </row>
    <row r="1155" spans="1:9" s="45" customFormat="1" ht="19.5" customHeight="1" thickBot="1">
      <c r="A1155" s="544" t="s">
        <v>494</v>
      </c>
      <c r="B1155" s="545" t="s">
        <v>495</v>
      </c>
      <c r="C1155" s="185" t="s">
        <v>496</v>
      </c>
      <c r="D1155" s="186"/>
      <c r="E1155" s="187"/>
      <c r="F1155" s="482"/>
      <c r="G1155" s="212"/>
      <c r="H1155" s="192" t="str">
        <f t="shared" si="145"/>
        <v/>
      </c>
    </row>
    <row r="1156" spans="1:9" s="45" customFormat="1" ht="19.5" customHeight="1" thickBot="1">
      <c r="A1156" s="545"/>
      <c r="B1156" s="546"/>
      <c r="C1156" s="482" t="s">
        <v>497</v>
      </c>
      <c r="D1156" s="482" t="s">
        <v>498</v>
      </c>
      <c r="E1156" s="482" t="s">
        <v>499</v>
      </c>
      <c r="F1156" s="482" t="s">
        <v>500</v>
      </c>
      <c r="G1156" s="212"/>
      <c r="H1156" s="192" t="str">
        <f t="shared" si="145"/>
        <v/>
      </c>
    </row>
    <row r="1157" spans="1:9" s="45" customFormat="1" ht="19.5" customHeight="1" thickBot="1">
      <c r="A1157" s="189" t="str">
        <f>IFERROR(INDEX(凭证录入!H:H,$H1157),"")</f>
        <v/>
      </c>
      <c r="B1157" s="189" t="str">
        <f>IFERROR(INDEX(凭证录入!I:I,$H1157),"")</f>
        <v/>
      </c>
      <c r="C1157" s="190" t="str">
        <f>IFERROR(VLOOKUP($B1157,会计科目表!$A:$C,2,),"")</f>
        <v/>
      </c>
      <c r="D1157" s="190" t="str">
        <f>IFERROR(VLOOKUP($B1157,会计科目表!$A:$C,3,),"")</f>
        <v/>
      </c>
      <c r="E1157" s="191">
        <f>IFERROR(INDEX(凭证录入!K:K,$H1157),0)</f>
        <v>0</v>
      </c>
      <c r="F1157" s="191">
        <f>IFERROR(INDEX(凭证录入!L:L,$H1157),0)</f>
        <v>0</v>
      </c>
      <c r="G1157" s="212"/>
      <c r="H1157" s="192" t="str">
        <f t="shared" si="145"/>
        <v/>
      </c>
    </row>
    <row r="1158" spans="1:9" s="45" customFormat="1" ht="19.5" customHeight="1" thickBot="1">
      <c r="A1158" s="189" t="str">
        <f>IFERROR(INDEX(凭证录入!H:H,$H1158),"")</f>
        <v/>
      </c>
      <c r="B1158" s="189" t="str">
        <f>IFERROR(INDEX(凭证录入!I:I,$H1158),"")</f>
        <v/>
      </c>
      <c r="C1158" s="190" t="str">
        <f>IFERROR(VLOOKUP($B1158,会计科目表!$A:$C,2,),"")</f>
        <v/>
      </c>
      <c r="D1158" s="190" t="str">
        <f>IFERROR(VLOOKUP($B1158,会计科目表!$A:$C,3,),"")</f>
        <v/>
      </c>
      <c r="E1158" s="191">
        <f>IFERROR(INDEX(凭证录入!K:K,$H1158),0)</f>
        <v>0</v>
      </c>
      <c r="F1158" s="191">
        <f>IFERROR(INDEX(凭证录入!L:L,$H1158),0)</f>
        <v>0</v>
      </c>
      <c r="G1158" s="212" t="s">
        <v>490</v>
      </c>
      <c r="H1158" s="192" t="str">
        <f t="shared" si="145"/>
        <v/>
      </c>
      <c r="I1158" s="212"/>
    </row>
    <row r="1159" spans="1:9" s="45" customFormat="1" ht="19.5" customHeight="1" thickBot="1">
      <c r="A1159" s="189" t="str">
        <f>IFERROR(INDEX(凭证录入!H:H,$H1159),"")</f>
        <v/>
      </c>
      <c r="B1159" s="189" t="str">
        <f>IFERROR(INDEX(凭证录入!I:I,$H1159),"")</f>
        <v/>
      </c>
      <c r="C1159" s="190" t="str">
        <f>IFERROR(VLOOKUP($B1159,会计科目表!$A:$C,2,),"")</f>
        <v/>
      </c>
      <c r="D1159" s="190" t="str">
        <f>IFERROR(VLOOKUP($B1159,会计科目表!$A:$C,3,),"")</f>
        <v/>
      </c>
      <c r="E1159" s="191">
        <f>IFERROR(INDEX(凭证录入!K:K,$H1159),0)</f>
        <v>0</v>
      </c>
      <c r="F1159" s="191">
        <f>IFERROR(INDEX(凭证录入!L:L,$H1159),0)</f>
        <v>0</v>
      </c>
      <c r="G1159" s="212" t="s">
        <v>491</v>
      </c>
      <c r="H1159" s="192" t="str">
        <f t="shared" si="145"/>
        <v/>
      </c>
      <c r="I1159" s="212"/>
    </row>
    <row r="1160" spans="1:9" s="45" customFormat="1" ht="19.5" customHeight="1" thickBot="1">
      <c r="A1160" s="189" t="str">
        <f>IFERROR(INDEX(凭证录入!H:H,$H1160),"")</f>
        <v/>
      </c>
      <c r="B1160" s="189" t="str">
        <f>IFERROR(INDEX(凭证录入!I:I,$H1160),"")</f>
        <v/>
      </c>
      <c r="C1160" s="190" t="str">
        <f>IFERROR(VLOOKUP($B1160,会计科目表!$A:$C,2,),"")</f>
        <v/>
      </c>
      <c r="D1160" s="190" t="str">
        <f>IFERROR(VLOOKUP($B1160,会计科目表!$A:$C,3,),"")</f>
        <v/>
      </c>
      <c r="E1160" s="191">
        <f>IFERROR(INDEX(凭证录入!K:K,$H1160),0)</f>
        <v>0</v>
      </c>
      <c r="F1160" s="191">
        <f>IFERROR(INDEX(凭证录入!L:L,$H1160),0)</f>
        <v>0</v>
      </c>
      <c r="G1160" s="212" t="e">
        <f>INDEX(凭证录入!$D:$D,$H1157)</f>
        <v>#VALUE!</v>
      </c>
      <c r="H1160" s="192" t="str">
        <f t="shared" si="145"/>
        <v/>
      </c>
      <c r="I1160" s="212"/>
    </row>
    <row r="1161" spans="1:9" s="45" customFormat="1" ht="19.5" customHeight="1" thickBot="1">
      <c r="A1161" s="189" t="str">
        <f>IFERROR(INDEX(凭证录入!H:H,$H1161),"")</f>
        <v/>
      </c>
      <c r="B1161" s="189" t="str">
        <f>IFERROR(INDEX(凭证录入!I:I,$H1161),"")</f>
        <v/>
      </c>
      <c r="C1161" s="190" t="str">
        <f>IFERROR(VLOOKUP($B1161,会计科目表!$A:$C,2,),"")</f>
        <v/>
      </c>
      <c r="D1161" s="190" t="str">
        <f>IFERROR(VLOOKUP($B1161,会计科目表!$A:$C,3,),"")</f>
        <v/>
      </c>
      <c r="E1161" s="191">
        <f>IFERROR(INDEX(凭证录入!K:K,$H1161),0)</f>
        <v>0</v>
      </c>
      <c r="F1161" s="191">
        <f>IFERROR(INDEX(凭证录入!L:L,$H1161),0)</f>
        <v>0</v>
      </c>
      <c r="G1161" s="212" t="s">
        <v>492</v>
      </c>
      <c r="H1161" s="192" t="str">
        <f t="shared" si="145"/>
        <v/>
      </c>
    </row>
    <row r="1162" spans="1:9" s="45" customFormat="1" ht="19.5" customHeight="1" thickBot="1">
      <c r="A1162" s="189" t="str">
        <f>IFERROR(INDEX(凭证录入!H:H,$H1162),"")</f>
        <v/>
      </c>
      <c r="B1162" s="189" t="str">
        <f>IFERROR(INDEX(凭证录入!I:I,$H1162),"")</f>
        <v/>
      </c>
      <c r="C1162" s="190" t="str">
        <f>IFERROR(VLOOKUP($B1162,会计科目表!$A:$C,2,),"")</f>
        <v/>
      </c>
      <c r="D1162" s="190" t="str">
        <f>IFERROR(VLOOKUP($B1162,会计科目表!$A:$C,3,),"")</f>
        <v/>
      </c>
      <c r="E1162" s="191">
        <f>IFERROR(INDEX(凭证录入!K:K,$H1162),0)</f>
        <v>0</v>
      </c>
      <c r="F1162" s="191">
        <f>IFERROR(INDEX(凭证录入!L:L,$H1162),0)</f>
        <v>0</v>
      </c>
      <c r="G1162" s="212"/>
      <c r="H1162" s="192" t="str">
        <f t="shared" si="145"/>
        <v/>
      </c>
    </row>
    <row r="1163" spans="1:9" s="45" customFormat="1" ht="19.5" customHeight="1" thickBot="1">
      <c r="A1163" s="193"/>
      <c r="B1163" s="194" t="s">
        <v>485</v>
      </c>
      <c r="C1163" s="195" t="str">
        <f>SUBSTITUTE(SUBSTITUTE(IF(-DOLLAR(E1163),IF(E1163&gt;0,,"负")&amp;TEXT(INT(ABS(E1163)+0.5%),"[dbnum2]G/通用格式元;;")&amp;TEXT(RIGHT(DOLLAR(E1163),2),"[dbnum2]0角0分;;整"),),"零角",IF(E1163^2&lt;1,,"零")),"零分","整")</f>
        <v/>
      </c>
      <c r="D1163" s="196"/>
      <c r="E1163" s="197">
        <f>SUM(E1157:E1162)</f>
        <v>0</v>
      </c>
      <c r="F1163" s="197">
        <f>SUM(F1157:F1162)</f>
        <v>0</v>
      </c>
      <c r="G1163" s="212"/>
      <c r="H1163" s="192" t="str">
        <f t="shared" si="145"/>
        <v/>
      </c>
    </row>
    <row r="1164" spans="1:9" s="199" customFormat="1" ht="19.5" customHeight="1">
      <c r="A1164" s="45" t="s">
        <v>486</v>
      </c>
      <c r="B1164" s="45" t="s">
        <v>487</v>
      </c>
      <c r="C1164" s="45" t="s">
        <v>488</v>
      </c>
      <c r="D1164" s="45" t="s">
        <v>504</v>
      </c>
      <c r="E1164" s="45" t="s">
        <v>489</v>
      </c>
      <c r="F1164" s="212" t="str">
        <f>IF($E1163&lt;&gt;$F1163,"借贷不平","")</f>
        <v/>
      </c>
      <c r="G1164" s="183"/>
      <c r="H1164" s="198" t="str">
        <f t="shared" si="145"/>
        <v/>
      </c>
    </row>
    <row r="1165" spans="1:9" ht="37.5" customHeight="1">
      <c r="A1165" s="177" t="s">
        <v>493</v>
      </c>
      <c r="B1165" s="178"/>
      <c r="C1165" s="179"/>
      <c r="D1165" s="179"/>
      <c r="E1165" s="178"/>
      <c r="F1165" s="178"/>
      <c r="G1165" s="212"/>
      <c r="H1165" s="192" t="str">
        <f t="shared" si="145"/>
        <v/>
      </c>
    </row>
    <row r="1166" spans="1:9" s="45" customFormat="1" ht="19.5" customHeight="1" thickBot="1">
      <c r="C1166" s="180" t="e">
        <f>DATEVALUE("2010-"&amp;$H$1&amp;"-"&amp;INDEX(凭证录入!B:B,H1169))</f>
        <v>#VALUE!</v>
      </c>
      <c r="D1166" s="181"/>
      <c r="E1166" s="182" t="s">
        <v>477</v>
      </c>
      <c r="F1166" s="183" t="e">
        <f>N(LEFT((F1154),3)+1)</f>
        <v>#VALUE!</v>
      </c>
      <c r="G1166" s="212"/>
      <c r="H1166" s="192" t="str">
        <f t="shared" si="145"/>
        <v/>
      </c>
      <c r="I1166" s="184"/>
    </row>
    <row r="1167" spans="1:9" s="45" customFormat="1" ht="19.5" customHeight="1" thickBot="1">
      <c r="A1167" s="544" t="s">
        <v>494</v>
      </c>
      <c r="B1167" s="545" t="s">
        <v>495</v>
      </c>
      <c r="C1167" s="185" t="s">
        <v>496</v>
      </c>
      <c r="D1167" s="186"/>
      <c r="E1167" s="187"/>
      <c r="F1167" s="482"/>
      <c r="G1167" s="212"/>
      <c r="H1167" s="192" t="str">
        <f t="shared" si="145"/>
        <v/>
      </c>
    </row>
    <row r="1168" spans="1:9" s="45" customFormat="1" ht="19.5" customHeight="1" thickBot="1">
      <c r="A1168" s="545"/>
      <c r="B1168" s="546"/>
      <c r="C1168" s="482" t="s">
        <v>497</v>
      </c>
      <c r="D1168" s="482" t="s">
        <v>498</v>
      </c>
      <c r="E1168" s="482" t="s">
        <v>499</v>
      </c>
      <c r="F1168" s="482" t="s">
        <v>500</v>
      </c>
      <c r="G1168" s="212"/>
      <c r="H1168" s="192" t="str">
        <f t="shared" si="145"/>
        <v/>
      </c>
    </row>
    <row r="1169" spans="1:9" s="45" customFormat="1" ht="19.5" customHeight="1" thickBot="1">
      <c r="A1169" s="189" t="str">
        <f>IFERROR(INDEX(凭证录入!H:H,$H1169),"")</f>
        <v/>
      </c>
      <c r="B1169" s="189" t="str">
        <f>IFERROR(INDEX(凭证录入!I:I,$H1169),"")</f>
        <v/>
      </c>
      <c r="C1169" s="190" t="str">
        <f>IFERROR(VLOOKUP($B1169,会计科目表!$A:$C,2,),"")</f>
        <v/>
      </c>
      <c r="D1169" s="190" t="str">
        <f>IFERROR(VLOOKUP($B1169,会计科目表!$A:$C,3,),"")</f>
        <v/>
      </c>
      <c r="E1169" s="191">
        <f>IFERROR(INDEX(凭证录入!K:K,$H1169),0)</f>
        <v>0</v>
      </c>
      <c r="F1169" s="191">
        <f>IFERROR(INDEX(凭证录入!L:L,$H1169),0)</f>
        <v>0</v>
      </c>
      <c r="G1169" s="212"/>
      <c r="H1169" s="192" t="str">
        <f t="shared" si="145"/>
        <v/>
      </c>
    </row>
    <row r="1170" spans="1:9" s="45" customFormat="1" ht="19.5" customHeight="1" thickBot="1">
      <c r="A1170" s="189" t="str">
        <f>IFERROR(INDEX(凭证录入!H:H,$H1170),"")</f>
        <v/>
      </c>
      <c r="B1170" s="189" t="str">
        <f>IFERROR(INDEX(凭证录入!I:I,$H1170),"")</f>
        <v/>
      </c>
      <c r="C1170" s="190" t="str">
        <f>IFERROR(VLOOKUP($B1170,会计科目表!$A:$C,2,),"")</f>
        <v/>
      </c>
      <c r="D1170" s="190" t="str">
        <f>IFERROR(VLOOKUP($B1170,会计科目表!$A:$C,3,),"")</f>
        <v/>
      </c>
      <c r="E1170" s="191">
        <f>IFERROR(INDEX(凭证录入!K:K,$H1170),0)</f>
        <v>0</v>
      </c>
      <c r="F1170" s="191">
        <f>IFERROR(INDEX(凭证录入!L:L,$H1170),0)</f>
        <v>0</v>
      </c>
      <c r="G1170" s="212" t="s">
        <v>490</v>
      </c>
      <c r="H1170" s="192" t="str">
        <f t="shared" si="145"/>
        <v/>
      </c>
      <c r="I1170" s="212"/>
    </row>
    <row r="1171" spans="1:9" s="45" customFormat="1" ht="19.5" customHeight="1" thickBot="1">
      <c r="A1171" s="189" t="str">
        <f>IFERROR(INDEX(凭证录入!H:H,$H1171),"")</f>
        <v/>
      </c>
      <c r="B1171" s="189" t="str">
        <f>IFERROR(INDEX(凭证录入!I:I,$H1171),"")</f>
        <v/>
      </c>
      <c r="C1171" s="190" t="str">
        <f>IFERROR(VLOOKUP($B1171,会计科目表!$A:$C,2,),"")</f>
        <v/>
      </c>
      <c r="D1171" s="190" t="str">
        <f>IFERROR(VLOOKUP($B1171,会计科目表!$A:$C,3,),"")</f>
        <v/>
      </c>
      <c r="E1171" s="191">
        <f>IFERROR(INDEX(凭证录入!K:K,$H1171),0)</f>
        <v>0</v>
      </c>
      <c r="F1171" s="191">
        <f>IFERROR(INDEX(凭证录入!L:L,$H1171),0)</f>
        <v>0</v>
      </c>
      <c r="G1171" s="212" t="s">
        <v>491</v>
      </c>
      <c r="H1171" s="192" t="str">
        <f t="shared" si="145"/>
        <v/>
      </c>
      <c r="I1171" s="212"/>
    </row>
    <row r="1172" spans="1:9" s="45" customFormat="1" ht="19.5" customHeight="1" thickBot="1">
      <c r="A1172" s="189" t="str">
        <f>IFERROR(INDEX(凭证录入!H:H,$H1172),"")</f>
        <v/>
      </c>
      <c r="B1172" s="189" t="str">
        <f>IFERROR(INDEX(凭证录入!I:I,$H1172),"")</f>
        <v/>
      </c>
      <c r="C1172" s="190" t="str">
        <f>IFERROR(VLOOKUP($B1172,会计科目表!$A:$C,2,),"")</f>
        <v/>
      </c>
      <c r="D1172" s="190" t="str">
        <f>IFERROR(VLOOKUP($B1172,会计科目表!$A:$C,3,),"")</f>
        <v/>
      </c>
      <c r="E1172" s="191">
        <f>IFERROR(INDEX(凭证录入!K:K,$H1172),0)</f>
        <v>0</v>
      </c>
      <c r="F1172" s="191">
        <f>IFERROR(INDEX(凭证录入!L:L,$H1172),0)</f>
        <v>0</v>
      </c>
      <c r="G1172" s="212" t="e">
        <f>INDEX(凭证录入!$D:$D,$H1169)</f>
        <v>#VALUE!</v>
      </c>
      <c r="H1172" s="192" t="str">
        <f t="shared" si="145"/>
        <v/>
      </c>
      <c r="I1172" s="212"/>
    </row>
    <row r="1173" spans="1:9" s="45" customFormat="1" ht="19.5" customHeight="1" thickBot="1">
      <c r="A1173" s="189" t="str">
        <f>IFERROR(INDEX(凭证录入!H:H,$H1173),"")</f>
        <v/>
      </c>
      <c r="B1173" s="189" t="str">
        <f>IFERROR(INDEX(凭证录入!I:I,$H1173),"")</f>
        <v/>
      </c>
      <c r="C1173" s="190" t="str">
        <f>IFERROR(VLOOKUP($B1173,会计科目表!$A:$C,2,),"")</f>
        <v/>
      </c>
      <c r="D1173" s="190" t="str">
        <f>IFERROR(VLOOKUP($B1173,会计科目表!$A:$C,3,),"")</f>
        <v/>
      </c>
      <c r="E1173" s="191">
        <f>IFERROR(INDEX(凭证录入!K:K,$H1173),0)</f>
        <v>0</v>
      </c>
      <c r="F1173" s="191">
        <f>IFERROR(INDEX(凭证录入!L:L,$H1173),0)</f>
        <v>0</v>
      </c>
      <c r="G1173" s="212" t="s">
        <v>492</v>
      </c>
      <c r="H1173" s="192" t="str">
        <f t="shared" si="145"/>
        <v/>
      </c>
    </row>
    <row r="1174" spans="1:9" s="45" customFormat="1" ht="19.5" customHeight="1" thickBot="1">
      <c r="A1174" s="189" t="str">
        <f>IFERROR(INDEX(凭证录入!H:H,$H1174),"")</f>
        <v/>
      </c>
      <c r="B1174" s="189" t="str">
        <f>IFERROR(INDEX(凭证录入!I:I,$H1174),"")</f>
        <v/>
      </c>
      <c r="C1174" s="190" t="str">
        <f>IFERROR(VLOOKUP($B1174,会计科目表!$A:$C,2,),"")</f>
        <v/>
      </c>
      <c r="D1174" s="190" t="str">
        <f>IFERROR(VLOOKUP($B1174,会计科目表!$A:$C,3,),"")</f>
        <v/>
      </c>
      <c r="E1174" s="191">
        <f>IFERROR(INDEX(凭证录入!K:K,$H1174),0)</f>
        <v>0</v>
      </c>
      <c r="F1174" s="191">
        <f>IFERROR(INDEX(凭证录入!L:L,$H1174),0)</f>
        <v>0</v>
      </c>
      <c r="G1174" s="212"/>
      <c r="H1174" s="192" t="str">
        <f t="shared" si="145"/>
        <v/>
      </c>
    </row>
    <row r="1175" spans="1:9" s="45" customFormat="1" ht="19.5" customHeight="1" thickBot="1">
      <c r="A1175" s="193"/>
      <c r="B1175" s="194" t="s">
        <v>485</v>
      </c>
      <c r="C1175" s="195" t="str">
        <f>SUBSTITUTE(SUBSTITUTE(IF(-DOLLAR(E1175),IF(E1175&gt;0,,"负")&amp;TEXT(INT(ABS(E1175)+0.5%),"[dbnum2]G/通用格式元;;")&amp;TEXT(RIGHT(DOLLAR(E1175),2),"[dbnum2]0角0分;;整"),),"零角",IF(E1175^2&lt;1,,"零")),"零分","整")</f>
        <v/>
      </c>
      <c r="D1175" s="196"/>
      <c r="E1175" s="197">
        <f>SUM(E1169:E1174)</f>
        <v>0</v>
      </c>
      <c r="F1175" s="197">
        <f>SUM(F1169:F1174)</f>
        <v>0</v>
      </c>
      <c r="G1175" s="212"/>
      <c r="H1175" s="192" t="str">
        <f t="shared" si="145"/>
        <v/>
      </c>
    </row>
    <row r="1176" spans="1:9" s="199" customFormat="1" ht="19.5" customHeight="1">
      <c r="A1176" s="45" t="s">
        <v>486</v>
      </c>
      <c r="B1176" s="45" t="s">
        <v>487</v>
      </c>
      <c r="C1176" s="45" t="s">
        <v>488</v>
      </c>
      <c r="D1176" s="45" t="s">
        <v>504</v>
      </c>
      <c r="E1176" s="45" t="s">
        <v>489</v>
      </c>
      <c r="F1176" s="212" t="str">
        <f>IF($E1175&lt;&gt;$F1175,"借贷不平","")</f>
        <v/>
      </c>
      <c r="G1176" s="183"/>
      <c r="H1176" s="198" t="str">
        <f t="shared" si="145"/>
        <v/>
      </c>
    </row>
    <row r="1177" spans="1:9" ht="37.5" customHeight="1">
      <c r="A1177" s="177" t="s">
        <v>493</v>
      </c>
      <c r="B1177" s="178"/>
      <c r="C1177" s="179"/>
      <c r="D1177" s="179"/>
      <c r="E1177" s="178"/>
      <c r="F1177" s="178"/>
      <c r="G1177" s="212"/>
      <c r="H1177" s="192" t="str">
        <f t="shared" si="145"/>
        <v/>
      </c>
    </row>
    <row r="1178" spans="1:9" s="45" customFormat="1" ht="19.5" customHeight="1" thickBot="1">
      <c r="C1178" s="180" t="e">
        <f>DATEVALUE("2010-"&amp;$H$1&amp;"-"&amp;INDEX(凭证录入!B:B,H1181))</f>
        <v>#VALUE!</v>
      </c>
      <c r="D1178" s="181"/>
      <c r="E1178" s="182" t="s">
        <v>477</v>
      </c>
      <c r="F1178" s="183" t="e">
        <f>N(LEFT((F1166),3)+1)</f>
        <v>#VALUE!</v>
      </c>
      <c r="G1178" s="212"/>
      <c r="H1178" s="192" t="str">
        <f t="shared" si="145"/>
        <v/>
      </c>
      <c r="I1178" s="184"/>
    </row>
    <row r="1179" spans="1:9" s="45" customFormat="1" ht="19.5" customHeight="1" thickBot="1">
      <c r="A1179" s="544" t="s">
        <v>494</v>
      </c>
      <c r="B1179" s="545" t="s">
        <v>495</v>
      </c>
      <c r="C1179" s="185" t="s">
        <v>496</v>
      </c>
      <c r="D1179" s="186"/>
      <c r="E1179" s="187"/>
      <c r="F1179" s="482"/>
      <c r="G1179" s="212"/>
      <c r="H1179" s="192" t="str">
        <f t="shared" si="145"/>
        <v/>
      </c>
    </row>
    <row r="1180" spans="1:9" s="45" customFormat="1" ht="19.5" customHeight="1" thickBot="1">
      <c r="A1180" s="545"/>
      <c r="B1180" s="546"/>
      <c r="C1180" s="482" t="s">
        <v>497</v>
      </c>
      <c r="D1180" s="482" t="s">
        <v>498</v>
      </c>
      <c r="E1180" s="482" t="s">
        <v>499</v>
      </c>
      <c r="F1180" s="482" t="s">
        <v>500</v>
      </c>
      <c r="G1180" s="212"/>
      <c r="H1180" s="192" t="str">
        <f t="shared" si="145"/>
        <v/>
      </c>
    </row>
    <row r="1181" spans="1:9" s="45" customFormat="1" ht="19.5" customHeight="1" thickBot="1">
      <c r="A1181" s="189" t="str">
        <f>IFERROR(INDEX(凭证录入!H:H,$H1181),"")</f>
        <v/>
      </c>
      <c r="B1181" s="189" t="str">
        <f>IFERROR(INDEX(凭证录入!I:I,$H1181),"")</f>
        <v/>
      </c>
      <c r="C1181" s="190" t="str">
        <f>IFERROR(VLOOKUP($B1181,会计科目表!$A:$C,2,),"")</f>
        <v/>
      </c>
      <c r="D1181" s="190" t="str">
        <f>IFERROR(VLOOKUP($B1181,会计科目表!$A:$C,3,),"")</f>
        <v/>
      </c>
      <c r="E1181" s="191">
        <f>IFERROR(INDEX(凭证录入!K:K,$H1181),0)</f>
        <v>0</v>
      </c>
      <c r="F1181" s="191">
        <f>IFERROR(INDEX(凭证录入!L:L,$H1181),0)</f>
        <v>0</v>
      </c>
      <c r="G1181" s="212"/>
      <c r="H1181" s="192" t="str">
        <f t="shared" si="145"/>
        <v/>
      </c>
    </row>
    <row r="1182" spans="1:9" s="45" customFormat="1" ht="19.5" customHeight="1" thickBot="1">
      <c r="A1182" s="189" t="str">
        <f>IFERROR(INDEX(凭证录入!H:H,$H1182),"")</f>
        <v/>
      </c>
      <c r="B1182" s="189" t="str">
        <f>IFERROR(INDEX(凭证录入!I:I,$H1182),"")</f>
        <v/>
      </c>
      <c r="C1182" s="190" t="str">
        <f>IFERROR(VLOOKUP($B1182,会计科目表!$A:$C,2,),"")</f>
        <v/>
      </c>
      <c r="D1182" s="190" t="str">
        <f>IFERROR(VLOOKUP($B1182,会计科目表!$A:$C,3,),"")</f>
        <v/>
      </c>
      <c r="E1182" s="191">
        <f>IFERROR(INDEX(凭证录入!K:K,$H1182),0)</f>
        <v>0</v>
      </c>
      <c r="F1182" s="191">
        <f>IFERROR(INDEX(凭证录入!L:L,$H1182),0)</f>
        <v>0</v>
      </c>
      <c r="G1182" s="212" t="s">
        <v>490</v>
      </c>
      <c r="H1182" s="192" t="str">
        <f t="shared" si="145"/>
        <v/>
      </c>
      <c r="I1182" s="212"/>
    </row>
    <row r="1183" spans="1:9" s="45" customFormat="1" ht="19.5" customHeight="1" thickBot="1">
      <c r="A1183" s="189" t="str">
        <f>IFERROR(INDEX(凭证录入!H:H,$H1183),"")</f>
        <v/>
      </c>
      <c r="B1183" s="189" t="str">
        <f>IFERROR(INDEX(凭证录入!I:I,$H1183),"")</f>
        <v/>
      </c>
      <c r="C1183" s="190" t="str">
        <f>IFERROR(VLOOKUP($B1183,会计科目表!$A:$C,2,),"")</f>
        <v/>
      </c>
      <c r="D1183" s="190" t="str">
        <f>IFERROR(VLOOKUP($B1183,会计科目表!$A:$C,3,),"")</f>
        <v/>
      </c>
      <c r="E1183" s="191">
        <f>IFERROR(INDEX(凭证录入!K:K,$H1183),0)</f>
        <v>0</v>
      </c>
      <c r="F1183" s="191">
        <f>IFERROR(INDEX(凭证录入!L:L,$H1183),0)</f>
        <v>0</v>
      </c>
      <c r="G1183" s="212" t="s">
        <v>491</v>
      </c>
      <c r="H1183" s="192" t="str">
        <f t="shared" si="145"/>
        <v/>
      </c>
      <c r="I1183" s="212"/>
    </row>
    <row r="1184" spans="1:9" s="45" customFormat="1" ht="19.5" customHeight="1" thickBot="1">
      <c r="A1184" s="189" t="str">
        <f>IFERROR(INDEX(凭证录入!H:H,$H1184),"")</f>
        <v/>
      </c>
      <c r="B1184" s="189" t="str">
        <f>IFERROR(INDEX(凭证录入!I:I,$H1184),"")</f>
        <v/>
      </c>
      <c r="C1184" s="190" t="str">
        <f>IFERROR(VLOOKUP($B1184,会计科目表!$A:$C,2,),"")</f>
        <v/>
      </c>
      <c r="D1184" s="190" t="str">
        <f>IFERROR(VLOOKUP($B1184,会计科目表!$A:$C,3,),"")</f>
        <v/>
      </c>
      <c r="E1184" s="191">
        <f>IFERROR(INDEX(凭证录入!K:K,$H1184),0)</f>
        <v>0</v>
      </c>
      <c r="F1184" s="191">
        <f>IFERROR(INDEX(凭证录入!L:L,$H1184),0)</f>
        <v>0</v>
      </c>
      <c r="G1184" s="212" t="e">
        <f>INDEX(凭证录入!$D:$D,$H1181)</f>
        <v>#VALUE!</v>
      </c>
      <c r="H1184" s="192" t="str">
        <f t="shared" si="145"/>
        <v/>
      </c>
      <c r="I1184" s="212"/>
    </row>
    <row r="1185" spans="1:9" s="45" customFormat="1" ht="19.5" customHeight="1" thickBot="1">
      <c r="A1185" s="189" t="str">
        <f>IFERROR(INDEX(凭证录入!H:H,$H1185),"")</f>
        <v/>
      </c>
      <c r="B1185" s="189" t="str">
        <f>IFERROR(INDEX(凭证录入!I:I,$H1185),"")</f>
        <v/>
      </c>
      <c r="C1185" s="190" t="str">
        <f>IFERROR(VLOOKUP($B1185,会计科目表!$A:$C,2,),"")</f>
        <v/>
      </c>
      <c r="D1185" s="190" t="str">
        <f>IFERROR(VLOOKUP($B1185,会计科目表!$A:$C,3,),"")</f>
        <v/>
      </c>
      <c r="E1185" s="191">
        <f>IFERROR(INDEX(凭证录入!K:K,$H1185),0)</f>
        <v>0</v>
      </c>
      <c r="F1185" s="191">
        <f>IFERROR(INDEX(凭证录入!L:L,$H1185),0)</f>
        <v>0</v>
      </c>
      <c r="G1185" s="212" t="s">
        <v>492</v>
      </c>
      <c r="H1185" s="192" t="str">
        <f t="shared" si="145"/>
        <v/>
      </c>
    </row>
    <row r="1186" spans="1:9" s="45" customFormat="1" ht="19.5" customHeight="1" thickBot="1">
      <c r="A1186" s="189" t="str">
        <f>IFERROR(INDEX(凭证录入!H:H,$H1186),"")</f>
        <v/>
      </c>
      <c r="B1186" s="189" t="str">
        <f>IFERROR(INDEX(凭证录入!I:I,$H1186),"")</f>
        <v/>
      </c>
      <c r="C1186" s="190" t="str">
        <f>IFERROR(VLOOKUP($B1186,会计科目表!$A:$C,2,),"")</f>
        <v/>
      </c>
      <c r="D1186" s="190" t="str">
        <f>IFERROR(VLOOKUP($B1186,会计科目表!$A:$C,3,),"")</f>
        <v/>
      </c>
      <c r="E1186" s="191">
        <f>IFERROR(INDEX(凭证录入!K:K,$H1186),0)</f>
        <v>0</v>
      </c>
      <c r="F1186" s="191">
        <f>IFERROR(INDEX(凭证录入!L:L,$H1186),0)</f>
        <v>0</v>
      </c>
      <c r="G1186" s="212"/>
      <c r="H1186" s="192" t="str">
        <f t="shared" si="145"/>
        <v/>
      </c>
    </row>
    <row r="1187" spans="1:9" s="45" customFormat="1" ht="19.5" customHeight="1" thickBot="1">
      <c r="A1187" s="193"/>
      <c r="B1187" s="194" t="s">
        <v>485</v>
      </c>
      <c r="C1187" s="195" t="str">
        <f>SUBSTITUTE(SUBSTITUTE(IF(-DOLLAR(E1187),IF(E1187&gt;0,,"负")&amp;TEXT(INT(ABS(E1187)+0.5%),"[dbnum2]G/通用格式元;;")&amp;TEXT(RIGHT(DOLLAR(E1187),2),"[dbnum2]0角0分;;整"),),"零角",IF(E1187^2&lt;1,,"零")),"零分","整")</f>
        <v/>
      </c>
      <c r="D1187" s="196"/>
      <c r="E1187" s="197">
        <f>SUM(E1181:E1186)</f>
        <v>0</v>
      </c>
      <c r="F1187" s="197">
        <f>SUM(F1181:F1186)</f>
        <v>0</v>
      </c>
      <c r="G1187" s="212"/>
      <c r="H1187" s="192" t="str">
        <f t="shared" si="145"/>
        <v/>
      </c>
    </row>
    <row r="1188" spans="1:9" s="199" customFormat="1" ht="19.5" customHeight="1">
      <c r="A1188" s="45" t="s">
        <v>486</v>
      </c>
      <c r="B1188" s="45" t="s">
        <v>487</v>
      </c>
      <c r="C1188" s="45" t="s">
        <v>488</v>
      </c>
      <c r="D1188" s="45" t="s">
        <v>504</v>
      </c>
      <c r="E1188" s="45" t="s">
        <v>489</v>
      </c>
      <c r="F1188" s="212" t="str">
        <f>IF($E1187&lt;&gt;$F1187,"借贷不平","")</f>
        <v/>
      </c>
      <c r="G1188" s="183"/>
      <c r="H1188" s="198" t="str">
        <f t="shared" si="145"/>
        <v/>
      </c>
    </row>
    <row r="1189" spans="1:9" ht="37.5" customHeight="1">
      <c r="A1189" s="177" t="s">
        <v>493</v>
      </c>
      <c r="B1189" s="178"/>
      <c r="C1189" s="179"/>
      <c r="D1189" s="179"/>
      <c r="E1189" s="178"/>
      <c r="F1189" s="178"/>
      <c r="G1189" s="212"/>
      <c r="H1189" s="192" t="str">
        <f t="shared" si="145"/>
        <v/>
      </c>
    </row>
    <row r="1190" spans="1:9" s="45" customFormat="1" ht="19.5" customHeight="1" thickBot="1">
      <c r="C1190" s="180" t="e">
        <f>DATEVALUE("2010-"&amp;$H$1&amp;"-"&amp;INDEX(凭证录入!B:B,H1193))</f>
        <v>#VALUE!</v>
      </c>
      <c r="D1190" s="181"/>
      <c r="E1190" s="182" t="s">
        <v>477</v>
      </c>
      <c r="F1190" s="183" t="e">
        <f>N(LEFT((F1178),3)+1)</f>
        <v>#VALUE!</v>
      </c>
      <c r="G1190" s="212"/>
      <c r="H1190" s="192" t="str">
        <f t="shared" si="145"/>
        <v/>
      </c>
      <c r="I1190" s="184"/>
    </row>
    <row r="1191" spans="1:9" s="45" customFormat="1" ht="19.5" customHeight="1" thickBot="1">
      <c r="A1191" s="544" t="s">
        <v>494</v>
      </c>
      <c r="B1191" s="545" t="s">
        <v>495</v>
      </c>
      <c r="C1191" s="185" t="s">
        <v>496</v>
      </c>
      <c r="D1191" s="186"/>
      <c r="E1191" s="187"/>
      <c r="F1191" s="482"/>
      <c r="G1191" s="212"/>
      <c r="H1191" s="192" t="str">
        <f t="shared" si="145"/>
        <v/>
      </c>
    </row>
    <row r="1192" spans="1:9" s="45" customFormat="1" ht="19.5" customHeight="1" thickBot="1">
      <c r="A1192" s="545"/>
      <c r="B1192" s="546"/>
      <c r="C1192" s="482" t="s">
        <v>497</v>
      </c>
      <c r="D1192" s="482" t="s">
        <v>498</v>
      </c>
      <c r="E1192" s="482" t="s">
        <v>499</v>
      </c>
      <c r="F1192" s="482" t="s">
        <v>500</v>
      </c>
      <c r="G1192" s="212"/>
      <c r="H1192" s="192" t="str">
        <f t="shared" si="145"/>
        <v/>
      </c>
    </row>
    <row r="1193" spans="1:9" s="45" customFormat="1" ht="19.5" customHeight="1" thickBot="1">
      <c r="A1193" s="189" t="str">
        <f>IFERROR(INDEX(凭证录入!H:H,$H1193),"")</f>
        <v/>
      </c>
      <c r="B1193" s="189" t="str">
        <f>IFERROR(INDEX(凭证录入!I:I,$H1193),"")</f>
        <v/>
      </c>
      <c r="C1193" s="190" t="str">
        <f>IFERROR(VLOOKUP($B1193,会计科目表!$A:$C,2,),"")</f>
        <v/>
      </c>
      <c r="D1193" s="190" t="str">
        <f>IFERROR(VLOOKUP($B1193,会计科目表!$A:$C,3,),"")</f>
        <v/>
      </c>
      <c r="E1193" s="191">
        <f>IFERROR(INDEX(凭证录入!K:K,$H1193),0)</f>
        <v>0</v>
      </c>
      <c r="F1193" s="191">
        <f>IFERROR(INDEX(凭证录入!L:L,$H1193),0)</f>
        <v>0</v>
      </c>
      <c r="G1193" s="212"/>
      <c r="H1193" s="192" t="str">
        <f t="shared" ref="H1193:H1200" si="146">IFERROR(INDEX(行号,TEXT(MOD(ROW(),12)-4,"[=]A")),"")</f>
        <v/>
      </c>
    </row>
    <row r="1194" spans="1:9" s="45" customFormat="1" ht="19.5" customHeight="1" thickBot="1">
      <c r="A1194" s="189" t="str">
        <f>IFERROR(INDEX(凭证录入!H:H,$H1194),"")</f>
        <v/>
      </c>
      <c r="B1194" s="189" t="str">
        <f>IFERROR(INDEX(凭证录入!I:I,$H1194),"")</f>
        <v/>
      </c>
      <c r="C1194" s="190" t="str">
        <f>IFERROR(VLOOKUP($B1194,会计科目表!$A:$C,2,),"")</f>
        <v/>
      </c>
      <c r="D1194" s="190" t="str">
        <f>IFERROR(VLOOKUP($B1194,会计科目表!$A:$C,3,),"")</f>
        <v/>
      </c>
      <c r="E1194" s="191">
        <f>IFERROR(INDEX(凭证录入!K:K,$H1194),0)</f>
        <v>0</v>
      </c>
      <c r="F1194" s="191">
        <f>IFERROR(INDEX(凭证录入!L:L,$H1194),0)</f>
        <v>0</v>
      </c>
      <c r="G1194" s="212" t="s">
        <v>490</v>
      </c>
      <c r="H1194" s="192" t="str">
        <f t="shared" si="146"/>
        <v/>
      </c>
      <c r="I1194" s="212"/>
    </row>
    <row r="1195" spans="1:9" s="45" customFormat="1" ht="19.5" customHeight="1" thickBot="1">
      <c r="A1195" s="189" t="str">
        <f>IFERROR(INDEX(凭证录入!H:H,$H1195),"")</f>
        <v/>
      </c>
      <c r="B1195" s="189" t="str">
        <f>IFERROR(INDEX(凭证录入!I:I,$H1195),"")</f>
        <v/>
      </c>
      <c r="C1195" s="190" t="str">
        <f>IFERROR(VLOOKUP($B1195,会计科目表!$A:$C,2,),"")</f>
        <v/>
      </c>
      <c r="D1195" s="190" t="str">
        <f>IFERROR(VLOOKUP($B1195,会计科目表!$A:$C,3,),"")</f>
        <v/>
      </c>
      <c r="E1195" s="191">
        <f>IFERROR(INDEX(凭证录入!K:K,$H1195),0)</f>
        <v>0</v>
      </c>
      <c r="F1195" s="191">
        <f>IFERROR(INDEX(凭证录入!L:L,$H1195),0)</f>
        <v>0</v>
      </c>
      <c r="G1195" s="212" t="s">
        <v>491</v>
      </c>
      <c r="H1195" s="192" t="str">
        <f t="shared" si="146"/>
        <v/>
      </c>
      <c r="I1195" s="212"/>
    </row>
    <row r="1196" spans="1:9" s="45" customFormat="1" ht="19.5" customHeight="1" thickBot="1">
      <c r="A1196" s="189" t="str">
        <f>IFERROR(INDEX(凭证录入!H:H,$H1196),"")</f>
        <v/>
      </c>
      <c r="B1196" s="189" t="str">
        <f>IFERROR(INDEX(凭证录入!I:I,$H1196),"")</f>
        <v/>
      </c>
      <c r="C1196" s="190" t="str">
        <f>IFERROR(VLOOKUP($B1196,会计科目表!$A:$C,2,),"")</f>
        <v/>
      </c>
      <c r="D1196" s="190" t="str">
        <f>IFERROR(VLOOKUP($B1196,会计科目表!$A:$C,3,),"")</f>
        <v/>
      </c>
      <c r="E1196" s="191">
        <f>IFERROR(INDEX(凭证录入!K:K,$H1196),0)</f>
        <v>0</v>
      </c>
      <c r="F1196" s="191">
        <f>IFERROR(INDEX(凭证录入!L:L,$H1196),0)</f>
        <v>0</v>
      </c>
      <c r="G1196" s="212" t="e">
        <f>INDEX(凭证录入!$D:$D,$H1193)</f>
        <v>#VALUE!</v>
      </c>
      <c r="H1196" s="192" t="str">
        <f t="shared" si="146"/>
        <v/>
      </c>
      <c r="I1196" s="212"/>
    </row>
    <row r="1197" spans="1:9" s="45" customFormat="1" ht="19.5" customHeight="1" thickBot="1">
      <c r="A1197" s="189" t="str">
        <f>IFERROR(INDEX(凭证录入!H:H,$H1197),"")</f>
        <v/>
      </c>
      <c r="B1197" s="189" t="str">
        <f>IFERROR(INDEX(凭证录入!I:I,$H1197),"")</f>
        <v/>
      </c>
      <c r="C1197" s="190" t="str">
        <f>IFERROR(VLOOKUP($B1197,会计科目表!$A:$C,2,),"")</f>
        <v/>
      </c>
      <c r="D1197" s="190" t="str">
        <f>IFERROR(VLOOKUP($B1197,会计科目表!$A:$C,3,),"")</f>
        <v/>
      </c>
      <c r="E1197" s="191">
        <f>IFERROR(INDEX(凭证录入!K:K,$H1197),0)</f>
        <v>0</v>
      </c>
      <c r="F1197" s="191">
        <f>IFERROR(INDEX(凭证录入!L:L,$H1197),0)</f>
        <v>0</v>
      </c>
      <c r="G1197" s="212" t="s">
        <v>492</v>
      </c>
      <c r="H1197" s="192" t="str">
        <f t="shared" si="146"/>
        <v/>
      </c>
    </row>
    <row r="1198" spans="1:9" s="45" customFormat="1" ht="19.5" customHeight="1" thickBot="1">
      <c r="A1198" s="189" t="str">
        <f>IFERROR(INDEX(凭证录入!H:H,$H1198),"")</f>
        <v/>
      </c>
      <c r="B1198" s="189" t="str">
        <f>IFERROR(INDEX(凭证录入!I:I,$H1198),"")</f>
        <v/>
      </c>
      <c r="C1198" s="190" t="str">
        <f>IFERROR(VLOOKUP($B1198,会计科目表!$A:$C,2,),"")</f>
        <v/>
      </c>
      <c r="D1198" s="190" t="str">
        <f>IFERROR(VLOOKUP($B1198,会计科目表!$A:$C,3,),"")</f>
        <v/>
      </c>
      <c r="E1198" s="191">
        <f>IFERROR(INDEX(凭证录入!K:K,$H1198),0)</f>
        <v>0</v>
      </c>
      <c r="F1198" s="191">
        <f>IFERROR(INDEX(凭证录入!L:L,$H1198),0)</f>
        <v>0</v>
      </c>
      <c r="G1198" s="212"/>
      <c r="H1198" s="192" t="str">
        <f t="shared" si="146"/>
        <v/>
      </c>
    </row>
    <row r="1199" spans="1:9" s="45" customFormat="1" ht="19.5" customHeight="1" thickBot="1">
      <c r="A1199" s="193"/>
      <c r="B1199" s="194" t="s">
        <v>485</v>
      </c>
      <c r="C1199" s="195" t="str">
        <f>SUBSTITUTE(SUBSTITUTE(IF(-DOLLAR(E1199),IF(E1199&gt;0,,"负")&amp;TEXT(INT(ABS(E1199)+0.5%),"[dbnum2]G/通用格式元;;")&amp;TEXT(RIGHT(DOLLAR(E1199),2),"[dbnum2]0角0分;;整"),),"零角",IF(E1199^2&lt;1,,"零")),"零分","整")</f>
        <v/>
      </c>
      <c r="D1199" s="196"/>
      <c r="E1199" s="197">
        <f>SUM(E1193:E1198)</f>
        <v>0</v>
      </c>
      <c r="F1199" s="197">
        <f>SUM(F1193:F1198)</f>
        <v>0</v>
      </c>
      <c r="G1199" s="212"/>
      <c r="H1199" s="192" t="str">
        <f t="shared" si="146"/>
        <v/>
      </c>
    </row>
    <row r="1200" spans="1:9" s="199" customFormat="1" ht="19.5" customHeight="1">
      <c r="A1200" s="45" t="s">
        <v>486</v>
      </c>
      <c r="B1200" s="45" t="s">
        <v>487</v>
      </c>
      <c r="C1200" s="45" t="s">
        <v>488</v>
      </c>
      <c r="D1200" s="45" t="s">
        <v>504</v>
      </c>
      <c r="E1200" s="45" t="s">
        <v>489</v>
      </c>
      <c r="F1200" s="212" t="str">
        <f>IF($E1199&lt;&gt;$F1199,"借贷不平","")</f>
        <v/>
      </c>
      <c r="G1200" s="183"/>
      <c r="H1200" s="198" t="str">
        <f t="shared" si="146"/>
        <v/>
      </c>
    </row>
  </sheetData>
  <autoFilter ref="A2:F216">
    <filterColumn colId="2" showButton="0"/>
  </autoFilter>
  <mergeCells count="290">
    <mergeCell ref="AC19:AC22"/>
    <mergeCell ref="B27:B28"/>
    <mergeCell ref="E27:E28"/>
    <mergeCell ref="F27:F28"/>
    <mergeCell ref="AC27:AC30"/>
    <mergeCell ref="AC31:AC34"/>
    <mergeCell ref="B3:B4"/>
    <mergeCell ref="E3:E4"/>
    <mergeCell ref="F3:F4"/>
    <mergeCell ref="AC3:AC6"/>
    <mergeCell ref="AC7:AC10"/>
    <mergeCell ref="B15:B16"/>
    <mergeCell ref="E15:E16"/>
    <mergeCell ref="F15:F16"/>
    <mergeCell ref="AC15:AC18"/>
    <mergeCell ref="AC55:AC58"/>
    <mergeCell ref="B63:B64"/>
    <mergeCell ref="E63:E64"/>
    <mergeCell ref="F63:F64"/>
    <mergeCell ref="AC63:AC66"/>
    <mergeCell ref="AC67:AC70"/>
    <mergeCell ref="B39:B40"/>
    <mergeCell ref="E39:E40"/>
    <mergeCell ref="F39:F40"/>
    <mergeCell ref="AC39:AC42"/>
    <mergeCell ref="AC43:AC46"/>
    <mergeCell ref="B51:B52"/>
    <mergeCell ref="E51:E52"/>
    <mergeCell ref="F51:F52"/>
    <mergeCell ref="AC51:AC54"/>
    <mergeCell ref="AC91:AC94"/>
    <mergeCell ref="B99:B100"/>
    <mergeCell ref="E99:E100"/>
    <mergeCell ref="F99:F100"/>
    <mergeCell ref="AC99:AC102"/>
    <mergeCell ref="AC103:AC106"/>
    <mergeCell ref="B75:B76"/>
    <mergeCell ref="E75:E76"/>
    <mergeCell ref="F75:F76"/>
    <mergeCell ref="AC75:AC78"/>
    <mergeCell ref="AC79:AC82"/>
    <mergeCell ref="B87:B88"/>
    <mergeCell ref="E87:E88"/>
    <mergeCell ref="F87:F88"/>
    <mergeCell ref="AC87:AC90"/>
    <mergeCell ref="AC127:AC130"/>
    <mergeCell ref="B135:B136"/>
    <mergeCell ref="E135:E136"/>
    <mergeCell ref="F135:F136"/>
    <mergeCell ref="AC135:AC138"/>
    <mergeCell ref="AC139:AC142"/>
    <mergeCell ref="B111:B112"/>
    <mergeCell ref="E111:E112"/>
    <mergeCell ref="F111:F112"/>
    <mergeCell ref="AC111:AC114"/>
    <mergeCell ref="AC115:AC118"/>
    <mergeCell ref="B123:B124"/>
    <mergeCell ref="E123:E124"/>
    <mergeCell ref="F123:F124"/>
    <mergeCell ref="AC123:AC126"/>
    <mergeCell ref="AC163:AC166"/>
    <mergeCell ref="B171:B172"/>
    <mergeCell ref="E171:E172"/>
    <mergeCell ref="F171:F172"/>
    <mergeCell ref="AC171:AC174"/>
    <mergeCell ref="AC175:AC178"/>
    <mergeCell ref="B147:B148"/>
    <mergeCell ref="E147:E148"/>
    <mergeCell ref="F147:F148"/>
    <mergeCell ref="AC147:AC150"/>
    <mergeCell ref="AC151:AC154"/>
    <mergeCell ref="B159:B160"/>
    <mergeCell ref="E159:E160"/>
    <mergeCell ref="F159:F160"/>
    <mergeCell ref="AC159:AC162"/>
    <mergeCell ref="AC199:AC202"/>
    <mergeCell ref="B207:B208"/>
    <mergeCell ref="E207:E208"/>
    <mergeCell ref="F207:F208"/>
    <mergeCell ref="AC207:AC210"/>
    <mergeCell ref="AC211:AC214"/>
    <mergeCell ref="B183:B184"/>
    <mergeCell ref="E183:E184"/>
    <mergeCell ref="F183:F184"/>
    <mergeCell ref="AC183:AC186"/>
    <mergeCell ref="AC187:AC190"/>
    <mergeCell ref="B195:B196"/>
    <mergeCell ref="E195:E196"/>
    <mergeCell ref="F195:F196"/>
    <mergeCell ref="AC195:AC198"/>
    <mergeCell ref="AC235:AC238"/>
    <mergeCell ref="B243:B244"/>
    <mergeCell ref="E243:E244"/>
    <mergeCell ref="F243:F244"/>
    <mergeCell ref="AC243:AC246"/>
    <mergeCell ref="AC247:AC250"/>
    <mergeCell ref="B219:B220"/>
    <mergeCell ref="E219:E220"/>
    <mergeCell ref="F219:F220"/>
    <mergeCell ref="AC219:AC222"/>
    <mergeCell ref="AC223:AC226"/>
    <mergeCell ref="B231:B232"/>
    <mergeCell ref="E231:E232"/>
    <mergeCell ref="F231:F232"/>
    <mergeCell ref="AC231:AC234"/>
    <mergeCell ref="AC271:AC274"/>
    <mergeCell ref="B279:B280"/>
    <mergeCell ref="E279:E280"/>
    <mergeCell ref="F279:F280"/>
    <mergeCell ref="AC279:AC282"/>
    <mergeCell ref="AC283:AC286"/>
    <mergeCell ref="B255:B256"/>
    <mergeCell ref="E255:E256"/>
    <mergeCell ref="F255:F256"/>
    <mergeCell ref="AC255:AC258"/>
    <mergeCell ref="AC259:AC262"/>
    <mergeCell ref="B267:B268"/>
    <mergeCell ref="E267:E268"/>
    <mergeCell ref="F267:F268"/>
    <mergeCell ref="AC267:AC270"/>
    <mergeCell ref="AC307:AC310"/>
    <mergeCell ref="B315:B316"/>
    <mergeCell ref="E315:E316"/>
    <mergeCell ref="F315:F316"/>
    <mergeCell ref="AC315:AC318"/>
    <mergeCell ref="AC319:AC322"/>
    <mergeCell ref="B291:B292"/>
    <mergeCell ref="E291:E292"/>
    <mergeCell ref="F291:F292"/>
    <mergeCell ref="AC291:AC294"/>
    <mergeCell ref="AC295:AC298"/>
    <mergeCell ref="B303:B304"/>
    <mergeCell ref="E303:E304"/>
    <mergeCell ref="F303:F304"/>
    <mergeCell ref="AC303:AC306"/>
    <mergeCell ref="B327:B328"/>
    <mergeCell ref="E327:E328"/>
    <mergeCell ref="F327:F328"/>
    <mergeCell ref="AC327:AC330"/>
    <mergeCell ref="AC331:AC334"/>
    <mergeCell ref="B339:B340"/>
    <mergeCell ref="E339:E340"/>
    <mergeCell ref="F339:F340"/>
    <mergeCell ref="AC339:AC342"/>
    <mergeCell ref="A363:A364"/>
    <mergeCell ref="B363:B364"/>
    <mergeCell ref="A375:A376"/>
    <mergeCell ref="B375:B376"/>
    <mergeCell ref="A387:A388"/>
    <mergeCell ref="B387:B388"/>
    <mergeCell ref="AC343:AC346"/>
    <mergeCell ref="B351:B352"/>
    <mergeCell ref="E351:E352"/>
    <mergeCell ref="F351:F352"/>
    <mergeCell ref="AC351:AC354"/>
    <mergeCell ref="AC355:AC358"/>
    <mergeCell ref="A435:A436"/>
    <mergeCell ref="B435:B436"/>
    <mergeCell ref="A447:A448"/>
    <mergeCell ref="B447:B448"/>
    <mergeCell ref="A459:A460"/>
    <mergeCell ref="B459:B460"/>
    <mergeCell ref="A399:A400"/>
    <mergeCell ref="B399:B400"/>
    <mergeCell ref="A411:A412"/>
    <mergeCell ref="B411:B412"/>
    <mergeCell ref="A423:A424"/>
    <mergeCell ref="B423:B424"/>
    <mergeCell ref="A507:A508"/>
    <mergeCell ref="B507:B508"/>
    <mergeCell ref="A519:A520"/>
    <mergeCell ref="B519:B520"/>
    <mergeCell ref="A531:A532"/>
    <mergeCell ref="B531:B532"/>
    <mergeCell ref="A471:A472"/>
    <mergeCell ref="B471:B472"/>
    <mergeCell ref="A483:A484"/>
    <mergeCell ref="B483:B484"/>
    <mergeCell ref="A495:A496"/>
    <mergeCell ref="B495:B496"/>
    <mergeCell ref="A579:A580"/>
    <mergeCell ref="B579:B580"/>
    <mergeCell ref="A591:A592"/>
    <mergeCell ref="B591:B592"/>
    <mergeCell ref="A603:A604"/>
    <mergeCell ref="B603:B604"/>
    <mergeCell ref="A543:A544"/>
    <mergeCell ref="B543:B544"/>
    <mergeCell ref="A555:A556"/>
    <mergeCell ref="B555:B556"/>
    <mergeCell ref="A567:A568"/>
    <mergeCell ref="B567:B568"/>
    <mergeCell ref="A651:A652"/>
    <mergeCell ref="B651:B652"/>
    <mergeCell ref="A663:A664"/>
    <mergeCell ref="B663:B664"/>
    <mergeCell ref="A675:A676"/>
    <mergeCell ref="B675:B676"/>
    <mergeCell ref="A615:A616"/>
    <mergeCell ref="B615:B616"/>
    <mergeCell ref="A627:A628"/>
    <mergeCell ref="B627:B628"/>
    <mergeCell ref="A639:A640"/>
    <mergeCell ref="B639:B640"/>
    <mergeCell ref="A723:A724"/>
    <mergeCell ref="B723:B724"/>
    <mergeCell ref="A735:A736"/>
    <mergeCell ref="B735:B736"/>
    <mergeCell ref="A747:A748"/>
    <mergeCell ref="B747:B748"/>
    <mergeCell ref="A687:A688"/>
    <mergeCell ref="B687:B688"/>
    <mergeCell ref="A699:A700"/>
    <mergeCell ref="B699:B700"/>
    <mergeCell ref="A711:A712"/>
    <mergeCell ref="B711:B712"/>
    <mergeCell ref="A795:A796"/>
    <mergeCell ref="B795:B796"/>
    <mergeCell ref="A807:A808"/>
    <mergeCell ref="B807:B808"/>
    <mergeCell ref="A819:A820"/>
    <mergeCell ref="B819:B820"/>
    <mergeCell ref="A759:A760"/>
    <mergeCell ref="B759:B760"/>
    <mergeCell ref="A771:A772"/>
    <mergeCell ref="B771:B772"/>
    <mergeCell ref="A783:A784"/>
    <mergeCell ref="B783:B784"/>
    <mergeCell ref="A867:A868"/>
    <mergeCell ref="B867:B868"/>
    <mergeCell ref="A879:A880"/>
    <mergeCell ref="B879:B880"/>
    <mergeCell ref="A891:A892"/>
    <mergeCell ref="B891:B892"/>
    <mergeCell ref="A831:A832"/>
    <mergeCell ref="B831:B832"/>
    <mergeCell ref="A843:A844"/>
    <mergeCell ref="B843:B844"/>
    <mergeCell ref="A855:A856"/>
    <mergeCell ref="B855:B856"/>
    <mergeCell ref="A939:A940"/>
    <mergeCell ref="B939:B940"/>
    <mergeCell ref="A951:A952"/>
    <mergeCell ref="B951:B952"/>
    <mergeCell ref="A963:A964"/>
    <mergeCell ref="B963:B964"/>
    <mergeCell ref="A903:A904"/>
    <mergeCell ref="B903:B904"/>
    <mergeCell ref="A915:A916"/>
    <mergeCell ref="B915:B916"/>
    <mergeCell ref="A927:A928"/>
    <mergeCell ref="B927:B928"/>
    <mergeCell ref="A1011:A1012"/>
    <mergeCell ref="B1011:B1012"/>
    <mergeCell ref="A1023:A1024"/>
    <mergeCell ref="B1023:B1024"/>
    <mergeCell ref="A1035:A1036"/>
    <mergeCell ref="B1035:B1036"/>
    <mergeCell ref="A975:A976"/>
    <mergeCell ref="B975:B976"/>
    <mergeCell ref="A987:A988"/>
    <mergeCell ref="B987:B988"/>
    <mergeCell ref="A999:A1000"/>
    <mergeCell ref="B999:B1000"/>
    <mergeCell ref="A1083:A1084"/>
    <mergeCell ref="B1083:B1084"/>
    <mergeCell ref="A1095:A1096"/>
    <mergeCell ref="B1095:B1096"/>
    <mergeCell ref="A1107:A1108"/>
    <mergeCell ref="B1107:B1108"/>
    <mergeCell ref="A1047:A1048"/>
    <mergeCell ref="B1047:B1048"/>
    <mergeCell ref="A1059:A1060"/>
    <mergeCell ref="B1059:B1060"/>
    <mergeCell ref="A1071:A1072"/>
    <mergeCell ref="B1071:B1072"/>
    <mergeCell ref="A1191:A1192"/>
    <mergeCell ref="B1191:B1192"/>
    <mergeCell ref="A1155:A1156"/>
    <mergeCell ref="B1155:B1156"/>
    <mergeCell ref="A1167:A1168"/>
    <mergeCell ref="B1167:B1168"/>
    <mergeCell ref="A1179:A1180"/>
    <mergeCell ref="B1179:B1180"/>
    <mergeCell ref="A1119:A1120"/>
    <mergeCell ref="B1119:B1120"/>
    <mergeCell ref="A1131:A1132"/>
    <mergeCell ref="B1131:B1132"/>
    <mergeCell ref="A1143:A1144"/>
    <mergeCell ref="B1143:B1144"/>
  </mergeCells>
  <phoneticPr fontId="2" type="noConversion"/>
  <dataValidations count="2">
    <dataValidation allowBlank="1" showInputMessage="1" showErrorMessage="1" prompt="请选择查询的所属月份" sqref="AF1"/>
    <dataValidation allowBlank="1" showInputMessage="1" showErrorMessage="1" prompt="请选择查询的所属年度" sqref="AD1"/>
  </dataValidations>
  <pageMargins left="0.74803149606299213" right="0.74803149606299213" top="0.98425196850393704" bottom="0.98425196850393704" header="0.51181102362204722" footer="0.51181102362204722"/>
  <pageSetup paperSize="127" orientation="landscape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微调框 1">
              <controlPr defaultSize="0" autoPict="0">
                <anchor moveWithCells="1" sizeWithCells="1">
                  <from>
                    <xdr:col>30</xdr:col>
                    <xdr:colOff>9525</xdr:colOff>
                    <xdr:row>0</xdr:row>
                    <xdr:rowOff>19050</xdr:rowOff>
                  </from>
                  <to>
                    <xdr:col>30</xdr:col>
                    <xdr:colOff>390525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Spinner 2">
              <controlPr defaultSize="0" autoPict="0">
                <anchor moveWithCells="1" sizeWithCells="1">
                  <from>
                    <xdr:col>32</xdr:col>
                    <xdr:colOff>9525</xdr:colOff>
                    <xdr:row>0</xdr:row>
                    <xdr:rowOff>19050</xdr:rowOff>
                  </from>
                  <to>
                    <xdr:col>32</xdr:col>
                    <xdr:colOff>390525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银行存款余额调节表</vt:lpstr>
      <vt:lpstr>会计科目表</vt:lpstr>
      <vt:lpstr>凭证录入</vt:lpstr>
      <vt:lpstr>科目余额表</vt:lpstr>
      <vt:lpstr>汇总凭证</vt:lpstr>
      <vt:lpstr>总账</vt:lpstr>
      <vt:lpstr>明细分类账</vt:lpstr>
      <vt:lpstr>资产负债表</vt:lpstr>
      <vt:lpstr>利润表</vt:lpstr>
      <vt:lpstr>通用记账凭证</vt:lpstr>
      <vt:lpstr>分数记账凭证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2007-11-06T11:00:45Z</cp:lastPrinted>
  <dcterms:created xsi:type="dcterms:W3CDTF">1996-12-17T01:32:42Z</dcterms:created>
  <dcterms:modified xsi:type="dcterms:W3CDTF">2014-09-18T07:52:21Z</dcterms:modified>
</cp:coreProperties>
</file>